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4.xml" ContentType="application/vnd.ms-office.chartstyle+xml"/>
  <Override PartName="/xl/charts/colors4.xml" ContentType="application/vnd.ms-office.chartcolorstyle+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style5.xml" ContentType="application/vnd.ms-office.chartstyle+xml"/>
  <Override PartName="/xl/charts/colors5.xml" ContentType="application/vnd.ms-office.chartcolorstyle+xml"/>
  <Override PartName="/xl/charts/chart32.xml" ContentType="application/vnd.openxmlformats-officedocument.drawingml.chart+xml"/>
  <Override PartName="/xl/charts/chart33.xml" ContentType="application/vnd.openxmlformats-officedocument.drawingml.chart+xml"/>
  <Override PartName="/xl/charts/style6.xml" ContentType="application/vnd.ms-office.chartstyle+xml"/>
  <Override PartName="/xl/charts/colors6.xml" ContentType="application/vnd.ms-office.chartcolorstyle+xml"/>
  <Override PartName="/xl/charts/chart34.xml" ContentType="application/vnd.openxmlformats-officedocument.drawingml.chart+xml"/>
  <Override PartName="/xl/charts/style7.xml" ContentType="application/vnd.ms-office.chartstyle+xml"/>
  <Override PartName="/xl/charts/colors7.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24226"/>
  <mc:AlternateContent xmlns:mc="http://schemas.openxmlformats.org/markup-compatibility/2006">
    <mc:Choice Requires="x15">
      <x15ac:absPath xmlns:x15ac="http://schemas.microsoft.com/office/spreadsheetml/2010/11/ac" url="C:\Users\david\Dropbox\Public Equities\Meta\"/>
    </mc:Choice>
  </mc:AlternateContent>
  <xr:revisionPtr revIDLastSave="0" documentId="13_ncr:1_{D2410868-C411-4B0A-82D0-45D36311032A}" xr6:coauthVersionLast="47" xr6:coauthVersionMax="47" xr10:uidLastSave="{00000000-0000-0000-0000-000000000000}"/>
  <bookViews>
    <workbookView xWindow="-96" yWindow="-96" windowWidth="23232" windowHeight="13872" tabRatio="941" activeTab="1" xr2:uid="{00000000-000D-0000-FFFF-FFFF00000000}"/>
  </bookViews>
  <sheets>
    <sheet name="Summary" sheetId="22" r:id="rId1"/>
    <sheet name="Memo - A (2)" sheetId="13" r:id="rId2"/>
    <sheet name="DD" sheetId="18" r:id="rId3"/>
    <sheet name="Drivers" sheetId="19" r:id="rId4"/>
    <sheet name="Stock (N)" sheetId="21" r:id="rId5"/>
    <sheet name="Company Calls" sheetId="20" r:id="rId6"/>
    <sheet name="Expert Calls" sheetId="17" r:id="rId7"/>
    <sheet name="EV &amp; CE" sheetId="15" r:id="rId8"/>
    <sheet name="Front Page" sheetId="7" r:id="rId9"/>
    <sheet name="Quarterly (2)" sheetId="14" r:id="rId10"/>
    <sheet name="Model" sheetId="1" r:id="rId11"/>
    <sheet name="Supplemental Data" sheetId="11" r:id="rId12"/>
    <sheet name="Exec Comp" sheetId="12" r:id="rId13"/>
    <sheet name="Guidance" sheetId="10" r:id="rId14"/>
    <sheet name="Summary Page" sheetId="9" r:id="rId15"/>
    <sheet name="Update Log" sheetId="8" r:id="rId16"/>
  </sheets>
  <externalReferences>
    <externalReference r:id="rId17"/>
    <externalReference r:id="rId18"/>
    <externalReference r:id="rId19"/>
    <externalReference r:id="rId20"/>
    <externalReference r:id="rId21"/>
    <externalReference r:id="rId22"/>
    <externalReference r:id="rId23"/>
  </externalReferences>
  <definedNames>
    <definedName name="_xlnm._FilterDatabase" localSheetId="13" hidden="1">Guidance!$A$5:$U$5</definedName>
    <definedName name="AA.AlternatePriceSourceStartPeriod">"FY2009"</definedName>
    <definedName name="AA.CIK" localSheetId="5">"1477815"</definedName>
    <definedName name="AA.CIK" localSheetId="2">"1477815"</definedName>
    <definedName name="AA.CIK" localSheetId="3">"1477815"</definedName>
    <definedName name="AA.CIK" localSheetId="7">"1477815"</definedName>
    <definedName name="AA.CIK" localSheetId="6">"1477815"</definedName>
    <definedName name="AA.CIK" localSheetId="1">"1477815"</definedName>
    <definedName name="AA.CIK" localSheetId="9">"1477815"</definedName>
    <definedName name="AA.CIK" localSheetId="4">"1477815"</definedName>
    <definedName name="AA.CIK" localSheetId="0">"1477815"</definedName>
    <definedName name="AA.CIK">"1326801"</definedName>
    <definedName name="AA.ColorizerVersion">"2.0.4.0"</definedName>
    <definedName name="AA.CompareQuarters.LatestMRQ" localSheetId="5">"Q1-2020"</definedName>
    <definedName name="AA.CompareQuarters.LatestMRQ" localSheetId="2">"Q1-2020"</definedName>
    <definedName name="AA.CompareQuarters.LatestMRQ" localSheetId="3">"Q1-2020"</definedName>
    <definedName name="AA.CompareQuarters.LatestMRQ" localSheetId="7">"Q1-2020"</definedName>
    <definedName name="AA.CompareQuarters.LatestMRQ" localSheetId="6">"Q1-2020"</definedName>
    <definedName name="AA.CompareQuarters.LatestMRQ" localSheetId="1">"Q1-2020"</definedName>
    <definedName name="AA.CompareQuarters.LatestMRQ" localSheetId="9">"Q1-2020"</definedName>
    <definedName name="AA.CompareQuarters.LatestMRQ" localSheetId="4">"Q1-2020"</definedName>
    <definedName name="AA.CompareQuarters.LatestMRQ" localSheetId="0">"Q1-2020"</definedName>
    <definedName name="AA.CompareQuarters.LatestMRQ">"FY2024"</definedName>
    <definedName name="AA.CSIN" localSheetId="5">"QEQHF80154"</definedName>
    <definedName name="AA.CSIN" localSheetId="2">"QEQHF80154"</definedName>
    <definedName name="AA.CSIN" localSheetId="3">"QEQHF80154"</definedName>
    <definedName name="AA.CSIN" localSheetId="7">"QEQHF80154"</definedName>
    <definedName name="AA.CSIN" localSheetId="6">"QEQHF80154"</definedName>
    <definedName name="AA.CSIN" localSheetId="1">"QEQHF80154"</definedName>
    <definedName name="AA.CSIN" localSheetId="9">"QEQHF80154"</definedName>
    <definedName name="AA.CSIN" localSheetId="4">"QEQHF80154"</definedName>
    <definedName name="AA.CSIN" localSheetId="0">"QEQHF80154"</definedName>
    <definedName name="AA.CSIN">"T897CE0113"</definedName>
    <definedName name="AA.CurationVersion">"2023.11.1.0"</definedName>
    <definedName name="AA.DBMacroVersion" localSheetId="5">"1.0.12.0"</definedName>
    <definedName name="AA.DBMacroVersion" localSheetId="2">"1.0.12.0"</definedName>
    <definedName name="AA.DBMacroVersion" localSheetId="3">"1.0.12.0"</definedName>
    <definedName name="AA.DBMacroVersion" localSheetId="7">"1.0.12.0"</definedName>
    <definedName name="AA.DBMacroVersion" localSheetId="6">"1.0.12.0"</definedName>
    <definedName name="AA.DBMacroVersion" localSheetId="1">"1.0.12.0"</definedName>
    <definedName name="AA.DBMacroVersion" localSheetId="9">"1.0.12.0"</definedName>
    <definedName name="AA.DBMacroVersion" localSheetId="4">"1.0.12.0"</definedName>
    <definedName name="AA.DBMacroVersion" localSheetId="0">"1.0.12.0"</definedName>
    <definedName name="AA.DBMacroVersion">"1.0.13.0"</definedName>
    <definedName name="AA.DCF.Version">_FV(_FV(4,"0"),"0")</definedName>
    <definedName name="AA.DriversWorksheetVersion">"2.1.0.0"</definedName>
    <definedName name="AA.FRC.LatestRunOnModelVersion">"Q2-2019.20"</definedName>
    <definedName name="AA.FreeCashFlow">"TRUE"</definedName>
    <definedName name="AA.GuidanceAnalysisRevenueVersion">"-1.0.0.0"</definedName>
    <definedName name="AA.HardcodeChecker.LatestMRQ">"Q3-2019"</definedName>
    <definedName name="AA.MetadataVersion">"FY2023.21"</definedName>
    <definedName name="AA.ModelChecks.LatestMRQ">"Q3-2021"</definedName>
    <definedName name="AA.ModelChecks.LatestVersionNumber" localSheetId="5">"2.38.19.0"</definedName>
    <definedName name="AA.ModelChecks.LatestVersionNumber" localSheetId="2">"2.38.19.0"</definedName>
    <definedName name="AA.ModelChecks.LatestVersionNumber" localSheetId="3">"2.38.19.0"</definedName>
    <definedName name="AA.ModelChecks.LatestVersionNumber" localSheetId="7">"2.38.19.0"</definedName>
    <definedName name="AA.ModelChecks.LatestVersionNumber" localSheetId="6">"2.38.19.0"</definedName>
    <definedName name="AA.ModelChecks.LatestVersionNumber" localSheetId="1">"2.38.19.0"</definedName>
    <definedName name="AA.ModelChecks.LatestVersionNumber" localSheetId="9">"2.38.19.0"</definedName>
    <definedName name="AA.ModelChecks.LatestVersionNumber" localSheetId="4">"2.38.19.0"</definedName>
    <definedName name="AA.ModelChecks.LatestVersionNumber" localSheetId="0">"2.38.19.0"</definedName>
    <definedName name="AA.ModelChecks.LatestVersionNumber">"2.38.3.0"</definedName>
    <definedName name="AA.ModelColorScheme">"Classic"</definedName>
    <definedName name="AA.ModelColumnOrder">"QQFYFY"</definedName>
    <definedName name="AA.ModelVersion" localSheetId="5">"FY2024.21"</definedName>
    <definedName name="AA.ModelVersion" localSheetId="2">"FY2024.21"</definedName>
    <definedName name="AA.ModelVersion" localSheetId="3">"FY2024.21"</definedName>
    <definedName name="AA.ModelVersion" localSheetId="7">"FY2024.21"</definedName>
    <definedName name="AA.ModelVersion" localSheetId="6">"FY2024.21"</definedName>
    <definedName name="AA.ModelVersion" localSheetId="1">"FY2024.21"</definedName>
    <definedName name="AA.ModelVersion" localSheetId="9">"FY2024.21"</definedName>
    <definedName name="AA.ModelVersion" localSheetId="4">"FY2024.21"</definedName>
    <definedName name="AA.ModelVersion" localSheetId="0">"FY2024.21"</definedName>
    <definedName name="AA.ModelVersion">"Q1-2025.20"</definedName>
    <definedName name="AA.NonLibraryWideCurationVersion" localSheetId="5">"4"</definedName>
    <definedName name="AA.NonLibraryWideCurationVersion" localSheetId="2">"4"</definedName>
    <definedName name="AA.NonLibraryWideCurationVersion" localSheetId="3">"4"</definedName>
    <definedName name="AA.NonLibraryWideCurationVersion" localSheetId="7">"4"</definedName>
    <definedName name="AA.NonLibraryWideCurationVersion" localSheetId="6">"4"</definedName>
    <definedName name="AA.NonLibraryWideCurationVersion" localSheetId="1">"4"</definedName>
    <definedName name="AA.NonLibraryWideCurationVersion" localSheetId="9">"4"</definedName>
    <definedName name="AA.NonLibraryWideCurationVersion" localSheetId="4">"4"</definedName>
    <definedName name="AA.NonLibraryWideCurationVersion" localSheetId="0">"4"</definedName>
    <definedName name="AA.NonLibraryWideCurationVersion">"8"</definedName>
    <definedName name="AA.PartialUpdate.BsAvailable">"TRUE"</definedName>
    <definedName name="AA.PartialUpdate.CfsAvailable">"TRUE"</definedName>
    <definedName name="AA.PartialUpdate.IsAvailable">"TRUE"</definedName>
    <definedName name="AA.PeriodGrouperVersion">"3.0.4.0"</definedName>
    <definedName name="AA.PeriodLayout">"QFY"</definedName>
    <definedName name="AA.PersonalMacro.VersionNumber">""</definedName>
    <definedName name="AA.RowNameEnforcerVersion">"2023.11.1.0"</definedName>
    <definedName name="AA.SessionToUploadId">""</definedName>
    <definedName name="AA.StartWorkModelVersion" localSheetId="5">"FY2024.20"</definedName>
    <definedName name="AA.StartWorkModelVersion" localSheetId="2">"FY2024.20"</definedName>
    <definedName name="AA.StartWorkModelVersion" localSheetId="3">"FY2024.20"</definedName>
    <definedName name="AA.StartWorkModelVersion" localSheetId="7">"FY2024.20"</definedName>
    <definedName name="AA.StartWorkModelVersion" localSheetId="6">"FY2024.20"</definedName>
    <definedName name="AA.StartWorkModelVersion" localSheetId="1">"FY2024.20"</definedName>
    <definedName name="AA.StartWorkModelVersion" localSheetId="9">"FY2024.20"</definedName>
    <definedName name="AA.StartWorkModelVersion" localSheetId="4">"FY2024.20"</definedName>
    <definedName name="AA.StartWorkModelVersion" localSheetId="0">"FY2024.20"</definedName>
    <definedName name="AA.StartWorkModelVersion">"FY2024.23"</definedName>
    <definedName name="AA.StartWorkType">""</definedName>
    <definedName name="AA.SubyearType">"Q"</definedName>
    <definedName name="AA.TemplateUpgradeAttempted">"TRUE"</definedName>
    <definedName name="AA.TemplateVersion">"7.5.2.0"</definedName>
    <definedName name="AA.UpdateGuid" localSheetId="5">"9472ef1f-25d7-46bd-a952-c4fe7fb81e0b"</definedName>
    <definedName name="AA.UpdateGuid" localSheetId="2">"9472ef1f-25d7-46bd-a952-c4fe7fb81e0b"</definedName>
    <definedName name="AA.UpdateGuid" localSheetId="3">"9472ef1f-25d7-46bd-a952-c4fe7fb81e0b"</definedName>
    <definedName name="AA.UpdateGuid" localSheetId="7">"9472ef1f-25d7-46bd-a952-c4fe7fb81e0b"</definedName>
    <definedName name="AA.UpdateGuid" localSheetId="6">"9472ef1f-25d7-46bd-a952-c4fe7fb81e0b"</definedName>
    <definedName name="AA.UpdateGuid" localSheetId="1">"9472ef1f-25d7-46bd-a952-c4fe7fb81e0b"</definedName>
    <definedName name="AA.UpdateGuid" localSheetId="9">"9472ef1f-25d7-46bd-a952-c4fe7fb81e0b"</definedName>
    <definedName name="AA.UpdateGuid" localSheetId="4">"9472ef1f-25d7-46bd-a952-c4fe7fb81e0b"</definedName>
    <definedName name="AA.UpdateGuid" localSheetId="0">"9472ef1f-25d7-46bd-a952-c4fe7fb81e0b"</definedName>
    <definedName name="AA.UpdateGuid">"44f50ebb-dca2-4043-b27d-dade99e50643"</definedName>
    <definedName name="AA.UpdateType">"Partial"</definedName>
    <definedName name="AA.VerifyUnitsAtModelVersion">"Q2-2018.25"</definedName>
    <definedName name="Case" localSheetId="1">'Memo - A (2)'!$AC$4</definedName>
    <definedName name="Case">'[1]Memo - A'!$AC$4</definedName>
    <definedName name="CD_TF_LVMforCompanyIdentifier_CAVA_US">"FY2024.24"</definedName>
    <definedName name="CD_TF_LVMforCompanyIdentifier_CMG_US">"Q1-2025.27"</definedName>
    <definedName name="CD_TF_LVMforCompanyIdentifier_DPZ_US">"Q1-2025.20"</definedName>
    <definedName name="CD_TF_LVMforCompanyIdentifier_META_US" localSheetId="7">"Q1-2025.20"</definedName>
    <definedName name="CD_TF_LVMforCompanyIdentifier_META_US">"Q1-2025.22"</definedName>
    <definedName name="CD_TF_LVMforCompanyIdentifier_SG_US">"FY2024.26"</definedName>
    <definedName name="CD_TF_LVMforCompanyIdentifier_TSLA_US">"Q1-2025.25"</definedName>
    <definedName name="CE_TF_LVMforCompanyIdentifier_QEQHF80154">"2025-05-04T13:58:52.851571Z|SG_US"</definedName>
    <definedName name="CE_TF_LVMforCompanyIdentifier_T897CE0113">"2025-05-04T13:59:00.188612Z|META_US"</definedName>
    <definedName name="EC_CBO_BasePay">'Exec Comp'!$83:$83</definedName>
    <definedName name="EC_CBO_EquityComp_Percent">'Exec Comp'!$88:$88</definedName>
    <definedName name="EC_CBO_SharesOwned">'Exec Comp'!$92:$92</definedName>
    <definedName name="EC_CBO_TotalComp">'Exec Comp'!$87:$87</definedName>
    <definedName name="EC_CEO_BasePay">'Exec Comp'!$7:$7</definedName>
    <definedName name="EC_CEO_EquityComp_Percent">'Exec Comp'!$12:$12</definedName>
    <definedName name="EC_CEO_SharesOwned">'Exec Comp'!$17:$17</definedName>
    <definedName name="EC_CEO_TotalComp">'Exec Comp'!$11:$11</definedName>
    <definedName name="EC_CFO_BasePay">'Exec Comp'!$29:$29</definedName>
    <definedName name="EC_CFO_EquityComp_Percent">'Exec Comp'!$34:$34</definedName>
    <definedName name="EC_CFO_SharesOwned">'Exec Comp'!$38:$38</definedName>
    <definedName name="EC_CFO_TotalComp">'Exec Comp'!$33:$33</definedName>
    <definedName name="EC_COO_BasePay">'Exec Comp'!$61:$61</definedName>
    <definedName name="EC_COO_EquityComp_Percent">'Exec Comp'!$66:$66</definedName>
    <definedName name="EC_COO_SharesOwned">'Exec Comp'!$70:$70</definedName>
    <definedName name="EC_COO_TotalComp">'Exec Comp'!$65:$65</definedName>
    <definedName name="EC_CPO_BasePay">'Exec Comp'!$40:$40</definedName>
    <definedName name="EC_CPO_EquityComp_Percent">'Exec Comp'!$45:$45</definedName>
    <definedName name="EC_CPO_SharesOwned">'Exec Comp'!$49:$49</definedName>
    <definedName name="EC_CPO_TotalComp">'Exec Comp'!$44:$44</definedName>
    <definedName name="EC_CTO_BasePay">'Exec Comp'!$72:$72</definedName>
    <definedName name="EC_CTO_EquityComp_Percent">'Exec Comp'!$77:$77</definedName>
    <definedName name="EC_CTO_SharesOwned">'Exec Comp'!$81:$81</definedName>
    <definedName name="EC_CTO_TotalComp">'Exec Comp'!$76:$76</definedName>
    <definedName name="EC_Director_Compensation_Cash">'Exec Comp'!$113:$113</definedName>
    <definedName name="EC_Director_Compensation_Total">'Exec Comp'!$134:$134</definedName>
    <definedName name="EC_Directors_Current">'Exec Comp'!$95:$95</definedName>
    <definedName name="EC_Directors_Current_Female">'Exec Comp'!$97:$97</definedName>
    <definedName name="EC_Directors_Current_Independent">'Exec Comp'!$96:$96</definedName>
    <definedName name="EC_Directors_Nominees">'Exec Comp'!$99:$99</definedName>
    <definedName name="EC_Directors_Nominees_Female">'Exec Comp'!$101:$101</definedName>
    <definedName name="EC_Directors_Nominees_Independent">'Exec Comp'!$100:$100</definedName>
    <definedName name="EC_Pub_New">#REF!</definedName>
    <definedName name="EC_Pub_QTR">#REF!</definedName>
    <definedName name="EC_Pub_QTR_CV">#REF!</definedName>
    <definedName name="FP.DataSource">'Front Page'!$H$16</definedName>
    <definedName name="FP.DataSourceName" localSheetId="5">'[2]Front Page'!$H$15</definedName>
    <definedName name="FP.DataSourceName" localSheetId="2">'[2]Front Page'!$H$15</definedName>
    <definedName name="FP.DataSourceName" localSheetId="3">'[2]Front Page'!$H$15</definedName>
    <definedName name="FP.DataSourceName" localSheetId="7">'[2]Front Page'!$H$15</definedName>
    <definedName name="FP.DataSourceName" localSheetId="6">'[2]Front Page'!$H$15</definedName>
    <definedName name="FP.DataSourceName" localSheetId="1">'[2]Front Page'!$H$15</definedName>
    <definedName name="FP.DataSourceName" localSheetId="9">'[2]Front Page'!$H$15</definedName>
    <definedName name="FP.DataSourceName" localSheetId="4">'[2]Front Page'!$H$15</definedName>
    <definedName name="FP.DataSourceName" localSheetId="0">'[2]Front Page'!$H$15</definedName>
    <definedName name="FP.DataSourceName">'Front Page'!$H$15</definedName>
    <definedName name="FP.Disclaimer">'Front Page'!$C$22</definedName>
    <definedName name="FP.LastPrice" localSheetId="5">'[2]Front Page'!$H$20</definedName>
    <definedName name="FP.LastPrice" localSheetId="2">'[2]Front Page'!$H$20</definedName>
    <definedName name="FP.LastPrice" localSheetId="3">'[2]Front Page'!$H$20</definedName>
    <definedName name="FP.LastPrice" localSheetId="7">'[2]Front Page'!$H$20</definedName>
    <definedName name="FP.LastPrice" localSheetId="6">'[2]Front Page'!$H$20</definedName>
    <definedName name="FP.LastPrice" localSheetId="1">'[2]Front Page'!$H$20</definedName>
    <definedName name="FP.LastPrice" localSheetId="9">'[2]Front Page'!$H$20</definedName>
    <definedName name="FP.LastPrice" localSheetId="4">'[2]Front Page'!$H$20</definedName>
    <definedName name="FP.LastPrice" localSheetId="0">'[2]Front Page'!$H$20</definedName>
    <definedName name="FP.LastPrice">'Front Page'!$H$20</definedName>
    <definedName name="FP.LastPriceDate" localSheetId="5">'[2]Front Page'!$F$20</definedName>
    <definedName name="FP.LastPriceDate" localSheetId="2">'[2]Front Page'!$F$20</definedName>
    <definedName name="FP.LastPriceDate" localSheetId="3">'[2]Front Page'!$F$20</definedName>
    <definedName name="FP.LastPriceDate" localSheetId="7">'[2]Front Page'!$F$20</definedName>
    <definedName name="FP.LastPriceDate" localSheetId="6">'[2]Front Page'!$F$20</definedName>
    <definedName name="FP.LastPriceDate" localSheetId="1">'[2]Front Page'!$F$20</definedName>
    <definedName name="FP.LastPriceDate" localSheetId="9">'[2]Front Page'!$F$20</definedName>
    <definedName name="FP.LastPriceDate" localSheetId="4">'[2]Front Page'!$F$20</definedName>
    <definedName name="FP.LastPriceDate" localSheetId="0">'[2]Front Page'!$F$20</definedName>
    <definedName name="FP.LastPriceDate">'Front Page'!$F$20</definedName>
    <definedName name="FP.RealTimeToggle" localSheetId="5">'[2]Front Page'!$H$18</definedName>
    <definedName name="FP.RealTimeToggle" localSheetId="2">'[2]Front Page'!$H$18</definedName>
    <definedName name="FP.RealTimeToggle" localSheetId="3">'[2]Front Page'!$H$18</definedName>
    <definedName name="FP.RealTimeToggle" localSheetId="7">'[2]Front Page'!$H$18</definedName>
    <definedName name="FP.RealTimeToggle" localSheetId="6">'[2]Front Page'!$H$18</definedName>
    <definedName name="FP.RealTimeToggle" localSheetId="1">'[2]Front Page'!$H$18</definedName>
    <definedName name="FP.RealTimeToggle" localSheetId="9">'[2]Front Page'!$H$18</definedName>
    <definedName name="FP.RealTimeToggle" localSheetId="4">'[2]Front Page'!$H$18</definedName>
    <definedName name="FP.RealTimeToggle" localSheetId="0">'[2]Front Page'!$H$18</definedName>
    <definedName name="FP.RealTimeToggle">'Front Page'!$H$18</definedName>
    <definedName name="FP.UpdateDate">'Front Page'!$H$11</definedName>
    <definedName name="FP.UpdateEvent" localSheetId="5">'[2]Front Page'!$H$13</definedName>
    <definedName name="FP.UpdateEvent" localSheetId="2">'[2]Front Page'!$H$13</definedName>
    <definedName name="FP.UpdateEvent" localSheetId="3">'[2]Front Page'!$H$13</definedName>
    <definedName name="FP.UpdateEvent" localSheetId="7">'[2]Front Page'!$H$13</definedName>
    <definedName name="FP.UpdateEvent" localSheetId="6">'[2]Front Page'!$H$13</definedName>
    <definedName name="FP.UpdateEvent" localSheetId="1">'[2]Front Page'!$H$13</definedName>
    <definedName name="FP.UpdateEvent" localSheetId="9">'[2]Front Page'!$H$13</definedName>
    <definedName name="FP.UpdateEvent" localSheetId="4">'[2]Front Page'!$H$13</definedName>
    <definedName name="FP.UpdateEvent" localSheetId="0">'[2]Front Page'!$H$13</definedName>
    <definedName name="FP.UpdateEvent">'Front Page'!$H$13</definedName>
    <definedName name="FP_Comment">'Front Page'!$M$13:$P$20</definedName>
    <definedName name="FP_StockPriceOverride">'Front Page'!$C$20:$H$20</definedName>
    <definedName name="GD.CompanyName" localSheetId="5">#REF!</definedName>
    <definedName name="GD.CompanyName" localSheetId="2">#REF!</definedName>
    <definedName name="GD.CompanyName" localSheetId="3">#REF!</definedName>
    <definedName name="GD.CompanyName" localSheetId="7">#REF!</definedName>
    <definedName name="GD.CompanyName" localSheetId="6">#REF!</definedName>
    <definedName name="GD.CompanyName" localSheetId="1">#REF!</definedName>
    <definedName name="GD.CompanyName" localSheetId="9">#REF!</definedName>
    <definedName name="GD.CompanyName" localSheetId="4">#REF!</definedName>
    <definedName name="GD.CompanyName" localSheetId="0">#REF!</definedName>
    <definedName name="GD.CompanyName">Guidance!$B$1</definedName>
    <definedName name="GD.MRQ" localSheetId="5">#REF!</definedName>
    <definedName name="GD.MRQ" localSheetId="2">#REF!</definedName>
    <definedName name="GD.MRQ" localSheetId="3">#REF!</definedName>
    <definedName name="GD.MRQ" localSheetId="7">#REF!</definedName>
    <definedName name="GD.MRQ" localSheetId="6">#REF!</definedName>
    <definedName name="GD.MRQ" localSheetId="1">#REF!</definedName>
    <definedName name="GD.MRQ" localSheetId="9">#REF!</definedName>
    <definedName name="GD.MRQ" localSheetId="4">#REF!</definedName>
    <definedName name="GD.MRQ" localSheetId="0">#REF!</definedName>
    <definedName name="GD.MRQ">Guidance!$F$2</definedName>
    <definedName name="GD_Difference_Mid_Absolute" localSheetId="5">#REF!</definedName>
    <definedName name="GD_Difference_Mid_Absolute" localSheetId="2">#REF!</definedName>
    <definedName name="GD_Difference_Mid_Absolute" localSheetId="3">#REF!</definedName>
    <definedName name="GD_Difference_Mid_Absolute" localSheetId="7">#REF!</definedName>
    <definedName name="GD_Difference_Mid_Absolute" localSheetId="6">#REF!</definedName>
    <definedName name="GD_Difference_Mid_Absolute" localSheetId="1">#REF!</definedName>
    <definedName name="GD_Difference_Mid_Absolute" localSheetId="9">#REF!</definedName>
    <definedName name="GD_Difference_Mid_Absolute" localSheetId="4">#REF!</definedName>
    <definedName name="GD_Difference_Mid_Absolute" localSheetId="0">#REF!</definedName>
    <definedName name="GD_Difference_Mid_Absolute">Guidance!$P:$P</definedName>
    <definedName name="GD_Difference_Mid_Relative" localSheetId="5">#REF!</definedName>
    <definedName name="GD_Difference_Mid_Relative" localSheetId="2">#REF!</definedName>
    <definedName name="GD_Difference_Mid_Relative" localSheetId="3">#REF!</definedName>
    <definedName name="GD_Difference_Mid_Relative" localSheetId="7">#REF!</definedName>
    <definedName name="GD_Difference_Mid_Relative" localSheetId="6">#REF!</definedName>
    <definedName name="GD_Difference_Mid_Relative" localSheetId="1">#REF!</definedName>
    <definedName name="GD_Difference_Mid_Relative" localSheetId="9">#REF!</definedName>
    <definedName name="GD_Difference_Mid_Relative" localSheetId="4">#REF!</definedName>
    <definedName name="GD_Difference_Mid_Relative" localSheetId="0">#REF!</definedName>
    <definedName name="GD_Difference_Mid_Relative">Guidance!$Q:$Q</definedName>
    <definedName name="GD_Guidance_High" localSheetId="5">#REF!</definedName>
    <definedName name="GD_Guidance_High" localSheetId="2">#REF!</definedName>
    <definedName name="GD_Guidance_High" localSheetId="3">#REF!</definedName>
    <definedName name="GD_Guidance_High" localSheetId="7">#REF!</definedName>
    <definedName name="GD_Guidance_High" localSheetId="6">#REF!</definedName>
    <definedName name="GD_Guidance_High" localSheetId="1">#REF!</definedName>
    <definedName name="GD_Guidance_High" localSheetId="9">#REF!</definedName>
    <definedName name="GD_Guidance_High" localSheetId="4">#REF!</definedName>
    <definedName name="GD_Guidance_High" localSheetId="0">#REF!</definedName>
    <definedName name="GD_Guidance_High">Guidance!$J:$J</definedName>
    <definedName name="GD_Guidance_Low" localSheetId="5">#REF!</definedName>
    <definedName name="GD_Guidance_Low" localSheetId="2">#REF!</definedName>
    <definedName name="GD_Guidance_Low" localSheetId="3">#REF!</definedName>
    <definedName name="GD_Guidance_Low" localSheetId="7">#REF!</definedName>
    <definedName name="GD_Guidance_Low" localSheetId="6">#REF!</definedName>
    <definedName name="GD_Guidance_Low" localSheetId="1">#REF!</definedName>
    <definedName name="GD_Guidance_Low" localSheetId="9">#REF!</definedName>
    <definedName name="GD_Guidance_Low" localSheetId="4">#REF!</definedName>
    <definedName name="GD_Guidance_Low" localSheetId="0">#REF!</definedName>
    <definedName name="GD_Guidance_Low">Guidance!$I:$I</definedName>
    <definedName name="GD_Guidance_Mid" localSheetId="5">#REF!</definedName>
    <definedName name="GD_Guidance_Mid" localSheetId="2">#REF!</definedName>
    <definedName name="GD_Guidance_Mid" localSheetId="3">#REF!</definedName>
    <definedName name="GD_Guidance_Mid" localSheetId="7">#REF!</definedName>
    <definedName name="GD_Guidance_Mid" localSheetId="6">#REF!</definedName>
    <definedName name="GD_Guidance_Mid" localSheetId="1">#REF!</definedName>
    <definedName name="GD_Guidance_Mid" localSheetId="9">#REF!</definedName>
    <definedName name="GD_Guidance_Mid" localSheetId="4">#REF!</definedName>
    <definedName name="GD_Guidance_Mid" localSheetId="0">#REF!</definedName>
    <definedName name="GD_Guidance_Mid">Guidance!$K:$K</definedName>
    <definedName name="GD_Header_Column" localSheetId="5">#REF!</definedName>
    <definedName name="GD_Header_Column" localSheetId="2">#REF!</definedName>
    <definedName name="GD_Header_Column" localSheetId="3">#REF!</definedName>
    <definedName name="GD_Header_Column" localSheetId="7">#REF!</definedName>
    <definedName name="GD_Header_Column" localSheetId="6">#REF!</definedName>
    <definedName name="GD_Header_Column" localSheetId="1">#REF!</definedName>
    <definedName name="GD_Header_Column" localSheetId="9">#REF!</definedName>
    <definedName name="GD_Header_Column" localSheetId="4">#REF!</definedName>
    <definedName name="GD_Header_Column" localSheetId="0">#REF!</definedName>
    <definedName name="GD_Header_Column">Guidance!$5:$5</definedName>
    <definedName name="GD_Header_Section" localSheetId="5">#REF!</definedName>
    <definedName name="GD_Header_Section" localSheetId="2">#REF!</definedName>
    <definedName name="GD_Header_Section" localSheetId="3">#REF!</definedName>
    <definedName name="GD_Header_Section" localSheetId="7">#REF!</definedName>
    <definedName name="GD_Header_Section" localSheetId="6">#REF!</definedName>
    <definedName name="GD_Header_Section" localSheetId="1">#REF!</definedName>
    <definedName name="GD_Header_Section" localSheetId="9">#REF!</definedName>
    <definedName name="GD_Header_Section" localSheetId="4">#REF!</definedName>
    <definedName name="GD_Header_Section" localSheetId="0">#REF!</definedName>
    <definedName name="GD_Header_Section">Guidance!$4:$4</definedName>
    <definedName name="GD_Index" localSheetId="5">#REF!</definedName>
    <definedName name="GD_Index" localSheetId="2">#REF!</definedName>
    <definedName name="GD_Index" localSheetId="3">#REF!</definedName>
    <definedName name="GD_Index" localSheetId="7">#REF!</definedName>
    <definedName name="GD_Index" localSheetId="6">#REF!</definedName>
    <definedName name="GD_Index" localSheetId="1">#REF!</definedName>
    <definedName name="GD_Index" localSheetId="9">#REF!</definedName>
    <definedName name="GD_Index" localSheetId="4">#REF!</definedName>
    <definedName name="GD_Index" localSheetId="0">#REF!</definedName>
    <definedName name="GD_Index">Guidance!$A:$A</definedName>
    <definedName name="GD_Item" localSheetId="5">#REF!</definedName>
    <definedName name="GD_Item" localSheetId="2">#REF!</definedName>
    <definedName name="GD_Item" localSheetId="3">#REF!</definedName>
    <definedName name="GD_Item" localSheetId="7">#REF!</definedName>
    <definedName name="GD_Item" localSheetId="6">#REF!</definedName>
    <definedName name="GD_Item" localSheetId="1">#REF!</definedName>
    <definedName name="GD_Item" localSheetId="9">#REF!</definedName>
    <definedName name="GD_Item" localSheetId="4">#REF!</definedName>
    <definedName name="GD_Item" localSheetId="0">#REF!</definedName>
    <definedName name="GD_Item">Guidance!$D:$D</definedName>
    <definedName name="GD_Item_BasePeriod" localSheetId="5">#REF!</definedName>
    <definedName name="GD_Item_BasePeriod" localSheetId="2">#REF!</definedName>
    <definedName name="GD_Item_BasePeriod" localSheetId="3">#REF!</definedName>
    <definedName name="GD_Item_BasePeriod" localSheetId="7">#REF!</definedName>
    <definedName name="GD_Item_BasePeriod" localSheetId="6">#REF!</definedName>
    <definedName name="GD_Item_BasePeriod" localSheetId="1">#REF!</definedName>
    <definedName name="GD_Item_BasePeriod" localSheetId="9">#REF!</definedName>
    <definedName name="GD_Item_BasePeriod" localSheetId="4">#REF!</definedName>
    <definedName name="GD_Item_BasePeriod" localSheetId="0">#REF!</definedName>
    <definedName name="GD_Item_BasePeriod">Guidance!$G:$G</definedName>
    <definedName name="GD_Item_FiscalPeriod" localSheetId="5">#REF!</definedName>
    <definedName name="GD_Item_FiscalPeriod" localSheetId="2">#REF!</definedName>
    <definedName name="GD_Item_FiscalPeriod" localSheetId="3">#REF!</definedName>
    <definedName name="GD_Item_FiscalPeriod" localSheetId="7">#REF!</definedName>
    <definedName name="GD_Item_FiscalPeriod" localSheetId="6">#REF!</definedName>
    <definedName name="GD_Item_FiscalPeriod" localSheetId="1">#REF!</definedName>
    <definedName name="GD_Item_FiscalPeriod" localSheetId="9">#REF!</definedName>
    <definedName name="GD_Item_FiscalPeriod" localSheetId="4">#REF!</definedName>
    <definedName name="GD_Item_FiscalPeriod" localSheetId="0">#REF!</definedName>
    <definedName name="GD_Item_FiscalPeriod">Guidance!$F:$F</definedName>
    <definedName name="GD_Item_Name" localSheetId="5">#REF!</definedName>
    <definedName name="GD_Item_Name" localSheetId="2">#REF!</definedName>
    <definedName name="GD_Item_Name" localSheetId="3">#REF!</definedName>
    <definedName name="GD_Item_Name" localSheetId="7">#REF!</definedName>
    <definedName name="GD_Item_Name" localSheetId="6">#REF!</definedName>
    <definedName name="GD_Item_Name" localSheetId="1">#REF!</definedName>
    <definedName name="GD_Item_Name" localSheetId="9">#REF!</definedName>
    <definedName name="GD_Item_Name" localSheetId="4">#REF!</definedName>
    <definedName name="GD_Item_Name" localSheetId="0">#REF!</definedName>
    <definedName name="GD_Item_Name">Guidance!$E:$E</definedName>
    <definedName name="GD_Model_Output" localSheetId="5">#REF!</definedName>
    <definedName name="GD_Model_Output" localSheetId="2">#REF!</definedName>
    <definedName name="GD_Model_Output" localSheetId="3">#REF!</definedName>
    <definedName name="GD_Model_Output" localSheetId="7">#REF!</definedName>
    <definedName name="GD_Model_Output" localSheetId="6">#REF!</definedName>
    <definedName name="GD_Model_Output" localSheetId="1">#REF!</definedName>
    <definedName name="GD_Model_Output" localSheetId="9">#REF!</definedName>
    <definedName name="GD_Model_Output" localSheetId="4">#REF!</definedName>
    <definedName name="GD_Model_Output" localSheetId="0">#REF!</definedName>
    <definedName name="GD_Model_Output">Guidance!$N:$N</definedName>
    <definedName name="GD_Model_Type" localSheetId="5">#REF!</definedName>
    <definedName name="GD_Model_Type" localSheetId="2">#REF!</definedName>
    <definedName name="GD_Model_Type" localSheetId="3">#REF!</definedName>
    <definedName name="GD_Model_Type" localSheetId="7">#REF!</definedName>
    <definedName name="GD_Model_Type" localSheetId="6">#REF!</definedName>
    <definedName name="GD_Model_Type" localSheetId="1">#REF!</definedName>
    <definedName name="GD_Model_Type" localSheetId="9">#REF!</definedName>
    <definedName name="GD_Model_Type" localSheetId="4">#REF!</definedName>
    <definedName name="GD_Model_Type" localSheetId="0">#REF!</definedName>
    <definedName name="GD_Model_Type">Guidance!$M:$M</definedName>
    <definedName name="GD_Type" localSheetId="5">#REF!</definedName>
    <definedName name="GD_Type" localSheetId="2">#REF!</definedName>
    <definedName name="GD_Type" localSheetId="3">#REF!</definedName>
    <definedName name="GD_Type" localSheetId="7">#REF!</definedName>
    <definedName name="GD_Type" localSheetId="6">#REF!</definedName>
    <definedName name="GD_Type" localSheetId="1">#REF!</definedName>
    <definedName name="GD_Type" localSheetId="9">#REF!</definedName>
    <definedName name="GD_Type" localSheetId="4">#REF!</definedName>
    <definedName name="GD_Type" localSheetId="0">#REF!</definedName>
    <definedName name="GD_Type">Guidance!$B:$B</definedName>
    <definedName name="GD_Update_Date" localSheetId="5">#REF!</definedName>
    <definedName name="GD_Update_Date" localSheetId="2">#REF!</definedName>
    <definedName name="GD_Update_Date" localSheetId="3">#REF!</definedName>
    <definedName name="GD_Update_Date" localSheetId="7">#REF!</definedName>
    <definedName name="GD_Update_Date" localSheetId="6">#REF!</definedName>
    <definedName name="GD_Update_Date" localSheetId="1">#REF!</definedName>
    <definedName name="GD_Update_Date" localSheetId="9">#REF!</definedName>
    <definedName name="GD_Update_Date" localSheetId="4">#REF!</definedName>
    <definedName name="GD_Update_Date" localSheetId="0">#REF!</definedName>
    <definedName name="GD_Update_Date">Guidance!$S:$S</definedName>
    <definedName name="GD_Update_Link" localSheetId="5">#REF!</definedName>
    <definedName name="GD_Update_Link" localSheetId="2">#REF!</definedName>
    <definedName name="GD_Update_Link" localSheetId="3">#REF!</definedName>
    <definedName name="GD_Update_Link" localSheetId="7">#REF!</definedName>
    <definedName name="GD_Update_Link" localSheetId="6">#REF!</definedName>
    <definedName name="GD_Update_Link" localSheetId="1">#REF!</definedName>
    <definedName name="GD_Update_Link" localSheetId="9">#REF!</definedName>
    <definedName name="GD_Update_Link" localSheetId="4">#REF!</definedName>
    <definedName name="GD_Update_Link" localSheetId="0">#REF!</definedName>
    <definedName name="GD_Update_Link">Guidance!$T:$T</definedName>
    <definedName name="HP.MRFX" localSheetId="5">#REF!</definedName>
    <definedName name="HP.MRFX" localSheetId="2">#REF!</definedName>
    <definedName name="HP.MRFX" localSheetId="3">#REF!</definedName>
    <definedName name="HP.MRFX" localSheetId="7">#REF!</definedName>
    <definedName name="HP.MRFX" localSheetId="6">#REF!</definedName>
    <definedName name="HP.MRFX" localSheetId="1">#REF!</definedName>
    <definedName name="HP.MRFX" localSheetId="9">#REF!</definedName>
    <definedName name="HP.MRFX" localSheetId="4">#REF!</definedName>
    <definedName name="HP.MRFX" localSheetId="0">#REF!</definedName>
    <definedName name="HP.MRFX">Model!$B$1116</definedName>
    <definedName name="HP.ReportCurrency" localSheetId="5">#REF!</definedName>
    <definedName name="HP.ReportCurrency" localSheetId="2">#REF!</definedName>
    <definedName name="HP.ReportCurrency" localSheetId="3">#REF!</definedName>
    <definedName name="HP.ReportCurrency" localSheetId="7">#REF!</definedName>
    <definedName name="HP.ReportCurrency" localSheetId="6">#REF!</definedName>
    <definedName name="HP.ReportCurrency" localSheetId="1">#REF!</definedName>
    <definedName name="HP.ReportCurrency" localSheetId="9">#REF!</definedName>
    <definedName name="HP.ReportCurrency" localSheetId="4">#REF!</definedName>
    <definedName name="HP.ReportCurrency" localSheetId="0">#REF!</definedName>
    <definedName name="HP.ReportCurrency">Model!$B$1115</definedName>
    <definedName name="HP.Ticker" localSheetId="5">#REF!</definedName>
    <definedName name="HP.Ticker" localSheetId="2">#REF!</definedName>
    <definedName name="HP.Ticker" localSheetId="3">#REF!</definedName>
    <definedName name="HP.Ticker" localSheetId="7">#REF!</definedName>
    <definedName name="HP.Ticker" localSheetId="6">#REF!</definedName>
    <definedName name="HP.Ticker" localSheetId="1">#REF!</definedName>
    <definedName name="HP.Ticker" localSheetId="9">#REF!</definedName>
    <definedName name="HP.Ticker" localSheetId="4">#REF!</definedName>
    <definedName name="HP.Ticker" localSheetId="0">#REF!</definedName>
    <definedName name="HP.Ticker">Model!$A$2</definedName>
    <definedName name="HP.TradeCurrency" localSheetId="5">#REF!</definedName>
    <definedName name="HP.TradeCurrency" localSheetId="2">#REF!</definedName>
    <definedName name="HP.TradeCurrency" localSheetId="3">#REF!</definedName>
    <definedName name="HP.TradeCurrency" localSheetId="7">#REF!</definedName>
    <definedName name="HP.TradeCurrency" localSheetId="6">#REF!</definedName>
    <definedName name="HP.TradeCurrency" localSheetId="1">#REF!</definedName>
    <definedName name="HP.TradeCurrency" localSheetId="9">#REF!</definedName>
    <definedName name="HP.TradeCurrency" localSheetId="4">#REF!</definedName>
    <definedName name="HP.TradeCurrency" localSheetId="0">#REF!</definedName>
    <definedName name="HP.TradeCurrency">Model!$B$1113</definedName>
    <definedName name="HP.TradeCurrency.HardCoded" localSheetId="5">#REF!</definedName>
    <definedName name="HP.TradeCurrency.HardCoded" localSheetId="2">#REF!</definedName>
    <definedName name="HP.TradeCurrency.HardCoded" localSheetId="3">#REF!</definedName>
    <definedName name="HP.TradeCurrency.HardCoded" localSheetId="7">#REF!</definedName>
    <definedName name="HP.TradeCurrency.HardCoded" localSheetId="6">#REF!</definedName>
    <definedName name="HP.TradeCurrency.HardCoded" localSheetId="1">#REF!</definedName>
    <definedName name="HP.TradeCurrency.HardCoded" localSheetId="9">#REF!</definedName>
    <definedName name="HP.TradeCurrency.HardCoded" localSheetId="4">#REF!</definedName>
    <definedName name="HP.TradeCurrency.HardCoded" localSheetId="0">#REF!</definedName>
    <definedName name="HP.TradeCurrency.HardCoded">Model!$B$1114</definedName>
    <definedName name="IPO.OverallotmentToggle">[2]IPO!$D$14</definedName>
    <definedName name="IPO.Period">[2]IPO!$C$4</definedName>
    <definedName name="IPO.ShareCount.WAD">[2]IPO!$C$42</definedName>
    <definedName name="IPO.TradingDate">[2]IPO!$C$5</definedName>
    <definedName name="IPO_tb_ValuationMultiplesToggle">[2]IPO!$A$113:$A$115</definedName>
    <definedName name="MO.ApplyTradeCurrencyScaling" localSheetId="5">#REF!</definedName>
    <definedName name="MO.ApplyTradeCurrencyScaling" localSheetId="2">#REF!</definedName>
    <definedName name="MO.ApplyTradeCurrencyScaling" localSheetId="3">#REF!</definedName>
    <definedName name="MO.ApplyTradeCurrencyScaling" localSheetId="7">#REF!</definedName>
    <definedName name="MO.ApplyTradeCurrencyScaling" localSheetId="6">#REF!</definedName>
    <definedName name="MO.ApplyTradeCurrencyScaling" localSheetId="1">#REF!</definedName>
    <definedName name="MO.ApplyTradeCurrencyScaling" localSheetId="9">#REF!</definedName>
    <definedName name="MO.ApplyTradeCurrencyScaling" localSheetId="4">#REF!</definedName>
    <definedName name="MO.ApplyTradeCurrencyScaling" localSheetId="0">#REF!</definedName>
    <definedName name="MO.ApplyTradeCurrencyScaling">Model!$B$1112</definedName>
    <definedName name="MO.CFY" localSheetId="5">#REF!</definedName>
    <definedName name="MO.CFY" localSheetId="2">#REF!</definedName>
    <definedName name="MO.CFY" localSheetId="3">#REF!</definedName>
    <definedName name="MO.CFY" localSheetId="7">#REF!</definedName>
    <definedName name="MO.CFY" localSheetId="6">#REF!</definedName>
    <definedName name="MO.CFY" localSheetId="1">#REF!</definedName>
    <definedName name="MO.CFY" localSheetId="9">#REF!</definedName>
    <definedName name="MO.CFY" localSheetId="4">#REF!</definedName>
    <definedName name="MO.CFY" localSheetId="0">#REF!</definedName>
    <definedName name="MO.CFY">Model!$B$1120</definedName>
    <definedName name="MO.CompanyName" localSheetId="5">#REF!</definedName>
    <definedName name="MO.CompanyName" localSheetId="2">#REF!</definedName>
    <definedName name="MO.CompanyName" localSheetId="3">#REF!</definedName>
    <definedName name="MO.CompanyName" localSheetId="7">#REF!</definedName>
    <definedName name="MO.CompanyName" localSheetId="6">#REF!</definedName>
    <definedName name="MO.CompanyName" localSheetId="1">#REF!</definedName>
    <definedName name="MO.CompanyName" localSheetId="9">#REF!</definedName>
    <definedName name="MO.CompanyName" localSheetId="4">#REF!</definedName>
    <definedName name="MO.CompanyName" localSheetId="0">#REF!</definedName>
    <definedName name="MO.CompanyName">Model!$A$1</definedName>
    <definedName name="MO.DataSourceIndex" localSheetId="5">#REF!</definedName>
    <definedName name="MO.DataSourceIndex" localSheetId="2">#REF!</definedName>
    <definedName name="MO.DataSourceIndex" localSheetId="3">#REF!</definedName>
    <definedName name="MO.DataSourceIndex" localSheetId="7">#REF!</definedName>
    <definedName name="MO.DataSourceIndex" localSheetId="6">#REF!</definedName>
    <definedName name="MO.DataSourceIndex" localSheetId="1">#REF!</definedName>
    <definedName name="MO.DataSourceIndex" localSheetId="9">#REF!</definedName>
    <definedName name="MO.DataSourceIndex" localSheetId="4">#REF!</definedName>
    <definedName name="MO.DataSourceIndex" localSheetId="0">#REF!</definedName>
    <definedName name="MO.DataSourceIndex">Model!$B$1123</definedName>
    <definedName name="MO.DataSourceName" localSheetId="5">#REF!</definedName>
    <definedName name="MO.DataSourceName" localSheetId="2">#REF!</definedName>
    <definedName name="MO.DataSourceName" localSheetId="3">#REF!</definedName>
    <definedName name="MO.DataSourceName" localSheetId="7">#REF!</definedName>
    <definedName name="MO.DataSourceName" localSheetId="6">#REF!</definedName>
    <definedName name="MO.DataSourceName" localSheetId="1">#REF!</definedName>
    <definedName name="MO.DataSourceName" localSheetId="9">#REF!</definedName>
    <definedName name="MO.DataSourceName" localSheetId="4">#REF!</definedName>
    <definedName name="MO.DataSourceName" localSheetId="0">#REF!</definedName>
    <definedName name="MO.DataSourceName">Model!$A$4</definedName>
    <definedName name="MO.FirstForecastedFiscalYear" localSheetId="5">#REF!</definedName>
    <definedName name="MO.FirstForecastedFiscalYear" localSheetId="2">#REF!</definedName>
    <definedName name="MO.FirstForecastedFiscalYear" localSheetId="3">#REF!</definedName>
    <definedName name="MO.FirstForecastedFiscalYear" localSheetId="7">#REF!</definedName>
    <definedName name="MO.FirstForecastedFiscalYear" localSheetId="6">#REF!</definedName>
    <definedName name="MO.FirstForecastedFiscalYear" localSheetId="1">#REF!</definedName>
    <definedName name="MO.FirstForecastedFiscalYear" localSheetId="9">#REF!</definedName>
    <definedName name="MO.FirstForecastedFiscalYear" localSheetId="4">#REF!</definedName>
    <definedName name="MO.FirstForecastedFiscalYear" localSheetId="0">#REF!</definedName>
    <definedName name="MO.FirstForecastedFiscalYear">Model!$B$1121</definedName>
    <definedName name="MO.KPI.1" localSheetId="5">#REF!</definedName>
    <definedName name="MO.KPI.1" localSheetId="2">#REF!</definedName>
    <definedName name="MO.KPI.1" localSheetId="3">#REF!</definedName>
    <definedName name="MO.KPI.1" localSheetId="7">#REF!</definedName>
    <definedName name="MO.KPI.1" localSheetId="6">#REF!</definedName>
    <definedName name="MO.KPI.1" localSheetId="1">#REF!</definedName>
    <definedName name="MO.KPI.1" localSheetId="9">#REF!</definedName>
    <definedName name="MO.KPI.1" localSheetId="4">#REF!</definedName>
    <definedName name="MO.KPI.1" localSheetId="0">#REF!</definedName>
    <definedName name="MO.KPI.1">Model!$A$1005</definedName>
    <definedName name="MO.KPI.10" localSheetId="5">#REF!</definedName>
    <definedName name="MO.KPI.10" localSheetId="2">#REF!</definedName>
    <definedName name="MO.KPI.10" localSheetId="3">#REF!</definedName>
    <definedName name="MO.KPI.10" localSheetId="7">#REF!</definedName>
    <definedName name="MO.KPI.10" localSheetId="6">#REF!</definedName>
    <definedName name="MO.KPI.10" localSheetId="1">#REF!</definedName>
    <definedName name="MO.KPI.10" localSheetId="9">#REF!</definedName>
    <definedName name="MO.KPI.10" localSheetId="4">#REF!</definedName>
    <definedName name="MO.KPI.10" localSheetId="0">#REF!</definedName>
    <definedName name="MO.KPI.10">Model!$A$1014</definedName>
    <definedName name="MO.KPI.11" localSheetId="5">#REF!</definedName>
    <definedName name="MO.KPI.11" localSheetId="2">#REF!</definedName>
    <definedName name="MO.KPI.11" localSheetId="3">#REF!</definedName>
    <definedName name="MO.KPI.11" localSheetId="7">#REF!</definedName>
    <definedName name="MO.KPI.11" localSheetId="6">#REF!</definedName>
    <definedName name="MO.KPI.11" localSheetId="1">#REF!</definedName>
    <definedName name="MO.KPI.11" localSheetId="9">#REF!</definedName>
    <definedName name="MO.KPI.11" localSheetId="4">#REF!</definedName>
    <definedName name="MO.KPI.11" localSheetId="0">#REF!</definedName>
    <definedName name="MO.KPI.11">Model!$A$1015</definedName>
    <definedName name="MO.KPI.12" localSheetId="5">#REF!</definedName>
    <definedName name="MO.KPI.12" localSheetId="2">#REF!</definedName>
    <definedName name="MO.KPI.12" localSheetId="3">#REF!</definedName>
    <definedName name="MO.KPI.12" localSheetId="7">#REF!</definedName>
    <definedName name="MO.KPI.12" localSheetId="6">#REF!</definedName>
    <definedName name="MO.KPI.12" localSheetId="1">#REF!</definedName>
    <definedName name="MO.KPI.12" localSheetId="9">#REF!</definedName>
    <definedName name="MO.KPI.12" localSheetId="4">#REF!</definedName>
    <definedName name="MO.KPI.12" localSheetId="0">#REF!</definedName>
    <definedName name="MO.KPI.12">Model!$A$1016</definedName>
    <definedName name="MO.KPI.13" localSheetId="5">#REF!</definedName>
    <definedName name="MO.KPI.13" localSheetId="2">#REF!</definedName>
    <definedName name="MO.KPI.13" localSheetId="3">#REF!</definedName>
    <definedName name="MO.KPI.13" localSheetId="7">#REF!</definedName>
    <definedName name="MO.KPI.13" localSheetId="6">#REF!</definedName>
    <definedName name="MO.KPI.13" localSheetId="1">#REF!</definedName>
    <definedName name="MO.KPI.13" localSheetId="9">#REF!</definedName>
    <definedName name="MO.KPI.13" localSheetId="4">#REF!</definedName>
    <definedName name="MO.KPI.13" localSheetId="0">#REF!</definedName>
    <definedName name="MO.KPI.13">Model!$A$1017</definedName>
    <definedName name="MO.KPI.14" localSheetId="5">#REF!</definedName>
    <definedName name="MO.KPI.14" localSheetId="2">#REF!</definedName>
    <definedName name="MO.KPI.14" localSheetId="3">#REF!</definedName>
    <definedName name="MO.KPI.14" localSheetId="7">#REF!</definedName>
    <definedName name="MO.KPI.14" localSheetId="6">#REF!</definedName>
    <definedName name="MO.KPI.14" localSheetId="1">#REF!</definedName>
    <definedName name="MO.KPI.14" localSheetId="9">#REF!</definedName>
    <definedName name="MO.KPI.14" localSheetId="4">#REF!</definedName>
    <definedName name="MO.KPI.14" localSheetId="0">#REF!</definedName>
    <definedName name="MO.KPI.14">Model!$A$1018</definedName>
    <definedName name="MO.KPI.15" localSheetId="5">#REF!</definedName>
    <definedName name="MO.KPI.15" localSheetId="2">#REF!</definedName>
    <definedName name="MO.KPI.15" localSheetId="3">#REF!</definedName>
    <definedName name="MO.KPI.15" localSheetId="7">#REF!</definedName>
    <definedName name="MO.KPI.15" localSheetId="6">#REF!</definedName>
    <definedName name="MO.KPI.15" localSheetId="1">#REF!</definedName>
    <definedName name="MO.KPI.15" localSheetId="9">#REF!</definedName>
    <definedName name="MO.KPI.15" localSheetId="4">#REF!</definedName>
    <definedName name="MO.KPI.15" localSheetId="0">#REF!</definedName>
    <definedName name="MO.KPI.15">Model!$A$1019</definedName>
    <definedName name="MO.KPI.16" localSheetId="5">#REF!</definedName>
    <definedName name="MO.KPI.16" localSheetId="2">#REF!</definedName>
    <definedName name="MO.KPI.16" localSheetId="3">#REF!</definedName>
    <definedName name="MO.KPI.16" localSheetId="7">#REF!</definedName>
    <definedName name="MO.KPI.16" localSheetId="6">#REF!</definedName>
    <definedName name="MO.KPI.16" localSheetId="1">#REF!</definedName>
    <definedName name="MO.KPI.16" localSheetId="9">#REF!</definedName>
    <definedName name="MO.KPI.16" localSheetId="4">#REF!</definedName>
    <definedName name="MO.KPI.16" localSheetId="0">#REF!</definedName>
    <definedName name="MO.KPI.16">Model!$A$1020</definedName>
    <definedName name="MO.KPI.17" localSheetId="5">#REF!</definedName>
    <definedName name="MO.KPI.17" localSheetId="2">#REF!</definedName>
    <definedName name="MO.KPI.17" localSheetId="3">#REF!</definedName>
    <definedName name="MO.KPI.17" localSheetId="7">#REF!</definedName>
    <definedName name="MO.KPI.17" localSheetId="6">#REF!</definedName>
    <definedName name="MO.KPI.17" localSheetId="1">#REF!</definedName>
    <definedName name="MO.KPI.17" localSheetId="9">#REF!</definedName>
    <definedName name="MO.KPI.17" localSheetId="4">#REF!</definedName>
    <definedName name="MO.KPI.17" localSheetId="0">#REF!</definedName>
    <definedName name="MO.KPI.17">Model!$A$1021</definedName>
    <definedName name="MO.KPI.18">#REF!</definedName>
    <definedName name="MO.KPI.19">#REF!</definedName>
    <definedName name="MO.KPI.2" localSheetId="5">#REF!</definedName>
    <definedName name="MO.KPI.2" localSheetId="2">#REF!</definedName>
    <definedName name="MO.KPI.2" localSheetId="3">#REF!</definedName>
    <definedName name="MO.KPI.2" localSheetId="7">#REF!</definedName>
    <definedName name="MO.KPI.2" localSheetId="6">#REF!</definedName>
    <definedName name="MO.KPI.2" localSheetId="1">#REF!</definedName>
    <definedName name="MO.KPI.2" localSheetId="9">#REF!</definedName>
    <definedName name="MO.KPI.2" localSheetId="4">#REF!</definedName>
    <definedName name="MO.KPI.2" localSheetId="0">#REF!</definedName>
    <definedName name="MO.KPI.2">Model!$A$1006</definedName>
    <definedName name="MO.KPI.20">#REF!</definedName>
    <definedName name="MO.KPI.3" localSheetId="5">#REF!</definedName>
    <definedName name="MO.KPI.3" localSheetId="2">#REF!</definedName>
    <definedName name="MO.KPI.3" localSheetId="3">#REF!</definedName>
    <definedName name="MO.KPI.3" localSheetId="7">#REF!</definedName>
    <definedName name="MO.KPI.3" localSheetId="6">#REF!</definedName>
    <definedName name="MO.KPI.3" localSheetId="1">#REF!</definedName>
    <definedName name="MO.KPI.3" localSheetId="9">#REF!</definedName>
    <definedName name="MO.KPI.3" localSheetId="4">#REF!</definedName>
    <definedName name="MO.KPI.3" localSheetId="0">#REF!</definedName>
    <definedName name="MO.KPI.3">Model!$A$1007</definedName>
    <definedName name="MO.KPI.4" localSheetId="5">#REF!</definedName>
    <definedName name="MO.KPI.4" localSheetId="2">#REF!</definedName>
    <definedName name="MO.KPI.4" localSheetId="3">#REF!</definedName>
    <definedName name="MO.KPI.4" localSheetId="7">#REF!</definedName>
    <definedName name="MO.KPI.4" localSheetId="6">#REF!</definedName>
    <definedName name="MO.KPI.4" localSheetId="1">#REF!</definedName>
    <definedName name="MO.KPI.4" localSheetId="9">#REF!</definedName>
    <definedName name="MO.KPI.4" localSheetId="4">#REF!</definedName>
    <definedName name="MO.KPI.4" localSheetId="0">#REF!</definedName>
    <definedName name="MO.KPI.4">Model!$A$1008</definedName>
    <definedName name="MO.KPI.5" localSheetId="5">#REF!</definedName>
    <definedName name="MO.KPI.5" localSheetId="2">#REF!</definedName>
    <definedName name="MO.KPI.5" localSheetId="3">#REF!</definedName>
    <definedName name="MO.KPI.5" localSheetId="7">#REF!</definedName>
    <definedName name="MO.KPI.5" localSheetId="6">#REF!</definedName>
    <definedName name="MO.KPI.5" localSheetId="1">#REF!</definedName>
    <definedName name="MO.KPI.5" localSheetId="9">#REF!</definedName>
    <definedName name="MO.KPI.5" localSheetId="4">#REF!</definedName>
    <definedName name="MO.KPI.5" localSheetId="0">#REF!</definedName>
    <definedName name="MO.KPI.5">Model!$A$1009</definedName>
    <definedName name="MO.KPI.6" localSheetId="5">#REF!</definedName>
    <definedName name="MO.KPI.6" localSheetId="2">#REF!</definedName>
    <definedName name="MO.KPI.6" localSheetId="3">#REF!</definedName>
    <definedName name="MO.KPI.6" localSheetId="7">#REF!</definedName>
    <definedName name="MO.KPI.6" localSheetId="6">#REF!</definedName>
    <definedName name="MO.KPI.6" localSheetId="1">#REF!</definedName>
    <definedName name="MO.KPI.6" localSheetId="9">#REF!</definedName>
    <definedName name="MO.KPI.6" localSheetId="4">#REF!</definedName>
    <definedName name="MO.KPI.6" localSheetId="0">#REF!</definedName>
    <definedName name="MO.KPI.6">Model!$A$1010</definedName>
    <definedName name="MO.KPI.7" localSheetId="5">#REF!</definedName>
    <definedName name="MO.KPI.7" localSheetId="2">#REF!</definedName>
    <definedName name="MO.KPI.7" localSheetId="3">#REF!</definedName>
    <definedName name="MO.KPI.7" localSheetId="7">#REF!</definedName>
    <definedName name="MO.KPI.7" localSheetId="6">#REF!</definedName>
    <definedName name="MO.KPI.7" localSheetId="1">#REF!</definedName>
    <definedName name="MO.KPI.7" localSheetId="9">#REF!</definedName>
    <definedName name="MO.KPI.7" localSheetId="4">#REF!</definedName>
    <definedName name="MO.KPI.7" localSheetId="0">#REF!</definedName>
    <definedName name="MO.KPI.7">Model!$A$1011</definedName>
    <definedName name="MO.KPI.8" localSheetId="5">#REF!</definedName>
    <definedName name="MO.KPI.8" localSheetId="2">#REF!</definedName>
    <definedName name="MO.KPI.8" localSheetId="3">#REF!</definedName>
    <definedName name="MO.KPI.8" localSheetId="7">#REF!</definedName>
    <definedName name="MO.KPI.8" localSheetId="6">#REF!</definedName>
    <definedName name="MO.KPI.8" localSheetId="1">#REF!</definedName>
    <definedName name="MO.KPI.8" localSheetId="9">#REF!</definedName>
    <definedName name="MO.KPI.8" localSheetId="4">#REF!</definedName>
    <definedName name="MO.KPI.8" localSheetId="0">#REF!</definedName>
    <definedName name="MO.KPI.8">Model!$A$1012</definedName>
    <definedName name="MO.KPI.9" localSheetId="5">#REF!</definedName>
    <definedName name="MO.KPI.9" localSheetId="2">#REF!</definedName>
    <definedName name="MO.KPI.9" localSheetId="3">#REF!</definedName>
    <definedName name="MO.KPI.9" localSheetId="7">#REF!</definedName>
    <definedName name="MO.KPI.9" localSheetId="6">#REF!</definedName>
    <definedName name="MO.KPI.9" localSheetId="1">#REF!</definedName>
    <definedName name="MO.KPI.9" localSheetId="9">#REF!</definedName>
    <definedName name="MO.KPI.9" localSheetId="4">#REF!</definedName>
    <definedName name="MO.KPI.9" localSheetId="0">#REF!</definedName>
    <definedName name="MO.KPI.9">Model!$A$1013</definedName>
    <definedName name="MO.KPI.Count" localSheetId="5">#REF!</definedName>
    <definedName name="MO.KPI.Count" localSheetId="2">#REF!</definedName>
    <definedName name="MO.KPI.Count" localSheetId="3">#REF!</definedName>
    <definedName name="MO.KPI.Count" localSheetId="7">#REF!</definedName>
    <definedName name="MO.KPI.Count" localSheetId="6">#REF!</definedName>
    <definedName name="MO.KPI.Count" localSheetId="1">#REF!</definedName>
    <definedName name="MO.KPI.Count" localSheetId="9">#REF!</definedName>
    <definedName name="MO.KPI.Count" localSheetId="4">#REF!</definedName>
    <definedName name="MO.KPI.Count" localSheetId="0">#REF!</definedName>
    <definedName name="MO.KPI.Count">Model!$B$1122</definedName>
    <definedName name="MO.LastPrice" localSheetId="5">#REF!</definedName>
    <definedName name="MO.LastPrice" localSheetId="2">#REF!</definedName>
    <definedName name="MO.LastPrice" localSheetId="3">#REF!</definedName>
    <definedName name="MO.LastPrice" localSheetId="7">#REF!</definedName>
    <definedName name="MO.LastPrice" localSheetId="6">#REF!</definedName>
    <definedName name="MO.LastPrice" localSheetId="1">#REF!</definedName>
    <definedName name="MO.LastPrice" localSheetId="9">#REF!</definedName>
    <definedName name="MO.LastPrice" localSheetId="4">#REF!</definedName>
    <definedName name="MO.LastPrice" localSheetId="0">#REF!</definedName>
    <definedName name="MO.LastPrice">Model!$B$3</definedName>
    <definedName name="MO.LastPriceDate" localSheetId="5">#REF!</definedName>
    <definedName name="MO.LastPriceDate" localSheetId="2">#REF!</definedName>
    <definedName name="MO.LastPriceDate" localSheetId="3">#REF!</definedName>
    <definedName name="MO.LastPriceDate" localSheetId="7">#REF!</definedName>
    <definedName name="MO.LastPriceDate" localSheetId="6">#REF!</definedName>
    <definedName name="MO.LastPriceDate" localSheetId="1">#REF!</definedName>
    <definedName name="MO.LastPriceDate" localSheetId="9">#REF!</definedName>
    <definedName name="MO.LastPriceDate" localSheetId="4">#REF!</definedName>
    <definedName name="MO.LastPriceDate" localSheetId="0">#REF!</definedName>
    <definedName name="MO.LastPriceDate">Model!$B$1109</definedName>
    <definedName name="MO.LastPriceFormula" localSheetId="5">#REF!</definedName>
    <definedName name="MO.LastPriceFormula" localSheetId="2">#REF!</definedName>
    <definedName name="MO.LastPriceFormula" localSheetId="3">#REF!</definedName>
    <definedName name="MO.LastPriceFormula" localSheetId="7">#REF!</definedName>
    <definedName name="MO.LastPriceFormula" localSheetId="6">#REF!</definedName>
    <definedName name="MO.LastPriceFormula" localSheetId="1">#REF!</definedName>
    <definedName name="MO.LastPriceFormula" localSheetId="9">#REF!</definedName>
    <definedName name="MO.LastPriceFormula" localSheetId="4">#REF!</definedName>
    <definedName name="MO.LastPriceFormula" localSheetId="0">#REF!</definedName>
    <definedName name="MO.LastPriceFormula">Model!$B$1111</definedName>
    <definedName name="MO.LastPriceHardcoded" localSheetId="5">#REF!</definedName>
    <definedName name="MO.LastPriceHardcoded" localSheetId="2">#REF!</definedName>
    <definedName name="MO.LastPriceHardcoded" localSheetId="3">#REF!</definedName>
    <definedName name="MO.LastPriceHardcoded" localSheetId="7">#REF!</definedName>
    <definedName name="MO.LastPriceHardcoded" localSheetId="6">#REF!</definedName>
    <definedName name="MO.LastPriceHardcoded" localSheetId="1">#REF!</definedName>
    <definedName name="MO.LastPriceHardcoded" localSheetId="9">#REF!</definedName>
    <definedName name="MO.LastPriceHardcoded" localSheetId="4">#REF!</definedName>
    <definedName name="MO.LastPriceHardcoded" localSheetId="0">#REF!</definedName>
    <definedName name="MO.LastPriceHardcoded">Model!$B$1108</definedName>
    <definedName name="MO.MRFP" localSheetId="5">#REF!</definedName>
    <definedName name="MO.MRFP" localSheetId="2">#REF!</definedName>
    <definedName name="MO.MRFP" localSheetId="3">#REF!</definedName>
    <definedName name="MO.MRFP" localSheetId="7">#REF!</definedName>
    <definedName name="MO.MRFP" localSheetId="6">#REF!</definedName>
    <definedName name="MO.MRFP" localSheetId="1">#REF!</definedName>
    <definedName name="MO.MRFP" localSheetId="9">#REF!</definedName>
    <definedName name="MO.MRFP" localSheetId="4">#REF!</definedName>
    <definedName name="MO.MRFP" localSheetId="0">#REF!</definedName>
    <definedName name="MO.MRFP">Model!$B$1119</definedName>
    <definedName name="MO.MRFPColumnNumber" localSheetId="5">#REF!</definedName>
    <definedName name="MO.MRFPColumnNumber" localSheetId="2">#REF!</definedName>
    <definedName name="MO.MRFPColumnNumber" localSheetId="3">#REF!</definedName>
    <definedName name="MO.MRFPColumnNumber" localSheetId="7">#REF!</definedName>
    <definedName name="MO.MRFPColumnNumber" localSheetId="6">#REF!</definedName>
    <definedName name="MO.MRFPColumnNumber" localSheetId="1">#REF!</definedName>
    <definedName name="MO.MRFPColumnNumber" localSheetId="9">#REF!</definedName>
    <definedName name="MO.MRFPColumnNumber" localSheetId="4">#REF!</definedName>
    <definedName name="MO.MRFPColumnNumber" localSheetId="0">#REF!</definedName>
    <definedName name="MO.MRFPColumnNumber">Model!$B$1118</definedName>
    <definedName name="MO.MRFX.Hardcoded" localSheetId="5">#REF!</definedName>
    <definedName name="MO.MRFX.Hardcoded" localSheetId="2">#REF!</definedName>
    <definedName name="MO.MRFX.Hardcoded" localSheetId="3">#REF!</definedName>
    <definedName name="MO.MRFX.Hardcoded" localSheetId="7">#REF!</definedName>
    <definedName name="MO.MRFX.Hardcoded" localSheetId="6">#REF!</definedName>
    <definedName name="MO.MRFX.Hardcoded" localSheetId="1">#REF!</definedName>
    <definedName name="MO.MRFX.Hardcoded" localSheetId="9">#REF!</definedName>
    <definedName name="MO.MRFX.Hardcoded" localSheetId="4">#REF!</definedName>
    <definedName name="MO.MRFX.Hardcoded" localSheetId="0">#REF!</definedName>
    <definedName name="MO.MRFX.Hardcoded">Model!$B$1117</definedName>
    <definedName name="MO.RealTime" localSheetId="5">#REF!</definedName>
    <definedName name="MO.RealTime" localSheetId="2">#REF!</definedName>
    <definedName name="MO.RealTime" localSheetId="3">#REF!</definedName>
    <definedName name="MO.RealTime" localSheetId="7">#REF!</definedName>
    <definedName name="MO.RealTime" localSheetId="6">#REF!</definedName>
    <definedName name="MO.RealTime" localSheetId="1">#REF!</definedName>
    <definedName name="MO.RealTime" localSheetId="9">#REF!</definedName>
    <definedName name="MO.RealTime" localSheetId="4">#REF!</definedName>
    <definedName name="MO.RealTime" localSheetId="0">#REF!</definedName>
    <definedName name="MO.RealTime">Model!$B$4</definedName>
    <definedName name="MO.RealTimeStockPriceToggle" localSheetId="5">#REF!</definedName>
    <definedName name="MO.RealTimeStockPriceToggle" localSheetId="2">#REF!</definedName>
    <definedName name="MO.RealTimeStockPriceToggle" localSheetId="3">#REF!</definedName>
    <definedName name="MO.RealTimeStockPriceToggle" localSheetId="7">#REF!</definedName>
    <definedName name="MO.RealTimeStockPriceToggle" localSheetId="6">#REF!</definedName>
    <definedName name="MO.RealTimeStockPriceToggle" localSheetId="1">#REF!</definedName>
    <definedName name="MO.RealTimeStockPriceToggle" localSheetId="9">#REF!</definedName>
    <definedName name="MO.RealTimeStockPriceToggle" localSheetId="4">#REF!</definedName>
    <definedName name="MO.RealTimeStockPriceToggle" localSheetId="0">#REF!</definedName>
    <definedName name="MO.RealTimeStockPriceToggle">Model!$B$1110</definedName>
    <definedName name="MO.ReportCurrency" localSheetId="5">#REF!</definedName>
    <definedName name="MO.ReportCurrency" localSheetId="2">#REF!</definedName>
    <definedName name="MO.ReportCurrency" localSheetId="3">#REF!</definedName>
    <definedName name="MO.ReportCurrency" localSheetId="7">#REF!</definedName>
    <definedName name="MO.ReportCurrency" localSheetId="6">#REF!</definedName>
    <definedName name="MO.ReportCurrency" localSheetId="1">#REF!</definedName>
    <definedName name="MO.ReportCurrency" localSheetId="9">#REF!</definedName>
    <definedName name="MO.ReportCurrency" localSheetId="4">#REF!</definedName>
    <definedName name="MO.ReportCurrency" localSheetId="0">#REF!</definedName>
    <definedName name="MO.ReportCurrency">Model!$B$1115</definedName>
    <definedName name="MO.ReportFX" localSheetId="5">#REF!</definedName>
    <definedName name="MO.ReportFX" localSheetId="2">#REF!</definedName>
    <definedName name="MO.ReportFX" localSheetId="3">#REF!</definedName>
    <definedName name="MO.ReportFX" localSheetId="7">#REF!</definedName>
    <definedName name="MO.ReportFX" localSheetId="6">#REF!</definedName>
    <definedName name="MO.ReportFX" localSheetId="1">#REF!</definedName>
    <definedName name="MO.ReportFX" localSheetId="9">#REF!</definedName>
    <definedName name="MO.ReportFX" localSheetId="4">#REF!</definedName>
    <definedName name="MO.ReportFX" localSheetId="0">#REF!</definedName>
    <definedName name="MO.ReportFX">Model!$A$5</definedName>
    <definedName name="MO.Ticker" localSheetId="5">#REF!</definedName>
    <definedName name="MO.Ticker" localSheetId="2">#REF!</definedName>
    <definedName name="MO.Ticker" localSheetId="3">#REF!</definedName>
    <definedName name="MO.Ticker" localSheetId="7">#REF!</definedName>
    <definedName name="MO.Ticker" localSheetId="6">#REF!</definedName>
    <definedName name="MO.Ticker" localSheetId="1">#REF!</definedName>
    <definedName name="MO.Ticker" localSheetId="9">#REF!</definedName>
    <definedName name="MO.Ticker" localSheetId="4">#REF!</definedName>
    <definedName name="MO.Ticker" localSheetId="0">#REF!</definedName>
    <definedName name="MO.Ticker">Model!$A$2</definedName>
    <definedName name="MO.Ticker.Bloomberg" localSheetId="5">#REF!</definedName>
    <definedName name="MO.Ticker.Bloomberg" localSheetId="2">#REF!</definedName>
    <definedName name="MO.Ticker.Bloomberg" localSheetId="3">#REF!</definedName>
    <definedName name="MO.Ticker.Bloomberg" localSheetId="7">#REF!</definedName>
    <definedName name="MO.Ticker.Bloomberg" localSheetId="6">#REF!</definedName>
    <definedName name="MO.Ticker.Bloomberg" localSheetId="1">#REF!</definedName>
    <definedName name="MO.Ticker.Bloomberg" localSheetId="9">#REF!</definedName>
    <definedName name="MO.Ticker.Bloomberg" localSheetId="4">#REF!</definedName>
    <definedName name="MO.Ticker.Bloomberg" localSheetId="0">#REF!</definedName>
    <definedName name="MO.Ticker.Bloomberg">Model!$A$984</definedName>
    <definedName name="MO.Ticker.Canalyst" localSheetId="5">#REF!</definedName>
    <definedName name="MO.Ticker.Canalyst" localSheetId="2">#REF!</definedName>
    <definedName name="MO.Ticker.Canalyst" localSheetId="3">#REF!</definedName>
    <definedName name="MO.Ticker.Canalyst" localSheetId="7">#REF!</definedName>
    <definedName name="MO.Ticker.Canalyst" localSheetId="6">#REF!</definedName>
    <definedName name="MO.Ticker.Canalyst" localSheetId="1">#REF!</definedName>
    <definedName name="MO.Ticker.Canalyst" localSheetId="9">#REF!</definedName>
    <definedName name="MO.Ticker.Canalyst" localSheetId="4">#REF!</definedName>
    <definedName name="MO.Ticker.Canalyst" localSheetId="0">#REF!</definedName>
    <definedName name="MO.Ticker.Canalyst">Model!$A$983</definedName>
    <definedName name="MO.Ticker.CapIQ" localSheetId="5">#REF!</definedName>
    <definedName name="MO.Ticker.CapIQ" localSheetId="2">#REF!</definedName>
    <definedName name="MO.Ticker.CapIQ" localSheetId="3">#REF!</definedName>
    <definedName name="MO.Ticker.CapIQ" localSheetId="7">#REF!</definedName>
    <definedName name="MO.Ticker.CapIQ" localSheetId="6">#REF!</definedName>
    <definedName name="MO.Ticker.CapIQ" localSheetId="1">#REF!</definedName>
    <definedName name="MO.Ticker.CapIQ" localSheetId="9">#REF!</definedName>
    <definedName name="MO.Ticker.CapIQ" localSheetId="4">#REF!</definedName>
    <definedName name="MO.Ticker.CapIQ" localSheetId="0">#REF!</definedName>
    <definedName name="MO.Ticker.CapIQ">Model!$A$985</definedName>
    <definedName name="MO.Ticker.FactSet" localSheetId="5">#REF!</definedName>
    <definedName name="MO.Ticker.FactSet" localSheetId="2">#REF!</definedName>
    <definedName name="MO.Ticker.FactSet" localSheetId="3">#REF!</definedName>
    <definedName name="MO.Ticker.FactSet" localSheetId="7">#REF!</definedName>
    <definedName name="MO.Ticker.FactSet" localSheetId="6">#REF!</definedName>
    <definedName name="MO.Ticker.FactSet" localSheetId="1">#REF!</definedName>
    <definedName name="MO.Ticker.FactSet" localSheetId="9">#REF!</definedName>
    <definedName name="MO.Ticker.FactSet" localSheetId="4">#REF!</definedName>
    <definedName name="MO.Ticker.FactSet" localSheetId="0">#REF!</definedName>
    <definedName name="MO.Ticker.FactSet">Model!$A$986</definedName>
    <definedName name="MO.Ticker.Thomson" localSheetId="5">#REF!</definedName>
    <definedName name="MO.Ticker.Thomson" localSheetId="2">#REF!</definedName>
    <definedName name="MO.Ticker.Thomson" localSheetId="3">#REF!</definedName>
    <definedName name="MO.Ticker.Thomson" localSheetId="7">#REF!</definedName>
    <definedName name="MO.Ticker.Thomson" localSheetId="6">#REF!</definedName>
    <definedName name="MO.Ticker.Thomson" localSheetId="1">#REF!</definedName>
    <definedName name="MO.Ticker.Thomson" localSheetId="9">#REF!</definedName>
    <definedName name="MO.Ticker.Thomson" localSheetId="4">#REF!</definedName>
    <definedName name="MO.Ticker.Thomson" localSheetId="0">#REF!</definedName>
    <definedName name="MO.Ticker.Thomson">Model!$A$987</definedName>
    <definedName name="MO.TradingCurrency" localSheetId="5">#REF!</definedName>
    <definedName name="MO.TradingCurrency" localSheetId="2">#REF!</definedName>
    <definedName name="MO.TradingCurrency" localSheetId="3">#REF!</definedName>
    <definedName name="MO.TradingCurrency" localSheetId="7">#REF!</definedName>
    <definedName name="MO.TradingCurrency" localSheetId="6">#REF!</definedName>
    <definedName name="MO.TradingCurrency" localSheetId="1">#REF!</definedName>
    <definedName name="MO.TradingCurrency" localSheetId="9">#REF!</definedName>
    <definedName name="MO.TradingCurrency" localSheetId="4">#REF!</definedName>
    <definedName name="MO.TradingCurrency" localSheetId="0">#REF!</definedName>
    <definedName name="MO.TradingCurrency">Model!$A$3</definedName>
    <definedName name="MO.ValuationToggle" localSheetId="5">#REF!</definedName>
    <definedName name="MO.ValuationToggle" localSheetId="2">#REF!</definedName>
    <definedName name="MO.ValuationToggle" localSheetId="3">#REF!</definedName>
    <definedName name="MO.ValuationToggle" localSheetId="7">#REF!</definedName>
    <definedName name="MO.ValuationToggle" localSheetId="6">#REF!</definedName>
    <definedName name="MO.ValuationToggle" localSheetId="1">#REF!</definedName>
    <definedName name="MO.ValuationToggle" localSheetId="9">#REF!</definedName>
    <definedName name="MO.ValuationToggle" localSheetId="4">#REF!</definedName>
    <definedName name="MO.ValuationToggle" localSheetId="0">#REF!</definedName>
    <definedName name="MO.ValuationToggle">Model!$B$709</definedName>
    <definedName name="MO_AN_DA">#REF!</definedName>
    <definedName name="MO_AN_EBITDA_Adj">#REF!</definedName>
    <definedName name="MO_AN_FCF">Model!$375:$375</definedName>
    <definedName name="MO_AN_NI_NONGAAP_Diluted">Model!$365:$365</definedName>
    <definedName name="MO_BS_AccComp_Current">#REF!</definedName>
    <definedName name="MO_BS_AccComp_NonCurrent">#REF!</definedName>
    <definedName name="MO_BS_AE">#REF!</definedName>
    <definedName name="MO_BS_AEandOther">Model!$931:$931</definedName>
    <definedName name="MO_BS_AP" localSheetId="5">#REF!</definedName>
    <definedName name="MO_BS_AP" localSheetId="2">#REF!</definedName>
    <definedName name="MO_BS_AP" localSheetId="3">#REF!</definedName>
    <definedName name="MO_BS_AP" localSheetId="7">#REF!</definedName>
    <definedName name="MO_BS_AP" localSheetId="6">#REF!</definedName>
    <definedName name="MO_BS_AP" localSheetId="1">#REF!</definedName>
    <definedName name="MO_BS_AP" localSheetId="9">#REF!</definedName>
    <definedName name="MO_BS_AP" localSheetId="4">#REF!</definedName>
    <definedName name="MO_BS_AP" localSheetId="0">#REF!</definedName>
    <definedName name="MO_BS_AP">Model!$923:$923</definedName>
    <definedName name="MO_BS_AR" localSheetId="5">#REF!</definedName>
    <definedName name="MO_BS_AR" localSheetId="2">#REF!</definedName>
    <definedName name="MO_BS_AR" localSheetId="3">#REF!</definedName>
    <definedName name="MO_BS_AR" localSheetId="7">#REF!</definedName>
    <definedName name="MO_BS_AR" localSheetId="6">#REF!</definedName>
    <definedName name="MO_BS_AR" localSheetId="1">#REF!</definedName>
    <definedName name="MO_BS_AR" localSheetId="9">#REF!</definedName>
    <definedName name="MO_BS_AR" localSheetId="4">#REF!</definedName>
    <definedName name="MO_BS_AR" localSheetId="0">#REF!</definedName>
    <definedName name="MO_BS_AR">Model!$905:$905</definedName>
    <definedName name="MO_BS_CA" localSheetId="5">#REF!</definedName>
    <definedName name="MO_BS_CA" localSheetId="2">#REF!</definedName>
    <definedName name="MO_BS_CA" localSheetId="3">#REF!</definedName>
    <definedName name="MO_BS_CA" localSheetId="7">#REF!</definedName>
    <definedName name="MO_BS_CA" localSheetId="6">#REF!</definedName>
    <definedName name="MO_BS_CA" localSheetId="1">#REF!</definedName>
    <definedName name="MO_BS_CA" localSheetId="9">#REF!</definedName>
    <definedName name="MO_BS_CA" localSheetId="4">#REF!</definedName>
    <definedName name="MO_BS_CA" localSheetId="0">#REF!</definedName>
    <definedName name="MO_BS_CA">Model!$909:$909</definedName>
    <definedName name="MO_BS_Cash" localSheetId="5">#REF!</definedName>
    <definedName name="MO_BS_Cash" localSheetId="2">#REF!</definedName>
    <definedName name="MO_BS_Cash" localSheetId="3">#REF!</definedName>
    <definedName name="MO_BS_Cash" localSheetId="7">#REF!</definedName>
    <definedName name="MO_BS_Cash" localSheetId="6">#REF!</definedName>
    <definedName name="MO_BS_Cash" localSheetId="1">#REF!</definedName>
    <definedName name="MO_BS_Cash" localSheetId="9">#REF!</definedName>
    <definedName name="MO_BS_Cash" localSheetId="4">#REF!</definedName>
    <definedName name="MO_BS_Cash" localSheetId="0">#REF!</definedName>
    <definedName name="MO_BS_Cash">Model!$903:$903</definedName>
    <definedName name="MO_BS_CL" localSheetId="5">#REF!</definedName>
    <definedName name="MO_BS_CL" localSheetId="2">#REF!</definedName>
    <definedName name="MO_BS_CL" localSheetId="3">#REF!</definedName>
    <definedName name="MO_BS_CL" localSheetId="7">#REF!</definedName>
    <definedName name="MO_BS_CL" localSheetId="6">#REF!</definedName>
    <definedName name="MO_BS_CL" localSheetId="1">#REF!</definedName>
    <definedName name="MO_BS_CL" localSheetId="9">#REF!</definedName>
    <definedName name="MO_BS_CL" localSheetId="4">#REF!</definedName>
    <definedName name="MO_BS_CL" localSheetId="0">#REF!</definedName>
    <definedName name="MO_BS_CL">Model!$935:$935</definedName>
    <definedName name="MO_BS_CommonStock">#REF!</definedName>
    <definedName name="MO_BS_ContributedSurplus" localSheetId="5">#REF!</definedName>
    <definedName name="MO_BS_ContributedSurplus" localSheetId="2">#REF!</definedName>
    <definedName name="MO_BS_ContributedSurplus" localSheetId="3">#REF!</definedName>
    <definedName name="MO_BS_ContributedSurplus" localSheetId="7">#REF!</definedName>
    <definedName name="MO_BS_ContributedSurplus" localSheetId="6">#REF!</definedName>
    <definedName name="MO_BS_ContributedSurplus" localSheetId="1">#REF!</definedName>
    <definedName name="MO_BS_ContributedSurplus" localSheetId="9">#REF!</definedName>
    <definedName name="MO_BS_ContributedSurplus" localSheetId="4">#REF!</definedName>
    <definedName name="MO_BS_ContributedSurplus" localSheetId="0">#REF!</definedName>
    <definedName name="MO_BS_ContributedSurplus">Model!$948:$948</definedName>
    <definedName name="MO_BS_DefRev">Model!$932:$932</definedName>
    <definedName name="MO_BS_DefRev_Current">Model!$932:$932</definedName>
    <definedName name="MO_BS_FL_Current">Model!$934:$934</definedName>
    <definedName name="MO_BS_FL_NonCurrent">Model!$938:$938</definedName>
    <definedName name="MO_BS_Goodwill" localSheetId="5">#REF!</definedName>
    <definedName name="MO_BS_Goodwill" localSheetId="2">#REF!</definedName>
    <definedName name="MO_BS_Goodwill" localSheetId="3">#REF!</definedName>
    <definedName name="MO_BS_Goodwill" localSheetId="7">#REF!</definedName>
    <definedName name="MO_BS_Goodwill" localSheetId="6">#REF!</definedName>
    <definedName name="MO_BS_Goodwill" localSheetId="1">#REF!</definedName>
    <definedName name="MO_BS_Goodwill" localSheetId="9">#REF!</definedName>
    <definedName name="MO_BS_Goodwill" localSheetId="4">#REF!</definedName>
    <definedName name="MO_BS_Goodwill" localSheetId="0">#REF!</definedName>
    <definedName name="MO_BS_Goodwill">Model!$916:$916</definedName>
    <definedName name="MO_BS_Intangibles" localSheetId="5">#REF!</definedName>
    <definedName name="MO_BS_Intangibles" localSheetId="2">#REF!</definedName>
    <definedName name="MO_BS_Intangibles" localSheetId="3">#REF!</definedName>
    <definedName name="MO_BS_Intangibles" localSheetId="7">#REF!</definedName>
    <definedName name="MO_BS_Intangibles" localSheetId="6">#REF!</definedName>
    <definedName name="MO_BS_Intangibles" localSheetId="1">#REF!</definedName>
    <definedName name="MO_BS_Intangibles" localSheetId="9">#REF!</definedName>
    <definedName name="MO_BS_Intangibles" localSheetId="4">#REF!</definedName>
    <definedName name="MO_BS_Intangibles" localSheetId="0">#REF!</definedName>
    <definedName name="MO_BS_Intangibles">Model!$915:$915</definedName>
    <definedName name="MO_BS_INV">#REF!</definedName>
    <definedName name="MO_BS_NCA" localSheetId="5">#REF!</definedName>
    <definedName name="MO_BS_NCA" localSheetId="2">#REF!</definedName>
    <definedName name="MO_BS_NCA" localSheetId="3">#REF!</definedName>
    <definedName name="MO_BS_NCA" localSheetId="7">#REF!</definedName>
    <definedName name="MO_BS_NCA" localSheetId="6">#REF!</definedName>
    <definedName name="MO_BS_NCA" localSheetId="1">#REF!</definedName>
    <definedName name="MO_BS_NCA" localSheetId="9">#REF!</definedName>
    <definedName name="MO_BS_NCA" localSheetId="4">#REF!</definedName>
    <definedName name="MO_BS_NCA" localSheetId="0">#REF!</definedName>
    <definedName name="MO_BS_NCA">Model!$919:$919</definedName>
    <definedName name="MO_BS_NCI" localSheetId="5">#REF!</definedName>
    <definedName name="MO_BS_NCI" localSheetId="2">#REF!</definedName>
    <definedName name="MO_BS_NCI" localSheetId="3">#REF!</definedName>
    <definedName name="MO_BS_NCI" localSheetId="7">#REF!</definedName>
    <definedName name="MO_BS_NCI" localSheetId="6">#REF!</definedName>
    <definedName name="MO_BS_NCI" localSheetId="1">#REF!</definedName>
    <definedName name="MO_BS_NCI" localSheetId="9">#REF!</definedName>
    <definedName name="MO_BS_NCI" localSheetId="4">#REF!</definedName>
    <definedName name="MO_BS_NCI" localSheetId="0">#REF!</definedName>
    <definedName name="MO_BS_NCI">Model!$952:$952</definedName>
    <definedName name="MO_BS_NCL" localSheetId="5">#REF!</definedName>
    <definedName name="MO_BS_NCL" localSheetId="2">#REF!</definedName>
    <definedName name="MO_BS_NCL" localSheetId="3">#REF!</definedName>
    <definedName name="MO_BS_NCL" localSheetId="7">#REF!</definedName>
    <definedName name="MO_BS_NCL" localSheetId="6">#REF!</definedName>
    <definedName name="MO_BS_NCL" localSheetId="1">#REF!</definedName>
    <definedName name="MO_BS_NCL" localSheetId="9">#REF!</definedName>
    <definedName name="MO_BS_NCL" localSheetId="4">#REF!</definedName>
    <definedName name="MO_BS_NCL" localSheetId="0">#REF!</definedName>
    <definedName name="MO_BS_NCL">Model!$943:$943</definedName>
    <definedName name="MO_BS_OCI">Model!$949:$949</definedName>
    <definedName name="MO_BS_OL_Current" localSheetId="5">#REF!</definedName>
    <definedName name="MO_BS_OL_Current" localSheetId="2">#REF!</definedName>
    <definedName name="MO_BS_OL_Current" localSheetId="3">#REF!</definedName>
    <definedName name="MO_BS_OL_Current" localSheetId="7">#REF!</definedName>
    <definedName name="MO_BS_OL_Current" localSheetId="6">#REF!</definedName>
    <definedName name="MO_BS_OL_Current" localSheetId="1">#REF!</definedName>
    <definedName name="MO_BS_OL_Current" localSheetId="9">#REF!</definedName>
    <definedName name="MO_BS_OL_Current" localSheetId="4">#REF!</definedName>
    <definedName name="MO_BS_OL_Current" localSheetId="0">#REF!</definedName>
    <definedName name="MO_BS_OL_Current">Model!$925:$925</definedName>
    <definedName name="MO_BS_OL_Noncurrent" localSheetId="5">#REF!</definedName>
    <definedName name="MO_BS_OL_Noncurrent" localSheetId="2">#REF!</definedName>
    <definedName name="MO_BS_OL_Noncurrent" localSheetId="3">#REF!</definedName>
    <definedName name="MO_BS_OL_Noncurrent" localSheetId="7">#REF!</definedName>
    <definedName name="MO_BS_OL_Noncurrent" localSheetId="6">#REF!</definedName>
    <definedName name="MO_BS_OL_Noncurrent" localSheetId="1">#REF!</definedName>
    <definedName name="MO_BS_OL_Noncurrent" localSheetId="9">#REF!</definedName>
    <definedName name="MO_BS_OL_Noncurrent" localSheetId="4">#REF!</definedName>
    <definedName name="MO_BS_OL_Noncurrent" localSheetId="0">#REF!</definedName>
    <definedName name="MO_BS_OL_NonCurrent">Model!$939:$939</definedName>
    <definedName name="MO_BS_PPE" localSheetId="5">#REF!</definedName>
    <definedName name="MO_BS_PPE" localSheetId="2">#REF!</definedName>
    <definedName name="MO_BS_PPE" localSheetId="3">#REF!</definedName>
    <definedName name="MO_BS_PPE" localSheetId="7">#REF!</definedName>
    <definedName name="MO_BS_PPE" localSheetId="6">#REF!</definedName>
    <definedName name="MO_BS_PPE" localSheetId="1">#REF!</definedName>
    <definedName name="MO_BS_PPE" localSheetId="9">#REF!</definedName>
    <definedName name="MO_BS_PPE" localSheetId="4">#REF!</definedName>
    <definedName name="MO_BS_PPE" localSheetId="0">#REF!</definedName>
    <definedName name="MO_BS_PPE">Model!$913:$913</definedName>
    <definedName name="MO_BS_PreferredStock" localSheetId="5">#REF!</definedName>
    <definedName name="MO_BS_PreferredStock" localSheetId="2">#REF!</definedName>
    <definedName name="MO_BS_PreferredStock" localSheetId="3">#REF!</definedName>
    <definedName name="MO_BS_PreferredStock" localSheetId="7">#REF!</definedName>
    <definedName name="MO_BS_PreferredStock" localSheetId="6">#REF!</definedName>
    <definedName name="MO_BS_PreferredStock" localSheetId="1">#REF!</definedName>
    <definedName name="MO_BS_PreferredStock" localSheetId="9">#REF!</definedName>
    <definedName name="MO_BS_PreferredStock" localSheetId="4">#REF!</definedName>
    <definedName name="MO_BS_PreferredStock" localSheetId="0">#REF!</definedName>
    <definedName name="MO_BS_PreferredStock">Model!$947:$947</definedName>
    <definedName name="MO_BS_PrepaidExpenses">#REF!</definedName>
    <definedName name="MO_BS_PrepaidExpensesAndOther">Model!$908:$908</definedName>
    <definedName name="MO_BS_RestrictedCash_Current">Model!$907:$907</definedName>
    <definedName name="MO_BS_RestrictedCash_NonCurrent" localSheetId="5">#REF!</definedName>
    <definedName name="MO_BS_RestrictedCash_NonCurrent" localSheetId="2">#REF!</definedName>
    <definedName name="MO_BS_RestrictedCash_NonCurrent" localSheetId="3">#REF!</definedName>
    <definedName name="MO_BS_RestrictedCash_NonCurrent" localSheetId="7">#REF!</definedName>
    <definedName name="MO_BS_RestrictedCash_NonCurrent" localSheetId="6">#REF!</definedName>
    <definedName name="MO_BS_RestrictedCash_NonCurrent" localSheetId="1">#REF!</definedName>
    <definedName name="MO_BS_RestrictedCash_NonCurrent" localSheetId="9">#REF!</definedName>
    <definedName name="MO_BS_RestrictedCash_NonCurrent" localSheetId="4">#REF!</definedName>
    <definedName name="MO_BS_RestrictedCash_NonCurrent" localSheetId="0">#REF!</definedName>
    <definedName name="MO_BS_RestrictedCash_NonCurrent">Model!$917:$917</definedName>
    <definedName name="MO_BS_RetainedEarnings" localSheetId="5">#REF!</definedName>
    <definedName name="MO_BS_RetainedEarnings" localSheetId="2">#REF!</definedName>
    <definedName name="MO_BS_RetainedEarnings" localSheetId="3">#REF!</definedName>
    <definedName name="MO_BS_RetainedEarnings" localSheetId="7">#REF!</definedName>
    <definedName name="MO_BS_RetainedEarnings" localSheetId="6">#REF!</definedName>
    <definedName name="MO_BS_RetainedEarnings" localSheetId="1">#REF!</definedName>
    <definedName name="MO_BS_RetainedEarnings" localSheetId="9">#REF!</definedName>
    <definedName name="MO_BS_RetainedEarnings" localSheetId="4">#REF!</definedName>
    <definedName name="MO_BS_RetainedEarnings" localSheetId="0">#REF!</definedName>
    <definedName name="MO_BS_RetainedEarnings">Model!$950:$950</definedName>
    <definedName name="MO_BS_ROU">Model!$914:$914</definedName>
    <definedName name="MO_BS_SE" localSheetId="5">#REF!</definedName>
    <definedName name="MO_BS_SE" localSheetId="2">#REF!</definedName>
    <definedName name="MO_BS_SE" localSheetId="3">#REF!</definedName>
    <definedName name="MO_BS_SE" localSheetId="7">#REF!</definedName>
    <definedName name="MO_BS_SE" localSheetId="6">#REF!</definedName>
    <definedName name="MO_BS_SE" localSheetId="1">#REF!</definedName>
    <definedName name="MO_BS_SE" localSheetId="9">#REF!</definedName>
    <definedName name="MO_BS_SE" localSheetId="4">#REF!</definedName>
    <definedName name="MO_BS_SE" localSheetId="0">#REF!</definedName>
    <definedName name="MO_BS_SE">Model!$951:$951</definedName>
    <definedName name="MO_BS_STInvestments">Model!$904:$904</definedName>
    <definedName name="MO_BS_TA" localSheetId="5">#REF!</definedName>
    <definedName name="MO_BS_TA" localSheetId="2">#REF!</definedName>
    <definedName name="MO_BS_TA" localSheetId="3">#REF!</definedName>
    <definedName name="MO_BS_TA" localSheetId="7">#REF!</definedName>
    <definedName name="MO_BS_TA" localSheetId="6">#REF!</definedName>
    <definedName name="MO_BS_TA" localSheetId="1">#REF!</definedName>
    <definedName name="MO_BS_TA" localSheetId="9">#REF!</definedName>
    <definedName name="MO_BS_TA" localSheetId="4">#REF!</definedName>
    <definedName name="MO_BS_TA" localSheetId="0">#REF!</definedName>
    <definedName name="MO_BS_TA">Model!$920:$920</definedName>
    <definedName name="MO_BS_TaxLiabilities_Deferred_Current">Model!$933:$933</definedName>
    <definedName name="MO_BS_TaxLiabilities_Deferred_NonCurrent">#REF!</definedName>
    <definedName name="MO_BS_TL" localSheetId="5">#REF!</definedName>
    <definedName name="MO_BS_TL" localSheetId="2">#REF!</definedName>
    <definedName name="MO_BS_TL" localSheetId="3">#REF!</definedName>
    <definedName name="MO_BS_TL" localSheetId="7">#REF!</definedName>
    <definedName name="MO_BS_TL" localSheetId="6">#REF!</definedName>
    <definedName name="MO_BS_TL" localSheetId="1">#REF!</definedName>
    <definedName name="MO_BS_TL" localSheetId="9">#REF!</definedName>
    <definedName name="MO_BS_TL" localSheetId="4">#REF!</definedName>
    <definedName name="MO_BS_TL" localSheetId="0">#REF!</definedName>
    <definedName name="MO_BS_TL">Model!$944:$944</definedName>
    <definedName name="MO_BS_TLSE" localSheetId="5">#REF!</definedName>
    <definedName name="MO_BS_TLSE" localSheetId="2">#REF!</definedName>
    <definedName name="MO_BS_TLSE" localSheetId="3">#REF!</definedName>
    <definedName name="MO_BS_TLSE" localSheetId="7">#REF!</definedName>
    <definedName name="MO_BS_TLSE" localSheetId="6">#REF!</definedName>
    <definedName name="MO_BS_TLSE" localSheetId="1">#REF!</definedName>
    <definedName name="MO_BS_TLSE" localSheetId="9">#REF!</definedName>
    <definedName name="MO_BS_TLSE" localSheetId="4">#REF!</definedName>
    <definedName name="MO_BS_TLSE" localSheetId="0">#REF!</definedName>
    <definedName name="MO_BS_TLSE">Model!$953:$953</definedName>
    <definedName name="MO_BSS_Cash" localSheetId="5">#REF!</definedName>
    <definedName name="MO_BSS_Cash" localSheetId="2">#REF!</definedName>
    <definedName name="MO_BSS_Cash" localSheetId="3">#REF!</definedName>
    <definedName name="MO_BSS_Cash" localSheetId="7">#REF!</definedName>
    <definedName name="MO_BSS_Cash" localSheetId="6">#REF!</definedName>
    <definedName name="MO_BSS_Cash" localSheetId="1">#REF!</definedName>
    <definedName name="MO_BSS_Cash" localSheetId="9">#REF!</definedName>
    <definedName name="MO_BSS_Cash" localSheetId="4">#REF!</definedName>
    <definedName name="MO_BSS_Cash" localSheetId="0">#REF!</definedName>
    <definedName name="MO_BSS_Cash">Model!$690:$690</definedName>
    <definedName name="MO_BSS_Debt" localSheetId="5">#REF!</definedName>
    <definedName name="MO_BSS_Debt" localSheetId="2">#REF!</definedName>
    <definedName name="MO_BSS_Debt" localSheetId="3">#REF!</definedName>
    <definedName name="MO_BSS_Debt" localSheetId="7">#REF!</definedName>
    <definedName name="MO_BSS_Debt" localSheetId="6">#REF!</definedName>
    <definedName name="MO_BSS_Debt" localSheetId="1">#REF!</definedName>
    <definedName name="MO_BSS_Debt" localSheetId="9">#REF!</definedName>
    <definedName name="MO_BSS_Debt" localSheetId="4">#REF!</definedName>
    <definedName name="MO_BSS_Debt" localSheetId="0">#REF!</definedName>
    <definedName name="MO_BSS_Debt">Model!$693:$693</definedName>
    <definedName name="MO_BSS_Debt_LT" localSheetId="5">#REF!</definedName>
    <definedName name="MO_BSS_Debt_LT" localSheetId="2">#REF!</definedName>
    <definedName name="MO_BSS_Debt_LT" localSheetId="3">#REF!</definedName>
    <definedName name="MO_BSS_Debt_LT" localSheetId="7">#REF!</definedName>
    <definedName name="MO_BSS_Debt_LT" localSheetId="6">#REF!</definedName>
    <definedName name="MO_BSS_Debt_LT" localSheetId="1">#REF!</definedName>
    <definedName name="MO_BSS_Debt_LT" localSheetId="9">#REF!</definedName>
    <definedName name="MO_BSS_Debt_LT" localSheetId="4">#REF!</definedName>
    <definedName name="MO_BSS_Debt_LT" localSheetId="0">#REF!</definedName>
    <definedName name="MO_BSS_Debt_LT">Model!$692:$692</definedName>
    <definedName name="MO_BSS_Debt_Net" localSheetId="5">#REF!</definedName>
    <definedName name="MO_BSS_Debt_Net" localSheetId="2">#REF!</definedName>
    <definedName name="MO_BSS_Debt_Net" localSheetId="3">#REF!</definedName>
    <definedName name="MO_BSS_Debt_Net" localSheetId="7">#REF!</definedName>
    <definedName name="MO_BSS_Debt_Net" localSheetId="6">#REF!</definedName>
    <definedName name="MO_BSS_Debt_Net" localSheetId="1">#REF!</definedName>
    <definedName name="MO_BSS_Debt_Net" localSheetId="9">#REF!</definedName>
    <definedName name="MO_BSS_Debt_Net" localSheetId="4">#REF!</definedName>
    <definedName name="MO_BSS_Debt_Net" localSheetId="0">#REF!</definedName>
    <definedName name="MO_BSS_Debt_Net">Model!$695:$695</definedName>
    <definedName name="MO_BSS_Debt_ST" localSheetId="5">#REF!</definedName>
    <definedName name="MO_BSS_Debt_ST" localSheetId="2">#REF!</definedName>
    <definedName name="MO_BSS_Debt_ST" localSheetId="3">#REF!</definedName>
    <definedName name="MO_BSS_Debt_ST" localSheetId="7">#REF!</definedName>
    <definedName name="MO_BSS_Debt_ST" localSheetId="6">#REF!</definedName>
    <definedName name="MO_BSS_Debt_ST" localSheetId="1">#REF!</definedName>
    <definedName name="MO_BSS_Debt_ST" localSheetId="9">#REF!</definedName>
    <definedName name="MO_BSS_Debt_ST" localSheetId="4">#REF!</definedName>
    <definedName name="MO_BSS_Debt_ST" localSheetId="0">#REF!</definedName>
    <definedName name="MO_BSS_Debt_ST">Model!$691:$691</definedName>
    <definedName name="MO_BSS_Debt_ToCF" localSheetId="5">#REF!</definedName>
    <definedName name="MO_BSS_Debt_ToCF" localSheetId="2">#REF!</definedName>
    <definedName name="MO_BSS_Debt_ToCF" localSheetId="3">#REF!</definedName>
    <definedName name="MO_BSS_Debt_ToCF" localSheetId="7">#REF!</definedName>
    <definedName name="MO_BSS_Debt_ToCF" localSheetId="6">#REF!</definedName>
    <definedName name="MO_BSS_Debt_ToCF" localSheetId="1">#REF!</definedName>
    <definedName name="MO_BSS_Debt_ToCF" localSheetId="9">#REF!</definedName>
    <definedName name="MO_BSS_Debt_ToCF" localSheetId="4">#REF!</definedName>
    <definedName name="MO_BSS_Debt_ToCF" localSheetId="0">#REF!</definedName>
    <definedName name="MO_BSS_Debt_ToCF">Model!$706:$706</definedName>
    <definedName name="MO_BSS_Debt_ToEBITDA" localSheetId="5">#REF!</definedName>
    <definedName name="MO_BSS_Debt_ToEBITDA" localSheetId="2">#REF!</definedName>
    <definedName name="MO_BSS_Debt_ToEBITDA" localSheetId="3">#REF!</definedName>
    <definedName name="MO_BSS_Debt_ToEBITDA" localSheetId="7">#REF!</definedName>
    <definedName name="MO_BSS_Debt_ToEBITDA" localSheetId="6">#REF!</definedName>
    <definedName name="MO_BSS_Debt_ToEBITDA" localSheetId="1">#REF!</definedName>
    <definedName name="MO_BSS_Debt_ToEBITDA" localSheetId="9">#REF!</definedName>
    <definedName name="MO_BSS_Debt_ToEBITDA" localSheetId="4">#REF!</definedName>
    <definedName name="MO_BSS_Debt_ToEBITDA" localSheetId="0">#REF!</definedName>
    <definedName name="MO_BSS_Debt_ToEBITDA">Model!$705:$705</definedName>
    <definedName name="MO_BSS_IE" localSheetId="5">#REF!</definedName>
    <definedName name="MO_BSS_IE" localSheetId="2">#REF!</definedName>
    <definedName name="MO_BSS_IE" localSheetId="3">#REF!</definedName>
    <definedName name="MO_BSS_IE" localSheetId="7">#REF!</definedName>
    <definedName name="MO_BSS_IE" localSheetId="6">#REF!</definedName>
    <definedName name="MO_BSS_IE" localSheetId="1">#REF!</definedName>
    <definedName name="MO_BSS_IE" localSheetId="9">#REF!</definedName>
    <definedName name="MO_BSS_IE" localSheetId="4">#REF!</definedName>
    <definedName name="MO_BSS_IE" localSheetId="0">#REF!</definedName>
    <definedName name="MO_BSS_IE">Model!$697:$697</definedName>
    <definedName name="MO_BSS_IE_Net" localSheetId="5">#REF!</definedName>
    <definedName name="MO_BSS_IE_Net" localSheetId="2">#REF!</definedName>
    <definedName name="MO_BSS_IE_Net" localSheetId="3">#REF!</definedName>
    <definedName name="MO_BSS_IE_Net" localSheetId="7">#REF!</definedName>
    <definedName name="MO_BSS_IE_Net" localSheetId="6">#REF!</definedName>
    <definedName name="MO_BSS_IE_Net" localSheetId="1">#REF!</definedName>
    <definedName name="MO_BSS_IE_Net" localSheetId="9">#REF!</definedName>
    <definedName name="MO_BSS_IE_Net" localSheetId="4">#REF!</definedName>
    <definedName name="MO_BSS_IE_Net" localSheetId="0">#REF!</definedName>
    <definedName name="MO_BSS_IE_Net">Model!$701:$701</definedName>
    <definedName name="MO_BSS_II" localSheetId="5">#REF!</definedName>
    <definedName name="MO_BSS_II" localSheetId="2">#REF!</definedName>
    <definedName name="MO_BSS_II" localSheetId="3">#REF!</definedName>
    <definedName name="MO_BSS_II" localSheetId="7">#REF!</definedName>
    <definedName name="MO_BSS_II" localSheetId="6">#REF!</definedName>
    <definedName name="MO_BSS_II" localSheetId="1">#REF!</definedName>
    <definedName name="MO_BSS_II" localSheetId="9">#REF!</definedName>
    <definedName name="MO_BSS_II" localSheetId="4">#REF!</definedName>
    <definedName name="MO_BSS_II" localSheetId="0">#REF!</definedName>
    <definedName name="MO_BSS_II">Model!$699:$699</definedName>
    <definedName name="MO_BSS_InterestRate_Cash" localSheetId="5">#REF!</definedName>
    <definedName name="MO_BSS_InterestRate_Cash" localSheetId="2">#REF!</definedName>
    <definedName name="MO_BSS_InterestRate_Cash" localSheetId="3">#REF!</definedName>
    <definedName name="MO_BSS_InterestRate_Cash" localSheetId="7">#REF!</definedName>
    <definedName name="MO_BSS_InterestRate_Cash" localSheetId="6">#REF!</definedName>
    <definedName name="MO_BSS_InterestRate_Cash" localSheetId="1">#REF!</definedName>
    <definedName name="MO_BSS_InterestRate_Cash" localSheetId="9">#REF!</definedName>
    <definedName name="MO_BSS_InterestRate_Cash" localSheetId="4">#REF!</definedName>
    <definedName name="MO_BSS_InterestRate_Cash" localSheetId="0">#REF!</definedName>
    <definedName name="MO_BSS_InterestRate_Cash">Model!$700:$700</definedName>
    <definedName name="MO_BSS_InterestRate_Debt" localSheetId="5">#REF!</definedName>
    <definedName name="MO_BSS_InterestRate_Debt" localSheetId="2">#REF!</definedName>
    <definedName name="MO_BSS_InterestRate_Debt" localSheetId="3">#REF!</definedName>
    <definedName name="MO_BSS_InterestRate_Debt" localSheetId="7">#REF!</definedName>
    <definedName name="MO_BSS_InterestRate_Debt" localSheetId="6">#REF!</definedName>
    <definedName name="MO_BSS_InterestRate_Debt" localSheetId="1">#REF!</definedName>
    <definedName name="MO_BSS_InterestRate_Debt" localSheetId="9">#REF!</definedName>
    <definedName name="MO_BSS_InterestRate_Debt" localSheetId="4">#REF!</definedName>
    <definedName name="MO_BSS_InterestRate_Debt" localSheetId="0">#REF!</definedName>
    <definedName name="MO_BSS_InterestRate_Debt">Model!$698:$698</definedName>
    <definedName name="MO_BSS_NetInterestCoverage" localSheetId="5">#REF!</definedName>
    <definedName name="MO_BSS_NetInterestCoverage" localSheetId="2">#REF!</definedName>
    <definedName name="MO_BSS_NetInterestCoverage" localSheetId="3">#REF!</definedName>
    <definedName name="MO_BSS_NetInterestCoverage" localSheetId="7">#REF!</definedName>
    <definedName name="MO_BSS_NetInterestCoverage" localSheetId="6">#REF!</definedName>
    <definedName name="MO_BSS_NetInterestCoverage" localSheetId="1">#REF!</definedName>
    <definedName name="MO_BSS_NetInterestCoverage" localSheetId="9">#REF!</definedName>
    <definedName name="MO_BSS_NetInterestCoverage" localSheetId="4">#REF!</definedName>
    <definedName name="MO_BSS_NetInterestCoverage" localSheetId="0">#REF!</definedName>
    <definedName name="MO_BSS_NetInterestCoverage">Model!$704:$704</definedName>
    <definedName name="MO_BSS_NetInterestRate_Debt" localSheetId="5">#REF!</definedName>
    <definedName name="MO_BSS_NetInterestRate_Debt" localSheetId="2">#REF!</definedName>
    <definedName name="MO_BSS_NetInterestRate_Debt" localSheetId="3">#REF!</definedName>
    <definedName name="MO_BSS_NetInterestRate_Debt" localSheetId="7">#REF!</definedName>
    <definedName name="MO_BSS_NetInterestRate_Debt" localSheetId="6">#REF!</definedName>
    <definedName name="MO_BSS_NetInterestRate_Debt" localSheetId="1">#REF!</definedName>
    <definedName name="MO_BSS_NetInterestRate_Debt" localSheetId="9">#REF!</definedName>
    <definedName name="MO_BSS_NetInterestRate_Debt" localSheetId="4">#REF!</definedName>
    <definedName name="MO_BSS_NetInterestRate_Debt" localSheetId="0">#REF!</definedName>
    <definedName name="MO_BSS_NetInterestRate_Debt">Model!$702:$702</definedName>
    <definedName name="MO_BSS_OL" localSheetId="5">#REF!</definedName>
    <definedName name="MO_BSS_OL" localSheetId="2">#REF!</definedName>
    <definedName name="MO_BSS_OL" localSheetId="3">#REF!</definedName>
    <definedName name="MO_BSS_OL" localSheetId="7">#REF!</definedName>
    <definedName name="MO_BSS_OL" localSheetId="6">#REF!</definedName>
    <definedName name="MO_BSS_OL" localSheetId="1">#REF!</definedName>
    <definedName name="MO_BSS_OL" localSheetId="9">#REF!</definedName>
    <definedName name="MO_BSS_OL" localSheetId="4">#REF!</definedName>
    <definedName name="MO_BSS_OL" localSheetId="0">#REF!</definedName>
    <definedName name="MO_BSS_OL">Model!$694:$694</definedName>
    <definedName name="MO_CCFS_Balance_Begin" localSheetId="5">#REF!</definedName>
    <definedName name="MO_CCFS_Balance_Begin" localSheetId="2">#REF!</definedName>
    <definedName name="MO_CCFS_Balance_Begin" localSheetId="3">#REF!</definedName>
    <definedName name="MO_CCFS_Balance_Begin" localSheetId="7">#REF!</definedName>
    <definedName name="MO_CCFS_Balance_Begin" localSheetId="6">#REF!</definedName>
    <definedName name="MO_CCFS_Balance_Begin" localSheetId="1">#REF!</definedName>
    <definedName name="MO_CCFS_Balance_Begin" localSheetId="9">#REF!</definedName>
    <definedName name="MO_CCFS_Balance_Begin" localSheetId="4">#REF!</definedName>
    <definedName name="MO_CCFS_Balance_Begin" localSheetId="0">#REF!</definedName>
    <definedName name="MO_CCFS_Balance_Begin">Model!$793:$793</definedName>
    <definedName name="MO_CCFS_Balance_End" localSheetId="5">#REF!</definedName>
    <definedName name="MO_CCFS_Balance_End" localSheetId="2">#REF!</definedName>
    <definedName name="MO_CCFS_Balance_End" localSheetId="3">#REF!</definedName>
    <definedName name="MO_CCFS_Balance_End" localSheetId="7">#REF!</definedName>
    <definedName name="MO_CCFS_Balance_End" localSheetId="6">#REF!</definedName>
    <definedName name="MO_CCFS_Balance_End" localSheetId="1">#REF!</definedName>
    <definedName name="MO_CCFS_Balance_End" localSheetId="9">#REF!</definedName>
    <definedName name="MO_CCFS_Balance_End" localSheetId="4">#REF!</definedName>
    <definedName name="MO_CCFS_Balance_End" localSheetId="0">#REF!</definedName>
    <definedName name="MO_CCFS_Balance_End">Model!$794:$794</definedName>
    <definedName name="MO_CCFS_CFF" localSheetId="5">#REF!</definedName>
    <definedName name="MO_CCFS_CFF" localSheetId="2">#REF!</definedName>
    <definedName name="MO_CCFS_CFF" localSheetId="3">#REF!</definedName>
    <definedName name="MO_CCFS_CFF" localSheetId="7">#REF!</definedName>
    <definedName name="MO_CCFS_CFF" localSheetId="6">#REF!</definedName>
    <definedName name="MO_CCFS_CFF" localSheetId="1">#REF!</definedName>
    <definedName name="MO_CCFS_CFF" localSheetId="9">#REF!</definedName>
    <definedName name="MO_CCFS_CFF" localSheetId="4">#REF!</definedName>
    <definedName name="MO_CCFS_CFF" localSheetId="0">#REF!</definedName>
    <definedName name="MO_CCFS_CFF">Model!$788:$788</definedName>
    <definedName name="MO_CCFS_CFI" localSheetId="5">#REF!</definedName>
    <definedName name="MO_CCFS_CFI" localSheetId="2">#REF!</definedName>
    <definedName name="MO_CCFS_CFI" localSheetId="3">#REF!</definedName>
    <definedName name="MO_CCFS_CFI" localSheetId="7">#REF!</definedName>
    <definedName name="MO_CCFS_CFI" localSheetId="6">#REF!</definedName>
    <definedName name="MO_CCFS_CFI" localSheetId="1">#REF!</definedName>
    <definedName name="MO_CCFS_CFI" localSheetId="9">#REF!</definedName>
    <definedName name="MO_CCFS_CFI" localSheetId="4">#REF!</definedName>
    <definedName name="MO_CCFS_CFI" localSheetId="0">#REF!</definedName>
    <definedName name="MO_CCFS_CFI">Model!$772:$772</definedName>
    <definedName name="MO_CCFS_CFO" localSheetId="5">#REF!</definedName>
    <definedName name="MO_CCFS_CFO" localSheetId="2">#REF!</definedName>
    <definedName name="MO_CCFS_CFO" localSheetId="3">#REF!</definedName>
    <definedName name="MO_CCFS_CFO" localSheetId="7">#REF!</definedName>
    <definedName name="MO_CCFS_CFO" localSheetId="6">#REF!</definedName>
    <definedName name="MO_CCFS_CFO" localSheetId="1">#REF!</definedName>
    <definedName name="MO_CCFS_CFO" localSheetId="9">#REF!</definedName>
    <definedName name="MO_CCFS_CFO" localSheetId="4">#REF!</definedName>
    <definedName name="MO_CCFS_CFO" localSheetId="0">#REF!</definedName>
    <definedName name="MO_CCFS_CFO">Model!$758:$758</definedName>
    <definedName name="MO_CCFS_CFO_BeforeWC" localSheetId="5">#REF!</definedName>
    <definedName name="MO_CCFS_CFO_BeforeWC" localSheetId="2">#REF!</definedName>
    <definedName name="MO_CCFS_CFO_BeforeWC" localSheetId="3">#REF!</definedName>
    <definedName name="MO_CCFS_CFO_BeforeWC" localSheetId="7">#REF!</definedName>
    <definedName name="MO_CCFS_CFO_BeforeWC" localSheetId="6">#REF!</definedName>
    <definedName name="MO_CCFS_CFO_BeforeWC" localSheetId="1">#REF!</definedName>
    <definedName name="MO_CCFS_CFO_BeforeWC" localSheetId="9">#REF!</definedName>
    <definedName name="MO_CCFS_CFO_BeforeWC" localSheetId="4">#REF!</definedName>
    <definedName name="MO_CCFS_CFO_BeforeWC" localSheetId="0">#REF!</definedName>
    <definedName name="MO_CCFS_CFO_BeforeWC">Model!$746:$746</definedName>
    <definedName name="MO_CCFS_FX" localSheetId="5">#REF!</definedName>
    <definedName name="MO_CCFS_FX" localSheetId="2">#REF!</definedName>
    <definedName name="MO_CCFS_FX" localSheetId="3">#REF!</definedName>
    <definedName name="MO_CCFS_FX" localSheetId="7">#REF!</definedName>
    <definedName name="MO_CCFS_FX" localSheetId="6">#REF!</definedName>
    <definedName name="MO_CCFS_FX" localSheetId="1">#REF!</definedName>
    <definedName name="MO_CCFS_FX" localSheetId="9">#REF!</definedName>
    <definedName name="MO_CCFS_FX" localSheetId="4">#REF!</definedName>
    <definedName name="MO_CCFS_FX" localSheetId="0">#REF!</definedName>
    <definedName name="MO_CCFS_FX">Model!$790:$790</definedName>
    <definedName name="MO_CCFS_NetChange" localSheetId="5">#REF!</definedName>
    <definedName name="MO_CCFS_NetChange" localSheetId="2">#REF!</definedName>
    <definedName name="MO_CCFS_NetChange" localSheetId="3">#REF!</definedName>
    <definedName name="MO_CCFS_NetChange" localSheetId="7">#REF!</definedName>
    <definedName name="MO_CCFS_NetChange" localSheetId="6">#REF!</definedName>
    <definedName name="MO_CCFS_NetChange" localSheetId="1">#REF!</definedName>
    <definedName name="MO_CCFS_NetChange" localSheetId="9">#REF!</definedName>
    <definedName name="MO_CCFS_NetChange" localSheetId="4">#REF!</definedName>
    <definedName name="MO_CCFS_NetChange" localSheetId="0">#REF!</definedName>
    <definedName name="MO_CCFS_NetChange">Model!$791:$791</definedName>
    <definedName name="MO_CCFS_Sup_CashInterest" localSheetId="5">#REF!</definedName>
    <definedName name="MO_CCFS_Sup_CashInterest" localSheetId="2">#REF!</definedName>
    <definedName name="MO_CCFS_Sup_CashInterest" localSheetId="3">#REF!</definedName>
    <definedName name="MO_CCFS_Sup_CashInterest" localSheetId="7">#REF!</definedName>
    <definedName name="MO_CCFS_Sup_CashInterest" localSheetId="6">#REF!</definedName>
    <definedName name="MO_CCFS_Sup_CashInterest" localSheetId="1">#REF!</definedName>
    <definedName name="MO_CCFS_Sup_CashInterest" localSheetId="9">#REF!</definedName>
    <definedName name="MO_CCFS_Sup_CashInterest" localSheetId="4">#REF!</definedName>
    <definedName name="MO_CCFS_Sup_CashInterest" localSheetId="0">#REF!</definedName>
    <definedName name="MO_CCFS_Sup_CashInterest">Model!$796:$796</definedName>
    <definedName name="MO_CCFS_Sup_CashTax" localSheetId="5">#REF!</definedName>
    <definedName name="MO_CCFS_Sup_CashTax" localSheetId="2">#REF!</definedName>
    <definedName name="MO_CCFS_Sup_CashTax" localSheetId="3">#REF!</definedName>
    <definedName name="MO_CCFS_Sup_CashTax" localSheetId="7">#REF!</definedName>
    <definedName name="MO_CCFS_Sup_CashTax" localSheetId="6">#REF!</definedName>
    <definedName name="MO_CCFS_Sup_CashTax" localSheetId="1">#REF!</definedName>
    <definedName name="MO_CCFS_Sup_CashTax" localSheetId="9">#REF!</definedName>
    <definedName name="MO_CCFS_Sup_CashTax" localSheetId="4">#REF!</definedName>
    <definedName name="MO_CCFS_Sup_CashTax" localSheetId="0">#REF!</definedName>
    <definedName name="MO_CCFS_Sup_CashTax">Model!$799:$799</definedName>
    <definedName name="MO_CFS_Balance_Begin" localSheetId="5">#REF!</definedName>
    <definedName name="MO_CFS_Balance_Begin" localSheetId="2">#REF!</definedName>
    <definedName name="MO_CFS_Balance_Begin" localSheetId="3">#REF!</definedName>
    <definedName name="MO_CFS_Balance_Begin" localSheetId="7">#REF!</definedName>
    <definedName name="MO_CFS_Balance_Begin" localSheetId="6">#REF!</definedName>
    <definedName name="MO_CFS_Balance_Begin" localSheetId="1">#REF!</definedName>
    <definedName name="MO_CFS_Balance_Begin" localSheetId="9">#REF!</definedName>
    <definedName name="MO_CFS_Balance_Begin" localSheetId="4">#REF!</definedName>
    <definedName name="MO_CFS_Balance_Begin" localSheetId="0">#REF!</definedName>
    <definedName name="MO_CFS_Balance_Begin">Model!$862:$862</definedName>
    <definedName name="MO_CFS_Balance_End" localSheetId="5">#REF!</definedName>
    <definedName name="MO_CFS_Balance_End" localSheetId="2">#REF!</definedName>
    <definedName name="MO_CFS_Balance_End" localSheetId="3">#REF!</definedName>
    <definedName name="MO_CFS_Balance_End" localSheetId="7">#REF!</definedName>
    <definedName name="MO_CFS_Balance_End" localSheetId="6">#REF!</definedName>
    <definedName name="MO_CFS_Balance_End" localSheetId="1">#REF!</definedName>
    <definedName name="MO_CFS_Balance_End" localSheetId="9">#REF!</definedName>
    <definedName name="MO_CFS_Balance_End" localSheetId="4">#REF!</definedName>
    <definedName name="MO_CFS_Balance_End" localSheetId="0">#REF!</definedName>
    <definedName name="MO_CFS_Balance_End">Model!$863:$863</definedName>
    <definedName name="MO_CFS_Buyback" localSheetId="5">#REF!</definedName>
    <definedName name="MO_CFS_Buyback" localSheetId="2">#REF!</definedName>
    <definedName name="MO_CFS_Buyback" localSheetId="3">#REF!</definedName>
    <definedName name="MO_CFS_Buyback" localSheetId="7">#REF!</definedName>
    <definedName name="MO_CFS_Buyback" localSheetId="6">#REF!</definedName>
    <definedName name="MO_CFS_Buyback" localSheetId="1">#REF!</definedName>
    <definedName name="MO_CFS_Buyback" localSheetId="9">#REF!</definedName>
    <definedName name="MO_CFS_Buyback" localSheetId="4">#REF!</definedName>
    <definedName name="MO_CFS_Buyback" localSheetId="0">#REF!</definedName>
    <definedName name="MO_CFS_Buyback">Model!$853:$853</definedName>
    <definedName name="MO_CFS_Capex">Model!$830:$830</definedName>
    <definedName name="MO_CFS_CFF" localSheetId="5">#REF!</definedName>
    <definedName name="MO_CFS_CFF" localSheetId="2">#REF!</definedName>
    <definedName name="MO_CFS_CFF" localSheetId="3">#REF!</definedName>
    <definedName name="MO_CFS_CFF" localSheetId="7">#REF!</definedName>
    <definedName name="MO_CFS_CFF" localSheetId="6">#REF!</definedName>
    <definedName name="MO_CFS_CFF" localSheetId="1">#REF!</definedName>
    <definedName name="MO_CFS_CFF" localSheetId="9">#REF!</definedName>
    <definedName name="MO_CFS_CFF" localSheetId="4">#REF!</definedName>
    <definedName name="MO_CFS_CFF" localSheetId="0">#REF!</definedName>
    <definedName name="MO_CFS_CFF">Model!$857:$857</definedName>
    <definedName name="MO_CFS_CFI" localSheetId="5">#REF!</definedName>
    <definedName name="MO_CFS_CFI" localSheetId="2">#REF!</definedName>
    <definedName name="MO_CFS_CFI" localSheetId="3">#REF!</definedName>
    <definedName name="MO_CFS_CFI" localSheetId="7">#REF!</definedName>
    <definedName name="MO_CFS_CFI" localSheetId="6">#REF!</definedName>
    <definedName name="MO_CFS_CFI" localSheetId="1">#REF!</definedName>
    <definedName name="MO_CFS_CFI" localSheetId="9">#REF!</definedName>
    <definedName name="MO_CFS_CFI" localSheetId="4">#REF!</definedName>
    <definedName name="MO_CFS_CFI" localSheetId="0">#REF!</definedName>
    <definedName name="MO_CFS_CFI">Model!$841:$841</definedName>
    <definedName name="MO_CFS_CFO" localSheetId="5">#REF!</definedName>
    <definedName name="MO_CFS_CFO" localSheetId="2">#REF!</definedName>
    <definedName name="MO_CFS_CFO" localSheetId="3">#REF!</definedName>
    <definedName name="MO_CFS_CFO" localSheetId="7">#REF!</definedName>
    <definedName name="MO_CFS_CFO" localSheetId="6">#REF!</definedName>
    <definedName name="MO_CFS_CFO" localSheetId="1">#REF!</definedName>
    <definedName name="MO_CFS_CFO" localSheetId="9">#REF!</definedName>
    <definedName name="MO_CFS_CFO" localSheetId="4">#REF!</definedName>
    <definedName name="MO_CFS_CFO" localSheetId="0">#REF!</definedName>
    <definedName name="MO_CFS_CFO">Model!$827:$827</definedName>
    <definedName name="MO_CFS_CFO_BeforeWC" localSheetId="5">#REF!</definedName>
    <definedName name="MO_CFS_CFO_BeforeWC" localSheetId="2">#REF!</definedName>
    <definedName name="MO_CFS_CFO_BeforeWC" localSheetId="3">#REF!</definedName>
    <definedName name="MO_CFS_CFO_BeforeWC" localSheetId="7">#REF!</definedName>
    <definedName name="MO_CFS_CFO_BeforeWC" localSheetId="6">#REF!</definedName>
    <definedName name="MO_CFS_CFO_BeforeWC" localSheetId="1">#REF!</definedName>
    <definedName name="MO_CFS_CFO_BeforeWC" localSheetId="9">#REF!</definedName>
    <definedName name="MO_CFS_CFO_BeforeWC" localSheetId="4">#REF!</definedName>
    <definedName name="MO_CFS_CFO_BeforeWC" localSheetId="0">#REF!</definedName>
    <definedName name="MO_CFS_CFO_BeforeWC">Model!$815:$815</definedName>
    <definedName name="MO_CFS_DA" localSheetId="5">#REF!</definedName>
    <definedName name="MO_CFS_DA" localSheetId="2">#REF!</definedName>
    <definedName name="MO_CFS_DA" localSheetId="3">#REF!</definedName>
    <definedName name="MO_CFS_DA" localSheetId="7">#REF!</definedName>
    <definedName name="MO_CFS_DA" localSheetId="6">#REF!</definedName>
    <definedName name="MO_CFS_DA" localSheetId="1">#REF!</definedName>
    <definedName name="MO_CFS_DA" localSheetId="9">#REF!</definedName>
    <definedName name="MO_CFS_DA" localSheetId="4">#REF!</definedName>
    <definedName name="MO_CFS_DA" localSheetId="0">#REF!</definedName>
    <definedName name="MO_CFS_DA">Model!$804:$804</definedName>
    <definedName name="MO_CFS_DeferredTax" localSheetId="5">#REF!</definedName>
    <definedName name="MO_CFS_DeferredTax" localSheetId="2">#REF!</definedName>
    <definedName name="MO_CFS_DeferredTax" localSheetId="3">#REF!</definedName>
    <definedName name="MO_CFS_DeferredTax" localSheetId="7">#REF!</definedName>
    <definedName name="MO_CFS_DeferredTax" localSheetId="6">#REF!</definedName>
    <definedName name="MO_CFS_DeferredTax" localSheetId="1">#REF!</definedName>
    <definedName name="MO_CFS_DeferredTax" localSheetId="9">#REF!</definedName>
    <definedName name="MO_CFS_DeferredTax" localSheetId="4">#REF!</definedName>
    <definedName name="MO_CFS_DeferredTax" localSheetId="0">#REF!</definedName>
    <definedName name="MO_CFS_DeferredTax">Model!$809:$809</definedName>
    <definedName name="MO_CFS_Dividend" localSheetId="5">#REF!</definedName>
    <definedName name="MO_CFS_Dividend" localSheetId="2">#REF!</definedName>
    <definedName name="MO_CFS_Dividend" localSheetId="3">#REF!</definedName>
    <definedName name="MO_CFS_Dividend" localSheetId="7">#REF!</definedName>
    <definedName name="MO_CFS_Dividend" localSheetId="6">#REF!</definedName>
    <definedName name="MO_CFS_Dividend" localSheetId="1">#REF!</definedName>
    <definedName name="MO_CFS_Dividend" localSheetId="9">#REF!</definedName>
    <definedName name="MO_CFS_Dividend" localSheetId="4">#REF!</definedName>
    <definedName name="MO_CFS_Dividend" localSheetId="0">#REF!</definedName>
    <definedName name="MO_CFS_Dividend">Model!$855:$855</definedName>
    <definedName name="MO_CFS_FX" localSheetId="5">#REF!</definedName>
    <definedName name="MO_CFS_FX" localSheetId="2">#REF!</definedName>
    <definedName name="MO_CFS_FX" localSheetId="3">#REF!</definedName>
    <definedName name="MO_CFS_FX" localSheetId="7">#REF!</definedName>
    <definedName name="MO_CFS_FX" localSheetId="6">#REF!</definedName>
    <definedName name="MO_CFS_FX" localSheetId="1">#REF!</definedName>
    <definedName name="MO_CFS_FX" localSheetId="9">#REF!</definedName>
    <definedName name="MO_CFS_FX" localSheetId="4">#REF!</definedName>
    <definedName name="MO_CFS_FX" localSheetId="0">#REF!</definedName>
    <definedName name="MO_CFS_FX">Model!$859:$859</definedName>
    <definedName name="MO_CFS_Impairment">#REF!</definedName>
    <definedName name="MO_CFS_NetChange" localSheetId="5">#REF!</definedName>
    <definedName name="MO_CFS_NetChange" localSheetId="2">#REF!</definedName>
    <definedName name="MO_CFS_NetChange" localSheetId="3">#REF!</definedName>
    <definedName name="MO_CFS_NetChange" localSheetId="7">#REF!</definedName>
    <definedName name="MO_CFS_NetChange" localSheetId="6">#REF!</definedName>
    <definedName name="MO_CFS_NetChange" localSheetId="1">#REF!</definedName>
    <definedName name="MO_CFS_NetChange" localSheetId="9">#REF!</definedName>
    <definedName name="MO_CFS_NetChange" localSheetId="4">#REF!</definedName>
    <definedName name="MO_CFS_NetChange" localSheetId="0">#REF!</definedName>
    <definedName name="MO_CFS_NetChange">Model!$860:$860</definedName>
    <definedName name="MO_CFS_NewEquityIssued" localSheetId="5">#REF!</definedName>
    <definedName name="MO_CFS_NewEquityIssued" localSheetId="2">#REF!</definedName>
    <definedName name="MO_CFS_NewEquityIssued" localSheetId="3">#REF!</definedName>
    <definedName name="MO_CFS_NewEquityIssued" localSheetId="7">#REF!</definedName>
    <definedName name="MO_CFS_NewEquityIssued" localSheetId="6">#REF!</definedName>
    <definedName name="MO_CFS_NewEquityIssued" localSheetId="1">#REF!</definedName>
    <definedName name="MO_CFS_NewEquityIssued" localSheetId="9">#REF!</definedName>
    <definedName name="MO_CFS_NewEquityIssued" localSheetId="4">#REF!</definedName>
    <definedName name="MO_CFS_NewEquityIssued" localSheetId="0">#REF!</definedName>
    <definedName name="MO_CFS_NewEquityIssued">Model!$844:$844</definedName>
    <definedName name="MO_CFS_NI" localSheetId="5">#REF!</definedName>
    <definedName name="MO_CFS_NI" localSheetId="2">#REF!</definedName>
    <definedName name="MO_CFS_NI" localSheetId="3">#REF!</definedName>
    <definedName name="MO_CFS_NI" localSheetId="7">#REF!</definedName>
    <definedName name="MO_CFS_NI" localSheetId="6">#REF!</definedName>
    <definedName name="MO_CFS_NI" localSheetId="1">#REF!</definedName>
    <definedName name="MO_CFS_NI" localSheetId="9">#REF!</definedName>
    <definedName name="MO_CFS_NI" localSheetId="4">#REF!</definedName>
    <definedName name="MO_CFS_NI" localSheetId="0">#REF!</definedName>
    <definedName name="MO_CFS_NI">Model!$803:$803</definedName>
    <definedName name="MO_CFS_SBC" localSheetId="5">#REF!</definedName>
    <definedName name="MO_CFS_SBC" localSheetId="2">#REF!</definedName>
    <definedName name="MO_CFS_SBC" localSheetId="3">#REF!</definedName>
    <definedName name="MO_CFS_SBC" localSheetId="7">#REF!</definedName>
    <definedName name="MO_CFS_SBC" localSheetId="6">#REF!</definedName>
    <definedName name="MO_CFS_SBC" localSheetId="1">#REF!</definedName>
    <definedName name="MO_CFS_SBC" localSheetId="9">#REF!</definedName>
    <definedName name="MO_CFS_SBC" localSheetId="4">#REF!</definedName>
    <definedName name="MO_CFS_SBC" localSheetId="0">#REF!</definedName>
    <definedName name="MO_CFS_SBC">Model!$808:$808</definedName>
    <definedName name="MO_CFS_Sup_CashInterest" localSheetId="5">#REF!</definedName>
    <definedName name="MO_CFS_Sup_CashInterest" localSheetId="2">#REF!</definedName>
    <definedName name="MO_CFS_Sup_CashInterest" localSheetId="3">#REF!</definedName>
    <definedName name="MO_CFS_Sup_CashInterest" localSheetId="7">#REF!</definedName>
    <definedName name="MO_CFS_Sup_CashInterest" localSheetId="6">#REF!</definedName>
    <definedName name="MO_CFS_Sup_CashInterest" localSheetId="1">#REF!</definedName>
    <definedName name="MO_CFS_Sup_CashInterest" localSheetId="9">#REF!</definedName>
    <definedName name="MO_CFS_Sup_CashInterest" localSheetId="4">#REF!</definedName>
    <definedName name="MO_CFS_Sup_CashInterest" localSheetId="0">#REF!</definedName>
    <definedName name="MO_CFS_Sup_CashInterest">Model!$865:$865</definedName>
    <definedName name="MO_CFS_Sup_CashTax" localSheetId="5">#REF!</definedName>
    <definedName name="MO_CFS_Sup_CashTax" localSheetId="2">#REF!</definedName>
    <definedName name="MO_CFS_Sup_CashTax" localSheetId="3">#REF!</definedName>
    <definedName name="MO_CFS_Sup_CashTax" localSheetId="7">#REF!</definedName>
    <definedName name="MO_CFS_Sup_CashTax" localSheetId="6">#REF!</definedName>
    <definedName name="MO_CFS_Sup_CashTax" localSheetId="1">#REF!</definedName>
    <definedName name="MO_CFS_Sup_CashTax" localSheetId="9">#REF!</definedName>
    <definedName name="MO_CFS_Sup_CashTax" localSheetId="4">#REF!</definedName>
    <definedName name="MO_CFS_Sup_CashTax" localSheetId="0">#REF!</definedName>
    <definedName name="MO_CFS_Sup_CashTax">Model!$868:$868</definedName>
    <definedName name="MO_CFS_WC_AccComp">#REF!</definedName>
    <definedName name="MO_CFS_WC_AE">#REF!</definedName>
    <definedName name="MO_CFS_WC_AEandOther">Model!$823:$823</definedName>
    <definedName name="MO_CFS_WC_AP">#REF!</definedName>
    <definedName name="MO_CFS_WC_AR" localSheetId="5">#REF!</definedName>
    <definedName name="MO_CFS_WC_AR" localSheetId="2">#REF!</definedName>
    <definedName name="MO_CFS_WC_AR" localSheetId="3">#REF!</definedName>
    <definedName name="MO_CFS_WC_AR" localSheetId="7">#REF!</definedName>
    <definedName name="MO_CFS_WC_AR" localSheetId="6">#REF!</definedName>
    <definedName name="MO_CFS_WC_AR" localSheetId="1">#REF!</definedName>
    <definedName name="MO_CFS_WC_AR" localSheetId="9">#REF!</definedName>
    <definedName name="MO_CFS_WC_AR" localSheetId="4">#REF!</definedName>
    <definedName name="MO_CFS_WC_AR" localSheetId="0">#REF!</definedName>
    <definedName name="MO_CFS_WC_AR">Model!$816:$816</definedName>
    <definedName name="MO_CFS_WC_DefRev">Model!$824:$824</definedName>
    <definedName name="MO_CFS_WC_INV">#REF!</definedName>
    <definedName name="MO_CFS_WC_OL">Model!$825:$825</definedName>
    <definedName name="MO_CFS_WC_PrepaidExpensesAndOther" localSheetId="5">#REF!</definedName>
    <definedName name="MO_CFS_WC_PrepaidExpensesAndOther" localSheetId="2">#REF!</definedName>
    <definedName name="MO_CFS_WC_PrepaidExpensesAndOther" localSheetId="3">#REF!</definedName>
    <definedName name="MO_CFS_WC_PrepaidExpensesAndOther" localSheetId="7">#REF!</definedName>
    <definedName name="MO_CFS_WC_PrepaidExpensesAndOther" localSheetId="6">#REF!</definedName>
    <definedName name="MO_CFS_WC_PrepaidExpensesAndOther" localSheetId="1">#REF!</definedName>
    <definedName name="MO_CFS_WC_PrepaidExpensesAndOther" localSheetId="9">#REF!</definedName>
    <definedName name="MO_CFS_WC_PrepaidExpensesAndOther" localSheetId="4">#REF!</definedName>
    <definedName name="MO_CFS_WC_PrepaidExpensesAndOther" localSheetId="0">#REF!</definedName>
    <definedName name="MO_CFS_WC_PrepaidExpensesAndOther">Model!$818:$818</definedName>
    <definedName name="MO_CFS_WC_ROU">Model!$820:$820</definedName>
    <definedName name="MO_CFSum_Acquisition" localSheetId="5">#REF!</definedName>
    <definedName name="MO_CFSum_Acquisition" localSheetId="2">#REF!</definedName>
    <definedName name="MO_CFSum_Acquisition" localSheetId="3">#REF!</definedName>
    <definedName name="MO_CFSum_Acquisition" localSheetId="7">#REF!</definedName>
    <definedName name="MO_CFSum_Acquisition" localSheetId="6">#REF!</definedName>
    <definedName name="MO_CFSum_Acquisition" localSheetId="1">#REF!</definedName>
    <definedName name="MO_CFSum_Acquisition" localSheetId="9">#REF!</definedName>
    <definedName name="MO_CFSum_Acquisition" localSheetId="4">#REF!</definedName>
    <definedName name="MO_CFSum_Acquisition" localSheetId="0">#REF!</definedName>
    <definedName name="MO_CFSum_Acquisition">Model!$668:$668</definedName>
    <definedName name="MO_CFSum_Capex" localSheetId="5">#REF!</definedName>
    <definedName name="MO_CFSum_Capex" localSheetId="2">#REF!</definedName>
    <definedName name="MO_CFSum_Capex" localSheetId="3">#REF!</definedName>
    <definedName name="MO_CFSum_Capex" localSheetId="7">#REF!</definedName>
    <definedName name="MO_CFSum_Capex" localSheetId="6">#REF!</definedName>
    <definedName name="MO_CFSum_Capex" localSheetId="1">#REF!</definedName>
    <definedName name="MO_CFSum_Capex" localSheetId="9">#REF!</definedName>
    <definedName name="MO_CFSum_Capex" localSheetId="4">#REF!</definedName>
    <definedName name="MO_CFSum_Capex" localSheetId="0">#REF!</definedName>
    <definedName name="MO_CFSum_Capex">Model!$665:$665</definedName>
    <definedName name="MO_CFSum_CFO" localSheetId="5">#REF!</definedName>
    <definedName name="MO_CFSum_CFO" localSheetId="2">#REF!</definedName>
    <definedName name="MO_CFSum_CFO" localSheetId="3">#REF!</definedName>
    <definedName name="MO_CFSum_CFO" localSheetId="7">#REF!</definedName>
    <definedName name="MO_CFSum_CFO" localSheetId="6">#REF!</definedName>
    <definedName name="MO_CFSum_CFO" localSheetId="1">#REF!</definedName>
    <definedName name="MO_CFSum_CFO" localSheetId="9">#REF!</definedName>
    <definedName name="MO_CFSum_CFO" localSheetId="4">#REF!</definedName>
    <definedName name="MO_CFSum_CFO" localSheetId="0">#REF!</definedName>
    <definedName name="MO_CFSum_CFO">Model!$661:$661</definedName>
    <definedName name="MO_CFSum_CFO_BeforeWC" localSheetId="5">#REF!</definedName>
    <definedName name="MO_CFSum_CFO_BeforeWC" localSheetId="2">#REF!</definedName>
    <definedName name="MO_CFSum_CFO_BeforeWC" localSheetId="3">#REF!</definedName>
    <definedName name="MO_CFSum_CFO_BeforeWC" localSheetId="7">#REF!</definedName>
    <definedName name="MO_CFSum_CFO_BeforeWC" localSheetId="6">#REF!</definedName>
    <definedName name="MO_CFSum_CFO_BeforeWC" localSheetId="1">#REF!</definedName>
    <definedName name="MO_CFSum_CFO_BeforeWC" localSheetId="9">#REF!</definedName>
    <definedName name="MO_CFSum_CFO_BeforeWC" localSheetId="4">#REF!</definedName>
    <definedName name="MO_CFSum_CFO_BeforeWC" localSheetId="0">#REF!</definedName>
    <definedName name="MO_CFSum_CFO_BeforeWC">Model!$659:$659</definedName>
    <definedName name="MO_CFSum_CFOPS" localSheetId="5">#REF!</definedName>
    <definedName name="MO_CFSum_CFOPS" localSheetId="2">#REF!</definedName>
    <definedName name="MO_CFSum_CFOPS" localSheetId="3">#REF!</definedName>
    <definedName name="MO_CFSum_CFOPS" localSheetId="7">#REF!</definedName>
    <definedName name="MO_CFSum_CFOPS" localSheetId="6">#REF!</definedName>
    <definedName name="MO_CFSum_CFOPS" localSheetId="1">#REF!</definedName>
    <definedName name="MO_CFSum_CFOPS" localSheetId="9">#REF!</definedName>
    <definedName name="MO_CFSum_CFOPS" localSheetId="4">#REF!</definedName>
    <definedName name="MO_CFSum_CFOPS" localSheetId="0">#REF!</definedName>
    <definedName name="MO_CFSum_CFOPS">Model!$663:$663</definedName>
    <definedName name="MO_CFSum_CFOPS_BeforeWC" localSheetId="5">#REF!</definedName>
    <definedName name="MO_CFSum_CFOPS_BeforeWC" localSheetId="2">#REF!</definedName>
    <definedName name="MO_CFSum_CFOPS_BeforeWC" localSheetId="3">#REF!</definedName>
    <definedName name="MO_CFSum_CFOPS_BeforeWC" localSheetId="7">#REF!</definedName>
    <definedName name="MO_CFSum_CFOPS_BeforeWC" localSheetId="6">#REF!</definedName>
    <definedName name="MO_CFSum_CFOPS_BeforeWC" localSheetId="1">#REF!</definedName>
    <definedName name="MO_CFSum_CFOPS_BeforeWC" localSheetId="9">#REF!</definedName>
    <definedName name="MO_CFSum_CFOPS_BeforeWC" localSheetId="4">#REF!</definedName>
    <definedName name="MO_CFSum_CFOPS_BeforeWC" localSheetId="0">#REF!</definedName>
    <definedName name="MO_CFSum_CFOPS_BeforeWC">Model!$662:$662</definedName>
    <definedName name="MO_CFSum_CFPS" localSheetId="5">#REF!</definedName>
    <definedName name="MO_CFSum_CFPS" localSheetId="2">#REF!</definedName>
    <definedName name="MO_CFSum_CFPS" localSheetId="3">#REF!</definedName>
    <definedName name="MO_CFSum_CFPS" localSheetId="7">#REF!</definedName>
    <definedName name="MO_CFSum_CFPS" localSheetId="6">#REF!</definedName>
    <definedName name="MO_CFSum_CFPS" localSheetId="1">#REF!</definedName>
    <definedName name="MO_CFSum_CFPS" localSheetId="9">#REF!</definedName>
    <definedName name="MO_CFSum_CFPS" localSheetId="4">#REF!</definedName>
    <definedName name="MO_CFSum_CFPS" localSheetId="0">#REF!</definedName>
    <definedName name="MO_CFSum_CFPS">Model!$663:$663</definedName>
    <definedName name="MO_CFSum_ChangeInWC" localSheetId="5">#REF!</definedName>
    <definedName name="MO_CFSum_ChangeInWC" localSheetId="2">#REF!</definedName>
    <definedName name="MO_CFSum_ChangeInWC" localSheetId="3">#REF!</definedName>
    <definedName name="MO_CFSum_ChangeInWC" localSheetId="7">#REF!</definedName>
    <definedName name="MO_CFSum_ChangeInWC" localSheetId="6">#REF!</definedName>
    <definedName name="MO_CFSum_ChangeInWC" localSheetId="1">#REF!</definedName>
    <definedName name="MO_CFSum_ChangeInWC" localSheetId="9">#REF!</definedName>
    <definedName name="MO_CFSum_ChangeInWC" localSheetId="4">#REF!</definedName>
    <definedName name="MO_CFSum_ChangeInWC" localSheetId="0">#REF!</definedName>
    <definedName name="MO_CFSum_ChangeInWC">Model!$660:$660</definedName>
    <definedName name="MO_CFSum_Divestiture" localSheetId="5">#REF!</definedName>
    <definedName name="MO_CFSum_Divestiture" localSheetId="2">#REF!</definedName>
    <definedName name="MO_CFSum_Divestiture" localSheetId="3">#REF!</definedName>
    <definedName name="MO_CFSum_Divestiture" localSheetId="7">#REF!</definedName>
    <definedName name="MO_CFSum_Divestiture" localSheetId="6">#REF!</definedName>
    <definedName name="MO_CFSum_Divestiture" localSheetId="1">#REF!</definedName>
    <definedName name="MO_CFSum_Divestiture" localSheetId="9">#REF!</definedName>
    <definedName name="MO_CFSum_Divestiture" localSheetId="4">#REF!</definedName>
    <definedName name="MO_CFSum_Divestiture" localSheetId="0">#REF!</definedName>
    <definedName name="MO_CFSum_Divestiture">Model!$669:$669</definedName>
    <definedName name="MO_CFSum_Dividend" localSheetId="5">#REF!</definedName>
    <definedName name="MO_CFSum_Dividend" localSheetId="2">#REF!</definedName>
    <definedName name="MO_CFSum_Dividend" localSheetId="3">#REF!</definedName>
    <definedName name="MO_CFSum_Dividend" localSheetId="7">#REF!</definedName>
    <definedName name="MO_CFSum_Dividend" localSheetId="6">#REF!</definedName>
    <definedName name="MO_CFSum_Dividend" localSheetId="1">#REF!</definedName>
    <definedName name="MO_CFSum_Dividend" localSheetId="9">#REF!</definedName>
    <definedName name="MO_CFSum_Dividend" localSheetId="4">#REF!</definedName>
    <definedName name="MO_CFSum_Dividend" localSheetId="0">#REF!</definedName>
    <definedName name="MO_CFSum_Dividend">Model!$670:$670</definedName>
    <definedName name="MO_CFSum_DPS" localSheetId="5">#REF!</definedName>
    <definedName name="MO_CFSum_DPS" localSheetId="2">#REF!</definedName>
    <definedName name="MO_CFSum_DPS" localSheetId="3">#REF!</definedName>
    <definedName name="MO_CFSum_DPS" localSheetId="7">#REF!</definedName>
    <definedName name="MO_CFSum_DPS" localSheetId="6">#REF!</definedName>
    <definedName name="MO_CFSum_DPS" localSheetId="1">#REF!</definedName>
    <definedName name="MO_CFSum_DPS" localSheetId="9">#REF!</definedName>
    <definedName name="MO_CFSum_DPS" localSheetId="4">#REF!</definedName>
    <definedName name="MO_CFSum_DPS" localSheetId="0">#REF!</definedName>
    <definedName name="MO_CFSum_DPS">Model!$671:$671</definedName>
    <definedName name="MO_CFSum_FCF_PostDivPostAD" localSheetId="5">#REF!</definedName>
    <definedName name="MO_CFSum_FCF_PostDivPostAD" localSheetId="2">#REF!</definedName>
    <definedName name="MO_CFSum_FCF_PostDivPostAD" localSheetId="3">#REF!</definedName>
    <definedName name="MO_CFSum_FCF_PostDivPostAD" localSheetId="7">#REF!</definedName>
    <definedName name="MO_CFSum_FCF_PostDivPostAD" localSheetId="6">#REF!</definedName>
    <definedName name="MO_CFSum_FCF_PostDivPostAD" localSheetId="1">#REF!</definedName>
    <definedName name="MO_CFSum_FCF_PostDivPostAD" localSheetId="9">#REF!</definedName>
    <definedName name="MO_CFSum_FCF_PostDivPostAD" localSheetId="4">#REF!</definedName>
    <definedName name="MO_CFSum_FCF_PostDivPostAD" localSheetId="0">#REF!</definedName>
    <definedName name="MO_CFSum_FCF_PostDivPostAD">Model!$682:$682</definedName>
    <definedName name="MO_CFSum_FCF_PostDivPostADPostDebtPostBuyback" localSheetId="5">#REF!</definedName>
    <definedName name="MO_CFSum_FCF_PostDivPostADPostDebtPostBuyback" localSheetId="2">#REF!</definedName>
    <definedName name="MO_CFSum_FCF_PostDivPostADPostDebtPostBuyback" localSheetId="3">#REF!</definedName>
    <definedName name="MO_CFSum_FCF_PostDivPostADPostDebtPostBuyback" localSheetId="7">#REF!</definedName>
    <definedName name="MO_CFSum_FCF_PostDivPostADPostDebtPostBuyback" localSheetId="6">#REF!</definedName>
    <definedName name="MO_CFSum_FCF_PostDivPostADPostDebtPostBuyback" localSheetId="1">#REF!</definedName>
    <definedName name="MO_CFSum_FCF_PostDivPostADPostDebtPostBuyback" localSheetId="9">#REF!</definedName>
    <definedName name="MO_CFSum_FCF_PostDivPostADPostDebtPostBuyback" localSheetId="4">#REF!</definedName>
    <definedName name="MO_CFSum_FCF_PostDivPostADPostDebtPostBuyback" localSheetId="0">#REF!</definedName>
    <definedName name="MO_CFSum_FCF_PostDivPostADPostDebtPostBuyback">Model!$683:$683</definedName>
    <definedName name="MO_CFSum_FCF_PostDivPreAD" localSheetId="5">#REF!</definedName>
    <definedName name="MO_CFSum_FCF_PostDivPreAD" localSheetId="2">#REF!</definedName>
    <definedName name="MO_CFSum_FCF_PostDivPreAD" localSheetId="3">#REF!</definedName>
    <definedName name="MO_CFSum_FCF_PostDivPreAD" localSheetId="7">#REF!</definedName>
    <definedName name="MO_CFSum_FCF_PostDivPreAD" localSheetId="6">#REF!</definedName>
    <definedName name="MO_CFSum_FCF_PostDivPreAD" localSheetId="1">#REF!</definedName>
    <definedName name="MO_CFSum_FCF_PostDivPreAD" localSheetId="9">#REF!</definedName>
    <definedName name="MO_CFSum_FCF_PostDivPreAD" localSheetId="4">#REF!</definedName>
    <definedName name="MO_CFSum_FCF_PostDivPreAD" localSheetId="0">#REF!</definedName>
    <definedName name="MO_CFSum_FCF_PostDivPreAD">Model!$681:$681</definedName>
    <definedName name="MO_CFSum_FCF_PostWCPostDivPostAD" localSheetId="5">#REF!</definedName>
    <definedName name="MO_CFSum_FCF_PostWCPostDivPostAD" localSheetId="2">#REF!</definedName>
    <definedName name="MO_CFSum_FCF_PostWCPostDivPostAD" localSheetId="3">#REF!</definedName>
    <definedName name="MO_CFSum_FCF_PostWCPostDivPostAD" localSheetId="7">#REF!</definedName>
    <definedName name="MO_CFSum_FCF_PostWCPostDivPostAD" localSheetId="6">#REF!</definedName>
    <definedName name="MO_CFSum_FCF_PostWCPostDivPostAD" localSheetId="1">#REF!</definedName>
    <definedName name="MO_CFSum_FCF_PostWCPostDivPostAD" localSheetId="9">#REF!</definedName>
    <definedName name="MO_CFSum_FCF_PostWCPostDivPostAD" localSheetId="4">#REF!</definedName>
    <definedName name="MO_CFSum_FCF_PostWCPostDivPostAD" localSheetId="0">#REF!</definedName>
    <definedName name="MO_CFSum_FCF_PostWCPostDivPostAD">Model!$686:$686</definedName>
    <definedName name="MO_CFSum_FCF_PostWCPostDivPostADPostDebtPostBuyback" localSheetId="5">#REF!</definedName>
    <definedName name="MO_CFSum_FCF_PostWCPostDivPostADPostDebtPostBuyback" localSheetId="2">#REF!</definedName>
    <definedName name="MO_CFSum_FCF_PostWCPostDivPostADPostDebtPostBuyback" localSheetId="3">#REF!</definedName>
    <definedName name="MO_CFSum_FCF_PostWCPostDivPostADPostDebtPostBuyback" localSheetId="7">#REF!</definedName>
    <definedName name="MO_CFSum_FCF_PostWCPostDivPostADPostDebtPostBuyback" localSheetId="6">#REF!</definedName>
    <definedName name="MO_CFSum_FCF_PostWCPostDivPostADPostDebtPostBuyback" localSheetId="1">#REF!</definedName>
    <definedName name="MO_CFSum_FCF_PostWCPostDivPostADPostDebtPostBuyback" localSheetId="9">#REF!</definedName>
    <definedName name="MO_CFSum_FCF_PostWCPostDivPostADPostDebtPostBuyback" localSheetId="4">#REF!</definedName>
    <definedName name="MO_CFSum_FCF_PostWCPostDivPostADPostDebtPostBuyback" localSheetId="0">#REF!</definedName>
    <definedName name="MO_CFSum_FCF_PostWCPostDivPostADPostDebtPostBuyback">Model!$687:$687</definedName>
    <definedName name="MO_CFSum_FCF_PostWCPostDivPreAD" localSheetId="5">#REF!</definedName>
    <definedName name="MO_CFSum_FCF_PostWCPostDivPreAD" localSheetId="2">#REF!</definedName>
    <definedName name="MO_CFSum_FCF_PostWCPostDivPreAD" localSheetId="3">#REF!</definedName>
    <definedName name="MO_CFSum_FCF_PostWCPostDivPreAD" localSheetId="7">#REF!</definedName>
    <definedName name="MO_CFSum_FCF_PostWCPostDivPreAD" localSheetId="6">#REF!</definedName>
    <definedName name="MO_CFSum_FCF_PostWCPostDivPreAD" localSheetId="1">#REF!</definedName>
    <definedName name="MO_CFSum_FCF_PostWCPostDivPreAD" localSheetId="9">#REF!</definedName>
    <definedName name="MO_CFSum_FCF_PostWCPostDivPreAD" localSheetId="4">#REF!</definedName>
    <definedName name="MO_CFSum_FCF_PostWCPostDivPreAD" localSheetId="0">#REF!</definedName>
    <definedName name="MO_CFSum_FCF_PostWCPostDivPreAD">Model!$685:$685</definedName>
    <definedName name="MO_CFSum_FCF_PostWCPreDiv" localSheetId="5">#REF!</definedName>
    <definedName name="MO_CFSum_FCF_PostWCPreDiv" localSheetId="2">#REF!</definedName>
    <definedName name="MO_CFSum_FCF_PostWCPreDiv" localSheetId="3">#REF!</definedName>
    <definedName name="MO_CFSum_FCF_PostWCPreDiv" localSheetId="7">#REF!</definedName>
    <definedName name="MO_CFSum_FCF_PostWCPreDiv" localSheetId="6">#REF!</definedName>
    <definedName name="MO_CFSum_FCF_PostWCPreDiv" localSheetId="1">#REF!</definedName>
    <definedName name="MO_CFSum_FCF_PostWCPreDiv" localSheetId="9">#REF!</definedName>
    <definedName name="MO_CFSum_FCF_PostWCPreDiv" localSheetId="4">#REF!</definedName>
    <definedName name="MO_CFSum_FCF_PostWCPreDiv" localSheetId="0">#REF!</definedName>
    <definedName name="MO_CFSum_FCF_PostWCPreDiv">Model!$684:$684</definedName>
    <definedName name="MO_CFSum_FCF_PreDiv" localSheetId="5">#REF!</definedName>
    <definedName name="MO_CFSum_FCF_PreDiv" localSheetId="2">#REF!</definedName>
    <definedName name="MO_CFSum_FCF_PreDiv" localSheetId="3">#REF!</definedName>
    <definedName name="MO_CFSum_FCF_PreDiv" localSheetId="7">#REF!</definedName>
    <definedName name="MO_CFSum_FCF_PreDiv" localSheetId="6">#REF!</definedName>
    <definedName name="MO_CFSum_FCF_PreDiv" localSheetId="1">#REF!</definedName>
    <definedName name="MO_CFSum_FCF_PreDiv" localSheetId="9">#REF!</definedName>
    <definedName name="MO_CFSum_FCF_PreDiv" localSheetId="4">#REF!</definedName>
    <definedName name="MO_CFSum_FCF_PreDiv" localSheetId="0">#REF!</definedName>
    <definedName name="MO_CFSum_FCF_PreDiv">Model!$680:$680</definedName>
    <definedName name="MO_CFSum_NetDebtIssuance" localSheetId="5">#REF!</definedName>
    <definedName name="MO_CFSum_NetDebtIssuance" localSheetId="2">#REF!</definedName>
    <definedName name="MO_CFSum_NetDebtIssuance" localSheetId="3">#REF!</definedName>
    <definedName name="MO_CFSum_NetDebtIssuance" localSheetId="7">#REF!</definedName>
    <definedName name="MO_CFSum_NetDebtIssuance" localSheetId="6">#REF!</definedName>
    <definedName name="MO_CFSum_NetDebtIssuance" localSheetId="1">#REF!</definedName>
    <definedName name="MO_CFSum_NetDebtIssuance" localSheetId="9">#REF!</definedName>
    <definedName name="MO_CFSum_NetDebtIssuance" localSheetId="4">#REF!</definedName>
    <definedName name="MO_CFSum_NetDebtIssuance" localSheetId="0">#REF!</definedName>
    <definedName name="MO_CFSum_NetDebtIssuance">Model!$673:$673</definedName>
    <definedName name="MO_CFSum_NetDebtIssuance_Convertible">#REF!</definedName>
    <definedName name="MO_CFSum_NetDebtIssuance_NonConvertible">#REF!</definedName>
    <definedName name="MO_CFSum_NetShares" localSheetId="5">#REF!</definedName>
    <definedName name="MO_CFSum_NetShares" localSheetId="2">#REF!</definedName>
    <definedName name="MO_CFSum_NetShares" localSheetId="3">#REF!</definedName>
    <definedName name="MO_CFSum_NetShares" localSheetId="7">#REF!</definedName>
    <definedName name="MO_CFSum_NetShares" localSheetId="6">#REF!</definedName>
    <definedName name="MO_CFSum_NetShares" localSheetId="1">#REF!</definedName>
    <definedName name="MO_CFSum_NetShares" localSheetId="9">#REF!</definedName>
    <definedName name="MO_CFSum_NetShares" localSheetId="4">#REF!</definedName>
    <definedName name="MO_CFSum_NetShares" localSheetId="0">#REF!</definedName>
    <definedName name="MO_CFSum_NetShares">Model!$674:$674</definedName>
    <definedName name="MO_CFSum_NetShares_Price" localSheetId="5">#REF!</definedName>
    <definedName name="MO_CFSum_NetShares_Price" localSheetId="2">#REF!</definedName>
    <definedName name="MO_CFSum_NetShares_Price" localSheetId="3">#REF!</definedName>
    <definedName name="MO_CFSum_NetShares_Price" localSheetId="7">#REF!</definedName>
    <definedName name="MO_CFSum_NetShares_Price" localSheetId="6">#REF!</definedName>
    <definedName name="MO_CFSum_NetShares_Price" localSheetId="1">#REF!</definedName>
    <definedName name="MO_CFSum_NetShares_Price" localSheetId="9">#REF!</definedName>
    <definedName name="MO_CFSum_NetShares_Price" localSheetId="4">#REF!</definedName>
    <definedName name="MO_CFSum_NetShares_Price" localSheetId="0">#REF!</definedName>
    <definedName name="MO_CFSum_NetShares_Price">Model!$675:$675</definedName>
    <definedName name="MO_CFSum_SBC" localSheetId="5">#REF!</definedName>
    <definedName name="MO_CFSum_SBC" localSheetId="2">#REF!</definedName>
    <definedName name="MO_CFSum_SBC" localSheetId="3">#REF!</definedName>
    <definedName name="MO_CFSum_SBC" localSheetId="7">#REF!</definedName>
    <definedName name="MO_CFSum_SBC" localSheetId="6">#REF!</definedName>
    <definedName name="MO_CFSum_SBC" localSheetId="1">#REF!</definedName>
    <definedName name="MO_CFSum_SBC" localSheetId="9">#REF!</definedName>
    <definedName name="MO_CFSum_SBC" localSheetId="4">#REF!</definedName>
    <definedName name="MO_CFSum_SBC" localSheetId="0">#REF!</definedName>
    <definedName name="MO_CFSum_SBC">Model!$677:$677</definedName>
    <definedName name="MO_CFSum_SBC_Margin" localSheetId="5">#REF!</definedName>
    <definedName name="MO_CFSum_SBC_Margin" localSheetId="2">#REF!</definedName>
    <definedName name="MO_CFSum_SBC_Margin" localSheetId="3">#REF!</definedName>
    <definedName name="MO_CFSum_SBC_Margin" localSheetId="7">#REF!</definedName>
    <definedName name="MO_CFSum_SBC_Margin" localSheetId="6">#REF!</definedName>
    <definedName name="MO_CFSum_SBC_Margin" localSheetId="1">#REF!</definedName>
    <definedName name="MO_CFSum_SBC_Margin" localSheetId="9">#REF!</definedName>
    <definedName name="MO_CFSum_SBC_Margin" localSheetId="4">#REF!</definedName>
    <definedName name="MO_CFSum_SBC_Margin" localSheetId="0">#REF!</definedName>
    <definedName name="MO_CFSum_SBC_Margin">Model!$678:$678</definedName>
    <definedName name="MO_Checks_Bottom" localSheetId="5">#REF!</definedName>
    <definedName name="MO_Checks_Bottom" localSheetId="2">#REF!</definedName>
    <definedName name="MO_Checks_Bottom" localSheetId="3">#REF!</definedName>
    <definedName name="MO_Checks_Bottom" localSheetId="7">#REF!</definedName>
    <definedName name="MO_Checks_Bottom" localSheetId="6">#REF!</definedName>
    <definedName name="MO_Checks_Bottom" localSheetId="1">#REF!</definedName>
    <definedName name="MO_Checks_Bottom" localSheetId="9">#REF!</definedName>
    <definedName name="MO_Checks_Bottom" localSheetId="4">#REF!</definedName>
    <definedName name="MO_Checks_Bottom" localSheetId="0">#REF!</definedName>
    <definedName name="MO_Checks_Bottom">Model!$BH$958:$CC$978</definedName>
    <definedName name="MO_Checks_BS" localSheetId="5">#REF!</definedName>
    <definedName name="MO_Checks_BS" localSheetId="2">#REF!</definedName>
    <definedName name="MO_Checks_BS" localSheetId="3">#REF!</definedName>
    <definedName name="MO_Checks_BS" localSheetId="7">#REF!</definedName>
    <definedName name="MO_Checks_BS" localSheetId="6">#REF!</definedName>
    <definedName name="MO_Checks_BS" localSheetId="1">#REF!</definedName>
    <definedName name="MO_Checks_BS" localSheetId="9">#REF!</definedName>
    <definedName name="MO_Checks_BS" localSheetId="4">#REF!</definedName>
    <definedName name="MO_Checks_BS" localSheetId="0">#REF!</definedName>
    <definedName name="MO_Checks_BS">Model!$955:$955</definedName>
    <definedName name="MO_Checks_CF" localSheetId="5">#REF!</definedName>
    <definedName name="MO_Checks_CF" localSheetId="2">#REF!</definedName>
    <definedName name="MO_Checks_CF" localSheetId="3">#REF!</definedName>
    <definedName name="MO_Checks_CF" localSheetId="7">#REF!</definedName>
    <definedName name="MO_Checks_CF" localSheetId="6">#REF!</definedName>
    <definedName name="MO_Checks_CF" localSheetId="1">#REF!</definedName>
    <definedName name="MO_Checks_CF" localSheetId="9">#REF!</definedName>
    <definedName name="MO_Checks_CF" localSheetId="4">#REF!</definedName>
    <definedName name="MO_Checks_CF" localSheetId="0">#REF!</definedName>
    <definedName name="MO_Checks_CF">Model!$870:$870</definedName>
    <definedName name="MO_Checks_IS" localSheetId="5">#REF!</definedName>
    <definedName name="MO_Checks_IS" localSheetId="2">#REF!</definedName>
    <definedName name="MO_Checks_IS" localSheetId="3">#REF!</definedName>
    <definedName name="MO_Checks_IS" localSheetId="7">#REF!</definedName>
    <definedName name="MO_Checks_IS" localSheetId="6">#REF!</definedName>
    <definedName name="MO_Checks_IS" localSheetId="1">#REF!</definedName>
    <definedName name="MO_Checks_IS" localSheetId="9">#REF!</definedName>
    <definedName name="MO_Checks_IS" localSheetId="4">#REF!</definedName>
    <definedName name="MO_Checks_IS" localSheetId="0">#REF!</definedName>
    <definedName name="MO_Checks_IS">Model!$357:$357</definedName>
    <definedName name="MO_Common_Column_A" localSheetId="5">#REF!</definedName>
    <definedName name="MO_Common_Column_A" localSheetId="2">#REF!</definedName>
    <definedName name="MO_Common_Column_A" localSheetId="3">#REF!</definedName>
    <definedName name="MO_Common_Column_A" localSheetId="7">#REF!</definedName>
    <definedName name="MO_Common_Column_A" localSheetId="6">#REF!</definedName>
    <definedName name="MO_Common_Column_A" localSheetId="1">#REF!</definedName>
    <definedName name="MO_Common_Column_A" localSheetId="9">#REF!</definedName>
    <definedName name="MO_Common_Column_A" localSheetId="4">#REF!</definedName>
    <definedName name="MO_Common_Column_A" localSheetId="0">#REF!</definedName>
    <definedName name="MO_Common_Column_A">Model!$A:$A</definedName>
    <definedName name="MO_Common_Column_B" localSheetId="5">#REF!</definedName>
    <definedName name="MO_Common_Column_B" localSheetId="2">#REF!</definedName>
    <definedName name="MO_Common_Column_B" localSheetId="3">#REF!</definedName>
    <definedName name="MO_Common_Column_B" localSheetId="7">#REF!</definedName>
    <definedName name="MO_Common_Column_B" localSheetId="6">#REF!</definedName>
    <definedName name="MO_Common_Column_B" localSheetId="1">#REF!</definedName>
    <definedName name="MO_Common_Column_B" localSheetId="9">#REF!</definedName>
    <definedName name="MO_Common_Column_B" localSheetId="4">#REF!</definedName>
    <definedName name="MO_Common_Column_B" localSheetId="0">#REF!</definedName>
    <definedName name="MO_Common_Column_B">Model!$B:$B</definedName>
    <definedName name="MO_Common_ColumnHeader" localSheetId="5">#REF!</definedName>
    <definedName name="MO_Common_ColumnHeader" localSheetId="2">#REF!</definedName>
    <definedName name="MO_Common_ColumnHeader" localSheetId="3">#REF!</definedName>
    <definedName name="MO_Common_ColumnHeader" localSheetId="7">#REF!</definedName>
    <definedName name="MO_Common_ColumnHeader" localSheetId="6">#REF!</definedName>
    <definedName name="MO_Common_ColumnHeader" localSheetId="1">#REF!</definedName>
    <definedName name="MO_Common_ColumnHeader" localSheetId="9">#REF!</definedName>
    <definedName name="MO_Common_ColumnHeader" localSheetId="4">#REF!</definedName>
    <definedName name="MO_Common_ColumnHeader" localSheetId="0">#REF!</definedName>
    <definedName name="MO_Common_ColumnHeader">Model!$5:$5</definedName>
    <definedName name="MO_Common_CompanySubtitle" localSheetId="5">#REF!</definedName>
    <definedName name="MO_Common_CompanySubtitle" localSheetId="2">#REF!</definedName>
    <definedName name="MO_Common_CompanySubtitle" localSheetId="3">#REF!</definedName>
    <definedName name="MO_Common_CompanySubtitle" localSheetId="7">#REF!</definedName>
    <definedName name="MO_Common_CompanySubtitle" localSheetId="6">#REF!</definedName>
    <definedName name="MO_Common_CompanySubtitle" localSheetId="1">#REF!</definedName>
    <definedName name="MO_Common_CompanySubtitle" localSheetId="9">#REF!</definedName>
    <definedName name="MO_Common_CompanySubtitle" localSheetId="4">#REF!</definedName>
    <definedName name="MO_Common_CompanySubtitle" localSheetId="0">#REF!</definedName>
    <definedName name="MO_Common_CompanySubtitle">Model!$2:$2</definedName>
    <definedName name="MO_Common_CompanyTitle" localSheetId="5">#REF!</definedName>
    <definedName name="MO_Common_CompanyTitle" localSheetId="2">#REF!</definedName>
    <definedName name="MO_Common_CompanyTitle" localSheetId="3">#REF!</definedName>
    <definedName name="MO_Common_CompanyTitle" localSheetId="7">#REF!</definedName>
    <definedName name="MO_Common_CompanyTitle" localSheetId="6">#REF!</definedName>
    <definedName name="MO_Common_CompanyTitle" localSheetId="1">#REF!</definedName>
    <definedName name="MO_Common_CompanyTitle" localSheetId="9">#REF!</definedName>
    <definedName name="MO_Common_CompanyTitle" localSheetId="4">#REF!</definedName>
    <definedName name="MO_Common_CompanyTitle" localSheetId="0">#REF!</definedName>
    <definedName name="MO_Common_CompanyTitle">Model!$1:$1</definedName>
    <definedName name="MO_Common_FPDays" localSheetId="5">#REF!</definedName>
    <definedName name="MO_Common_FPDays" localSheetId="2">#REF!</definedName>
    <definedName name="MO_Common_FPDays" localSheetId="3">#REF!</definedName>
    <definedName name="MO_Common_FPDays" localSheetId="7">#REF!</definedName>
    <definedName name="MO_Common_FPDays" localSheetId="6">#REF!</definedName>
    <definedName name="MO_Common_FPDays" localSheetId="1">#REF!</definedName>
    <definedName name="MO_Common_FPDays" localSheetId="9">#REF!</definedName>
    <definedName name="MO_Common_FPDays" localSheetId="4">#REF!</definedName>
    <definedName name="MO_Common_FPDays" localSheetId="0">#REF!</definedName>
    <definedName name="MO_Common_FPDays">Model!$3:$3</definedName>
    <definedName name="MO_Common_QEndDate" localSheetId="5">#REF!</definedName>
    <definedName name="MO_Common_QEndDate" localSheetId="2">#REF!</definedName>
    <definedName name="MO_Common_QEndDate" localSheetId="3">#REF!</definedName>
    <definedName name="MO_Common_QEndDate" localSheetId="7">#REF!</definedName>
    <definedName name="MO_Common_QEndDate" localSheetId="6">#REF!</definedName>
    <definedName name="MO_Common_QEndDate" localSheetId="1">#REF!</definedName>
    <definedName name="MO_Common_QEndDate" localSheetId="9">#REF!</definedName>
    <definedName name="MO_Common_QEndDate" localSheetId="4">#REF!</definedName>
    <definedName name="MO_Common_QEndDate" localSheetId="0">#REF!</definedName>
    <definedName name="MO_Common_QEndDate">Model!$4:$4</definedName>
    <definedName name="MO_Common_QEndDate_LWD" localSheetId="5">#REF!</definedName>
    <definedName name="MO_Common_QEndDate_LWD" localSheetId="2">#REF!</definedName>
    <definedName name="MO_Common_QEndDate_LWD" localSheetId="3">#REF!</definedName>
    <definedName name="MO_Common_QEndDate_LWD" localSheetId="7">#REF!</definedName>
    <definedName name="MO_Common_QEndDate_LWD" localSheetId="6">#REF!</definedName>
    <definedName name="MO_Common_QEndDate_LWD" localSheetId="1">#REF!</definedName>
    <definedName name="MO_Common_QEndDate_LWD" localSheetId="9">#REF!</definedName>
    <definedName name="MO_Common_QEndDate_LWD" localSheetId="4">#REF!</definedName>
    <definedName name="MO_Common_QEndDate_LWD" localSheetId="0">#REF!</definedName>
    <definedName name="MO_Common_QEndDate_LWD">Model!$1102:$1102</definedName>
    <definedName name="MO_DAF_A" localSheetId="5">#REF!</definedName>
    <definedName name="MO_DAF_A" localSheetId="2">#REF!</definedName>
    <definedName name="MO_DAF_A" localSheetId="3">#REF!</definedName>
    <definedName name="MO_DAF_A" localSheetId="7">#REF!</definedName>
    <definedName name="MO_DAF_A" localSheetId="6">#REF!</definedName>
    <definedName name="MO_DAF_A" localSheetId="1">#REF!</definedName>
    <definedName name="MO_DAF_A" localSheetId="9">#REF!</definedName>
    <definedName name="MO_DAF_A" localSheetId="4">#REF!</definedName>
    <definedName name="MO_DAF_A" localSheetId="0">#REF!</definedName>
    <definedName name="MO_DAF_A">Model!$887:$887</definedName>
    <definedName name="MO_DAF_A_Percentage" localSheetId="5">#REF!</definedName>
    <definedName name="MO_DAF_A_Percentage" localSheetId="2">#REF!</definedName>
    <definedName name="MO_DAF_A_Percentage" localSheetId="3">#REF!</definedName>
    <definedName name="MO_DAF_A_Percentage" localSheetId="7">#REF!</definedName>
    <definedName name="MO_DAF_A_Percentage" localSheetId="6">#REF!</definedName>
    <definedName name="MO_DAF_A_Percentage" localSheetId="1">#REF!</definedName>
    <definedName name="MO_DAF_A_Percentage" localSheetId="9">#REF!</definedName>
    <definedName name="MO_DAF_A_Percentage" localSheetId="4">#REF!</definedName>
    <definedName name="MO_DAF_A_Percentage" localSheetId="0">#REF!</definedName>
    <definedName name="MO_DAF_A_Percentage">Model!$893:$893</definedName>
    <definedName name="MO_DAF_Capex" localSheetId="5">#REF!</definedName>
    <definedName name="MO_DAF_Capex" localSheetId="2">#REF!</definedName>
    <definedName name="MO_DAF_Capex" localSheetId="3">#REF!</definedName>
    <definedName name="MO_DAF_Capex" localSheetId="7">#REF!</definedName>
    <definedName name="MO_DAF_Capex" localSheetId="6">#REF!</definedName>
    <definedName name="MO_DAF_Capex" localSheetId="1">#REF!</definedName>
    <definedName name="MO_DAF_Capex" localSheetId="9">#REF!</definedName>
    <definedName name="MO_DAF_Capex" localSheetId="4">#REF!</definedName>
    <definedName name="MO_DAF_Capex" localSheetId="0">#REF!</definedName>
    <definedName name="MO_DAF_Capex">Model!$898:$898</definedName>
    <definedName name="MO_DAF_D" localSheetId="5">#REF!</definedName>
    <definedName name="MO_DAF_D" localSheetId="2">#REF!</definedName>
    <definedName name="MO_DAF_D" localSheetId="3">#REF!</definedName>
    <definedName name="MO_DAF_D" localSheetId="7">#REF!</definedName>
    <definedName name="MO_DAF_D" localSheetId="6">#REF!</definedName>
    <definedName name="MO_DAF_D" localSheetId="1">#REF!</definedName>
    <definedName name="MO_DAF_D" localSheetId="9">#REF!</definedName>
    <definedName name="MO_DAF_D" localSheetId="4">#REF!</definedName>
    <definedName name="MO_DAF_D" localSheetId="0">#REF!</definedName>
    <definedName name="MO_DAF_D">Model!$881:$881</definedName>
    <definedName name="MO_DAF_D_Percentage" localSheetId="5">#REF!</definedName>
    <definedName name="MO_DAF_D_Percentage" localSheetId="2">#REF!</definedName>
    <definedName name="MO_DAF_D_Percentage" localSheetId="3">#REF!</definedName>
    <definedName name="MO_DAF_D_Percentage" localSheetId="7">#REF!</definedName>
    <definedName name="MO_DAF_D_Percentage" localSheetId="6">#REF!</definedName>
    <definedName name="MO_DAF_D_Percentage" localSheetId="1">#REF!</definedName>
    <definedName name="MO_DAF_D_Percentage" localSheetId="9">#REF!</definedName>
    <definedName name="MO_DAF_D_Percentage" localSheetId="4">#REF!</definedName>
    <definedName name="MO_DAF_D_Percentage" localSheetId="0">#REF!</definedName>
    <definedName name="MO_DAF_D_Percentage">Model!$892:$892</definedName>
    <definedName name="MO_DAF_DA" localSheetId="5">#REF!</definedName>
    <definedName name="MO_DAF_DA" localSheetId="2">#REF!</definedName>
    <definedName name="MO_DAF_DA" localSheetId="3">#REF!</definedName>
    <definedName name="MO_DAF_DA" localSheetId="7">#REF!</definedName>
    <definedName name="MO_DAF_DA" localSheetId="6">#REF!</definedName>
    <definedName name="MO_DAF_DA" localSheetId="1">#REF!</definedName>
    <definedName name="MO_DAF_DA" localSheetId="9">#REF!</definedName>
    <definedName name="MO_DAF_DA" localSheetId="4">#REF!</definedName>
    <definedName name="MO_DAF_DA" localSheetId="0">#REF!</definedName>
    <definedName name="MO_DAF_DA">Model!$897:$897</definedName>
    <definedName name="MO_DAF_Intangibles_BoP" localSheetId="5">#REF!</definedName>
    <definedName name="MO_DAF_Intangibles_BoP" localSheetId="2">#REF!</definedName>
    <definedName name="MO_DAF_Intangibles_BoP" localSheetId="3">#REF!</definedName>
    <definedName name="MO_DAF_Intangibles_BoP" localSheetId="7">#REF!</definedName>
    <definedName name="MO_DAF_Intangibles_BoP" localSheetId="6">#REF!</definedName>
    <definedName name="MO_DAF_Intangibles_BoP" localSheetId="1">#REF!</definedName>
    <definedName name="MO_DAF_Intangibles_BoP" localSheetId="9">#REF!</definedName>
    <definedName name="MO_DAF_Intangibles_BoP" localSheetId="4">#REF!</definedName>
    <definedName name="MO_DAF_Intangibles_BoP" localSheetId="0">#REF!</definedName>
    <definedName name="MO_DAF_Intangibles_BoP">Model!$886:$886</definedName>
    <definedName name="MO_DAF_Intangibles_Capex" localSheetId="5">#REF!</definedName>
    <definedName name="MO_DAF_Intangibles_Capex" localSheetId="2">#REF!</definedName>
    <definedName name="MO_DAF_Intangibles_Capex" localSheetId="3">#REF!</definedName>
    <definedName name="MO_DAF_Intangibles_Capex" localSheetId="7">#REF!</definedName>
    <definedName name="MO_DAF_Intangibles_Capex" localSheetId="6">#REF!</definedName>
    <definedName name="MO_DAF_Intangibles_Capex" localSheetId="1">#REF!</definedName>
    <definedName name="MO_DAF_Intangibles_Capex" localSheetId="9">#REF!</definedName>
    <definedName name="MO_DAF_Intangibles_Capex" localSheetId="4">#REF!</definedName>
    <definedName name="MO_DAF_Intangibles_Capex" localSheetId="0">#REF!</definedName>
    <definedName name="MO_DAF_Intangibles_Capex">Model!$888:$888</definedName>
    <definedName name="MO_DAF_Intangibles_Capex_Percent" localSheetId="5">#REF!</definedName>
    <definedName name="MO_DAF_Intangibles_Capex_Percent" localSheetId="2">#REF!</definedName>
    <definedName name="MO_DAF_Intangibles_Capex_Percent" localSheetId="3">#REF!</definedName>
    <definedName name="MO_DAF_Intangibles_Capex_Percent" localSheetId="7">#REF!</definedName>
    <definedName name="MO_DAF_Intangibles_Capex_Percent" localSheetId="6">#REF!</definedName>
    <definedName name="MO_DAF_Intangibles_Capex_Percent" localSheetId="1">#REF!</definedName>
    <definedName name="MO_DAF_Intangibles_Capex_Percent" localSheetId="9">#REF!</definedName>
    <definedName name="MO_DAF_Intangibles_Capex_Percent" localSheetId="4">#REF!</definedName>
    <definedName name="MO_DAF_Intangibles_Capex_Percent" localSheetId="0">#REF!</definedName>
    <definedName name="MO_DAF_Intangibles_Capex_Percent">Model!$899:$899</definedName>
    <definedName name="MO_DAF_Intangibles_EoP" localSheetId="5">#REF!</definedName>
    <definedName name="MO_DAF_Intangibles_EoP" localSheetId="2">#REF!</definedName>
    <definedName name="MO_DAF_Intangibles_EoP" localSheetId="3">#REF!</definedName>
    <definedName name="MO_DAF_Intangibles_EoP" localSheetId="7">#REF!</definedName>
    <definedName name="MO_DAF_Intangibles_EoP" localSheetId="6">#REF!</definedName>
    <definedName name="MO_DAF_Intangibles_EoP" localSheetId="1">#REF!</definedName>
    <definedName name="MO_DAF_Intangibles_EoP" localSheetId="9">#REF!</definedName>
    <definedName name="MO_DAF_Intangibles_EoP" localSheetId="4">#REF!</definedName>
    <definedName name="MO_DAF_Intangibles_EoP" localSheetId="0">#REF!</definedName>
    <definedName name="MO_DAF_Intangibles_EoP">Model!$890:$890</definedName>
    <definedName name="MO_DAF_Intangibles_Life" localSheetId="5">#REF!</definedName>
    <definedName name="MO_DAF_Intangibles_Life" localSheetId="2">#REF!</definedName>
    <definedName name="MO_DAF_Intangibles_Life" localSheetId="3">#REF!</definedName>
    <definedName name="MO_DAF_Intangibles_Life" localSheetId="7">#REF!</definedName>
    <definedName name="MO_DAF_Intangibles_Life" localSheetId="6">#REF!</definedName>
    <definedName name="MO_DAF_Intangibles_Life" localSheetId="1">#REF!</definedName>
    <definedName name="MO_DAF_Intangibles_Life" localSheetId="9">#REF!</definedName>
    <definedName name="MO_DAF_Intangibles_Life" localSheetId="4">#REF!</definedName>
    <definedName name="MO_DAF_Intangibles_Life" localSheetId="0">#REF!</definedName>
    <definedName name="MO_DAF_Intangibles_Life">Model!$895:$895</definedName>
    <definedName name="MO_DAF_Intangibles_Other" localSheetId="5">#REF!</definedName>
    <definedName name="MO_DAF_Intangibles_Other" localSheetId="2">#REF!</definedName>
    <definedName name="MO_DAF_Intangibles_Other" localSheetId="3">#REF!</definedName>
    <definedName name="MO_DAF_Intangibles_Other" localSheetId="7">#REF!</definedName>
    <definedName name="MO_DAF_Intangibles_Other" localSheetId="6">#REF!</definedName>
    <definedName name="MO_DAF_Intangibles_Other" localSheetId="1">#REF!</definedName>
    <definedName name="MO_DAF_Intangibles_Other" localSheetId="9">#REF!</definedName>
    <definedName name="MO_DAF_Intangibles_Other" localSheetId="4">#REF!</definedName>
    <definedName name="MO_DAF_Intangibles_Other" localSheetId="0">#REF!</definedName>
    <definedName name="MO_DAF_Intangibles_Other">Model!$889:$889</definedName>
    <definedName name="MO_DAF_PPE_BoP" localSheetId="5">#REF!</definedName>
    <definedName name="MO_DAF_PPE_BoP" localSheetId="2">#REF!</definedName>
    <definedName name="MO_DAF_PPE_BoP" localSheetId="3">#REF!</definedName>
    <definedName name="MO_DAF_PPE_BoP" localSheetId="7">#REF!</definedName>
    <definedName name="MO_DAF_PPE_BoP" localSheetId="6">#REF!</definedName>
    <definedName name="MO_DAF_PPE_BoP" localSheetId="1">#REF!</definedName>
    <definedName name="MO_DAF_PPE_BoP" localSheetId="9">#REF!</definedName>
    <definedName name="MO_DAF_PPE_BoP" localSheetId="4">#REF!</definedName>
    <definedName name="MO_DAF_PPE_BoP" localSheetId="0">#REF!</definedName>
    <definedName name="MO_DAF_PPE_BoP">Model!$880:$880</definedName>
    <definedName name="MO_DAF_PPE_Capex" localSheetId="5">#REF!</definedName>
    <definedName name="MO_DAF_PPE_Capex" localSheetId="2">#REF!</definedName>
    <definedName name="MO_DAF_PPE_Capex" localSheetId="3">#REF!</definedName>
    <definedName name="MO_DAF_PPE_Capex" localSheetId="7">#REF!</definedName>
    <definedName name="MO_DAF_PPE_Capex" localSheetId="6">#REF!</definedName>
    <definedName name="MO_DAF_PPE_Capex" localSheetId="1">#REF!</definedName>
    <definedName name="MO_DAF_PPE_Capex" localSheetId="9">#REF!</definedName>
    <definedName name="MO_DAF_PPE_Capex" localSheetId="4">#REF!</definedName>
    <definedName name="MO_DAF_PPE_Capex" localSheetId="0">#REF!</definedName>
    <definedName name="MO_DAF_PPE_Capex">Model!$882:$882</definedName>
    <definedName name="MO_DAF_PPE_EoP" localSheetId="5">#REF!</definedName>
    <definedName name="MO_DAF_PPE_EoP" localSheetId="2">#REF!</definedName>
    <definedName name="MO_DAF_PPE_EoP" localSheetId="3">#REF!</definedName>
    <definedName name="MO_DAF_PPE_EoP" localSheetId="7">#REF!</definedName>
    <definedName name="MO_DAF_PPE_EoP" localSheetId="6">#REF!</definedName>
    <definedName name="MO_DAF_PPE_EoP" localSheetId="1">#REF!</definedName>
    <definedName name="MO_DAF_PPE_EoP" localSheetId="9">#REF!</definedName>
    <definedName name="MO_DAF_PPE_EoP" localSheetId="4">#REF!</definedName>
    <definedName name="MO_DAF_PPE_EoP" localSheetId="0">#REF!</definedName>
    <definedName name="MO_DAF_PPE_EoP">Model!$884:$884</definedName>
    <definedName name="MO_DAF_PPE_Life" localSheetId="5">#REF!</definedName>
    <definedName name="MO_DAF_PPE_Life" localSheetId="2">#REF!</definedName>
    <definedName name="MO_DAF_PPE_Life" localSheetId="3">#REF!</definedName>
    <definedName name="MO_DAF_PPE_Life" localSheetId="7">#REF!</definedName>
    <definedName name="MO_DAF_PPE_Life" localSheetId="6">#REF!</definedName>
    <definedName name="MO_DAF_PPE_Life" localSheetId="1">#REF!</definedName>
    <definedName name="MO_DAF_PPE_Life" localSheetId="9">#REF!</definedName>
    <definedName name="MO_DAF_PPE_Life" localSheetId="4">#REF!</definedName>
    <definedName name="MO_DAF_PPE_Life" localSheetId="0">#REF!</definedName>
    <definedName name="MO_DAF_PPE_Life">Model!$894:$894</definedName>
    <definedName name="MO_DAF_PPE_Other" localSheetId="5">#REF!</definedName>
    <definedName name="MO_DAF_PPE_Other" localSheetId="2">#REF!</definedName>
    <definedName name="MO_DAF_PPE_Other" localSheetId="3">#REF!</definedName>
    <definedName name="MO_DAF_PPE_Other" localSheetId="7">#REF!</definedName>
    <definedName name="MO_DAF_PPE_Other" localSheetId="6">#REF!</definedName>
    <definedName name="MO_DAF_PPE_Other" localSheetId="1">#REF!</definedName>
    <definedName name="MO_DAF_PPE_Other" localSheetId="9">#REF!</definedName>
    <definedName name="MO_DAF_PPE_Other" localSheetId="4">#REF!</definedName>
    <definedName name="MO_DAF_PPE_Other" localSheetId="0">#REF!</definedName>
    <definedName name="MO_DAF_PPE_Other">Model!$883:$883</definedName>
    <definedName name="MO_GA_AdvertisingExpense">Model!$252:$252</definedName>
    <definedName name="MO_GA_EmployeeCount">Model!$245:$245</definedName>
    <definedName name="MO_GA_REV_ConstantCurrency">Model!$29:$29</definedName>
    <definedName name="MO_GA_SSS">#REF!</definedName>
    <definedName name="MO_GA_SSS_CompanyOwned">#REF!</definedName>
    <definedName name="MO_GA_SystemWideSales">#REF!</definedName>
    <definedName name="MO_GA_SystemWideSales_ExFX">#REF!</definedName>
    <definedName name="MO_GA_TotalRevenue" localSheetId="5">#REF!</definedName>
    <definedName name="MO_GA_TotalRevenue" localSheetId="2">#REF!</definedName>
    <definedName name="MO_GA_TotalRevenue" localSheetId="3">#REF!</definedName>
    <definedName name="MO_GA_TotalRevenue" localSheetId="7">#REF!</definedName>
    <definedName name="MO_GA_TotalRevenue" localSheetId="6">#REF!</definedName>
    <definedName name="MO_GA_TotalRevenue" localSheetId="1">#REF!</definedName>
    <definedName name="MO_GA_TotalRevenue" localSheetId="9">#REF!</definedName>
    <definedName name="MO_GA_TotalRevenue" localSheetId="4">#REF!</definedName>
    <definedName name="MO_GA_TotalRevenue" localSheetId="0">#REF!</definedName>
    <definedName name="MO_GA_TotalRevenue">Model!$28:$28</definedName>
    <definedName name="MO_GuidanceAnalysis_AllExpenses_FY" localSheetId="5">[1]Historicals!$639:$639</definedName>
    <definedName name="MO_GuidanceAnalysis_AllExpenses_FY" localSheetId="2">[1]Historicals!$639:$639</definedName>
    <definedName name="MO_GuidanceAnalysis_AllExpenses_FY" localSheetId="3">[1]Historicals!$639:$639</definedName>
    <definedName name="MO_GuidanceAnalysis_AllExpenses_FY" localSheetId="7">[1]Historicals!$639:$639</definedName>
    <definedName name="MO_GuidanceAnalysis_AllExpenses_FY" localSheetId="6">[1]Historicals!$639:$639</definedName>
    <definedName name="MO_GuidanceAnalysis_AllExpenses_FY" localSheetId="1">[1]Historicals!$639:$639</definedName>
    <definedName name="MO_GuidanceAnalysis_AllExpenses_FY" localSheetId="9">[1]Historicals!$639:$639</definedName>
    <definedName name="MO_GuidanceAnalysis_AllExpenses_FY" localSheetId="4">[1]Historicals!$639:$639</definedName>
    <definedName name="MO_GuidanceAnalysis_AllExpenses_FY" localSheetId="0">[1]Historicals!$639:$639</definedName>
    <definedName name="MO_GuidanceAnalysis_AllExpenses_FY">Model!$601:$601</definedName>
    <definedName name="MO_GuidanceAnalysis_AllExpenses_Q" localSheetId="5">[1]Historicals!$625:$625</definedName>
    <definedName name="MO_GuidanceAnalysis_AllExpenses_Q" localSheetId="2">[1]Historicals!$625:$625</definedName>
    <definedName name="MO_GuidanceAnalysis_AllExpenses_Q" localSheetId="3">[1]Historicals!$625:$625</definedName>
    <definedName name="MO_GuidanceAnalysis_AllExpenses_Q" localSheetId="7">[1]Historicals!$625:$625</definedName>
    <definedName name="MO_GuidanceAnalysis_AllExpenses_Q" localSheetId="6">[1]Historicals!$625:$625</definedName>
    <definedName name="MO_GuidanceAnalysis_AllExpenses_Q" localSheetId="1">[1]Historicals!$625:$625</definedName>
    <definedName name="MO_GuidanceAnalysis_AllExpenses_Q" localSheetId="9">[1]Historicals!$625:$625</definedName>
    <definedName name="MO_GuidanceAnalysis_AllExpenses_Q" localSheetId="4">[1]Historicals!$625:$625</definedName>
    <definedName name="MO_GuidanceAnalysis_AllExpenses_Q" localSheetId="0">[1]Historicals!$625:$625</definedName>
    <definedName name="MO_GuidanceAnalysis_AllExpenses_Q">Model!$587:$587</definedName>
    <definedName name="MO_GuidanceAnalysis_Capex_FY" localSheetId="5">[1]Historicals!$683:$683</definedName>
    <definedName name="MO_GuidanceAnalysis_Capex_FY" localSheetId="2">[1]Historicals!$683:$683</definedName>
    <definedName name="MO_GuidanceAnalysis_Capex_FY" localSheetId="3">[1]Historicals!$683:$683</definedName>
    <definedName name="MO_GuidanceAnalysis_Capex_FY" localSheetId="7">[1]Historicals!$683:$683</definedName>
    <definedName name="MO_GuidanceAnalysis_Capex_FY" localSheetId="6">[1]Historicals!$683:$683</definedName>
    <definedName name="MO_GuidanceAnalysis_Capex_FY" localSheetId="1">[1]Historicals!$683:$683</definedName>
    <definedName name="MO_GuidanceAnalysis_Capex_FY" localSheetId="9">[1]Historicals!$683:$683</definedName>
    <definedName name="MO_GuidanceAnalysis_Capex_FY" localSheetId="4">[1]Historicals!$683:$683</definedName>
    <definedName name="MO_GuidanceAnalysis_Capex_FY" localSheetId="0">[1]Historicals!$683:$683</definedName>
    <definedName name="MO_GuidanceAnalysis_Capex_FY">Model!$645:$645</definedName>
    <definedName name="MO_GuidanceAnalysis_Capex_Q" localSheetId="5">[1]Historicals!$669:$669</definedName>
    <definedName name="MO_GuidanceAnalysis_Capex_Q" localSheetId="2">[1]Historicals!$669:$669</definedName>
    <definedName name="MO_GuidanceAnalysis_Capex_Q" localSheetId="3">[1]Historicals!$669:$669</definedName>
    <definedName name="MO_GuidanceAnalysis_Capex_Q" localSheetId="7">[1]Historicals!$669:$669</definedName>
    <definedName name="MO_GuidanceAnalysis_Capex_Q" localSheetId="6">[1]Historicals!$669:$669</definedName>
    <definedName name="MO_GuidanceAnalysis_Capex_Q" localSheetId="1">[1]Historicals!$669:$669</definedName>
    <definedName name="MO_GuidanceAnalysis_Capex_Q" localSheetId="9">[1]Historicals!$669:$669</definedName>
    <definedName name="MO_GuidanceAnalysis_Capex_Q" localSheetId="4">[1]Historicals!$669:$669</definedName>
    <definedName name="MO_GuidanceAnalysis_Capex_Q" localSheetId="0">[1]Historicals!$669:$669</definedName>
    <definedName name="MO_GuidanceAnalysis_Capex_Q">Model!$631:$631</definedName>
    <definedName name="MO_GuidanceAnalysis_Revenue_FY" localSheetId="5">[1]Historicals!$600:$600</definedName>
    <definedName name="MO_GuidanceAnalysis_Revenue_FY" localSheetId="2">[1]Historicals!$600:$600</definedName>
    <definedName name="MO_GuidanceAnalysis_Revenue_FY" localSheetId="3">[1]Historicals!$600:$600</definedName>
    <definedName name="MO_GuidanceAnalysis_Revenue_FY" localSheetId="7">[1]Historicals!$600:$600</definedName>
    <definedName name="MO_GuidanceAnalysis_Revenue_FY" localSheetId="6">[1]Historicals!$600:$600</definedName>
    <definedName name="MO_GuidanceAnalysis_Revenue_FY" localSheetId="1">[1]Historicals!$600:$600</definedName>
    <definedName name="MO_GuidanceAnalysis_Revenue_FY" localSheetId="9">[1]Historicals!$600:$600</definedName>
    <definedName name="MO_GuidanceAnalysis_Revenue_FY" localSheetId="4">[1]Historicals!$600:$600</definedName>
    <definedName name="MO_GuidanceAnalysis_Revenue_FY" localSheetId="0">[1]Historicals!$600:$600</definedName>
    <definedName name="MO_GuidanceAnalysis_Revenue_FY">Model!$562:$562</definedName>
    <definedName name="MO_GuidanceAnalysis_Revenue_MostRecentMidpoint">Model!$533:$533</definedName>
    <definedName name="MO_GuidanceAnalysis_Revenue_Q" localSheetId="5">[1]Historicals!$585:$585</definedName>
    <definedName name="MO_GuidanceAnalysis_Revenue_Q" localSheetId="2">[1]Historicals!$585:$585</definedName>
    <definedName name="MO_GuidanceAnalysis_Revenue_Q" localSheetId="3">[1]Historicals!$585:$585</definedName>
    <definedName name="MO_GuidanceAnalysis_Revenue_Q" localSheetId="7">[1]Historicals!$585:$585</definedName>
    <definedName name="MO_GuidanceAnalysis_Revenue_Q" localSheetId="6">[1]Historicals!$585:$585</definedName>
    <definedName name="MO_GuidanceAnalysis_Revenue_Q" localSheetId="1">[1]Historicals!$585:$585</definedName>
    <definedName name="MO_GuidanceAnalysis_Revenue_Q" localSheetId="9">[1]Historicals!$585:$585</definedName>
    <definedName name="MO_GuidanceAnalysis_Revenue_Q" localSheetId="4">[1]Historicals!$585:$585</definedName>
    <definedName name="MO_GuidanceAnalysis_Revenue_Q" localSheetId="0">[1]Historicals!$585:$585</definedName>
    <definedName name="MO_GuidanceAnalysis_Revenue_Q">Model!$547:$547</definedName>
    <definedName name="MO_IS_COGS">Model!$339:$339</definedName>
    <definedName name="MO_IS_DA">#REF!</definedName>
    <definedName name="MO_IS_EBIT" localSheetId="5">#REF!</definedName>
    <definedName name="MO_IS_EBIT" localSheetId="2">#REF!</definedName>
    <definedName name="MO_IS_EBIT" localSheetId="3">#REF!</definedName>
    <definedName name="MO_IS_EBIT" localSheetId="7">#REF!</definedName>
    <definedName name="MO_IS_EBIT" localSheetId="6">#REF!</definedName>
    <definedName name="MO_IS_EBIT" localSheetId="1">#REF!</definedName>
    <definedName name="MO_IS_EBIT" localSheetId="9">#REF!</definedName>
    <definedName name="MO_IS_EBIT" localSheetId="4">#REF!</definedName>
    <definedName name="MO_IS_EBIT" localSheetId="0">#REF!</definedName>
    <definedName name="MO_IS_EBIT">Model!$345:$345</definedName>
    <definedName name="MO_IS_EBT" localSheetId="5">#REF!</definedName>
    <definedName name="MO_IS_EBT" localSheetId="2">#REF!</definedName>
    <definedName name="MO_IS_EBT" localSheetId="3">#REF!</definedName>
    <definedName name="MO_IS_EBT" localSheetId="7">#REF!</definedName>
    <definedName name="MO_IS_EBT" localSheetId="6">#REF!</definedName>
    <definedName name="MO_IS_EBT" localSheetId="1">#REF!</definedName>
    <definedName name="MO_IS_EBT" localSheetId="9">#REF!</definedName>
    <definedName name="MO_IS_EBT" localSheetId="4">#REF!</definedName>
    <definedName name="MO_IS_EBT" localSheetId="0">#REF!</definedName>
    <definedName name="MO_IS_EBT">Model!$351:$351</definedName>
    <definedName name="MO_IS_FirstRow" localSheetId="5">#REF!</definedName>
    <definedName name="MO_IS_FirstRow" localSheetId="2">#REF!</definedName>
    <definedName name="MO_IS_FirstRow" localSheetId="3">#REF!</definedName>
    <definedName name="MO_IS_FirstRow" localSheetId="7">#REF!</definedName>
    <definedName name="MO_IS_FirstRow" localSheetId="6">#REF!</definedName>
    <definedName name="MO_IS_FirstRow" localSheetId="1">#REF!</definedName>
    <definedName name="MO_IS_FirstRow" localSheetId="9">#REF!</definedName>
    <definedName name="MO_IS_FirstRow" localSheetId="4">#REF!</definedName>
    <definedName name="MO_IS_FirstRow" localSheetId="0">#REF!</definedName>
    <definedName name="MO_IS_FirstRow">Model!$338:$338</definedName>
    <definedName name="MO_IS_FX">Model!$349:$349</definedName>
    <definedName name="MO_IS_GA" localSheetId="5">#REF!</definedName>
    <definedName name="MO_IS_GA" localSheetId="2">#REF!</definedName>
    <definedName name="MO_IS_GA" localSheetId="3">#REF!</definedName>
    <definedName name="MO_IS_GA" localSheetId="7">#REF!</definedName>
    <definedName name="MO_IS_GA" localSheetId="6">#REF!</definedName>
    <definedName name="MO_IS_GA" localSheetId="1">#REF!</definedName>
    <definedName name="MO_IS_GA" localSheetId="9">#REF!</definedName>
    <definedName name="MO_IS_GA" localSheetId="4">#REF!</definedName>
    <definedName name="MO_IS_GA" localSheetId="0">#REF!</definedName>
    <definedName name="MO_IS_GA">Model!$343:$343</definedName>
    <definedName name="MO_IS_GP">Model!$340:$340</definedName>
    <definedName name="MO_IS_IE">#REF!</definedName>
    <definedName name="MO_IS_IE_Net">Model!$348:$348</definedName>
    <definedName name="MO_IS_II">#REF!</definedName>
    <definedName name="MO_IS_Impairment">#REF!</definedName>
    <definedName name="MO_IS_NI_ContinOp" localSheetId="5">#REF!</definedName>
    <definedName name="MO_IS_NI_ContinOp" localSheetId="2">#REF!</definedName>
    <definedName name="MO_IS_NI_ContinOp" localSheetId="3">#REF!</definedName>
    <definedName name="MO_IS_NI_ContinOp" localSheetId="7">#REF!</definedName>
    <definedName name="MO_IS_NI_ContinOp" localSheetId="6">#REF!</definedName>
    <definedName name="MO_IS_NI_ContinOp" localSheetId="1">#REF!</definedName>
    <definedName name="MO_IS_NI_ContinOp" localSheetId="9">#REF!</definedName>
    <definedName name="MO_IS_NI_ContinOp" localSheetId="4">#REF!</definedName>
    <definedName name="MO_IS_NI_ContinOp" localSheetId="0">#REF!</definedName>
    <definedName name="MO_IS_NI_ContinOp">Model!$353:$353</definedName>
    <definedName name="MO_IS_OPEX">Model!$344:$344</definedName>
    <definedName name="MO_IS_RD">Model!$341:$341</definedName>
    <definedName name="MO_IS_REV" localSheetId="5">#REF!</definedName>
    <definedName name="MO_IS_REV" localSheetId="2">#REF!</definedName>
    <definedName name="MO_IS_REV" localSheetId="3">#REF!</definedName>
    <definedName name="MO_IS_REV" localSheetId="7">#REF!</definedName>
    <definedName name="MO_IS_REV" localSheetId="6">#REF!</definedName>
    <definedName name="MO_IS_REV" localSheetId="1">#REF!</definedName>
    <definedName name="MO_IS_REV" localSheetId="9">#REF!</definedName>
    <definedName name="MO_IS_REV" localSheetId="4">#REF!</definedName>
    <definedName name="MO_IS_REV" localSheetId="0">#REF!</definedName>
    <definedName name="MO_IS_REV">Model!$338:$338</definedName>
    <definedName name="MO_IS_SM">Model!$342:$342</definedName>
    <definedName name="MO_IS_Tax" localSheetId="5">#REF!</definedName>
    <definedName name="MO_IS_Tax" localSheetId="2">#REF!</definedName>
    <definedName name="MO_IS_Tax" localSheetId="3">#REF!</definedName>
    <definedName name="MO_IS_Tax" localSheetId="7">#REF!</definedName>
    <definedName name="MO_IS_Tax" localSheetId="6">#REF!</definedName>
    <definedName name="MO_IS_Tax" localSheetId="1">#REF!</definedName>
    <definedName name="MO_IS_Tax" localSheetId="9">#REF!</definedName>
    <definedName name="MO_IS_Tax" localSheetId="4">#REF!</definedName>
    <definedName name="MO_IS_Tax" localSheetId="0">#REF!</definedName>
    <definedName name="MO_IS_Tax">Model!$352:$352</definedName>
    <definedName name="MO_KPI_AdvertisingExpense">Model!$251:$251</definedName>
    <definedName name="MO_KPI_AdvertisingExpense_Growth">Model!$252:$252</definedName>
    <definedName name="MO_KPI_ARPU_Daily">Model!$57:$57</definedName>
    <definedName name="MO_KPI_AUV_CompanyOwned">#REF!</definedName>
    <definedName name="MO_KPI_AUV_CompanyOwned_LTM">#REF!</definedName>
    <definedName name="MO_KPI_AUV_SystemWide">#REF!</definedName>
    <definedName name="MO_KPI_AUV_SystemWide_LTM">#REF!</definedName>
    <definedName name="MO_KPI_DAU">Model!$53:$53</definedName>
    <definedName name="MO_KPI_EmployeeCount" localSheetId="5">#REF!</definedName>
    <definedName name="MO_KPI_EmployeeCount" localSheetId="2">#REF!</definedName>
    <definedName name="MO_KPI_EmployeeCount" localSheetId="3">#REF!</definedName>
    <definedName name="MO_KPI_EmployeeCount" localSheetId="7">#REF!</definedName>
    <definedName name="MO_KPI_EmployeeCount" localSheetId="6">#REF!</definedName>
    <definedName name="MO_KPI_EmployeeCount" localSheetId="1">#REF!</definedName>
    <definedName name="MO_KPI_EmployeeCount" localSheetId="9">#REF!</definedName>
    <definedName name="MO_KPI_EmployeeCount" localSheetId="4">#REF!</definedName>
    <definedName name="MO_KPI_EmployeeCount" localSheetId="0">#REF!</definedName>
    <definedName name="MO_KPI_EmployeeCount">Model!$244:$244</definedName>
    <definedName name="MO_KPI_Geo_REV_Advertising_APAC">Model!$107:$107</definedName>
    <definedName name="MO_KPI_Geo_REV_Advertising_Europe">Model!$106:$106</definedName>
    <definedName name="MO_KPI_Geo_REV_Advertising_NA">Model!$105:$105</definedName>
    <definedName name="MO_KPI_Geo_REV_APAC">Model!$119:$119</definedName>
    <definedName name="MO_KPI_Geo_REV_Europe">Model!$118:$118</definedName>
    <definedName name="MO_KPI_Geo_REV_NA">Model!$117:$117</definedName>
    <definedName name="MO_KPI_LaborExpenseMargin_LTM">#REF!</definedName>
    <definedName name="MO_KPI_NetNewStores">#REF!</definedName>
    <definedName name="MO_KPI_NetNewStores_CompanyOwned">#REF!</definedName>
    <definedName name="MO_KPI_OccupancyandOtherMargin_LTM">#REF!</definedName>
    <definedName name="MO_KPI_OccupancyExpenseMargin_LTM">#REF!</definedName>
    <definedName name="MO_KPI_OnlineSales_Growth">#REF!</definedName>
    <definedName name="MO_KPI_OnlineSalesPerc">#REF!</definedName>
    <definedName name="MO_KPI_OtherOPEXMargin_LTM">#REF!</definedName>
    <definedName name="MO_KPI_ProductCostMargin_LTM">#REF!</definedName>
    <definedName name="MO_KPI_RestLevelCostsMargin_LTM">#REF!</definedName>
    <definedName name="MO_KPI_RestLevelProfitMargin_Improvement_LTM">#REF!</definedName>
    <definedName name="MO_KPI_RestLevelProfitMargin_LTM">#REF!</definedName>
    <definedName name="MO_KPI_REV_AdPlatform">Model!$109:$109</definedName>
    <definedName name="MO_KPI_REV_AdTech">Model!$109:$109</definedName>
    <definedName name="MO_KPI_REV_Advertising">Model!$38:$38</definedName>
    <definedName name="MO_KPI_REV_Advertising_SocialMediaPlatform">Model!$38:$38</definedName>
    <definedName name="MO_KPI_REV_Geo_APAC">Model!$119:$119</definedName>
    <definedName name="MO_KPI_REV_Geo_Europe">Model!$118:$118</definedName>
    <definedName name="MO_KPI_REV_Geo_NA">Model!$117:$117</definedName>
    <definedName name="MO_KPI_REV_Geo_NorthAmerica">Model!$117:$117</definedName>
    <definedName name="MO_KPI_REV_Growth">#REF!</definedName>
    <definedName name="MO_KPI_REV_LTM">#REF!</definedName>
    <definedName name="MO_KPI_REV_Online">#REF!</definedName>
    <definedName name="MO_KPI_Sales_CompanyOwned">#REF!</definedName>
    <definedName name="MO_KPI_Sales_CompanyOwned_LTM">#REF!</definedName>
    <definedName name="MO_KPI_Sales_SystemWide">#REF!</definedName>
    <definedName name="MO_KPI_Sales_SystemWide_LTM">#REF!</definedName>
    <definedName name="MO_KPI_SSS_Growth">#REF!</definedName>
    <definedName name="MO_KPI_SSSG_CompanyOwned">#REF!</definedName>
    <definedName name="MO_KPI_SSSG_CompanyOwned_LTM">#REF!</definedName>
    <definedName name="MO_KPI_SSSG_LTM">#REF!</definedName>
    <definedName name="MO_KPI_SSSG_TwoYear_LTM">#REF!</definedName>
    <definedName name="MO_KPI_Stores">#REF!</definedName>
    <definedName name="MO_KPI_Stores_CompanyOwned">#REF!</definedName>
    <definedName name="MO_KPI_SystemWideSales_Growth">#REF!</definedName>
    <definedName name="MO_KPI_SystemWideSales_Growth_ExFX">#REF!</definedName>
    <definedName name="MO_KPI_SystemWideSales_Growth_ExFX_LTM">#REF!</definedName>
    <definedName name="MO_KPI_SystemWideSales_Growth_LTM">#REF!</definedName>
    <definedName name="MO_MA_COGS" localSheetId="5">[3]Historicals!$338:$338</definedName>
    <definedName name="MO_MA_COGS" localSheetId="2">[3]Historicals!$338:$338</definedName>
    <definedName name="MO_MA_COGS" localSheetId="3">[3]Historicals!$338:$338</definedName>
    <definedName name="MO_MA_COGS" localSheetId="7">[3]Historicals!$338:$338</definedName>
    <definedName name="MO_MA_COGS" localSheetId="6">[3]Historicals!$338:$338</definedName>
    <definedName name="MO_MA_COGS" localSheetId="1">[3]Historicals!$338:$338</definedName>
    <definedName name="MO_MA_COGS" localSheetId="9">[3]Historicals!$338:$338</definedName>
    <definedName name="MO_MA_COGS" localSheetId="4">[3]Historicals!$338:$338</definedName>
    <definedName name="MO_MA_COGS" localSheetId="0">[3]Historicals!$338:$338</definedName>
    <definedName name="MO_MA_COGS">Model!$319:$319</definedName>
    <definedName name="MO_MA_DA" localSheetId="5">#REF!</definedName>
    <definedName name="MO_MA_DA" localSheetId="2">#REF!</definedName>
    <definedName name="MO_MA_DA" localSheetId="3">#REF!</definedName>
    <definedName name="MO_MA_DA" localSheetId="7">#REF!</definedName>
    <definedName name="MO_MA_DA" localSheetId="6">#REF!</definedName>
    <definedName name="MO_MA_DA" localSheetId="1">#REF!</definedName>
    <definedName name="MO_MA_DA" localSheetId="9">#REF!</definedName>
    <definedName name="MO_MA_DA" localSheetId="4">#REF!</definedName>
    <definedName name="MO_MA_DA" localSheetId="0">#REF!</definedName>
    <definedName name="MO_MA_DA">Model!$330:$330</definedName>
    <definedName name="MO_MA_DA_ISAR">#REF!</definedName>
    <definedName name="MO_MA_DAintangibles">Model!$331:$331</definedName>
    <definedName name="MO_MA_EBIT" localSheetId="5">#REF!</definedName>
    <definedName name="MO_MA_EBIT" localSheetId="2">#REF!</definedName>
    <definedName name="MO_MA_EBIT" localSheetId="3">#REF!</definedName>
    <definedName name="MO_MA_EBIT" localSheetId="7">#REF!</definedName>
    <definedName name="MO_MA_EBIT" localSheetId="6">#REF!</definedName>
    <definedName name="MO_MA_EBIT" localSheetId="1">#REF!</definedName>
    <definedName name="MO_MA_EBIT" localSheetId="9">#REF!</definedName>
    <definedName name="MO_MA_EBIT" localSheetId="4">#REF!</definedName>
    <definedName name="MO_MA_EBIT" localSheetId="0">#REF!</definedName>
    <definedName name="MO_MA_EBIT">Model!$326:$326</definedName>
    <definedName name="MO_MA_EBIT_Adj" localSheetId="5">#REF!</definedName>
    <definedName name="MO_MA_EBIT_Adj" localSheetId="2">#REF!</definedName>
    <definedName name="MO_MA_EBIT_Adj" localSheetId="3">#REF!</definedName>
    <definedName name="MO_MA_EBIT_Adj" localSheetId="7">#REF!</definedName>
    <definedName name="MO_MA_EBIT_Adj" localSheetId="6">#REF!</definedName>
    <definedName name="MO_MA_EBIT_Adj" localSheetId="1">#REF!</definedName>
    <definedName name="MO_MA_EBIT_Adj" localSheetId="9">#REF!</definedName>
    <definedName name="MO_MA_EBIT_Adj" localSheetId="4">#REF!</definedName>
    <definedName name="MO_MA_EBIT_Adj" localSheetId="0">#REF!</definedName>
    <definedName name="MO_MA_EBIT_Adj">Model!$327:$327</definedName>
    <definedName name="MO_MA_EBITDA" localSheetId="5">#REF!</definedName>
    <definedName name="MO_MA_EBITDA" localSheetId="2">#REF!</definedName>
    <definedName name="MO_MA_EBITDA" localSheetId="3">#REF!</definedName>
    <definedName name="MO_MA_EBITDA" localSheetId="7">#REF!</definedName>
    <definedName name="MO_MA_EBITDA" localSheetId="6">#REF!</definedName>
    <definedName name="MO_MA_EBITDA" localSheetId="1">#REF!</definedName>
    <definedName name="MO_MA_EBITDA" localSheetId="9">#REF!</definedName>
    <definedName name="MO_MA_EBITDA" localSheetId="4">#REF!</definedName>
    <definedName name="MO_MA_EBITDA" localSheetId="0">#REF!</definedName>
    <definedName name="MO_MA_EBITDA">Model!$333:$333</definedName>
    <definedName name="MO_MA_EBITDA_Adj" localSheetId="5">#REF!</definedName>
    <definedName name="MO_MA_EBITDA_Adj" localSheetId="2">#REF!</definedName>
    <definedName name="MO_MA_EBITDA_Adj" localSheetId="3">#REF!</definedName>
    <definedName name="MO_MA_EBITDA_Adj" localSheetId="7">#REF!</definedName>
    <definedName name="MO_MA_EBITDA_Adj" localSheetId="6">#REF!</definedName>
    <definedName name="MO_MA_EBITDA_Adj" localSheetId="1">#REF!</definedName>
    <definedName name="MO_MA_EBITDA_Adj" localSheetId="9">#REF!</definedName>
    <definedName name="MO_MA_EBITDA_Adj" localSheetId="4">#REF!</definedName>
    <definedName name="MO_MA_EBITDA_Adj" localSheetId="0">#REF!</definedName>
    <definedName name="MO_MA_EBITDA_Adj">Model!$334:$334</definedName>
    <definedName name="MO_MA_GA" localSheetId="5">#REF!</definedName>
    <definedName name="MO_MA_GA" localSheetId="2">#REF!</definedName>
    <definedName name="MO_MA_GA" localSheetId="3">#REF!</definedName>
    <definedName name="MO_MA_GA" localSheetId="7">#REF!</definedName>
    <definedName name="MO_MA_GA" localSheetId="6">#REF!</definedName>
    <definedName name="MO_MA_GA" localSheetId="1">#REF!</definedName>
    <definedName name="MO_MA_GA" localSheetId="9">#REF!</definedName>
    <definedName name="MO_MA_GA" localSheetId="4">#REF!</definedName>
    <definedName name="MO_MA_GA" localSheetId="0">#REF!</definedName>
    <definedName name="MO_MA_GA">Model!$323:$323</definedName>
    <definedName name="MO_MA_GM">Model!$320:$320</definedName>
    <definedName name="MO_MA_LaborExpense">#REF!</definedName>
    <definedName name="MO_MA_OccupancyExpense">#REF!</definedName>
    <definedName name="MO_MA_OI_Operating">#REF!</definedName>
    <definedName name="MO_MA_OPEX">#REF!</definedName>
    <definedName name="MO_MA_OtherOPEX">#REF!</definedName>
    <definedName name="MO_MA_ProductCost">#REF!</definedName>
    <definedName name="MO_MA_RD" localSheetId="5">[3]Historicals!$349:$349</definedName>
    <definedName name="MO_MA_RD" localSheetId="2">[3]Historicals!$349:$349</definedName>
    <definedName name="MO_MA_RD" localSheetId="3">[3]Historicals!$349:$349</definedName>
    <definedName name="MO_MA_RD" localSheetId="7">[3]Historicals!$349:$349</definedName>
    <definedName name="MO_MA_RD" localSheetId="6">[3]Historicals!$349:$349</definedName>
    <definedName name="MO_MA_RD" localSheetId="1">[3]Historicals!$349:$349</definedName>
    <definedName name="MO_MA_RD" localSheetId="9">[3]Historicals!$349:$349</definedName>
    <definedName name="MO_MA_RD" localSheetId="4">[3]Historicals!$349:$349</definedName>
    <definedName name="MO_MA_RD" localSheetId="0">[3]Historicals!$349:$349</definedName>
    <definedName name="MO_MA_RD">Model!$325:$325</definedName>
    <definedName name="MO_MA_RestLevelCosts">#REF!</definedName>
    <definedName name="MO_MA_RestLevelProfit">#REF!</definedName>
    <definedName name="MO_MA_SBC" localSheetId="5">#REF!</definedName>
    <definedName name="MO_MA_SBC" localSheetId="2">#REF!</definedName>
    <definedName name="MO_MA_SBC" localSheetId="3">#REF!</definedName>
    <definedName name="MO_MA_SBC" localSheetId="7">#REF!</definedName>
    <definedName name="MO_MA_SBC" localSheetId="6">#REF!</definedName>
    <definedName name="MO_MA_SBC" localSheetId="1">#REF!</definedName>
    <definedName name="MO_MA_SBC" localSheetId="9">#REF!</definedName>
    <definedName name="MO_MA_SBC" localSheetId="4">#REF!</definedName>
    <definedName name="MO_MA_SBC" localSheetId="0">#REF!</definedName>
    <definedName name="MO_MA_SBC">Model!$332:$332</definedName>
    <definedName name="MO_MA_SGA">[3]Historicals!$348:$348</definedName>
    <definedName name="MO_MA_SM">Model!$324:$324</definedName>
    <definedName name="MO_OS_AdvertisingExpense">Model!$251:$251</definedName>
    <definedName name="MO_OS_AUV_CompanyOwned">#REF!</definedName>
    <definedName name="MO_OS_AUV_SystemWide">#REF!</definedName>
    <definedName name="MO_OS_EmployeeCount" localSheetId="5">#REF!</definedName>
    <definedName name="MO_OS_EmployeeCount" localSheetId="2">#REF!</definedName>
    <definedName name="MO_OS_EmployeeCount" localSheetId="3">#REF!</definedName>
    <definedName name="MO_OS_EmployeeCount" localSheetId="7">#REF!</definedName>
    <definedName name="MO_OS_EmployeeCount" localSheetId="6">#REF!</definedName>
    <definedName name="MO_OS_EmployeeCount" localSheetId="1">#REF!</definedName>
    <definedName name="MO_OS_EmployeeCount" localSheetId="9">#REF!</definedName>
    <definedName name="MO_OS_EmployeeCount" localSheetId="4">#REF!</definedName>
    <definedName name="MO_OS_EmployeeCount" localSheetId="0">#REF!</definedName>
    <definedName name="MO_OS_EmployeeCount">Model!$244:$244</definedName>
    <definedName name="MO_OS_Geo_REV_APAC">Model!$119:$119</definedName>
    <definedName name="MO_OS_Geo_REV_Europe">Model!$118:$118</definedName>
    <definedName name="MO_OS_Geo_REV_NA">Model!$117:$117</definedName>
    <definedName name="MO_OS_NetNewStores">#REF!</definedName>
    <definedName name="MO_OS_NetNewStores_CompanyOwned">#REF!</definedName>
    <definedName name="MO_OS_OnlineSales_Growth">#REF!</definedName>
    <definedName name="MO_OS_OnlineSalesPerc">#REF!</definedName>
    <definedName name="MO_OS_OPEX">Model!$181:$181</definedName>
    <definedName name="MO_OS_REV_Online">#REF!</definedName>
    <definedName name="MO_OS_Sales_CompanyOwned">#REF!</definedName>
    <definedName name="MO_OS_Sales_SystemWide">#REF!</definedName>
    <definedName name="MO_OS_Stores_EoP">#REF!</definedName>
    <definedName name="MO_OS_Stores_EoP_CompanyOwned">#REF!</definedName>
    <definedName name="MO_PDS_Amort_DebtIssuanceCostandDebtDiscount">#REF!</definedName>
    <definedName name="MO_PDS_Cash">#REF!</definedName>
    <definedName name="MO_PDS_Cash_Adj">#REF!</definedName>
    <definedName name="MO_PDS_Cash_CappedCallImpact">#REF!</definedName>
    <definedName name="MO_PDS_Date_LWD">#REF!</definedName>
    <definedName name="MO_PDS_Debt">#REF!</definedName>
    <definedName name="MO_PDS_Debt_Net">#REF!</definedName>
    <definedName name="MO_PDS_Debt_Net_Adj">#REF!</definedName>
    <definedName name="MO_PDS_Debt_Net_ConvertibleDebtImpact">#REF!</definedName>
    <definedName name="MO_PDS_EV_FullyDiluted">#REF!</definedName>
    <definedName name="MO_PDS_EV_ToNTMEBITDA_FullyDiluted">#REF!</definedName>
    <definedName name="MO_PDS_EV_ToNTMSales_FullyDiluted">#REF!</definedName>
    <definedName name="MO_PDS_EVCalc_NCI">#REF!</definedName>
    <definedName name="MO_PDS_EVCalc_Other">#REF!</definedName>
    <definedName name="MO_PDS_EVCalc_Prefs">#REF!</definedName>
    <definedName name="MO_PDS_MarketCap_FullyDiluted">#REF!</definedName>
    <definedName name="MO_PDS_OL">#REF!</definedName>
    <definedName name="MO_PDS_Ratio_Diluted_SBC_Treasury_OverBasic">#REF!</definedName>
    <definedName name="MO_PDS_ShareCount_CP">#REF!</definedName>
    <definedName name="MO_PDS_ShareCount_Diluted_Converts">#REF!</definedName>
    <definedName name="MO_PDS_ShareCount_Diluted_ConvertsHedge">#REF!</definedName>
    <definedName name="MO_PDS_ShareCount_Diluted_Options_Treasury">#REF!</definedName>
    <definedName name="MO_PDS_ShareCount_Diluted_SBC_Treasury">#REF!</definedName>
    <definedName name="MO_PDS_ShareCount_Diluted_Warrants_Treasury">#REF!</definedName>
    <definedName name="MO_PDS_ShareCount_EoP">#REF!</definedName>
    <definedName name="MO_PDS_ShareCount_EoP_Economic">#REF!</definedName>
    <definedName name="MO_PDS_ShareCount_EoP_Growth_Dilutive_QoQ">#REF!</definedName>
    <definedName name="MO_PDS_ShareCount_EoP_Growth_Dilutive_YoY">#REF!</definedName>
    <definedName name="MO_PDS_ShareCount_EoP_Growth_NetIssuance_QoQ">#REF!</definedName>
    <definedName name="MO_PDS_ShareCount_EoP_Growth_NetIssuance_YoY">#REF!</definedName>
    <definedName name="MO_PDS_ShareCount_EoP_Growth_QoQ">#REF!</definedName>
    <definedName name="MO_PDS_ShareCount_EoP_Growth_YoY">#REF!</definedName>
    <definedName name="MO_PDS_ShareCount_ESPPOEoP">#REF!</definedName>
    <definedName name="MO_PDS_ShareCount_FullyDiluted">#REF!</definedName>
    <definedName name="MO_PDS_ShareCount_Options_EoP">#REF!</definedName>
    <definedName name="MO_PDS_ShareCount_Others_EoP">#REF!</definedName>
    <definedName name="MO_PDS_ShareCount_UnvestedPSOsEoP">#REF!</definedName>
    <definedName name="MO_PDS_ShareCount_UnvestedPSUsEoP">#REF!</definedName>
    <definedName name="MO_PDS_ShareCount_UnvestedRSUsEoP">#REF!</definedName>
    <definedName name="MO_PDS_ShareCountDate_CP">#REF!</definedName>
    <definedName name="MO_PDS_SP_EOP">#REF!</definedName>
    <definedName name="MO_PDS_SP_WA_Options_Exercise">#REF!</definedName>
    <definedName name="MO_PDS_Warrants_EoP">#REF!</definedName>
    <definedName name="MO_PDS_Warrants_Price_EoP">#REF!</definedName>
    <definedName name="MO_RIS_Adjustments_Dilution_GAAP" localSheetId="5">#REF!</definedName>
    <definedName name="MO_RIS_Adjustments_Dilution_GAAP" localSheetId="2">#REF!</definedName>
    <definedName name="MO_RIS_Adjustments_Dilution_GAAP" localSheetId="3">#REF!</definedName>
    <definedName name="MO_RIS_Adjustments_Dilution_GAAP" localSheetId="7">#REF!</definedName>
    <definedName name="MO_RIS_Adjustments_Dilution_GAAP" localSheetId="6">#REF!</definedName>
    <definedName name="MO_RIS_Adjustments_Dilution_GAAP" localSheetId="1">#REF!</definedName>
    <definedName name="MO_RIS_Adjustments_Dilution_GAAP" localSheetId="9">#REF!</definedName>
    <definedName name="MO_RIS_Adjustments_Dilution_GAAP" localSheetId="4">#REF!</definedName>
    <definedName name="MO_RIS_Adjustments_Dilution_GAAP" localSheetId="0">#REF!</definedName>
    <definedName name="MO_RIS_Adjustments_Dilution_GAAP">Model!$411:$411</definedName>
    <definedName name="MO_RIS_Adjustments_Dilution_NONGAAP" localSheetId="5">#REF!</definedName>
    <definedName name="MO_RIS_Adjustments_Dilution_NONGAAP" localSheetId="2">#REF!</definedName>
    <definedName name="MO_RIS_Adjustments_Dilution_NONGAAP" localSheetId="3">#REF!</definedName>
    <definedName name="MO_RIS_Adjustments_Dilution_NONGAAP" localSheetId="7">#REF!</definedName>
    <definedName name="MO_RIS_Adjustments_Dilution_NONGAAP" localSheetId="6">#REF!</definedName>
    <definedName name="MO_RIS_Adjustments_Dilution_NONGAAP" localSheetId="1">#REF!</definedName>
    <definedName name="MO_RIS_Adjustments_Dilution_NONGAAP" localSheetId="9">#REF!</definedName>
    <definedName name="MO_RIS_Adjustments_Dilution_NONGAAP" localSheetId="4">#REF!</definedName>
    <definedName name="MO_RIS_Adjustments_Dilution_NONGAAP" localSheetId="0">#REF!</definedName>
    <definedName name="MO_RIS_Adjustments_Dilution_NONGAAP">Model!$414:$414</definedName>
    <definedName name="MO_RIS_Adjustments_NONGAAP" localSheetId="5">#REF!</definedName>
    <definedName name="MO_RIS_Adjustments_NONGAAP" localSheetId="2">#REF!</definedName>
    <definedName name="MO_RIS_Adjustments_NONGAAP" localSheetId="3">#REF!</definedName>
    <definedName name="MO_RIS_Adjustments_NONGAAP" localSheetId="7">#REF!</definedName>
    <definedName name="MO_RIS_Adjustments_NONGAAP" localSheetId="6">#REF!</definedName>
    <definedName name="MO_RIS_Adjustments_NONGAAP" localSheetId="1">#REF!</definedName>
    <definedName name="MO_RIS_Adjustments_NONGAAP" localSheetId="9">#REF!</definedName>
    <definedName name="MO_RIS_Adjustments_NONGAAP" localSheetId="4">#REF!</definedName>
    <definedName name="MO_RIS_Adjustments_NONGAAP" localSheetId="0">#REF!</definedName>
    <definedName name="MO_RIS_Adjustments_NONGAAP">Model!$413:$413</definedName>
    <definedName name="MO_RIS_COGS" localSheetId="5">[3]Historicals!$424:$424</definedName>
    <definedName name="MO_RIS_COGS" localSheetId="2">[3]Historicals!$424:$424</definedName>
    <definedName name="MO_RIS_COGS" localSheetId="3">[3]Historicals!$424:$424</definedName>
    <definedName name="MO_RIS_COGS" localSheetId="7">[3]Historicals!$424:$424</definedName>
    <definedName name="MO_RIS_COGS" localSheetId="6">[3]Historicals!$424:$424</definedName>
    <definedName name="MO_RIS_COGS" localSheetId="1">[3]Historicals!$424:$424</definedName>
    <definedName name="MO_RIS_COGS" localSheetId="9">[3]Historicals!$424:$424</definedName>
    <definedName name="MO_RIS_COGS" localSheetId="4">[3]Historicals!$424:$424</definedName>
    <definedName name="MO_RIS_COGS" localSheetId="0">[3]Historicals!$424:$424</definedName>
    <definedName name="MO_RIS_COGS">Model!$382:$382</definedName>
    <definedName name="MO_RIS_DA" localSheetId="5">#REF!</definedName>
    <definedName name="MO_RIS_DA" localSheetId="2">#REF!</definedName>
    <definedName name="MO_RIS_DA" localSheetId="3">#REF!</definedName>
    <definedName name="MO_RIS_DA" localSheetId="7">#REF!</definedName>
    <definedName name="MO_RIS_DA" localSheetId="6">#REF!</definedName>
    <definedName name="MO_RIS_DA" localSheetId="1">#REF!</definedName>
    <definedName name="MO_RIS_DA" localSheetId="9">#REF!</definedName>
    <definedName name="MO_RIS_DA" localSheetId="4">#REF!</definedName>
    <definedName name="MO_RIS_DA" localSheetId="0">#REF!</definedName>
    <definedName name="MO_RIS_DA">Model!$392:$392</definedName>
    <definedName name="MO_RIS_DA_ISAR">#REF!</definedName>
    <definedName name="MO_RIS_DAintangibles">Model!$393:$393</definedName>
    <definedName name="MO_RIS_DisCont" localSheetId="5">#REF!</definedName>
    <definedName name="MO_RIS_DisCont" localSheetId="2">#REF!</definedName>
    <definedName name="MO_RIS_DisCont" localSheetId="3">#REF!</definedName>
    <definedName name="MO_RIS_DisCont" localSheetId="7">#REF!</definedName>
    <definedName name="MO_RIS_DisCont" localSheetId="6">#REF!</definedName>
    <definedName name="MO_RIS_DisCont" localSheetId="1">#REF!</definedName>
    <definedName name="MO_RIS_DisCont" localSheetId="9">#REF!</definedName>
    <definedName name="MO_RIS_DisCont" localSheetId="4">#REF!</definedName>
    <definedName name="MO_RIS_DisCont" localSheetId="0">#REF!</definedName>
    <definedName name="MO_RIS_DisCont">Model!$407:$407</definedName>
    <definedName name="MO_RIS_Dividend_Prefs" localSheetId="5">#REF!</definedName>
    <definedName name="MO_RIS_Dividend_Prefs" localSheetId="2">#REF!</definedName>
    <definedName name="MO_RIS_Dividend_Prefs" localSheetId="3">#REF!</definedName>
    <definedName name="MO_RIS_Dividend_Prefs" localSheetId="7">#REF!</definedName>
    <definedName name="MO_RIS_Dividend_Prefs" localSheetId="6">#REF!</definedName>
    <definedName name="MO_RIS_Dividend_Prefs" localSheetId="1">#REF!</definedName>
    <definedName name="MO_RIS_Dividend_Prefs" localSheetId="9">#REF!</definedName>
    <definedName name="MO_RIS_Dividend_Prefs" localSheetId="4">#REF!</definedName>
    <definedName name="MO_RIS_Dividend_Prefs" localSheetId="0">#REF!</definedName>
    <definedName name="MO_RIS_Dividend_Prefs">Model!$409:$409</definedName>
    <definedName name="MO_RIS_EBIT" localSheetId="5">#REF!</definedName>
    <definedName name="MO_RIS_EBIT" localSheetId="2">#REF!</definedName>
    <definedName name="MO_RIS_EBIT" localSheetId="3">#REF!</definedName>
    <definedName name="MO_RIS_EBIT" localSheetId="7">#REF!</definedName>
    <definedName name="MO_RIS_EBIT" localSheetId="6">#REF!</definedName>
    <definedName name="MO_RIS_EBIT" localSheetId="1">#REF!</definedName>
    <definedName name="MO_RIS_EBIT" localSheetId="9">#REF!</definedName>
    <definedName name="MO_RIS_EBIT" localSheetId="4">#REF!</definedName>
    <definedName name="MO_RIS_EBIT" localSheetId="0">#REF!</definedName>
    <definedName name="MO_RIS_EBIT">Model!$388:$388</definedName>
    <definedName name="MO_RIS_EBIT_Adj" localSheetId="5">#REF!</definedName>
    <definedName name="MO_RIS_EBIT_Adj" localSheetId="2">#REF!</definedName>
    <definedName name="MO_RIS_EBIT_Adj" localSheetId="3">#REF!</definedName>
    <definedName name="MO_RIS_EBIT_Adj" localSheetId="7">#REF!</definedName>
    <definedName name="MO_RIS_EBIT_Adj" localSheetId="6">#REF!</definedName>
    <definedName name="MO_RIS_EBIT_Adj" localSheetId="1">#REF!</definedName>
    <definedName name="MO_RIS_EBIT_Adj" localSheetId="9">#REF!</definedName>
    <definedName name="MO_RIS_EBIT_Adj" localSheetId="4">#REF!</definedName>
    <definedName name="MO_RIS_EBIT_Adj" localSheetId="0">#REF!</definedName>
    <definedName name="MO_RIS_EBIT_Adj">Model!$389:$389</definedName>
    <definedName name="MO_RIS_EBITDA" localSheetId="5">#REF!</definedName>
    <definedName name="MO_RIS_EBITDA" localSheetId="2">#REF!</definedName>
    <definedName name="MO_RIS_EBITDA" localSheetId="3">#REF!</definedName>
    <definedName name="MO_RIS_EBITDA" localSheetId="7">#REF!</definedName>
    <definedName name="MO_RIS_EBITDA" localSheetId="6">#REF!</definedName>
    <definedName name="MO_RIS_EBITDA" localSheetId="1">#REF!</definedName>
    <definedName name="MO_RIS_EBITDA" localSheetId="9">#REF!</definedName>
    <definedName name="MO_RIS_EBITDA" localSheetId="4">#REF!</definedName>
    <definedName name="MO_RIS_EBITDA" localSheetId="0">#REF!</definedName>
    <definedName name="MO_RIS_EBITDA">Model!$395:$395</definedName>
    <definedName name="MO_RIS_EBITDA_Adj" localSheetId="5">#REF!</definedName>
    <definedName name="MO_RIS_EBITDA_Adj" localSheetId="2">#REF!</definedName>
    <definedName name="MO_RIS_EBITDA_Adj" localSheetId="3">#REF!</definedName>
    <definedName name="MO_RIS_EBITDA_Adj" localSheetId="7">#REF!</definedName>
    <definedName name="MO_RIS_EBITDA_Adj" localSheetId="6">#REF!</definedName>
    <definedName name="MO_RIS_EBITDA_Adj" localSheetId="1">#REF!</definedName>
    <definedName name="MO_RIS_EBITDA_Adj" localSheetId="9">#REF!</definedName>
    <definedName name="MO_RIS_EBITDA_Adj" localSheetId="4">#REF!</definedName>
    <definedName name="MO_RIS_EBITDA_Adj" localSheetId="0">#REF!</definedName>
    <definedName name="MO_RIS_EBITDA_Adj">Model!$396:$396</definedName>
    <definedName name="MO_RIS_EBT" localSheetId="5">#REF!</definedName>
    <definedName name="MO_RIS_EBT" localSheetId="2">#REF!</definedName>
    <definedName name="MO_RIS_EBT" localSheetId="3">#REF!</definedName>
    <definedName name="MO_RIS_EBT" localSheetId="7">#REF!</definedName>
    <definedName name="MO_RIS_EBT" localSheetId="6">#REF!</definedName>
    <definedName name="MO_RIS_EBT" localSheetId="1">#REF!</definedName>
    <definedName name="MO_RIS_EBT" localSheetId="9">#REF!</definedName>
    <definedName name="MO_RIS_EBT" localSheetId="4">#REF!</definedName>
    <definedName name="MO_RIS_EBT" localSheetId="0">#REF!</definedName>
    <definedName name="MO_RIS_EBT">Model!$402:$402</definedName>
    <definedName name="MO_RIS_EI">#REF!</definedName>
    <definedName name="MO_RIS_EPS_WAB" localSheetId="5">#REF!</definedName>
    <definedName name="MO_RIS_EPS_WAB" localSheetId="2">#REF!</definedName>
    <definedName name="MO_RIS_EPS_WAB" localSheetId="3">#REF!</definedName>
    <definedName name="MO_RIS_EPS_WAB" localSheetId="7">#REF!</definedName>
    <definedName name="MO_RIS_EPS_WAB" localSheetId="6">#REF!</definedName>
    <definedName name="MO_RIS_EPS_WAB" localSheetId="1">#REF!</definedName>
    <definedName name="MO_RIS_EPS_WAB" localSheetId="9">#REF!</definedName>
    <definedName name="MO_RIS_EPS_WAB" localSheetId="4">#REF!</definedName>
    <definedName name="MO_RIS_EPS_WAB" localSheetId="0">#REF!</definedName>
    <definedName name="MO_RIS_EPS_WAB">Model!$420:$420</definedName>
    <definedName name="MO_RIS_EPS_WAD" localSheetId="5">#REF!</definedName>
    <definedName name="MO_RIS_EPS_WAD" localSheetId="2">#REF!</definedName>
    <definedName name="MO_RIS_EPS_WAD" localSheetId="3">#REF!</definedName>
    <definedName name="MO_RIS_EPS_WAD" localSheetId="7">#REF!</definedName>
    <definedName name="MO_RIS_EPS_WAD" localSheetId="6">#REF!</definedName>
    <definedName name="MO_RIS_EPS_WAD" localSheetId="1">#REF!</definedName>
    <definedName name="MO_RIS_EPS_WAD" localSheetId="9">#REF!</definedName>
    <definedName name="MO_RIS_EPS_WAD" localSheetId="4">#REF!</definedName>
    <definedName name="MO_RIS_EPS_WAD" localSheetId="0">#REF!</definedName>
    <definedName name="MO_RIS_EPS_WAD">Model!$421:$421</definedName>
    <definedName name="MO_RIS_EPS_WAD_Adj" localSheetId="5">#REF!</definedName>
    <definedName name="MO_RIS_EPS_WAD_Adj" localSheetId="2">#REF!</definedName>
    <definedName name="MO_RIS_EPS_WAD_Adj" localSheetId="3">#REF!</definedName>
    <definedName name="MO_RIS_EPS_WAD_Adj" localSheetId="7">#REF!</definedName>
    <definedName name="MO_RIS_EPS_WAD_Adj" localSheetId="6">#REF!</definedName>
    <definedName name="MO_RIS_EPS_WAD_Adj" localSheetId="1">#REF!</definedName>
    <definedName name="MO_RIS_EPS_WAD_Adj" localSheetId="9">#REF!</definedName>
    <definedName name="MO_RIS_EPS_WAD_Adj" localSheetId="4">#REF!</definedName>
    <definedName name="MO_RIS_EPS_WAD_Adj" localSheetId="0">#REF!</definedName>
    <definedName name="MO_RIS_EPS_WAD_Adj">Model!$422:$422</definedName>
    <definedName name="MO_RIS_GA" localSheetId="5">#REF!</definedName>
    <definedName name="MO_RIS_GA" localSheetId="2">#REF!</definedName>
    <definedName name="MO_RIS_GA" localSheetId="3">#REF!</definedName>
    <definedName name="MO_RIS_GA" localSheetId="7">#REF!</definedName>
    <definedName name="MO_RIS_GA" localSheetId="6">#REF!</definedName>
    <definedName name="MO_RIS_GA" localSheetId="1">#REF!</definedName>
    <definedName name="MO_RIS_GA" localSheetId="9">#REF!</definedName>
    <definedName name="MO_RIS_GA" localSheetId="4">#REF!</definedName>
    <definedName name="MO_RIS_GA" localSheetId="0">#REF!</definedName>
    <definedName name="MO_RIS_GA">Model!$385:$385</definedName>
    <definedName name="MO_RIS_GP">Model!$383:$383</definedName>
    <definedName name="MO_RIS_IE" localSheetId="5">#REF!</definedName>
    <definedName name="MO_RIS_IE" localSheetId="2">#REF!</definedName>
    <definedName name="MO_RIS_IE" localSheetId="3">#REF!</definedName>
    <definedName name="MO_RIS_IE" localSheetId="7">#REF!</definedName>
    <definedName name="MO_RIS_IE" localSheetId="6">#REF!</definedName>
    <definedName name="MO_RIS_IE" localSheetId="1">#REF!</definedName>
    <definedName name="MO_RIS_IE" localSheetId="9">#REF!</definedName>
    <definedName name="MO_RIS_IE" localSheetId="4">#REF!</definedName>
    <definedName name="MO_RIS_IE" localSheetId="0">#REF!</definedName>
    <definedName name="MO_RIS_IE">Model!$399:$399</definedName>
    <definedName name="MO_RIS_IE_Net">Model!$399:$399</definedName>
    <definedName name="MO_RIS_II">#REF!</definedName>
    <definedName name="MO_RIS_NCI" localSheetId="5">#REF!</definedName>
    <definedName name="MO_RIS_NCI" localSheetId="2">#REF!</definedName>
    <definedName name="MO_RIS_NCI" localSheetId="3">#REF!</definedName>
    <definedName name="MO_RIS_NCI" localSheetId="7">#REF!</definedName>
    <definedName name="MO_RIS_NCI" localSheetId="6">#REF!</definedName>
    <definedName name="MO_RIS_NCI" localSheetId="1">#REF!</definedName>
    <definedName name="MO_RIS_NCI" localSheetId="9">#REF!</definedName>
    <definedName name="MO_RIS_NCI" localSheetId="4">#REF!</definedName>
    <definedName name="MO_RIS_NCI" localSheetId="0">#REF!</definedName>
    <definedName name="MO_RIS_NCI">Model!$408:$408</definedName>
    <definedName name="MO_RIS_NI_ContinOp" localSheetId="5">#REF!</definedName>
    <definedName name="MO_RIS_NI_ContinOp" localSheetId="2">#REF!</definedName>
    <definedName name="MO_RIS_NI_ContinOp" localSheetId="3">#REF!</definedName>
    <definedName name="MO_RIS_NI_ContinOp" localSheetId="7">#REF!</definedName>
    <definedName name="MO_RIS_NI_ContinOp" localSheetId="6">#REF!</definedName>
    <definedName name="MO_RIS_NI_ContinOp" localSheetId="1">#REF!</definedName>
    <definedName name="MO_RIS_NI_ContinOp" localSheetId="9">#REF!</definedName>
    <definedName name="MO_RIS_NI_ContinOp" localSheetId="4">#REF!</definedName>
    <definedName name="MO_RIS_NI_ContinOp" localSheetId="0">#REF!</definedName>
    <definedName name="MO_RIS_NI_ContinOp">Model!$406:$406</definedName>
    <definedName name="MO_RIS_NI_GAAP_Basic" localSheetId="5">#REF!</definedName>
    <definedName name="MO_RIS_NI_GAAP_Basic" localSheetId="2">#REF!</definedName>
    <definedName name="MO_RIS_NI_GAAP_Basic" localSheetId="3">#REF!</definedName>
    <definedName name="MO_RIS_NI_GAAP_Basic" localSheetId="7">#REF!</definedName>
    <definedName name="MO_RIS_NI_GAAP_Basic" localSheetId="6">#REF!</definedName>
    <definedName name="MO_RIS_NI_GAAP_Basic" localSheetId="1">#REF!</definedName>
    <definedName name="MO_RIS_NI_GAAP_Basic" localSheetId="9">#REF!</definedName>
    <definedName name="MO_RIS_NI_GAAP_Basic" localSheetId="4">#REF!</definedName>
    <definedName name="MO_RIS_NI_GAAP_Basic" localSheetId="0">#REF!</definedName>
    <definedName name="MO_RIS_NI_GAAP_Basic">Model!$410:$410</definedName>
    <definedName name="MO_RIS_NI_GAAP_Diluted" localSheetId="5">#REF!</definedName>
    <definedName name="MO_RIS_NI_GAAP_Diluted" localSheetId="2">#REF!</definedName>
    <definedName name="MO_RIS_NI_GAAP_Diluted" localSheetId="3">#REF!</definedName>
    <definedName name="MO_RIS_NI_GAAP_Diluted" localSheetId="7">#REF!</definedName>
    <definedName name="MO_RIS_NI_GAAP_Diluted" localSheetId="6">#REF!</definedName>
    <definedName name="MO_RIS_NI_GAAP_Diluted" localSheetId="1">#REF!</definedName>
    <definedName name="MO_RIS_NI_GAAP_Diluted" localSheetId="9">#REF!</definedName>
    <definedName name="MO_RIS_NI_GAAP_Diluted" localSheetId="4">#REF!</definedName>
    <definedName name="MO_RIS_NI_GAAP_Diluted" localSheetId="0">#REF!</definedName>
    <definedName name="MO_RIS_NI_GAAP_Diluted">Model!$412:$412</definedName>
    <definedName name="MO_RIS_NI_NONGAAP_Diluted" localSheetId="5">#REF!</definedName>
    <definedName name="MO_RIS_NI_NONGAAP_Diluted" localSheetId="2">#REF!</definedName>
    <definedName name="MO_RIS_NI_NONGAAP_Diluted" localSheetId="3">#REF!</definedName>
    <definedName name="MO_RIS_NI_NONGAAP_Diluted" localSheetId="7">#REF!</definedName>
    <definedName name="MO_RIS_NI_NONGAAP_Diluted" localSheetId="6">#REF!</definedName>
    <definedName name="MO_RIS_NI_NONGAAP_Diluted" localSheetId="1">#REF!</definedName>
    <definedName name="MO_RIS_NI_NONGAAP_Diluted" localSheetId="9">#REF!</definedName>
    <definedName name="MO_RIS_NI_NONGAAP_Diluted" localSheetId="4">#REF!</definedName>
    <definedName name="MO_RIS_NI_NONGAAP_Diluted" localSheetId="0">#REF!</definedName>
    <definedName name="MO_RIS_NI_NONGAAP_Diluted">Model!$415:$415</definedName>
    <definedName name="MO_RIS_OI" localSheetId="5">#REF!</definedName>
    <definedName name="MO_RIS_OI" localSheetId="2">#REF!</definedName>
    <definedName name="MO_RIS_OI" localSheetId="3">#REF!</definedName>
    <definedName name="MO_RIS_OI" localSheetId="7">#REF!</definedName>
    <definedName name="MO_RIS_OI" localSheetId="6">#REF!</definedName>
    <definedName name="MO_RIS_OI" localSheetId="1">#REF!</definedName>
    <definedName name="MO_RIS_OI" localSheetId="9">#REF!</definedName>
    <definedName name="MO_RIS_OI" localSheetId="4">#REF!</definedName>
    <definedName name="MO_RIS_OI" localSheetId="0">#REF!</definedName>
    <definedName name="MO_RIS_OI">Model!$400:$400</definedName>
    <definedName name="MO_RIS_OI_Operating">#REF!</definedName>
    <definedName name="MO_RIS_OPEX">#REF!</definedName>
    <definedName name="MO_RIS_OTI" localSheetId="5">#REF!</definedName>
    <definedName name="MO_RIS_OTI" localSheetId="2">#REF!</definedName>
    <definedName name="MO_RIS_OTI" localSheetId="3">#REF!</definedName>
    <definedName name="MO_RIS_OTI" localSheetId="7">#REF!</definedName>
    <definedName name="MO_RIS_OTI" localSheetId="6">#REF!</definedName>
    <definedName name="MO_RIS_OTI" localSheetId="1">#REF!</definedName>
    <definedName name="MO_RIS_OTI" localSheetId="9">#REF!</definedName>
    <definedName name="MO_RIS_OTI" localSheetId="4">#REF!</definedName>
    <definedName name="MO_RIS_OTI" localSheetId="0">#REF!</definedName>
    <definedName name="MO_RIS_OTI">Model!$401:$401</definedName>
    <definedName name="MO_RIS_OTI_Operating">[3]Historicals!$429:$429</definedName>
    <definedName name="MO_RIS_RD" localSheetId="5">[3]Historicals!$428:$428</definedName>
    <definedName name="MO_RIS_RD" localSheetId="2">[3]Historicals!$428:$428</definedName>
    <definedName name="MO_RIS_RD" localSheetId="3">[3]Historicals!$428:$428</definedName>
    <definedName name="MO_RIS_RD" localSheetId="7">[3]Historicals!$428:$428</definedName>
    <definedName name="MO_RIS_RD" localSheetId="6">[3]Historicals!$428:$428</definedName>
    <definedName name="MO_RIS_RD" localSheetId="1">[3]Historicals!$428:$428</definedName>
    <definedName name="MO_RIS_RD" localSheetId="9">[3]Historicals!$428:$428</definedName>
    <definedName name="MO_RIS_RD" localSheetId="4">[3]Historicals!$428:$428</definedName>
    <definedName name="MO_RIS_RD" localSheetId="0">[3]Historicals!$428:$428</definedName>
    <definedName name="MO_RIS_RD">Model!$387:$387</definedName>
    <definedName name="MO_RIS_RestLevelExpenses">#REF!</definedName>
    <definedName name="MO_RIS_REV" localSheetId="5">#REF!</definedName>
    <definedName name="MO_RIS_REV" localSheetId="2">#REF!</definedName>
    <definedName name="MO_RIS_REV" localSheetId="3">#REF!</definedName>
    <definedName name="MO_RIS_REV" localSheetId="7">#REF!</definedName>
    <definedName name="MO_RIS_REV" localSheetId="6">#REF!</definedName>
    <definedName name="MO_RIS_REV" localSheetId="1">#REF!</definedName>
    <definedName name="MO_RIS_REV" localSheetId="9">#REF!</definedName>
    <definedName name="MO_RIS_REV" localSheetId="4">#REF!</definedName>
    <definedName name="MO_RIS_REV" localSheetId="0">#REF!</definedName>
    <definedName name="MO_RIS_REV">Model!$378:$378</definedName>
    <definedName name="MO_RIS_SBC" localSheetId="5">#REF!</definedName>
    <definedName name="MO_RIS_SBC" localSheetId="2">#REF!</definedName>
    <definedName name="MO_RIS_SBC" localSheetId="3">#REF!</definedName>
    <definedName name="MO_RIS_SBC" localSheetId="7">#REF!</definedName>
    <definedName name="MO_RIS_SBC" localSheetId="6">#REF!</definedName>
    <definedName name="MO_RIS_SBC" localSheetId="1">#REF!</definedName>
    <definedName name="MO_RIS_SBC" localSheetId="9">#REF!</definedName>
    <definedName name="MO_RIS_SBC" localSheetId="4">#REF!</definedName>
    <definedName name="MO_RIS_SBC" localSheetId="0">#REF!</definedName>
    <definedName name="MO_RIS_SBC">Model!$394:$394</definedName>
    <definedName name="MO_RIS_SGA">[3]Historicals!$427:$427</definedName>
    <definedName name="MO_RIS_ShareCount_WAB" localSheetId="5">#REF!</definedName>
    <definedName name="MO_RIS_ShareCount_WAB" localSheetId="2">#REF!</definedName>
    <definedName name="MO_RIS_ShareCount_WAB" localSheetId="3">#REF!</definedName>
    <definedName name="MO_RIS_ShareCount_WAB" localSheetId="7">#REF!</definedName>
    <definedName name="MO_RIS_ShareCount_WAB" localSheetId="6">#REF!</definedName>
    <definedName name="MO_RIS_ShareCount_WAB" localSheetId="1">#REF!</definedName>
    <definedName name="MO_RIS_ShareCount_WAB" localSheetId="9">#REF!</definedName>
    <definedName name="MO_RIS_ShareCount_WAB" localSheetId="4">#REF!</definedName>
    <definedName name="MO_RIS_ShareCount_WAB" localSheetId="0">#REF!</definedName>
    <definedName name="MO_RIS_ShareCount_WAB">Model!$425:$425</definedName>
    <definedName name="MO_RIS_ShareCount_WAD" localSheetId="5">#REF!</definedName>
    <definedName name="MO_RIS_ShareCount_WAD" localSheetId="2">#REF!</definedName>
    <definedName name="MO_RIS_ShareCount_WAD" localSheetId="3">#REF!</definedName>
    <definedName name="MO_RIS_ShareCount_WAD" localSheetId="7">#REF!</definedName>
    <definedName name="MO_RIS_ShareCount_WAD" localSheetId="6">#REF!</definedName>
    <definedName name="MO_RIS_ShareCount_WAD" localSheetId="1">#REF!</definedName>
    <definedName name="MO_RIS_ShareCount_WAD" localSheetId="9">#REF!</definedName>
    <definedName name="MO_RIS_ShareCount_WAD" localSheetId="4">#REF!</definedName>
    <definedName name="MO_RIS_ShareCount_WAD" localSheetId="0">#REF!</definedName>
    <definedName name="MO_RIS_ShareCount_WAD">Model!$426:$426</definedName>
    <definedName name="MO_RIS_ShareCount_WAD_Adj" localSheetId="5">#REF!</definedName>
    <definedName name="MO_RIS_ShareCount_WAD_Adj" localSheetId="2">#REF!</definedName>
    <definedName name="MO_RIS_ShareCount_WAD_Adj" localSheetId="3">#REF!</definedName>
    <definedName name="MO_RIS_ShareCount_WAD_Adj" localSheetId="7">#REF!</definedName>
    <definedName name="MO_RIS_ShareCount_WAD_Adj" localSheetId="6">#REF!</definedName>
    <definedName name="MO_RIS_ShareCount_WAD_Adj" localSheetId="1">#REF!</definedName>
    <definedName name="MO_RIS_ShareCount_WAD_Adj" localSheetId="9">#REF!</definedName>
    <definedName name="MO_RIS_ShareCount_WAD_Adj" localSheetId="4">#REF!</definedName>
    <definedName name="MO_RIS_ShareCount_WAD_Adj" localSheetId="0">#REF!</definedName>
    <definedName name="MO_RIS_ShareCount_WAD_Adj">Model!$427:$427</definedName>
    <definedName name="MO_RIS_SM" localSheetId="5">[1]Historicals!$424:$424</definedName>
    <definedName name="MO_RIS_SM" localSheetId="2">[1]Historicals!$424:$424</definedName>
    <definedName name="MO_RIS_SM" localSheetId="3">[1]Historicals!$424:$424</definedName>
    <definedName name="MO_RIS_SM" localSheetId="7">[1]Historicals!$424:$424</definedName>
    <definedName name="MO_RIS_SM" localSheetId="6">[1]Historicals!$424:$424</definedName>
    <definedName name="MO_RIS_SM" localSheetId="1">[1]Historicals!$424:$424</definedName>
    <definedName name="MO_RIS_SM" localSheetId="9">[1]Historicals!$424:$424</definedName>
    <definedName name="MO_RIS_SM" localSheetId="4">[1]Historicals!$424:$424</definedName>
    <definedName name="MO_RIS_SM" localSheetId="0">[1]Historicals!$424:$424</definedName>
    <definedName name="MO_RIS_SM">Model!$386:$386</definedName>
    <definedName name="MO_RIS_Tax_Current" localSheetId="5">#REF!</definedName>
    <definedName name="MO_RIS_Tax_Current" localSheetId="2">#REF!</definedName>
    <definedName name="MO_RIS_Tax_Current" localSheetId="3">#REF!</definedName>
    <definedName name="MO_RIS_Tax_Current" localSheetId="7">#REF!</definedName>
    <definedName name="MO_RIS_Tax_Current" localSheetId="6">#REF!</definedName>
    <definedName name="MO_RIS_Tax_Current" localSheetId="1">#REF!</definedName>
    <definedName name="MO_RIS_Tax_Current" localSheetId="9">#REF!</definedName>
    <definedName name="MO_RIS_Tax_Current" localSheetId="4">#REF!</definedName>
    <definedName name="MO_RIS_Tax_Current" localSheetId="0">#REF!</definedName>
    <definedName name="MO_RIS_Tax_Current">Model!$404:$404</definedName>
    <definedName name="MO_RIS_Tax_Deferred" localSheetId="5">#REF!</definedName>
    <definedName name="MO_RIS_Tax_Deferred" localSheetId="2">#REF!</definedName>
    <definedName name="MO_RIS_Tax_Deferred" localSheetId="3">#REF!</definedName>
    <definedName name="MO_RIS_Tax_Deferred" localSheetId="7">#REF!</definedName>
    <definedName name="MO_RIS_Tax_Deferred" localSheetId="6">#REF!</definedName>
    <definedName name="MO_RIS_Tax_Deferred" localSheetId="1">#REF!</definedName>
    <definedName name="MO_RIS_Tax_Deferred" localSheetId="9">#REF!</definedName>
    <definedName name="MO_RIS_Tax_Deferred" localSheetId="4">#REF!</definedName>
    <definedName name="MO_RIS_Tax_Deferred" localSheetId="0">#REF!</definedName>
    <definedName name="MO_RIS_Tax_Deferred">Model!$405:$405</definedName>
    <definedName name="MO_RIS_TaxRate_Current" localSheetId="5">#REF!</definedName>
    <definedName name="MO_RIS_TaxRate_Current" localSheetId="2">#REF!</definedName>
    <definedName name="MO_RIS_TaxRate_Current" localSheetId="3">#REF!</definedName>
    <definedName name="MO_RIS_TaxRate_Current" localSheetId="7">#REF!</definedName>
    <definedName name="MO_RIS_TaxRate_Current" localSheetId="6">#REF!</definedName>
    <definedName name="MO_RIS_TaxRate_Current" localSheetId="1">#REF!</definedName>
    <definedName name="MO_RIS_TaxRate_Current" localSheetId="9">#REF!</definedName>
    <definedName name="MO_RIS_TaxRate_Current" localSheetId="4">#REF!</definedName>
    <definedName name="MO_RIS_TaxRate_Current" localSheetId="0">#REF!</definedName>
    <definedName name="MO_RIS_TaxRate_Current">Model!$417:$417</definedName>
    <definedName name="MO_RIS_TaxRate_Deferred" localSheetId="5">#REF!</definedName>
    <definedName name="MO_RIS_TaxRate_Deferred" localSheetId="2">#REF!</definedName>
    <definedName name="MO_RIS_TaxRate_Deferred" localSheetId="3">#REF!</definedName>
    <definedName name="MO_RIS_TaxRate_Deferred" localSheetId="7">#REF!</definedName>
    <definedName name="MO_RIS_TaxRate_Deferred" localSheetId="6">#REF!</definedName>
    <definedName name="MO_RIS_TaxRate_Deferred" localSheetId="1">#REF!</definedName>
    <definedName name="MO_RIS_TaxRate_Deferred" localSheetId="9">#REF!</definedName>
    <definedName name="MO_RIS_TaxRate_Deferred" localSheetId="4">#REF!</definedName>
    <definedName name="MO_RIS_TaxRate_Deferred" localSheetId="0">#REF!</definedName>
    <definedName name="MO_RIS_TaxRate_Deferred">Model!$418:$418</definedName>
    <definedName name="MO_SCA_ConversionRatio_Class2_ToClass1" localSheetId="5">#REF!</definedName>
    <definedName name="MO_SCA_ConversionRatio_Class2_ToClass1" localSheetId="2">#REF!</definedName>
    <definedName name="MO_SCA_ConversionRatio_Class2_ToClass1" localSheetId="3">#REF!</definedName>
    <definedName name="MO_SCA_ConversionRatio_Class2_ToClass1" localSheetId="7">#REF!</definedName>
    <definedName name="MO_SCA_ConversionRatio_Class2_ToClass1" localSheetId="6">#REF!</definedName>
    <definedName name="MO_SCA_ConversionRatio_Class2_ToClass1" localSheetId="1">#REF!</definedName>
    <definedName name="MO_SCA_ConversionRatio_Class2_ToClass1" localSheetId="9">#REF!</definedName>
    <definedName name="MO_SCA_ConversionRatio_Class2_ToClass1" localSheetId="4">#REF!</definedName>
    <definedName name="MO_SCA_ConversionRatio_Class2_ToClass1" localSheetId="0">#REF!</definedName>
    <definedName name="MO_SCA_ConversionRatio_Class2_ToClass1">Model!$433:$433</definedName>
    <definedName name="MO_SCA_Date_CoverPage" localSheetId="5">#REF!</definedName>
    <definedName name="MO_SCA_Date_CoverPage" localSheetId="2">#REF!</definedName>
    <definedName name="MO_SCA_Date_CoverPage" localSheetId="3">#REF!</definedName>
    <definedName name="MO_SCA_Date_CoverPage" localSheetId="7">#REF!</definedName>
    <definedName name="MO_SCA_Date_CoverPage" localSheetId="6">#REF!</definedName>
    <definedName name="MO_SCA_Date_CoverPage" localSheetId="1">#REF!</definedName>
    <definedName name="MO_SCA_Date_CoverPage" localSheetId="9">#REF!</definedName>
    <definedName name="MO_SCA_Date_CoverPage" localSheetId="4">#REF!</definedName>
    <definedName name="MO_SCA_Date_CoverPage" localSheetId="0">#REF!</definedName>
    <definedName name="MO_SCA_Date_CoverPage">Model!$496:$496</definedName>
    <definedName name="MO_SCA_Date_LastWorkingDay" localSheetId="5">#REF!</definedName>
    <definedName name="MO_SCA_Date_LastWorkingDay" localSheetId="2">#REF!</definedName>
    <definedName name="MO_SCA_Date_LastWorkingDay" localSheetId="3">#REF!</definedName>
    <definedName name="MO_SCA_Date_LastWorkingDay" localSheetId="7">#REF!</definedName>
    <definedName name="MO_SCA_Date_LastWorkingDay" localSheetId="6">#REF!</definedName>
    <definedName name="MO_SCA_Date_LastWorkingDay" localSheetId="1">#REF!</definedName>
    <definedName name="MO_SCA_Date_LastWorkingDay" localSheetId="9">#REF!</definedName>
    <definedName name="MO_SCA_Date_LastWorkingDay" localSheetId="4">#REF!</definedName>
    <definedName name="MO_SCA_Date_LastWorkingDay" localSheetId="0">#REF!</definedName>
    <definedName name="MO_SCA_Date_LastWorkingDay">Model!$430:$430</definedName>
    <definedName name="MO_SCA_ESPPObligations_EoP" localSheetId="5">#REF!</definedName>
    <definedName name="MO_SCA_ESPPObligations_EoP" localSheetId="2">#REF!</definedName>
    <definedName name="MO_SCA_ESPPObligations_EoP" localSheetId="3">#REF!</definedName>
    <definedName name="MO_SCA_ESPPObligations_EoP" localSheetId="7">#REF!</definedName>
    <definedName name="MO_SCA_ESPPObligations_EoP" localSheetId="6">#REF!</definedName>
    <definedName name="MO_SCA_ESPPObligations_EoP" localSheetId="1">#REF!</definedName>
    <definedName name="MO_SCA_ESPPObligations_EoP" localSheetId="9">#REF!</definedName>
    <definedName name="MO_SCA_ESPPObligations_EoP" localSheetId="4">#REF!</definedName>
    <definedName name="MO_SCA_ESPPObligations_EoP" localSheetId="0">#REF!</definedName>
    <definedName name="MO_SCA_ESPPObligations_EoP">Model!$484:$484</definedName>
    <definedName name="MO_SCA_Other_EoP" localSheetId="5">#REF!</definedName>
    <definedName name="MO_SCA_Other_EoP" localSheetId="2">#REF!</definedName>
    <definedName name="MO_SCA_Other_EoP" localSheetId="3">#REF!</definedName>
    <definedName name="MO_SCA_Other_EoP" localSheetId="7">#REF!</definedName>
    <definedName name="MO_SCA_Other_EoP" localSheetId="6">#REF!</definedName>
    <definedName name="MO_SCA_Other_EoP" localSheetId="1">#REF!</definedName>
    <definedName name="MO_SCA_Other_EoP" localSheetId="9">#REF!</definedName>
    <definedName name="MO_SCA_Other_EoP" localSheetId="4">#REF!</definedName>
    <definedName name="MO_SCA_Other_EoP" localSheetId="0">#REF!</definedName>
    <definedName name="MO_SCA_Other_EoP">Model!$487:$487</definedName>
    <definedName name="MO_SCA_Ratio_DilutedOverBasic" localSheetId="5">#REF!</definedName>
    <definedName name="MO_SCA_Ratio_DilutedOverBasic" localSheetId="2">#REF!</definedName>
    <definedName name="MO_SCA_Ratio_DilutedOverBasic" localSheetId="3">#REF!</definedName>
    <definedName name="MO_SCA_Ratio_DilutedOverBasic" localSheetId="7">#REF!</definedName>
    <definedName name="MO_SCA_Ratio_DilutedOverBasic" localSheetId="6">#REF!</definedName>
    <definedName name="MO_SCA_Ratio_DilutedOverBasic" localSheetId="1">#REF!</definedName>
    <definedName name="MO_SCA_Ratio_DilutedOverBasic" localSheetId="9">#REF!</definedName>
    <definedName name="MO_SCA_Ratio_DilutedOverBasic" localSheetId="4">#REF!</definedName>
    <definedName name="MO_SCA_Ratio_DilutedOverBasic" localSheetId="0">#REF!</definedName>
    <definedName name="MO_SCA_Ratio_DilutedOverBasic">Model!$449:$449</definedName>
    <definedName name="MO_SCA_Repurchase_DollarValue">Model!$513:$513</definedName>
    <definedName name="MO_SCA_Repurchase_Program_Addition">Model!$518:$518</definedName>
    <definedName name="MO_SCA_Repurchase_Program_Remaining">Model!$523:$523</definedName>
    <definedName name="MO_SCA_Repurchase_Reported_Price">Model!$508:$508</definedName>
    <definedName name="MO_SCA_Repurchase_Reported_Shares_Total">Model!$503:$503</definedName>
    <definedName name="MO_SCA_ShareCount_CoverPage" localSheetId="5">#REF!</definedName>
    <definedName name="MO_SCA_ShareCount_CoverPage" localSheetId="2">#REF!</definedName>
    <definedName name="MO_SCA_ShareCount_CoverPage" localSheetId="3">#REF!</definedName>
    <definedName name="MO_SCA_ShareCount_CoverPage" localSheetId="7">#REF!</definedName>
    <definedName name="MO_SCA_ShareCount_CoverPage" localSheetId="6">#REF!</definedName>
    <definedName name="MO_SCA_ShareCount_CoverPage" localSheetId="1">#REF!</definedName>
    <definedName name="MO_SCA_ShareCount_CoverPage" localSheetId="9">#REF!</definedName>
    <definedName name="MO_SCA_ShareCount_CoverPage" localSheetId="4">#REF!</definedName>
    <definedName name="MO_SCA_ShareCount_CoverPage" localSheetId="0">#REF!</definedName>
    <definedName name="MO_SCA_ShareCount_CoverPage">Model!$495:$495</definedName>
    <definedName name="MO_SCA_ShareCount_CoverPage_Class1" localSheetId="5">#REF!</definedName>
    <definedName name="MO_SCA_ShareCount_CoverPage_Class1" localSheetId="2">#REF!</definedName>
    <definedName name="MO_SCA_ShareCount_CoverPage_Class1" localSheetId="3">#REF!</definedName>
    <definedName name="MO_SCA_ShareCount_CoverPage_Class1" localSheetId="7">#REF!</definedName>
    <definedName name="MO_SCA_ShareCount_CoverPage_Class1" localSheetId="6">#REF!</definedName>
    <definedName name="MO_SCA_ShareCount_CoverPage_Class1" localSheetId="1">#REF!</definedName>
    <definedName name="MO_SCA_ShareCount_CoverPage_Class1" localSheetId="9">#REF!</definedName>
    <definedName name="MO_SCA_ShareCount_CoverPage_Class1" localSheetId="4">#REF!</definedName>
    <definedName name="MO_SCA_ShareCount_CoverPage_Class1" localSheetId="0">#REF!</definedName>
    <definedName name="MO_SCA_ShareCount_CoverPage_Class1">Model!$493:$493</definedName>
    <definedName name="MO_SCA_ShareCount_CoverPage_Class2" localSheetId="5">#REF!</definedName>
    <definedName name="MO_SCA_ShareCount_CoverPage_Class2" localSheetId="2">#REF!</definedName>
    <definedName name="MO_SCA_ShareCount_CoverPage_Class2" localSheetId="3">#REF!</definedName>
    <definedName name="MO_SCA_ShareCount_CoverPage_Class2" localSheetId="7">#REF!</definedName>
    <definedName name="MO_SCA_ShareCount_CoverPage_Class2" localSheetId="6">#REF!</definedName>
    <definedName name="MO_SCA_ShareCount_CoverPage_Class2" localSheetId="1">#REF!</definedName>
    <definedName name="MO_SCA_ShareCount_CoverPage_Class2" localSheetId="9">#REF!</definedName>
    <definedName name="MO_SCA_ShareCount_CoverPage_Class2" localSheetId="4">#REF!</definedName>
    <definedName name="MO_SCA_ShareCount_CoverPage_Class2" localSheetId="0">#REF!</definedName>
    <definedName name="MO_SCA_ShareCount_CoverPage_Class2">Model!$494:$494</definedName>
    <definedName name="MO_SCA_ShareCount_CoverPage_Dilutive" localSheetId="5">#REF!</definedName>
    <definedName name="MO_SCA_ShareCount_CoverPage_Dilutive" localSheetId="2">#REF!</definedName>
    <definedName name="MO_SCA_ShareCount_CoverPage_Dilutive" localSheetId="3">#REF!</definedName>
    <definedName name="MO_SCA_ShareCount_CoverPage_Dilutive" localSheetId="7">#REF!</definedName>
    <definedName name="MO_SCA_ShareCount_CoverPage_Dilutive" localSheetId="6">#REF!</definedName>
    <definedName name="MO_SCA_ShareCount_CoverPage_Dilutive" localSheetId="1">#REF!</definedName>
    <definedName name="MO_SCA_ShareCount_CoverPage_Dilutive" localSheetId="9">#REF!</definedName>
    <definedName name="MO_SCA_ShareCount_CoverPage_Dilutive" localSheetId="4">#REF!</definedName>
    <definedName name="MO_SCA_ShareCount_CoverPage_Dilutive" localSheetId="0">#REF!</definedName>
    <definedName name="MO_SCA_ShareCount_CoverPage_Dilutive">Model!$498:$498</definedName>
    <definedName name="MO_SCA_ShareCount_CoverPage_Ticker1" localSheetId="5">#REF!</definedName>
    <definedName name="MO_SCA_ShareCount_CoverPage_Ticker1" localSheetId="2">#REF!</definedName>
    <definedName name="MO_SCA_ShareCount_CoverPage_Ticker1" localSheetId="3">#REF!</definedName>
    <definedName name="MO_SCA_ShareCount_CoverPage_Ticker1" localSheetId="7">#REF!</definedName>
    <definedName name="MO_SCA_ShareCount_CoverPage_Ticker1" localSheetId="6">#REF!</definedName>
    <definedName name="MO_SCA_ShareCount_CoverPage_Ticker1" localSheetId="1">#REF!</definedName>
    <definedName name="MO_SCA_ShareCount_CoverPage_Ticker1" localSheetId="9">#REF!</definedName>
    <definedName name="MO_SCA_ShareCount_CoverPage_Ticker1" localSheetId="4">#REF!</definedName>
    <definedName name="MO_SCA_ShareCount_CoverPage_Ticker1" localSheetId="0">#REF!</definedName>
    <definedName name="MO_SCA_ShareCount_CoverPage_Ticker1">Model!$493:$493</definedName>
    <definedName name="MO_SCA_ShareCount_CoverPage_Ticker1_Equivalent" localSheetId="5">#REF!</definedName>
    <definedName name="MO_SCA_ShareCount_CoverPage_Ticker1_Equivalent" localSheetId="2">#REF!</definedName>
    <definedName name="MO_SCA_ShareCount_CoverPage_Ticker1_Equivalent" localSheetId="3">#REF!</definedName>
    <definedName name="MO_SCA_ShareCount_CoverPage_Ticker1_Equivalent" localSheetId="7">#REF!</definedName>
    <definedName name="MO_SCA_ShareCount_CoverPage_Ticker1_Equivalent" localSheetId="6">#REF!</definedName>
    <definedName name="MO_SCA_ShareCount_CoverPage_Ticker1_Equivalent" localSheetId="1">#REF!</definedName>
    <definedName name="MO_SCA_ShareCount_CoverPage_Ticker1_Equivalent" localSheetId="9">#REF!</definedName>
    <definedName name="MO_SCA_ShareCount_CoverPage_Ticker1_Equivalent" localSheetId="4">#REF!</definedName>
    <definedName name="MO_SCA_ShareCount_CoverPage_Ticker1_Equivalent" localSheetId="0">#REF!</definedName>
    <definedName name="MO_SCA_ShareCount_CoverPage_Ticker1_Equivalent">Model!$495:$495</definedName>
    <definedName name="MO_SCA_ShareCount_DilutiveShares">Model!$448:$448</definedName>
    <definedName name="MO_SCA_ShareCount_EoP" localSheetId="5">#REF!</definedName>
    <definedName name="MO_SCA_ShareCount_EoP" localSheetId="2">#REF!</definedName>
    <definedName name="MO_SCA_ShareCount_EoP" localSheetId="3">#REF!</definedName>
    <definedName name="MO_SCA_ShareCount_EoP" localSheetId="7">#REF!</definedName>
    <definedName name="MO_SCA_ShareCount_EoP" localSheetId="6">#REF!</definedName>
    <definedName name="MO_SCA_ShareCount_EoP" localSheetId="1">#REF!</definedName>
    <definedName name="MO_SCA_ShareCount_EoP" localSheetId="9">#REF!</definedName>
    <definedName name="MO_SCA_ShareCount_EoP" localSheetId="4">#REF!</definedName>
    <definedName name="MO_SCA_ShareCount_EoP" localSheetId="0">#REF!</definedName>
    <definedName name="MO_SCA_ShareCount_EoP">Model!$437:$437</definedName>
    <definedName name="MO_SCA_ShareCount_EoP_Class1" localSheetId="5">#REF!</definedName>
    <definedName name="MO_SCA_ShareCount_EoP_Class1" localSheetId="2">#REF!</definedName>
    <definedName name="MO_SCA_ShareCount_EoP_Class1" localSheetId="3">#REF!</definedName>
    <definedName name="MO_SCA_ShareCount_EoP_Class1" localSheetId="7">#REF!</definedName>
    <definedName name="MO_SCA_ShareCount_EoP_Class1" localSheetId="6">#REF!</definedName>
    <definedName name="MO_SCA_ShareCount_EoP_Class1" localSheetId="1">#REF!</definedName>
    <definedName name="MO_SCA_ShareCount_EoP_Class1" localSheetId="9">#REF!</definedName>
    <definedName name="MO_SCA_ShareCount_EoP_Class1" localSheetId="4">#REF!</definedName>
    <definedName name="MO_SCA_ShareCount_EoP_Class1" localSheetId="0">#REF!</definedName>
    <definedName name="MO_SCA_ShareCount_EoP_Class1">Model!$435:$435</definedName>
    <definedName name="MO_SCA_ShareCount_EoP_Class2" localSheetId="5">#REF!</definedName>
    <definedName name="MO_SCA_ShareCount_EoP_Class2" localSheetId="2">#REF!</definedName>
    <definedName name="MO_SCA_ShareCount_EoP_Class2" localSheetId="3">#REF!</definedName>
    <definedName name="MO_SCA_ShareCount_EoP_Class2" localSheetId="7">#REF!</definedName>
    <definedName name="MO_SCA_ShareCount_EoP_Class2" localSheetId="6">#REF!</definedName>
    <definedName name="MO_SCA_ShareCount_EoP_Class2" localSheetId="1">#REF!</definedName>
    <definedName name="MO_SCA_ShareCount_EoP_Class2" localSheetId="9">#REF!</definedName>
    <definedName name="MO_SCA_ShareCount_EoP_Class2" localSheetId="4">#REF!</definedName>
    <definedName name="MO_SCA_ShareCount_EoP_Class2" localSheetId="0">#REF!</definedName>
    <definedName name="MO_SCA_ShareCount_EoP_Class2">Model!$436:$436</definedName>
    <definedName name="MO_SCA_ShareCount_EoP_Diluted" localSheetId="5">[3]Historicals!$486:$486</definedName>
    <definedName name="MO_SCA_ShareCount_EoP_Diluted" localSheetId="2">[3]Historicals!$486:$486</definedName>
    <definedName name="MO_SCA_ShareCount_EoP_Diluted" localSheetId="3">[3]Historicals!$486:$486</definedName>
    <definedName name="MO_SCA_ShareCount_EoP_Diluted" localSheetId="7">[3]Historicals!$486:$486</definedName>
    <definedName name="MO_SCA_ShareCount_EoP_Diluted" localSheetId="6">[3]Historicals!$486:$486</definedName>
    <definedName name="MO_SCA_ShareCount_EoP_Diluted" localSheetId="1">[3]Historicals!$486:$486</definedName>
    <definedName name="MO_SCA_ShareCount_EoP_Diluted" localSheetId="9">[3]Historicals!$486:$486</definedName>
    <definedName name="MO_SCA_ShareCount_EoP_Diluted" localSheetId="4">[3]Historicals!$486:$486</definedName>
    <definedName name="MO_SCA_ShareCount_EoP_Diluted" localSheetId="0">[3]Historicals!$486:$486</definedName>
    <definedName name="MO_SCA_ShareCount_EoP_Diluted">Model!$451:$451</definedName>
    <definedName name="MO_SCA_ShareCount_EoP_Economic" localSheetId="5">#REF!</definedName>
    <definedName name="MO_SCA_ShareCount_EoP_Economic" localSheetId="2">#REF!</definedName>
    <definedName name="MO_SCA_ShareCount_EoP_Economic" localSheetId="3">#REF!</definedName>
    <definedName name="MO_SCA_ShareCount_EoP_Economic" localSheetId="7">#REF!</definedName>
    <definedName name="MO_SCA_ShareCount_EoP_Economic" localSheetId="6">#REF!</definedName>
    <definedName name="MO_SCA_ShareCount_EoP_Economic" localSheetId="1">#REF!</definedName>
    <definedName name="MO_SCA_ShareCount_EoP_Economic" localSheetId="9">#REF!</definedName>
    <definedName name="MO_SCA_ShareCount_EoP_Economic" localSheetId="4">#REF!</definedName>
    <definedName name="MO_SCA_ShareCount_EoP_Economic" localSheetId="0">#REF!</definedName>
    <definedName name="MO_SCA_ShareCount_EoP_Economic">Model!$440:$440</definedName>
    <definedName name="MO_SCA_ShareCount_EoP_Growth_Dilutive_QoQ" localSheetId="5">#REF!</definedName>
    <definedName name="MO_SCA_ShareCount_EoP_Growth_Dilutive_QoQ" localSheetId="2">#REF!</definedName>
    <definedName name="MO_SCA_ShareCount_EoP_Growth_Dilutive_QoQ" localSheetId="3">#REF!</definedName>
    <definedName name="MO_SCA_ShareCount_EoP_Growth_Dilutive_QoQ" localSheetId="7">#REF!</definedName>
    <definedName name="MO_SCA_ShareCount_EoP_Growth_Dilutive_QoQ" localSheetId="6">#REF!</definedName>
    <definedName name="MO_SCA_ShareCount_EoP_Growth_Dilutive_QoQ" localSheetId="1">#REF!</definedName>
    <definedName name="MO_SCA_ShareCount_EoP_Growth_Dilutive_QoQ" localSheetId="9">#REF!</definedName>
    <definedName name="MO_SCA_ShareCount_EoP_Growth_Dilutive_QoQ" localSheetId="4">#REF!</definedName>
    <definedName name="MO_SCA_ShareCount_EoP_Growth_Dilutive_QoQ" localSheetId="0">#REF!</definedName>
    <definedName name="MO_SCA_ShareCount_EoP_Growth_Dilutive_QoQ">Model!$441:$441</definedName>
    <definedName name="MO_SCA_ShareCount_EoP_Growth_Dilutive_YoY" localSheetId="5">#REF!</definedName>
    <definedName name="MO_SCA_ShareCount_EoP_Growth_Dilutive_YoY" localSheetId="2">#REF!</definedName>
    <definedName name="MO_SCA_ShareCount_EoP_Growth_Dilutive_YoY" localSheetId="3">#REF!</definedName>
    <definedName name="MO_SCA_ShareCount_EoP_Growth_Dilutive_YoY" localSheetId="7">#REF!</definedName>
    <definedName name="MO_SCA_ShareCount_EoP_Growth_Dilutive_YoY" localSheetId="6">#REF!</definedName>
    <definedName name="MO_SCA_ShareCount_EoP_Growth_Dilutive_YoY" localSheetId="1">#REF!</definedName>
    <definedName name="MO_SCA_ShareCount_EoP_Growth_Dilutive_YoY" localSheetId="9">#REF!</definedName>
    <definedName name="MO_SCA_ShareCount_EoP_Growth_Dilutive_YoY" localSheetId="4">#REF!</definedName>
    <definedName name="MO_SCA_ShareCount_EoP_Growth_Dilutive_YoY" localSheetId="0">#REF!</definedName>
    <definedName name="MO_SCA_ShareCount_EoP_Growth_Dilutive_YoY">Model!$442:$442</definedName>
    <definedName name="MO_SCA_ShareCount_EoP_Growth_NetIssuance_QoQ" localSheetId="5">#REF!</definedName>
    <definedName name="MO_SCA_ShareCount_EoP_Growth_NetIssuance_QoQ" localSheetId="2">#REF!</definedName>
    <definedName name="MO_SCA_ShareCount_EoP_Growth_NetIssuance_QoQ" localSheetId="3">#REF!</definedName>
    <definedName name="MO_SCA_ShareCount_EoP_Growth_NetIssuance_QoQ" localSheetId="7">#REF!</definedName>
    <definedName name="MO_SCA_ShareCount_EoP_Growth_NetIssuance_QoQ" localSheetId="6">#REF!</definedName>
    <definedName name="MO_SCA_ShareCount_EoP_Growth_NetIssuance_QoQ" localSheetId="1">#REF!</definedName>
    <definedName name="MO_SCA_ShareCount_EoP_Growth_NetIssuance_QoQ" localSheetId="9">#REF!</definedName>
    <definedName name="MO_SCA_ShareCount_EoP_Growth_NetIssuance_QoQ" localSheetId="4">#REF!</definedName>
    <definedName name="MO_SCA_ShareCount_EoP_Growth_NetIssuance_QoQ" localSheetId="0">#REF!</definedName>
    <definedName name="MO_SCA_ShareCount_EoP_Growth_NetIssuance_QoQ">Model!$443:$443</definedName>
    <definedName name="MO_SCA_ShareCount_EoP_Growth_NetIssuance_YoY" localSheetId="5">#REF!</definedName>
    <definedName name="MO_SCA_ShareCount_EoP_Growth_NetIssuance_YoY" localSheetId="2">#REF!</definedName>
    <definedName name="MO_SCA_ShareCount_EoP_Growth_NetIssuance_YoY" localSheetId="3">#REF!</definedName>
    <definedName name="MO_SCA_ShareCount_EoP_Growth_NetIssuance_YoY" localSheetId="7">#REF!</definedName>
    <definedName name="MO_SCA_ShareCount_EoP_Growth_NetIssuance_YoY" localSheetId="6">#REF!</definedName>
    <definedName name="MO_SCA_ShareCount_EoP_Growth_NetIssuance_YoY" localSheetId="1">#REF!</definedName>
    <definedName name="MO_SCA_ShareCount_EoP_Growth_NetIssuance_YoY" localSheetId="9">#REF!</definedName>
    <definedName name="MO_SCA_ShareCount_EoP_Growth_NetIssuance_YoY" localSheetId="4">#REF!</definedName>
    <definedName name="MO_SCA_ShareCount_EoP_Growth_NetIssuance_YoY" localSheetId="0">#REF!</definedName>
    <definedName name="MO_SCA_ShareCount_EoP_Growth_NetIssuance_YoY">Model!$444:$444</definedName>
    <definedName name="MO_SCA_ShareCount_EoP_Growth_QoQ" localSheetId="5">#REF!</definedName>
    <definedName name="MO_SCA_ShareCount_EoP_Growth_QoQ" localSheetId="2">#REF!</definedName>
    <definedName name="MO_SCA_ShareCount_EoP_Growth_QoQ" localSheetId="3">#REF!</definedName>
    <definedName name="MO_SCA_ShareCount_EoP_Growth_QoQ" localSheetId="7">#REF!</definedName>
    <definedName name="MO_SCA_ShareCount_EoP_Growth_QoQ" localSheetId="6">#REF!</definedName>
    <definedName name="MO_SCA_ShareCount_EoP_Growth_QoQ" localSheetId="1">#REF!</definedName>
    <definedName name="MO_SCA_ShareCount_EoP_Growth_QoQ" localSheetId="9">#REF!</definedName>
    <definedName name="MO_SCA_ShareCount_EoP_Growth_QoQ" localSheetId="4">#REF!</definedName>
    <definedName name="MO_SCA_ShareCount_EoP_Growth_QoQ" localSheetId="0">#REF!</definedName>
    <definedName name="MO_SCA_ShareCount_EoP_Growth_QoQ">Model!$445:$445</definedName>
    <definedName name="MO_SCA_ShareCount_EoP_Growth_YoY" localSheetId="5">#REF!</definedName>
    <definedName name="MO_SCA_ShareCount_EoP_Growth_YoY" localSheetId="2">#REF!</definedName>
    <definedName name="MO_SCA_ShareCount_EoP_Growth_YoY" localSheetId="3">#REF!</definedName>
    <definedName name="MO_SCA_ShareCount_EoP_Growth_YoY" localSheetId="7">#REF!</definedName>
    <definedName name="MO_SCA_ShareCount_EoP_Growth_YoY" localSheetId="6">#REF!</definedName>
    <definedName name="MO_SCA_ShareCount_EoP_Growth_YoY" localSheetId="1">#REF!</definedName>
    <definedName name="MO_SCA_ShareCount_EoP_Growth_YoY" localSheetId="9">#REF!</definedName>
    <definedName name="MO_SCA_ShareCount_EoP_Growth_YoY" localSheetId="4">#REF!</definedName>
    <definedName name="MO_SCA_ShareCount_EoP_Growth_YoY" localSheetId="0">#REF!</definedName>
    <definedName name="MO_SCA_ShareCount_EoP_Growth_YoY">Model!$446:$446</definedName>
    <definedName name="MO_SCA_ShareCount_EoP_Ticker1" localSheetId="5">#REF!</definedName>
    <definedName name="MO_SCA_ShareCount_EoP_Ticker1" localSheetId="2">#REF!</definedName>
    <definedName name="MO_SCA_ShareCount_EoP_Ticker1" localSheetId="3">#REF!</definedName>
    <definedName name="MO_SCA_ShareCount_EoP_Ticker1" localSheetId="7">#REF!</definedName>
    <definedName name="MO_SCA_ShareCount_EoP_Ticker1" localSheetId="6">#REF!</definedName>
    <definedName name="MO_SCA_ShareCount_EoP_Ticker1" localSheetId="1">#REF!</definedName>
    <definedName name="MO_SCA_ShareCount_EoP_Ticker1" localSheetId="9">#REF!</definedName>
    <definedName name="MO_SCA_ShareCount_EoP_Ticker1" localSheetId="4">#REF!</definedName>
    <definedName name="MO_SCA_ShareCount_EoP_Ticker1" localSheetId="0">#REF!</definedName>
    <definedName name="MO_SCA_ShareCount_EoP_Ticker1">Model!$435:$435</definedName>
    <definedName name="MO_SCA_ShareCount_EoP_Ticker1_Equivalent" localSheetId="5">#REF!</definedName>
    <definedName name="MO_SCA_ShareCount_EoP_Ticker1_Equivalent" localSheetId="2">#REF!</definedName>
    <definedName name="MO_SCA_ShareCount_EoP_Ticker1_Equivalent" localSheetId="3">#REF!</definedName>
    <definedName name="MO_SCA_ShareCount_EoP_Ticker1_Equivalent" localSheetId="7">#REF!</definedName>
    <definedName name="MO_SCA_ShareCount_EoP_Ticker1_Equivalent" localSheetId="6">#REF!</definedName>
    <definedName name="MO_SCA_ShareCount_EoP_Ticker1_Equivalent" localSheetId="1">#REF!</definedName>
    <definedName name="MO_SCA_ShareCount_EoP_Ticker1_Equivalent" localSheetId="9">#REF!</definedName>
    <definedName name="MO_SCA_ShareCount_EoP_Ticker1_Equivalent" localSheetId="4">#REF!</definedName>
    <definedName name="MO_SCA_ShareCount_EoP_Ticker1_Equivalent" localSheetId="0">#REF!</definedName>
    <definedName name="MO_SCA_ShareCount_EoP_Ticker1_Equivalent">Model!$437:$437</definedName>
    <definedName name="MO_SCA_ShareCount_FullyDiluted" localSheetId="5">#REF!</definedName>
    <definedName name="MO_SCA_ShareCount_FullyDiluted" localSheetId="2">#REF!</definedName>
    <definedName name="MO_SCA_ShareCount_FullyDiluted" localSheetId="3">#REF!</definedName>
    <definedName name="MO_SCA_ShareCount_FullyDiluted" localSheetId="7">#REF!</definedName>
    <definedName name="MO_SCA_ShareCount_FullyDiluted" localSheetId="6">#REF!</definedName>
    <definedName name="MO_SCA_ShareCount_FullyDiluted" localSheetId="1">#REF!</definedName>
    <definedName name="MO_SCA_ShareCount_FullyDiluted" localSheetId="9">#REF!</definedName>
    <definedName name="MO_SCA_ShareCount_FullyDiluted" localSheetId="4">#REF!</definedName>
    <definedName name="MO_SCA_ShareCount_FullyDiluted" localSheetId="0">#REF!</definedName>
    <definedName name="MO_SCA_ShareCount_FullyDiluted">Model!$491:$491</definedName>
    <definedName name="MO_SCA_ShareCount_PotentialDilution" localSheetId="5">#REF!</definedName>
    <definedName name="MO_SCA_ShareCount_PotentialDilution" localSheetId="2">#REF!</definedName>
    <definedName name="MO_SCA_ShareCount_PotentialDilution" localSheetId="3">#REF!</definedName>
    <definedName name="MO_SCA_ShareCount_PotentialDilution" localSheetId="7">#REF!</definedName>
    <definedName name="MO_SCA_ShareCount_PotentialDilution" localSheetId="6">#REF!</definedName>
    <definedName name="MO_SCA_ShareCount_PotentialDilution" localSheetId="1">#REF!</definedName>
    <definedName name="MO_SCA_ShareCount_PotentialDilution" localSheetId="9">#REF!</definedName>
    <definedName name="MO_SCA_ShareCount_PotentialDilution" localSheetId="4">#REF!</definedName>
    <definedName name="MO_SCA_ShareCount_PotentialDilution" localSheetId="0">#REF!</definedName>
    <definedName name="MO_SCA_ShareCount_PotentialDilution">Model!$489:$489</definedName>
    <definedName name="MO_SCA_StockOptions_BoP" localSheetId="5">#REF!</definedName>
    <definedName name="MO_SCA_StockOptions_BoP" localSheetId="2">#REF!</definedName>
    <definedName name="MO_SCA_StockOptions_BoP" localSheetId="3">#REF!</definedName>
    <definedName name="MO_SCA_StockOptions_BoP" localSheetId="7">#REF!</definedName>
    <definedName name="MO_SCA_StockOptions_BoP" localSheetId="6">#REF!</definedName>
    <definedName name="MO_SCA_StockOptions_BoP" localSheetId="1">#REF!</definedName>
    <definedName name="MO_SCA_StockOptions_BoP" localSheetId="9">#REF!</definedName>
    <definedName name="MO_SCA_StockOptions_BoP" localSheetId="4">#REF!</definedName>
    <definedName name="MO_SCA_StockOptions_BoP" localSheetId="0">#REF!</definedName>
    <definedName name="MO_SCA_StockOptions_BoP">Model!$459:$459</definedName>
    <definedName name="MO_SCA_StockOptions_Canceled" localSheetId="5">#REF!</definedName>
    <definedName name="MO_SCA_StockOptions_Canceled" localSheetId="2">#REF!</definedName>
    <definedName name="MO_SCA_StockOptions_Canceled" localSheetId="3">#REF!</definedName>
    <definedName name="MO_SCA_StockOptions_Canceled" localSheetId="7">#REF!</definedName>
    <definedName name="MO_SCA_StockOptions_Canceled" localSheetId="6">#REF!</definedName>
    <definedName name="MO_SCA_StockOptions_Canceled" localSheetId="1">#REF!</definedName>
    <definedName name="MO_SCA_StockOptions_Canceled" localSheetId="9">#REF!</definedName>
    <definedName name="MO_SCA_StockOptions_Canceled" localSheetId="4">#REF!</definedName>
    <definedName name="MO_SCA_StockOptions_Canceled" localSheetId="0">#REF!</definedName>
    <definedName name="MO_SCA_StockOptions_Canceled">Model!$462:$462</definedName>
    <definedName name="MO_SCA_StockOptions_Cumulative_BoP" localSheetId="5">#REF!</definedName>
    <definedName name="MO_SCA_StockOptions_Cumulative_BoP" localSheetId="2">#REF!</definedName>
    <definedName name="MO_SCA_StockOptions_Cumulative_BoP" localSheetId="3">#REF!</definedName>
    <definedName name="MO_SCA_StockOptions_Cumulative_BoP" localSheetId="7">#REF!</definedName>
    <definedName name="MO_SCA_StockOptions_Cumulative_BoP" localSheetId="6">#REF!</definedName>
    <definedName name="MO_SCA_StockOptions_Cumulative_BoP" localSheetId="1">#REF!</definedName>
    <definedName name="MO_SCA_StockOptions_Cumulative_BoP" localSheetId="9">#REF!</definedName>
    <definedName name="MO_SCA_StockOptions_Cumulative_BoP" localSheetId="4">#REF!</definedName>
    <definedName name="MO_SCA_StockOptions_Cumulative_BoP" localSheetId="0">#REF!</definedName>
    <definedName name="MO_SCA_StockOptions_Cumulative_BoP">Model!$453:$453</definedName>
    <definedName name="MO_SCA_StockOptions_Cumulative_Canceled" localSheetId="5">#REF!</definedName>
    <definedName name="MO_SCA_StockOptions_Cumulative_Canceled" localSheetId="2">#REF!</definedName>
    <definedName name="MO_SCA_StockOptions_Cumulative_Canceled" localSheetId="3">#REF!</definedName>
    <definedName name="MO_SCA_StockOptions_Cumulative_Canceled" localSheetId="7">#REF!</definedName>
    <definedName name="MO_SCA_StockOptions_Cumulative_Canceled" localSheetId="6">#REF!</definedName>
    <definedName name="MO_SCA_StockOptions_Cumulative_Canceled" localSheetId="1">#REF!</definedName>
    <definedName name="MO_SCA_StockOptions_Cumulative_Canceled" localSheetId="9">#REF!</definedName>
    <definedName name="MO_SCA_StockOptions_Cumulative_Canceled" localSheetId="4">#REF!</definedName>
    <definedName name="MO_SCA_StockOptions_Cumulative_Canceled" localSheetId="0">#REF!</definedName>
    <definedName name="MO_SCA_StockOptions_Cumulative_Canceled">Model!$456:$456</definedName>
    <definedName name="MO_SCA_StockOptions_Cumulative_EoP" localSheetId="5">#REF!</definedName>
    <definedName name="MO_SCA_StockOptions_Cumulative_EoP" localSheetId="2">#REF!</definedName>
    <definedName name="MO_SCA_StockOptions_Cumulative_EoP" localSheetId="3">#REF!</definedName>
    <definedName name="MO_SCA_StockOptions_Cumulative_EoP" localSheetId="7">#REF!</definedName>
    <definedName name="MO_SCA_StockOptions_Cumulative_EoP" localSheetId="6">#REF!</definedName>
    <definedName name="MO_SCA_StockOptions_Cumulative_EoP" localSheetId="1">#REF!</definedName>
    <definedName name="MO_SCA_StockOptions_Cumulative_EoP" localSheetId="9">#REF!</definedName>
    <definedName name="MO_SCA_StockOptions_Cumulative_EoP" localSheetId="4">#REF!</definedName>
    <definedName name="MO_SCA_StockOptions_Cumulative_EoP" localSheetId="0">#REF!</definedName>
    <definedName name="MO_SCA_StockOptions_Cumulative_EoP">Model!$457:$457</definedName>
    <definedName name="MO_SCA_StockOptions_Cumulative_Exercised" localSheetId="5">#REF!</definedName>
    <definedName name="MO_SCA_StockOptions_Cumulative_Exercised" localSheetId="2">#REF!</definedName>
    <definedName name="MO_SCA_StockOptions_Cumulative_Exercised" localSheetId="3">#REF!</definedName>
    <definedName name="MO_SCA_StockOptions_Cumulative_Exercised" localSheetId="7">#REF!</definedName>
    <definedName name="MO_SCA_StockOptions_Cumulative_Exercised" localSheetId="6">#REF!</definedName>
    <definedName name="MO_SCA_StockOptions_Cumulative_Exercised" localSheetId="1">#REF!</definedName>
    <definedName name="MO_SCA_StockOptions_Cumulative_Exercised" localSheetId="9">#REF!</definedName>
    <definedName name="MO_SCA_StockOptions_Cumulative_Exercised" localSheetId="4">#REF!</definedName>
    <definedName name="MO_SCA_StockOptions_Cumulative_Exercised" localSheetId="0">#REF!</definedName>
    <definedName name="MO_SCA_StockOptions_Cumulative_Exercised">Model!$455:$455</definedName>
    <definedName name="MO_SCA_StockOptions_Cumulative_Granted" localSheetId="5">#REF!</definedName>
    <definedName name="MO_SCA_StockOptions_Cumulative_Granted" localSheetId="2">#REF!</definedName>
    <definedName name="MO_SCA_StockOptions_Cumulative_Granted" localSheetId="3">#REF!</definedName>
    <definedName name="MO_SCA_StockOptions_Cumulative_Granted" localSheetId="7">#REF!</definedName>
    <definedName name="MO_SCA_StockOptions_Cumulative_Granted" localSheetId="6">#REF!</definedName>
    <definedName name="MO_SCA_StockOptions_Cumulative_Granted" localSheetId="1">#REF!</definedName>
    <definedName name="MO_SCA_StockOptions_Cumulative_Granted" localSheetId="9">#REF!</definedName>
    <definedName name="MO_SCA_StockOptions_Cumulative_Granted" localSheetId="4">#REF!</definedName>
    <definedName name="MO_SCA_StockOptions_Cumulative_Granted" localSheetId="0">#REF!</definedName>
    <definedName name="MO_SCA_StockOptions_Cumulative_Granted">Model!$454:$454</definedName>
    <definedName name="MO_SCA_StockOptions_Cumulative_Price_BoP" localSheetId="5">#REF!</definedName>
    <definedName name="MO_SCA_StockOptions_Cumulative_Price_BoP" localSheetId="2">#REF!</definedName>
    <definedName name="MO_SCA_StockOptions_Cumulative_Price_BoP" localSheetId="3">#REF!</definedName>
    <definedName name="MO_SCA_StockOptions_Cumulative_Price_BoP" localSheetId="7">#REF!</definedName>
    <definedName name="MO_SCA_StockOptions_Cumulative_Price_BoP" localSheetId="6">#REF!</definedName>
    <definedName name="MO_SCA_StockOptions_Cumulative_Price_BoP" localSheetId="1">#REF!</definedName>
    <definedName name="MO_SCA_StockOptions_Cumulative_Price_BoP" localSheetId="9">#REF!</definedName>
    <definedName name="MO_SCA_StockOptions_Cumulative_Price_BoP" localSheetId="4">#REF!</definedName>
    <definedName name="MO_SCA_StockOptions_Cumulative_Price_BoP" localSheetId="0">#REF!</definedName>
    <definedName name="MO_SCA_StockOptions_Cumulative_Price_BoP">Model!$465:$465</definedName>
    <definedName name="MO_SCA_StockOptions_Cumulative_Price_Canceled" localSheetId="5">#REF!</definedName>
    <definedName name="MO_SCA_StockOptions_Cumulative_Price_Canceled" localSheetId="2">#REF!</definedName>
    <definedName name="MO_SCA_StockOptions_Cumulative_Price_Canceled" localSheetId="3">#REF!</definedName>
    <definedName name="MO_SCA_StockOptions_Cumulative_Price_Canceled" localSheetId="7">#REF!</definedName>
    <definedName name="MO_SCA_StockOptions_Cumulative_Price_Canceled" localSheetId="6">#REF!</definedName>
    <definedName name="MO_SCA_StockOptions_Cumulative_Price_Canceled" localSheetId="1">#REF!</definedName>
    <definedName name="MO_SCA_StockOptions_Cumulative_Price_Canceled" localSheetId="9">#REF!</definedName>
    <definedName name="MO_SCA_StockOptions_Cumulative_Price_Canceled" localSheetId="4">#REF!</definedName>
    <definedName name="MO_SCA_StockOptions_Cumulative_Price_Canceled" localSheetId="0">#REF!</definedName>
    <definedName name="MO_SCA_StockOptions_Cumulative_Price_Canceled">Model!$468:$468</definedName>
    <definedName name="MO_SCA_StockOptions_Cumulative_Price_EoP" localSheetId="5">#REF!</definedName>
    <definedName name="MO_SCA_StockOptions_Cumulative_Price_EoP" localSheetId="2">#REF!</definedName>
    <definedName name="MO_SCA_StockOptions_Cumulative_Price_EoP" localSheetId="3">#REF!</definedName>
    <definedName name="MO_SCA_StockOptions_Cumulative_Price_EoP" localSheetId="7">#REF!</definedName>
    <definedName name="MO_SCA_StockOptions_Cumulative_Price_EoP" localSheetId="6">#REF!</definedName>
    <definedName name="MO_SCA_StockOptions_Cumulative_Price_EoP" localSheetId="1">#REF!</definedName>
    <definedName name="MO_SCA_StockOptions_Cumulative_Price_EoP" localSheetId="9">#REF!</definedName>
    <definedName name="MO_SCA_StockOptions_Cumulative_Price_EoP" localSheetId="4">#REF!</definedName>
    <definedName name="MO_SCA_StockOptions_Cumulative_Price_EoP" localSheetId="0">#REF!</definedName>
    <definedName name="MO_SCA_StockOptions_Cumulative_Price_EoP">Model!$469:$469</definedName>
    <definedName name="MO_SCA_StockOptions_Cumulative_Price_Exercised" localSheetId="5">#REF!</definedName>
    <definedName name="MO_SCA_StockOptions_Cumulative_Price_Exercised" localSheetId="2">#REF!</definedName>
    <definedName name="MO_SCA_StockOptions_Cumulative_Price_Exercised" localSheetId="3">#REF!</definedName>
    <definedName name="MO_SCA_StockOptions_Cumulative_Price_Exercised" localSheetId="7">#REF!</definedName>
    <definedName name="MO_SCA_StockOptions_Cumulative_Price_Exercised" localSheetId="6">#REF!</definedName>
    <definedName name="MO_SCA_StockOptions_Cumulative_Price_Exercised" localSheetId="1">#REF!</definedName>
    <definedName name="MO_SCA_StockOptions_Cumulative_Price_Exercised" localSheetId="9">#REF!</definedName>
    <definedName name="MO_SCA_StockOptions_Cumulative_Price_Exercised" localSheetId="4">#REF!</definedName>
    <definedName name="MO_SCA_StockOptions_Cumulative_Price_Exercised" localSheetId="0">#REF!</definedName>
    <definedName name="MO_SCA_StockOptions_Cumulative_Price_Exercised">Model!$467:$467</definedName>
    <definedName name="MO_SCA_StockOptions_Cumulative_Price_Granted" localSheetId="5">#REF!</definedName>
    <definedName name="MO_SCA_StockOptions_Cumulative_Price_Granted" localSheetId="2">#REF!</definedName>
    <definedName name="MO_SCA_StockOptions_Cumulative_Price_Granted" localSheetId="3">#REF!</definedName>
    <definedName name="MO_SCA_StockOptions_Cumulative_Price_Granted" localSheetId="7">#REF!</definedName>
    <definedName name="MO_SCA_StockOptions_Cumulative_Price_Granted" localSheetId="6">#REF!</definedName>
    <definedName name="MO_SCA_StockOptions_Cumulative_Price_Granted" localSheetId="1">#REF!</definedName>
    <definedName name="MO_SCA_StockOptions_Cumulative_Price_Granted" localSheetId="9">#REF!</definedName>
    <definedName name="MO_SCA_StockOptions_Cumulative_Price_Granted" localSheetId="4">#REF!</definedName>
    <definedName name="MO_SCA_StockOptions_Cumulative_Price_Granted" localSheetId="0">#REF!</definedName>
    <definedName name="MO_SCA_StockOptions_Cumulative_Price_Granted">Model!$466:$466</definedName>
    <definedName name="MO_SCA_StockOptions_Dilution" localSheetId="5">#REF!</definedName>
    <definedName name="MO_SCA_StockOptions_Dilution" localSheetId="2">#REF!</definedName>
    <definedName name="MO_SCA_StockOptions_Dilution" localSheetId="3">#REF!</definedName>
    <definedName name="MO_SCA_StockOptions_Dilution" localSheetId="7">#REF!</definedName>
    <definedName name="MO_SCA_StockOptions_Dilution" localSheetId="6">#REF!</definedName>
    <definedName name="MO_SCA_StockOptions_Dilution" localSheetId="1">#REF!</definedName>
    <definedName name="MO_SCA_StockOptions_Dilution" localSheetId="9">#REF!</definedName>
    <definedName name="MO_SCA_StockOptions_Dilution" localSheetId="4">#REF!</definedName>
    <definedName name="MO_SCA_StockOptions_Dilution" localSheetId="0">#REF!</definedName>
    <definedName name="MO_SCA_StockOptions_Dilution">Model!$476:$476</definedName>
    <definedName name="MO_SCA_StockOptions_EoP" localSheetId="5">#REF!</definedName>
    <definedName name="MO_SCA_StockOptions_EoP" localSheetId="2">#REF!</definedName>
    <definedName name="MO_SCA_StockOptions_EoP" localSheetId="3">#REF!</definedName>
    <definedName name="MO_SCA_StockOptions_EoP" localSheetId="7">#REF!</definedName>
    <definedName name="MO_SCA_StockOptions_EoP" localSheetId="6">#REF!</definedName>
    <definedName name="MO_SCA_StockOptions_EoP" localSheetId="1">#REF!</definedName>
    <definedName name="MO_SCA_StockOptions_EoP" localSheetId="9">#REF!</definedName>
    <definedName name="MO_SCA_StockOptions_EoP" localSheetId="4">#REF!</definedName>
    <definedName name="MO_SCA_StockOptions_EoP" localSheetId="0">#REF!</definedName>
    <definedName name="MO_SCA_StockOptions_EoP">Model!$463:$463</definedName>
    <definedName name="MO_SCA_StockOptions_Exercisable_EoP" localSheetId="5">#REF!</definedName>
    <definedName name="MO_SCA_StockOptions_Exercisable_EoP" localSheetId="2">#REF!</definedName>
    <definedName name="MO_SCA_StockOptions_Exercisable_EoP" localSheetId="3">#REF!</definedName>
    <definedName name="MO_SCA_StockOptions_Exercisable_EoP" localSheetId="7">#REF!</definedName>
    <definedName name="MO_SCA_StockOptions_Exercisable_EoP" localSheetId="6">#REF!</definedName>
    <definedName name="MO_SCA_StockOptions_Exercisable_EoP" localSheetId="1">#REF!</definedName>
    <definedName name="MO_SCA_StockOptions_Exercisable_EoP" localSheetId="9">#REF!</definedName>
    <definedName name="MO_SCA_StockOptions_Exercisable_EoP" localSheetId="4">#REF!</definedName>
    <definedName name="MO_SCA_StockOptions_Exercisable_EoP" localSheetId="0">#REF!</definedName>
    <definedName name="MO_SCA_StockOptions_Exercisable_EoP">Model!$478:$478</definedName>
    <definedName name="MO_SCA_StockOptions_Exercised" localSheetId="5">#REF!</definedName>
    <definedName name="MO_SCA_StockOptions_Exercised" localSheetId="2">#REF!</definedName>
    <definedName name="MO_SCA_StockOptions_Exercised" localSheetId="3">#REF!</definedName>
    <definedName name="MO_SCA_StockOptions_Exercised" localSheetId="7">#REF!</definedName>
    <definedName name="MO_SCA_StockOptions_Exercised" localSheetId="6">#REF!</definedName>
    <definedName name="MO_SCA_StockOptions_Exercised" localSheetId="1">#REF!</definedName>
    <definedName name="MO_SCA_StockOptions_Exercised" localSheetId="9">#REF!</definedName>
    <definedName name="MO_SCA_StockOptions_Exercised" localSheetId="4">#REF!</definedName>
    <definedName name="MO_SCA_StockOptions_Exercised" localSheetId="0">#REF!</definedName>
    <definedName name="MO_SCA_StockOptions_Exercised">Model!$461:$461</definedName>
    <definedName name="MO_SCA_StockOptions_Granted" localSheetId="5">#REF!</definedName>
    <definedName name="MO_SCA_StockOptions_Granted" localSheetId="2">#REF!</definedName>
    <definedName name="MO_SCA_StockOptions_Granted" localSheetId="3">#REF!</definedName>
    <definedName name="MO_SCA_StockOptions_Granted" localSheetId="7">#REF!</definedName>
    <definedName name="MO_SCA_StockOptions_Granted" localSheetId="6">#REF!</definedName>
    <definedName name="MO_SCA_StockOptions_Granted" localSheetId="1">#REF!</definedName>
    <definedName name="MO_SCA_StockOptions_Granted" localSheetId="9">#REF!</definedName>
    <definedName name="MO_SCA_StockOptions_Granted" localSheetId="4">#REF!</definedName>
    <definedName name="MO_SCA_StockOptions_Granted" localSheetId="0">#REF!</definedName>
    <definedName name="MO_SCA_StockOptions_Granted">Model!$460:$460</definedName>
    <definedName name="MO_SCA_StockOptions_Price_BoP" localSheetId="5">#REF!</definedName>
    <definedName name="MO_SCA_StockOptions_Price_BoP" localSheetId="2">#REF!</definedName>
    <definedName name="MO_SCA_StockOptions_Price_BoP" localSheetId="3">#REF!</definedName>
    <definedName name="MO_SCA_StockOptions_Price_BoP" localSheetId="7">#REF!</definedName>
    <definedName name="MO_SCA_StockOptions_Price_BoP" localSheetId="6">#REF!</definedName>
    <definedName name="MO_SCA_StockOptions_Price_BoP" localSheetId="1">#REF!</definedName>
    <definedName name="MO_SCA_StockOptions_Price_BoP" localSheetId="9">#REF!</definedName>
    <definedName name="MO_SCA_StockOptions_Price_BoP" localSheetId="4">#REF!</definedName>
    <definedName name="MO_SCA_StockOptions_Price_BoP" localSheetId="0">#REF!</definedName>
    <definedName name="MO_SCA_StockOptions_Price_BoP">Model!$471:$471</definedName>
    <definedName name="MO_SCA_StockOptions_Price_Canceled" localSheetId="5">#REF!</definedName>
    <definedName name="MO_SCA_StockOptions_Price_Canceled" localSheetId="2">#REF!</definedName>
    <definedName name="MO_SCA_StockOptions_Price_Canceled" localSheetId="3">#REF!</definedName>
    <definedName name="MO_SCA_StockOptions_Price_Canceled" localSheetId="7">#REF!</definedName>
    <definedName name="MO_SCA_StockOptions_Price_Canceled" localSheetId="6">#REF!</definedName>
    <definedName name="MO_SCA_StockOptions_Price_Canceled" localSheetId="1">#REF!</definedName>
    <definedName name="MO_SCA_StockOptions_Price_Canceled" localSheetId="9">#REF!</definedName>
    <definedName name="MO_SCA_StockOptions_Price_Canceled" localSheetId="4">#REF!</definedName>
    <definedName name="MO_SCA_StockOptions_Price_Canceled" localSheetId="0">#REF!</definedName>
    <definedName name="MO_SCA_StockOptions_Price_Canceled">Model!$474:$474</definedName>
    <definedName name="MO_SCA_StockOptions_Price_EoP" localSheetId="5">#REF!</definedName>
    <definedName name="MO_SCA_StockOptions_Price_EoP" localSheetId="2">#REF!</definedName>
    <definedName name="MO_SCA_StockOptions_Price_EoP" localSheetId="3">#REF!</definedName>
    <definedName name="MO_SCA_StockOptions_Price_EoP" localSheetId="7">#REF!</definedName>
    <definedName name="MO_SCA_StockOptions_Price_EoP" localSheetId="6">#REF!</definedName>
    <definedName name="MO_SCA_StockOptions_Price_EoP" localSheetId="1">#REF!</definedName>
    <definedName name="MO_SCA_StockOptions_Price_EoP" localSheetId="9">#REF!</definedName>
    <definedName name="MO_SCA_StockOptions_Price_EoP" localSheetId="4">#REF!</definedName>
    <definedName name="MO_SCA_StockOptions_Price_EoP" localSheetId="0">#REF!</definedName>
    <definedName name="MO_SCA_StockOptions_Price_EoP">Model!$475:$475</definedName>
    <definedName name="MO_SCA_StockOptions_Price_Exercisable_EoP" localSheetId="5">#REF!</definedName>
    <definedName name="MO_SCA_StockOptions_Price_Exercisable_EoP" localSheetId="2">#REF!</definedName>
    <definedName name="MO_SCA_StockOptions_Price_Exercisable_EoP" localSheetId="3">#REF!</definedName>
    <definedName name="MO_SCA_StockOptions_Price_Exercisable_EoP" localSheetId="7">#REF!</definedName>
    <definedName name="MO_SCA_StockOptions_Price_Exercisable_EoP" localSheetId="6">#REF!</definedName>
    <definedName name="MO_SCA_StockOptions_Price_Exercisable_EoP" localSheetId="1">#REF!</definedName>
    <definedName name="MO_SCA_StockOptions_Price_Exercisable_EoP" localSheetId="9">#REF!</definedName>
    <definedName name="MO_SCA_StockOptions_Price_Exercisable_EoP" localSheetId="4">#REF!</definedName>
    <definedName name="MO_SCA_StockOptions_Price_Exercisable_EoP" localSheetId="0">#REF!</definedName>
    <definedName name="MO_SCA_StockOptions_Price_Exercisable_EoP">Model!$479:$479</definedName>
    <definedName name="MO_SCA_StockOptions_Price_Exercised" localSheetId="5">#REF!</definedName>
    <definedName name="MO_SCA_StockOptions_Price_Exercised" localSheetId="2">#REF!</definedName>
    <definedName name="MO_SCA_StockOptions_Price_Exercised" localSheetId="3">#REF!</definedName>
    <definedName name="MO_SCA_StockOptions_Price_Exercised" localSheetId="7">#REF!</definedName>
    <definedName name="MO_SCA_StockOptions_Price_Exercised" localSheetId="6">#REF!</definedName>
    <definedName name="MO_SCA_StockOptions_Price_Exercised" localSheetId="1">#REF!</definedName>
    <definedName name="MO_SCA_StockOptions_Price_Exercised" localSheetId="9">#REF!</definedName>
    <definedName name="MO_SCA_StockOptions_Price_Exercised" localSheetId="4">#REF!</definedName>
    <definedName name="MO_SCA_StockOptions_Price_Exercised" localSheetId="0">#REF!</definedName>
    <definedName name="MO_SCA_StockOptions_Price_Exercised">Model!$473:$473</definedName>
    <definedName name="MO_SCA_StockOptions_Price_Granted" localSheetId="5">#REF!</definedName>
    <definedName name="MO_SCA_StockOptions_Price_Granted" localSheetId="2">#REF!</definedName>
    <definedName name="MO_SCA_StockOptions_Price_Granted" localSheetId="3">#REF!</definedName>
    <definedName name="MO_SCA_StockOptions_Price_Granted" localSheetId="7">#REF!</definedName>
    <definedName name="MO_SCA_StockOptions_Price_Granted" localSheetId="6">#REF!</definedName>
    <definedName name="MO_SCA_StockOptions_Price_Granted" localSheetId="1">#REF!</definedName>
    <definedName name="MO_SCA_StockOptions_Price_Granted" localSheetId="9">#REF!</definedName>
    <definedName name="MO_SCA_StockOptions_Price_Granted" localSheetId="4">#REF!</definedName>
    <definedName name="MO_SCA_StockOptions_Price_Granted" localSheetId="0">#REF!</definedName>
    <definedName name="MO_SCA_StockOptions_Price_Granted">Model!$472:$472</definedName>
    <definedName name="MO_SCA_StockPrice_EoP" localSheetId="5">#REF!</definedName>
    <definedName name="MO_SCA_StockPrice_EoP" localSheetId="2">#REF!</definedName>
    <definedName name="MO_SCA_StockPrice_EoP" localSheetId="3">#REF!</definedName>
    <definedName name="MO_SCA_StockPrice_EoP" localSheetId="7">#REF!</definedName>
    <definedName name="MO_SCA_StockPrice_EoP" localSheetId="6">#REF!</definedName>
    <definedName name="MO_SCA_StockPrice_EoP" localSheetId="1">#REF!</definedName>
    <definedName name="MO_SCA_StockPrice_EoP" localSheetId="9">#REF!</definedName>
    <definedName name="MO_SCA_StockPrice_EoP" localSheetId="4">#REF!</definedName>
    <definedName name="MO_SCA_StockPrice_EoP" localSheetId="0">#REF!</definedName>
    <definedName name="MO_SCA_StockPrice_EoP">Model!$431:$431</definedName>
    <definedName name="MO_SCA_UndistributedPSU_EoP">#REF!</definedName>
    <definedName name="MO_SCA_UndistributedPSU_Price_EoP">#REF!</definedName>
    <definedName name="MO_SCA_UnvestedRSU_EoP" localSheetId="5">#REF!</definedName>
    <definedName name="MO_SCA_UnvestedRSU_EoP" localSheetId="2">#REF!</definedName>
    <definedName name="MO_SCA_UnvestedRSU_EoP" localSheetId="3">#REF!</definedName>
    <definedName name="MO_SCA_UnvestedRSU_EoP" localSheetId="7">#REF!</definedName>
    <definedName name="MO_SCA_UnvestedRSU_EoP" localSheetId="6">#REF!</definedName>
    <definedName name="MO_SCA_UnvestedRSU_EoP" localSheetId="1">#REF!</definedName>
    <definedName name="MO_SCA_UnvestedRSU_EoP" localSheetId="9">#REF!</definedName>
    <definedName name="MO_SCA_UnvestedRSU_EoP" localSheetId="4">#REF!</definedName>
    <definedName name="MO_SCA_UnvestedRSU_EoP" localSheetId="0">#REF!</definedName>
    <definedName name="MO_SCA_UnvestedRSU_EoP">Model!$481:$481</definedName>
    <definedName name="MO_SCA_UnvestedRSU_Price_EoP" localSheetId="5">#REF!</definedName>
    <definedName name="MO_SCA_UnvestedRSU_Price_EoP" localSheetId="2">#REF!</definedName>
    <definedName name="MO_SCA_UnvestedRSU_Price_EoP" localSheetId="3">#REF!</definedName>
    <definedName name="MO_SCA_UnvestedRSU_Price_EoP" localSheetId="7">#REF!</definedName>
    <definedName name="MO_SCA_UnvestedRSU_Price_EoP" localSheetId="6">#REF!</definedName>
    <definedName name="MO_SCA_UnvestedRSU_Price_EoP" localSheetId="1">#REF!</definedName>
    <definedName name="MO_SCA_UnvestedRSU_Price_EoP" localSheetId="9">#REF!</definedName>
    <definedName name="MO_SCA_UnvestedRSU_Price_EoP" localSheetId="4">#REF!</definedName>
    <definedName name="MO_SCA_UnvestedRSU_Price_EoP" localSheetId="0">#REF!</definedName>
    <definedName name="MO_SCA_UnvestedRSU_Price_EoP">Model!$482:$482</definedName>
    <definedName name="MO_SCA_Warrants_EoP">#REF!</definedName>
    <definedName name="MO_SCA_Warrants_Price_EoP">#REF!</definedName>
    <definedName name="MO_Section_AdjustedNumbers" localSheetId="5">#REF!</definedName>
    <definedName name="MO_Section_AdjustedNumbers" localSheetId="2">#REF!</definedName>
    <definedName name="MO_Section_AdjustedNumbers" localSheetId="3">#REF!</definedName>
    <definedName name="MO_Section_AdjustedNumbers" localSheetId="7">#REF!</definedName>
    <definedName name="MO_Section_AdjustedNumbers" localSheetId="6">#REF!</definedName>
    <definedName name="MO_Section_AdjustedNumbers" localSheetId="1">#REF!</definedName>
    <definedName name="MO_Section_AdjustedNumbers" localSheetId="9">#REF!</definedName>
    <definedName name="MO_Section_AdjustedNumbers" localSheetId="4">#REF!</definedName>
    <definedName name="MO_Section_AdjustedNumbers" localSheetId="0">#REF!</definedName>
    <definedName name="MO_Section_AdjustedNumbers">Model!$359:$359</definedName>
    <definedName name="MO_Section_BalanceSheet" localSheetId="5">#REF!</definedName>
    <definedName name="MO_Section_BalanceSheet" localSheetId="2">#REF!</definedName>
    <definedName name="MO_Section_BalanceSheet" localSheetId="3">#REF!</definedName>
    <definedName name="MO_Section_BalanceSheet" localSheetId="7">#REF!</definedName>
    <definedName name="MO_Section_BalanceSheet" localSheetId="6">#REF!</definedName>
    <definedName name="MO_Section_BalanceSheet" localSheetId="1">#REF!</definedName>
    <definedName name="MO_Section_BalanceSheet" localSheetId="9">#REF!</definedName>
    <definedName name="MO_Section_BalanceSheet" localSheetId="4">#REF!</definedName>
    <definedName name="MO_Section_BalanceSheet" localSheetId="0">#REF!</definedName>
    <definedName name="MO_Section_BalanceSheet">Model!$901:$901</definedName>
    <definedName name="MO_Section_BalanceSheetSummary" localSheetId="5">#REF!</definedName>
    <definedName name="MO_Section_BalanceSheetSummary" localSheetId="2">#REF!</definedName>
    <definedName name="MO_Section_BalanceSheetSummary" localSheetId="3">#REF!</definedName>
    <definedName name="MO_Section_BalanceSheetSummary" localSheetId="7">#REF!</definedName>
    <definedName name="MO_Section_BalanceSheetSummary" localSheetId="6">#REF!</definedName>
    <definedName name="MO_Section_BalanceSheetSummary" localSheetId="1">#REF!</definedName>
    <definedName name="MO_Section_BalanceSheetSummary" localSheetId="9">#REF!</definedName>
    <definedName name="MO_Section_BalanceSheetSummary" localSheetId="4">#REF!</definedName>
    <definedName name="MO_Section_BalanceSheetSummary" localSheetId="0">#REF!</definedName>
    <definedName name="MO_Section_BalanceSheetSummary">Model!$689:$689</definedName>
    <definedName name="MO_Section_BoardDiversity">'Exec Comp'!$94:$94</definedName>
    <definedName name="MO_Section_Canalyst">'Supplemental Data'!$38:$38</definedName>
    <definedName name="MO_Section_Canalyst_1">'Exec Comp'!$142:$142</definedName>
    <definedName name="MO_Section_CapexGuidanceAnalysis">Model!$613:$613</definedName>
    <definedName name="MO_Section_CashFlowStatement" localSheetId="5">#REF!</definedName>
    <definedName name="MO_Section_CashFlowStatement" localSheetId="2">#REF!</definedName>
    <definedName name="MO_Section_CashFlowStatement" localSheetId="3">#REF!</definedName>
    <definedName name="MO_Section_CashFlowStatement" localSheetId="7">#REF!</definedName>
    <definedName name="MO_Section_CashFlowStatement" localSheetId="6">#REF!</definedName>
    <definedName name="MO_Section_CashFlowStatement" localSheetId="1">#REF!</definedName>
    <definedName name="MO_Section_CashFlowStatement" localSheetId="9">#REF!</definedName>
    <definedName name="MO_Section_CashFlowStatement" localSheetId="4">#REF!</definedName>
    <definedName name="MO_Section_CashFlowStatement" localSheetId="0">#REF!</definedName>
    <definedName name="MO_Section_CashFlowStatement">Model!$801:$801</definedName>
    <definedName name="MO_Section_CashFlowSummary" localSheetId="5">#REF!</definedName>
    <definedName name="MO_Section_CashFlowSummary" localSheetId="2">#REF!</definedName>
    <definedName name="MO_Section_CashFlowSummary" localSheetId="3">#REF!</definedName>
    <definedName name="MO_Section_CashFlowSummary" localSheetId="7">#REF!</definedName>
    <definedName name="MO_Section_CashFlowSummary" localSheetId="6">#REF!</definedName>
    <definedName name="MO_Section_CashFlowSummary" localSheetId="1">#REF!</definedName>
    <definedName name="MO_Section_CashFlowSummary" localSheetId="9">#REF!</definedName>
    <definedName name="MO_Section_CashFlowSummary" localSheetId="4">#REF!</definedName>
    <definedName name="MO_Section_CashFlowSummary" localSheetId="0">#REF!</definedName>
    <definedName name="MO_Section_CashFlowSummary">Model!$658:$658</definedName>
    <definedName name="MO_Section_ConsolidatedSummary">Model!$6:$6</definedName>
    <definedName name="MO_Section_ConsolidatedSummarySection">Model!$6:$6</definedName>
    <definedName name="MO_Section_CumulativeCashFlowStatement" localSheetId="5">#REF!</definedName>
    <definedName name="MO_Section_CumulativeCashFlowStatement" localSheetId="2">#REF!</definedName>
    <definedName name="MO_Section_CumulativeCashFlowStatement" localSheetId="3">#REF!</definedName>
    <definedName name="MO_Section_CumulativeCashFlowStatement" localSheetId="7">#REF!</definedName>
    <definedName name="MO_Section_CumulativeCashFlowStatement" localSheetId="6">#REF!</definedName>
    <definedName name="MO_Section_CumulativeCashFlowStatement" localSheetId="1">#REF!</definedName>
    <definedName name="MO_Section_CumulativeCashFlowStatement" localSheetId="9">#REF!</definedName>
    <definedName name="MO_Section_CumulativeCashFlowStatement" localSheetId="4">#REF!</definedName>
    <definedName name="MO_Section_CumulativeCashFlowStatement" localSheetId="0">#REF!</definedName>
    <definedName name="MO_Section_CumulativeCashFlowStatement">Model!$732:$732</definedName>
    <definedName name="MO_Section_DAForecasting" localSheetId="5">#REF!</definedName>
    <definedName name="MO_Section_DAForecasting" localSheetId="2">#REF!</definedName>
    <definedName name="MO_Section_DAForecasting" localSheetId="3">#REF!</definedName>
    <definedName name="MO_Section_DAForecasting" localSheetId="7">#REF!</definedName>
    <definedName name="MO_Section_DAForecasting" localSheetId="6">#REF!</definedName>
    <definedName name="MO_Section_DAForecasting" localSheetId="1">#REF!</definedName>
    <definedName name="MO_Section_DAForecasting" localSheetId="9">#REF!</definedName>
    <definedName name="MO_Section_DAForecasting" localSheetId="4">#REF!</definedName>
    <definedName name="MO_Section_DAForecasting" localSheetId="0">#REF!</definedName>
    <definedName name="MO_Section_DAForecasting">Model!$879:$879</definedName>
    <definedName name="MO_Section_DirectorCompensation">'Exec Comp'!$103:$103</definedName>
    <definedName name="MO_Section_FirstSection">'Exec Comp'!$6:$6</definedName>
    <definedName name="MO_Section_GrowthAnalysis">#REF!</definedName>
    <definedName name="MO_Section_GuidanceAnalysis">Model!$525:$525</definedName>
    <definedName name="MO_Section_IncomeStatement" localSheetId="5">#REF!</definedName>
    <definedName name="MO_Section_IncomeStatement" localSheetId="2">#REF!</definedName>
    <definedName name="MO_Section_IncomeStatement" localSheetId="3">#REF!</definedName>
    <definedName name="MO_Section_IncomeStatement" localSheetId="7">#REF!</definedName>
    <definedName name="MO_Section_IncomeStatement" localSheetId="6">#REF!</definedName>
    <definedName name="MO_Section_IncomeStatement" localSheetId="1">#REF!</definedName>
    <definedName name="MO_Section_IncomeStatement" localSheetId="9">#REF!</definedName>
    <definedName name="MO_Section_IncomeStatement" localSheetId="4">#REF!</definedName>
    <definedName name="MO_Section_IncomeStatement" localSheetId="0">#REF!</definedName>
    <definedName name="MO_Section_IncomeStatement">Model!$337:$337</definedName>
    <definedName name="MO_Section_KeyMetricsAdditonalRestaurantStats">#REF!</definedName>
    <definedName name="MO_Section_KeyMetricsAdImpressionCC">Model!$250:$250</definedName>
    <definedName name="MO_Section_KeyMetricsCompanyStatsS1">#REF!</definedName>
    <definedName name="MO_Section_KeyMetricsConstantCurrencyRevenuePR">'Supplemental Data'!$6:$6</definedName>
    <definedName name="MO_Section_KeyMetricsCustomerStatsS1">#REF!</definedName>
    <definedName name="MO_Section_KeyMetricsEmployeeCountS">#REF!</definedName>
    <definedName name="MO_Section_KeyMetricsHeadcountPR">Model!$243:$243</definedName>
    <definedName name="MO_Section_KeyMetricsIndustryStatsS1">#REF!</definedName>
    <definedName name="MO_Section_KeyMetricsLeasesFS">Model!$296:$296</definedName>
    <definedName name="MO_Section_KeyMetricsLTMMetrics">#REF!</definedName>
    <definedName name="MO_Section_KeyMetricsOperatingStatsofFamilyProductsSI">'Supplemental Data'!$29:$29</definedName>
    <definedName name="MO_Section_KeyMetricsPropertyandEquipmentBreakdownPR">Model!$282:$282</definedName>
    <definedName name="MO_Section_KeyMetricsRestaurantCountS1">#REF!</definedName>
    <definedName name="MO_Section_KeyMetricsRestructuringChargesBreakdownCCPR">Model!$267:$267</definedName>
    <definedName name="MO_Section_KeyMetricsRevenueandCostGranularityS1">#REF!</definedName>
    <definedName name="MO_Section_LastRow" localSheetId="5">#REF!</definedName>
    <definedName name="MO_Section_LastRow" localSheetId="2">#REF!</definedName>
    <definedName name="MO_Section_LastRow" localSheetId="3">#REF!</definedName>
    <definedName name="MO_Section_LastRow" localSheetId="7">#REF!</definedName>
    <definedName name="MO_Section_LastRow" localSheetId="6">#REF!</definedName>
    <definedName name="MO_Section_LastRow" localSheetId="1">#REF!</definedName>
    <definedName name="MO_Section_LastRow" localSheetId="9">#REF!</definedName>
    <definedName name="MO_Section_LastRow" localSheetId="4">#REF!</definedName>
    <definedName name="MO_Section_LastRow" localSheetId="0">#REF!</definedName>
    <definedName name="MO_Section_LastRow">Model!$1125:$1125</definedName>
    <definedName name="MO_Section_MarginAnalysis" localSheetId="5">#REF!</definedName>
    <definedName name="MO_Section_MarginAnalysis" localSheetId="2">#REF!</definedName>
    <definedName name="MO_Section_MarginAnalysis" localSheetId="3">#REF!</definedName>
    <definedName name="MO_Section_MarginAnalysis" localSheetId="7">#REF!</definedName>
    <definedName name="MO_Section_MarginAnalysis" localSheetId="6">#REF!</definedName>
    <definedName name="MO_Section_MarginAnalysis" localSheetId="1">#REF!</definedName>
    <definedName name="MO_Section_MarginAnalysis" localSheetId="9">#REF!</definedName>
    <definedName name="MO_Section_MarginAnalysis" localSheetId="4">#REF!</definedName>
    <definedName name="MO_Section_MarginAnalysis" localSheetId="0">#REF!</definedName>
    <definedName name="MO_Section_MarginAnalysis">Model!$318:$318</definedName>
    <definedName name="MO_Section_ModelChecks" localSheetId="5">#REF!</definedName>
    <definedName name="MO_Section_ModelChecks" localSheetId="2">#REF!</definedName>
    <definedName name="MO_Section_ModelChecks" localSheetId="3">#REF!</definedName>
    <definedName name="MO_Section_ModelChecks" localSheetId="7">#REF!</definedName>
    <definedName name="MO_Section_ModelChecks" localSheetId="6">#REF!</definedName>
    <definedName name="MO_Section_ModelChecks" localSheetId="1">#REF!</definedName>
    <definedName name="MO_Section_ModelChecks" localSheetId="9">#REF!</definedName>
    <definedName name="MO_Section_ModelChecks" localSheetId="4">#REF!</definedName>
    <definedName name="MO_Section_ModelChecks" localSheetId="0">#REF!</definedName>
    <definedName name="MO_Section_ModelChecks">Model!$957:$957</definedName>
    <definedName name="MO_Section_OperatingExpenseForecasting">Model!$145:$145</definedName>
    <definedName name="MO_Section_OperatingStatsRestaurantsBreakdownS1">#REF!</definedName>
    <definedName name="MO_Section_OtherAlignmentDataPoints">'Exec Comp'!$137:$137</definedName>
    <definedName name="MO_Section_PotentiallyDilutiveSecurities">#REF!</definedName>
    <definedName name="MO_Section_RevenueGuidanceAnalysis">Model!$526:$526</definedName>
    <definedName name="MO_Section_RevisedIncomeStatement" localSheetId="5">#REF!</definedName>
    <definedName name="MO_Section_RevisedIncomeStatement" localSheetId="2">#REF!</definedName>
    <definedName name="MO_Section_RevisedIncomeStatement" localSheetId="3">#REF!</definedName>
    <definedName name="MO_Section_RevisedIncomeStatement" localSheetId="7">#REF!</definedName>
    <definedName name="MO_Section_RevisedIncomeStatement" localSheetId="6">#REF!</definedName>
    <definedName name="MO_Section_RevisedIncomeStatement" localSheetId="1">#REF!</definedName>
    <definedName name="MO_Section_RevisedIncomeStatement" localSheetId="9">#REF!</definedName>
    <definedName name="MO_Section_RevisedIncomeStatement" localSheetId="4">#REF!</definedName>
    <definedName name="MO_Section_RevisedIncomeStatement" localSheetId="0">#REF!</definedName>
    <definedName name="MO_Section_RevisedIncomeStatement">Model!$377:$377</definedName>
    <definedName name="MO_Section_SBCDABreakdownFSPR">Model!$184:$184</definedName>
    <definedName name="MO_Section_SegmentedResultsFamilyofAppsSI">Model!$37:$37</definedName>
    <definedName name="MO_Section_SegmentedResultsRealityLabsSI">Model!$66:$66</definedName>
    <definedName name="MO_Section_SegmentedResultsRevenueBreakdownS1">#REF!</definedName>
    <definedName name="MO_Section_SegmentedResultsRevenueBreakdownSI">Model!$6:$6</definedName>
    <definedName name="MO_Section_SegmentedResultsRevenueExpensesandEBITFS">Model!$198:$198</definedName>
    <definedName name="MO_Section_SegmentSummary">Model!$77:$77</definedName>
    <definedName name="MO_Section_SegmentSummaryHistorical">Model!$214:$214</definedName>
    <definedName name="MO_Section_ShareCountAnalysis" localSheetId="5">#REF!</definedName>
    <definedName name="MO_Section_ShareCountAnalysis" localSheetId="2">#REF!</definedName>
    <definedName name="MO_Section_ShareCountAnalysis" localSheetId="3">#REF!</definedName>
    <definedName name="MO_Section_ShareCountAnalysis" localSheetId="7">#REF!</definedName>
    <definedName name="MO_Section_ShareCountAnalysis" localSheetId="6">#REF!</definedName>
    <definedName name="MO_Section_ShareCountAnalysis" localSheetId="1">#REF!</definedName>
    <definedName name="MO_Section_ShareCountAnalysis" localSheetId="9">#REF!</definedName>
    <definedName name="MO_Section_ShareCountAnalysis" localSheetId="4">#REF!</definedName>
    <definedName name="MO_Section_ShareCountAnalysis" localSheetId="0">#REF!</definedName>
    <definedName name="MO_Section_ShareCountAnalysis">Model!$429:$429</definedName>
    <definedName name="MO_Section_Tables" localSheetId="5">#REF!</definedName>
    <definedName name="MO_Section_Tables" localSheetId="2">#REF!</definedName>
    <definedName name="MO_Section_Tables" localSheetId="3">#REF!</definedName>
    <definedName name="MO_Section_Tables" localSheetId="7">#REF!</definedName>
    <definedName name="MO_Section_Tables" localSheetId="6">#REF!</definedName>
    <definedName name="MO_Section_Tables" localSheetId="1">#REF!</definedName>
    <definedName name="MO_Section_Tables" localSheetId="9">#REF!</definedName>
    <definedName name="MO_Section_Tables" localSheetId="4">#REF!</definedName>
    <definedName name="MO_Section_Tables" localSheetId="0">#REF!</definedName>
    <definedName name="MO_Section_Tables">Model!$980:$980</definedName>
    <definedName name="MO_Section_TotalExpensesGuidanceAnalysis">Model!$569:$569</definedName>
    <definedName name="MO_Section_Valuation" localSheetId="5">#REF!</definedName>
    <definedName name="MO_Section_Valuation" localSheetId="2">#REF!</definedName>
    <definedName name="MO_Section_Valuation" localSheetId="3">#REF!</definedName>
    <definedName name="MO_Section_Valuation" localSheetId="7">#REF!</definedName>
    <definedName name="MO_Section_Valuation" localSheetId="6">#REF!</definedName>
    <definedName name="MO_Section_Valuation" localSheetId="1">#REF!</definedName>
    <definedName name="MO_Section_Valuation" localSheetId="9">#REF!</definedName>
    <definedName name="MO_Section_Valuation" localSheetId="4">#REF!</definedName>
    <definedName name="MO_Section_Valuation" localSheetId="0">#REF!</definedName>
    <definedName name="MO_Section_Valuation">Model!$708:$708</definedName>
    <definedName name="MO_Section_WorkingCapitalForecasting" localSheetId="5">#REF!</definedName>
    <definedName name="MO_Section_WorkingCapitalForecasting" localSheetId="2">#REF!</definedName>
    <definedName name="MO_Section_WorkingCapitalForecasting" localSheetId="3">#REF!</definedName>
    <definedName name="MO_Section_WorkingCapitalForecasting" localSheetId="7">#REF!</definedName>
    <definedName name="MO_Section_WorkingCapitalForecasting" localSheetId="6">#REF!</definedName>
    <definedName name="MO_Section_WorkingCapitalForecasting" localSheetId="1">#REF!</definedName>
    <definedName name="MO_Section_WorkingCapitalForecasting" localSheetId="9">#REF!</definedName>
    <definedName name="MO_Section_WorkingCapitalForecasting" localSheetId="4">#REF!</definedName>
    <definedName name="MO_Section_WorkingCapitalForecasting" localSheetId="0">#REF!</definedName>
    <definedName name="MO_Section_WorkingCapitalForecasting">Model!$872:$872</definedName>
    <definedName name="MO_SNA_ConsensusEstimatePeriodNumber" localSheetId="5">#REF!</definedName>
    <definedName name="MO_SNA_ConsensusEstimatePeriodNumber" localSheetId="2">#REF!</definedName>
    <definedName name="MO_SNA_ConsensusEstimatePeriodNumber" localSheetId="3">#REF!</definedName>
    <definedName name="MO_SNA_ConsensusEstimatePeriodNumber" localSheetId="7">#REF!</definedName>
    <definedName name="MO_SNA_ConsensusEstimatePeriodNumber" localSheetId="6">#REF!</definedName>
    <definedName name="MO_SNA_ConsensusEstimatePeriodNumber" localSheetId="1">#REF!</definedName>
    <definedName name="MO_SNA_ConsensusEstimatePeriodNumber" localSheetId="9">#REF!</definedName>
    <definedName name="MO_SNA_ConsensusEstimatePeriodNumber" localSheetId="4">#REF!</definedName>
    <definedName name="MO_SNA_ConsensusEstimatePeriodNumber" localSheetId="0">#REF!</definedName>
    <definedName name="MO_SNA_ConsensusEstimatePeriodNumber">Model!$1061:$1061</definedName>
    <definedName name="MO_SNA_ConsensusEstimatePeriodType" localSheetId="5">#REF!</definedName>
    <definedName name="MO_SNA_ConsensusEstimatePeriodType" localSheetId="2">#REF!</definedName>
    <definedName name="MO_SNA_ConsensusEstimatePeriodType" localSheetId="3">#REF!</definedName>
    <definedName name="MO_SNA_ConsensusEstimatePeriodType" localSheetId="7">#REF!</definedName>
    <definedName name="MO_SNA_ConsensusEstimatePeriodType" localSheetId="6">#REF!</definedName>
    <definedName name="MO_SNA_ConsensusEstimatePeriodType" localSheetId="1">#REF!</definedName>
    <definedName name="MO_SNA_ConsensusEstimatePeriodType" localSheetId="9">#REF!</definedName>
    <definedName name="MO_SNA_ConsensusEstimatePeriodType" localSheetId="4">#REF!</definedName>
    <definedName name="MO_SNA_ConsensusEstimatePeriodType" localSheetId="0">#REF!</definedName>
    <definedName name="MO_SNA_ConsensusEstimatePeriodType">Model!$1060:$1060</definedName>
    <definedName name="MO_SNA_FPStartDate" localSheetId="5">#REF!</definedName>
    <definedName name="MO_SNA_FPStartDate" localSheetId="2">#REF!</definedName>
    <definedName name="MO_SNA_FPStartDate" localSheetId="3">#REF!</definedName>
    <definedName name="MO_SNA_FPStartDate" localSheetId="7">#REF!</definedName>
    <definedName name="MO_SNA_FPStartDate" localSheetId="6">#REF!</definedName>
    <definedName name="MO_SNA_FPStartDate" localSheetId="1">#REF!</definedName>
    <definedName name="MO_SNA_FPStartDate" localSheetId="9">#REF!</definedName>
    <definedName name="MO_SNA_FPStartDate" localSheetId="4">#REF!</definedName>
    <definedName name="MO_SNA_FPStartDate" localSheetId="0">#REF!</definedName>
    <definedName name="MO_SNA_FPStartDate">Model!$1072:$1072</definedName>
    <definedName name="MO_SNA_Guidance_ApplicablePeriod_FY" localSheetId="5">#REF!</definedName>
    <definedName name="MO_SNA_Guidance_ApplicablePeriod_FY" localSheetId="2">#REF!</definedName>
    <definedName name="MO_SNA_Guidance_ApplicablePeriod_FY" localSheetId="3">#REF!</definedName>
    <definedName name="MO_SNA_Guidance_ApplicablePeriod_FY" localSheetId="7">#REF!</definedName>
    <definedName name="MO_SNA_Guidance_ApplicablePeriod_FY" localSheetId="6">#REF!</definedName>
    <definedName name="MO_SNA_Guidance_ApplicablePeriod_FY" localSheetId="1">#REF!</definedName>
    <definedName name="MO_SNA_Guidance_ApplicablePeriod_FY" localSheetId="9">#REF!</definedName>
    <definedName name="MO_SNA_Guidance_ApplicablePeriod_FY" localSheetId="4">#REF!</definedName>
    <definedName name="MO_SNA_Guidance_ApplicablePeriod_FY" localSheetId="0">#REF!</definedName>
    <definedName name="MO_SNA_Guidance_ApplicablePeriod_FY">Model!$1044:$1044</definedName>
    <definedName name="MO_SNA_Guidance_ApplicablePeriod_FY_Latest" localSheetId="5">[1]Historicals!$1086:$1086</definedName>
    <definedName name="MO_SNA_Guidance_ApplicablePeriod_FY_Latest" localSheetId="2">[1]Historicals!$1086:$1086</definedName>
    <definedName name="MO_SNA_Guidance_ApplicablePeriod_FY_Latest" localSheetId="3">[1]Historicals!$1086:$1086</definedName>
    <definedName name="MO_SNA_Guidance_ApplicablePeriod_FY_Latest" localSheetId="7">[1]Historicals!$1086:$1086</definedName>
    <definedName name="MO_SNA_Guidance_ApplicablePeriod_FY_Latest" localSheetId="6">[1]Historicals!$1086:$1086</definedName>
    <definedName name="MO_SNA_Guidance_ApplicablePeriod_FY_Latest" localSheetId="1">[1]Historicals!$1086:$1086</definedName>
    <definedName name="MO_SNA_Guidance_ApplicablePeriod_FY_Latest" localSheetId="9">[1]Historicals!$1086:$1086</definedName>
    <definedName name="MO_SNA_Guidance_ApplicablePeriod_FY_Latest" localSheetId="4">[1]Historicals!$1086:$1086</definedName>
    <definedName name="MO_SNA_Guidance_ApplicablePeriod_FY_Latest" localSheetId="0">[1]Historicals!$1086:$1086</definedName>
    <definedName name="MO_SNA_Guidance_ApplicablePeriod_FY_Latest">Model!$1043:$1043</definedName>
    <definedName name="MO_SNA_Guidance_ApplicablePeriod_Q" localSheetId="5">#REF!</definedName>
    <definedName name="MO_SNA_Guidance_ApplicablePeriod_Q" localSheetId="2">#REF!</definedName>
    <definedName name="MO_SNA_Guidance_ApplicablePeriod_Q" localSheetId="3">#REF!</definedName>
    <definedName name="MO_SNA_Guidance_ApplicablePeriod_Q" localSheetId="7">#REF!</definedName>
    <definedName name="MO_SNA_Guidance_ApplicablePeriod_Q" localSheetId="6">#REF!</definedName>
    <definedName name="MO_SNA_Guidance_ApplicablePeriod_Q" localSheetId="1">#REF!</definedName>
    <definedName name="MO_SNA_Guidance_ApplicablePeriod_Q" localSheetId="9">#REF!</definedName>
    <definedName name="MO_SNA_Guidance_ApplicablePeriod_Q" localSheetId="4">#REF!</definedName>
    <definedName name="MO_SNA_Guidance_ApplicablePeriod_Q" localSheetId="0">#REF!</definedName>
    <definedName name="MO_SNA_Guidance_ApplicablePeriod_Q">Model!$1026:$1026</definedName>
    <definedName name="MO_SNA_Guidance_IsLatest_FY" localSheetId="5">#REF!</definedName>
    <definedName name="MO_SNA_Guidance_IsLatest_FY" localSheetId="2">#REF!</definedName>
    <definedName name="MO_SNA_Guidance_IsLatest_FY" localSheetId="3">#REF!</definedName>
    <definedName name="MO_SNA_Guidance_IsLatest_FY" localSheetId="7">#REF!</definedName>
    <definedName name="MO_SNA_Guidance_IsLatest_FY" localSheetId="6">#REF!</definedName>
    <definedName name="MO_SNA_Guidance_IsLatest_FY" localSheetId="1">#REF!</definedName>
    <definedName name="MO_SNA_Guidance_IsLatest_FY" localSheetId="9">#REF!</definedName>
    <definedName name="MO_SNA_Guidance_IsLatest_FY" localSheetId="4">#REF!</definedName>
    <definedName name="MO_SNA_Guidance_IsLatest_FY" localSheetId="0">#REF!</definedName>
    <definedName name="MO_SNA_Guidance_IsLatest_FY">Model!$1043:$1043</definedName>
    <definedName name="MO_SNA_Guidance_ReportDate_FY" localSheetId="5">#REF!</definedName>
    <definedName name="MO_SNA_Guidance_ReportDate_FY" localSheetId="2">#REF!</definedName>
    <definedName name="MO_SNA_Guidance_ReportDate_FY" localSheetId="3">#REF!</definedName>
    <definedName name="MO_SNA_Guidance_ReportDate_FY" localSheetId="7">#REF!</definedName>
    <definedName name="MO_SNA_Guidance_ReportDate_FY" localSheetId="6">#REF!</definedName>
    <definedName name="MO_SNA_Guidance_ReportDate_FY" localSheetId="1">#REF!</definedName>
    <definedName name="MO_SNA_Guidance_ReportDate_FY" localSheetId="9">#REF!</definedName>
    <definedName name="MO_SNA_Guidance_ReportDate_FY" localSheetId="4">#REF!</definedName>
    <definedName name="MO_SNA_Guidance_ReportDate_FY" localSheetId="0">#REF!</definedName>
    <definedName name="MO_SNA_Guidance_ReportDate_FY">Model!$1042:$1042</definedName>
    <definedName name="MO_SNA_Guidance_ReportDate_Q" localSheetId="5">#REF!</definedName>
    <definedName name="MO_SNA_Guidance_ReportDate_Q" localSheetId="2">#REF!</definedName>
    <definedName name="MO_SNA_Guidance_ReportDate_Q" localSheetId="3">#REF!</definedName>
    <definedName name="MO_SNA_Guidance_ReportDate_Q" localSheetId="7">#REF!</definedName>
    <definedName name="MO_SNA_Guidance_ReportDate_Q" localSheetId="6">#REF!</definedName>
    <definedName name="MO_SNA_Guidance_ReportDate_Q" localSheetId="1">#REF!</definedName>
    <definedName name="MO_SNA_Guidance_ReportDate_Q" localSheetId="9">#REF!</definedName>
    <definedName name="MO_SNA_Guidance_ReportDate_Q" localSheetId="4">#REF!</definedName>
    <definedName name="MO_SNA_Guidance_ReportDate_Q" localSheetId="0">#REF!</definedName>
    <definedName name="MO_SNA_Guidance_ReportDate_Q">Model!$1025:$1025</definedName>
    <definedName name="MO_SNA_IsHistoricalPeriod" localSheetId="5">#REF!</definedName>
    <definedName name="MO_SNA_IsHistoricalPeriod" localSheetId="2">#REF!</definedName>
    <definedName name="MO_SNA_IsHistoricalPeriod" localSheetId="3">#REF!</definedName>
    <definedName name="MO_SNA_IsHistoricalPeriod" localSheetId="7">#REF!</definedName>
    <definedName name="MO_SNA_IsHistoricalPeriod" localSheetId="6">#REF!</definedName>
    <definedName name="MO_SNA_IsHistoricalPeriod" localSheetId="1">#REF!</definedName>
    <definedName name="MO_SNA_IsHistoricalPeriod" localSheetId="9">#REF!</definedName>
    <definedName name="MO_SNA_IsHistoricalPeriod" localSheetId="4">#REF!</definedName>
    <definedName name="MO_SNA_IsHistoricalPeriod" localSheetId="0">#REF!</definedName>
    <definedName name="MO_SNA_IsHistoricalPeriod">Model!$1073:$1073</definedName>
    <definedName name="MO_SNA_LastDataRow" localSheetId="5">#REF!</definedName>
    <definedName name="MO_SNA_LastDataRow" localSheetId="2">#REF!</definedName>
    <definedName name="MO_SNA_LastDataRow" localSheetId="3">#REF!</definedName>
    <definedName name="MO_SNA_LastDataRow" localSheetId="7">#REF!</definedName>
    <definedName name="MO_SNA_LastDataRow" localSheetId="6">#REF!</definedName>
    <definedName name="MO_SNA_LastDataRow" localSheetId="1">#REF!</definedName>
    <definedName name="MO_SNA_LastDataRow" localSheetId="9">#REF!</definedName>
    <definedName name="MO_SNA_LastDataRow" localSheetId="4">#REF!</definedName>
    <definedName name="MO_SNA_LastDataRow" localSheetId="0">#REF!</definedName>
    <definedName name="MO_SNA_LastDataRow">Model!$953:$953</definedName>
    <definedName name="MO_SPT_FXAverage" localSheetId="5">#REF!</definedName>
    <definedName name="MO_SPT_FXAverage" localSheetId="2">#REF!</definedName>
    <definedName name="MO_SPT_FXAverage" localSheetId="3">#REF!</definedName>
    <definedName name="MO_SPT_FXAverage" localSheetId="7">#REF!</definedName>
    <definedName name="MO_SPT_FXAverage" localSheetId="6">#REF!</definedName>
    <definedName name="MO_SPT_FXAverage" localSheetId="1">#REF!</definedName>
    <definedName name="MO_SPT_FXAverage" localSheetId="9">#REF!</definedName>
    <definedName name="MO_SPT_FXAverage" localSheetId="4">#REF!</definedName>
    <definedName name="MO_SPT_FXAverage" localSheetId="0">#REF!</definedName>
    <definedName name="MO_SPT_FXAverage">Model!$1095:$1095</definedName>
    <definedName name="MO_SPT_FXAverage_Sources" localSheetId="5">#REF!</definedName>
    <definedName name="MO_SPT_FXAverage_Sources" localSheetId="2">#REF!</definedName>
    <definedName name="MO_SPT_FXAverage_Sources" localSheetId="3">#REF!</definedName>
    <definedName name="MO_SPT_FXAverage_Sources" localSheetId="7">#REF!</definedName>
    <definedName name="MO_SPT_FXAverage_Sources" localSheetId="6">#REF!</definedName>
    <definedName name="MO_SPT_FXAverage_Sources" localSheetId="1">#REF!</definedName>
    <definedName name="MO_SPT_FXAverage_Sources" localSheetId="9">#REF!</definedName>
    <definedName name="MO_SPT_FXAverage_Sources" localSheetId="4">#REF!</definedName>
    <definedName name="MO_SPT_FXAverage_Sources" localSheetId="0">#REF!</definedName>
    <definedName name="MO_SPT_FXAverage_Sources">Model!$1096:$1100</definedName>
    <definedName name="MO_SPT_FXAverage_Sources_Bloomberg" localSheetId="5">#REF!</definedName>
    <definedName name="MO_SPT_FXAverage_Sources_Bloomberg" localSheetId="2">#REF!</definedName>
    <definedName name="MO_SPT_FXAverage_Sources_Bloomberg" localSheetId="3">#REF!</definedName>
    <definedName name="MO_SPT_FXAverage_Sources_Bloomberg" localSheetId="7">#REF!</definedName>
    <definedName name="MO_SPT_FXAverage_Sources_Bloomberg" localSheetId="6">#REF!</definedName>
    <definedName name="MO_SPT_FXAverage_Sources_Bloomberg" localSheetId="1">#REF!</definedName>
    <definedName name="MO_SPT_FXAverage_Sources_Bloomberg" localSheetId="9">#REF!</definedName>
    <definedName name="MO_SPT_FXAverage_Sources_Bloomberg" localSheetId="4">#REF!</definedName>
    <definedName name="MO_SPT_FXAverage_Sources_Bloomberg" localSheetId="0">#REF!</definedName>
    <definedName name="MO_SPT_FXAverage_Sources_Bloomberg">Model!$1097:$1097</definedName>
    <definedName name="MO_SPT_FXAverage_Sources_CapIQ" localSheetId="5">#REF!</definedName>
    <definedName name="MO_SPT_FXAverage_Sources_CapIQ" localSheetId="2">#REF!</definedName>
    <definedName name="MO_SPT_FXAverage_Sources_CapIQ" localSheetId="3">#REF!</definedName>
    <definedName name="MO_SPT_FXAverage_Sources_CapIQ" localSheetId="7">#REF!</definedName>
    <definedName name="MO_SPT_FXAverage_Sources_CapIQ" localSheetId="6">#REF!</definedName>
    <definedName name="MO_SPT_FXAverage_Sources_CapIQ" localSheetId="1">#REF!</definedName>
    <definedName name="MO_SPT_FXAverage_Sources_CapIQ" localSheetId="9">#REF!</definedName>
    <definedName name="MO_SPT_FXAverage_Sources_CapIQ" localSheetId="4">#REF!</definedName>
    <definedName name="MO_SPT_FXAverage_Sources_CapIQ" localSheetId="0">#REF!</definedName>
    <definedName name="MO_SPT_FXAverage_Sources_CapIQ">Model!$1098:$1098</definedName>
    <definedName name="MO_SPT_FXAverage_Sources_FactSet" localSheetId="5">#REF!</definedName>
    <definedName name="MO_SPT_FXAverage_Sources_FactSet" localSheetId="2">#REF!</definedName>
    <definedName name="MO_SPT_FXAverage_Sources_FactSet" localSheetId="3">#REF!</definedName>
    <definedName name="MO_SPT_FXAverage_Sources_FactSet" localSheetId="7">#REF!</definedName>
    <definedName name="MO_SPT_FXAverage_Sources_FactSet" localSheetId="6">#REF!</definedName>
    <definedName name="MO_SPT_FXAverage_Sources_FactSet" localSheetId="1">#REF!</definedName>
    <definedName name="MO_SPT_FXAverage_Sources_FactSet" localSheetId="9">#REF!</definedName>
    <definedName name="MO_SPT_FXAverage_Sources_FactSet" localSheetId="4">#REF!</definedName>
    <definedName name="MO_SPT_FXAverage_Sources_FactSet" localSheetId="0">#REF!</definedName>
    <definedName name="MO_SPT_FXAverage_Sources_FactSet">Model!$1099:$1099</definedName>
    <definedName name="MO_SPT_FXAverage_Sources_RealTimeOff" localSheetId="5">#REF!</definedName>
    <definedName name="MO_SPT_FXAverage_Sources_RealTimeOff" localSheetId="2">#REF!</definedName>
    <definedName name="MO_SPT_FXAverage_Sources_RealTimeOff" localSheetId="3">#REF!</definedName>
    <definedName name="MO_SPT_FXAverage_Sources_RealTimeOff" localSheetId="7">#REF!</definedName>
    <definedName name="MO_SPT_FXAverage_Sources_RealTimeOff" localSheetId="6">#REF!</definedName>
    <definedName name="MO_SPT_FXAverage_Sources_RealTimeOff" localSheetId="1">#REF!</definedName>
    <definedName name="MO_SPT_FXAverage_Sources_RealTimeOff" localSheetId="9">#REF!</definedName>
    <definedName name="MO_SPT_FXAverage_Sources_RealTimeOff" localSheetId="4">#REF!</definedName>
    <definedName name="MO_SPT_FXAverage_Sources_RealTimeOff" localSheetId="0">#REF!</definedName>
    <definedName name="MO_SPT_FXAverage_Sources_RealTimeOff">Model!$1096:$1096</definedName>
    <definedName name="MO_SPT_FXAverage_Sources_Thomson" localSheetId="5">#REF!</definedName>
    <definedName name="MO_SPT_FXAverage_Sources_Thomson" localSheetId="2">#REF!</definedName>
    <definedName name="MO_SPT_FXAverage_Sources_Thomson" localSheetId="3">#REF!</definedName>
    <definedName name="MO_SPT_FXAverage_Sources_Thomson" localSheetId="7">#REF!</definedName>
    <definedName name="MO_SPT_FXAverage_Sources_Thomson" localSheetId="6">#REF!</definedName>
    <definedName name="MO_SPT_FXAverage_Sources_Thomson" localSheetId="1">#REF!</definedName>
    <definedName name="MO_SPT_FXAverage_Sources_Thomson" localSheetId="9">#REF!</definedName>
    <definedName name="MO_SPT_FXAverage_Sources_Thomson" localSheetId="4">#REF!</definedName>
    <definedName name="MO_SPT_FXAverage_Sources_Thomson" localSheetId="0">#REF!</definedName>
    <definedName name="MO_SPT_FXAverage_Sources_Thomson">Model!$1100:$1100</definedName>
    <definedName name="MO_SPT_FXEoP" localSheetId="5">#REF!</definedName>
    <definedName name="MO_SPT_FXEoP" localSheetId="2">#REF!</definedName>
    <definedName name="MO_SPT_FXEoP" localSheetId="3">#REF!</definedName>
    <definedName name="MO_SPT_FXEoP" localSheetId="7">#REF!</definedName>
    <definedName name="MO_SPT_FXEoP" localSheetId="6">#REF!</definedName>
    <definedName name="MO_SPT_FXEoP" localSheetId="1">#REF!</definedName>
    <definedName name="MO_SPT_FXEoP" localSheetId="9">#REF!</definedName>
    <definedName name="MO_SPT_FXEoP" localSheetId="4">#REF!</definedName>
    <definedName name="MO_SPT_FXEoP" localSheetId="0">#REF!</definedName>
    <definedName name="MO_SPT_FXEoP">Model!$1104:$1104</definedName>
    <definedName name="MO_SPT_StockAverage" localSheetId="5">#REF!</definedName>
    <definedName name="MO_SPT_StockAverage" localSheetId="2">#REF!</definedName>
    <definedName name="MO_SPT_StockAverage" localSheetId="3">#REF!</definedName>
    <definedName name="MO_SPT_StockAverage" localSheetId="7">#REF!</definedName>
    <definedName name="MO_SPT_StockAverage" localSheetId="6">#REF!</definedName>
    <definedName name="MO_SPT_StockAverage" localSheetId="1">#REF!</definedName>
    <definedName name="MO_SPT_StockAverage" localSheetId="9">#REF!</definedName>
    <definedName name="MO_SPT_StockAverage" localSheetId="4">#REF!</definedName>
    <definedName name="MO_SPT_StockAverage" localSheetId="0">#REF!</definedName>
    <definedName name="MO_SPT_StockAverage">Model!$1088:$1088</definedName>
    <definedName name="MO_SPT_StockAverage_Sources" localSheetId="5">#REF!</definedName>
    <definedName name="MO_SPT_StockAverage_Sources" localSheetId="2">#REF!</definedName>
    <definedName name="MO_SPT_StockAverage_Sources" localSheetId="3">#REF!</definedName>
    <definedName name="MO_SPT_StockAverage_Sources" localSheetId="7">#REF!</definedName>
    <definedName name="MO_SPT_StockAverage_Sources" localSheetId="6">#REF!</definedName>
    <definedName name="MO_SPT_StockAverage_Sources" localSheetId="1">#REF!</definedName>
    <definedName name="MO_SPT_StockAverage_Sources" localSheetId="9">#REF!</definedName>
    <definedName name="MO_SPT_StockAverage_Sources" localSheetId="4">#REF!</definedName>
    <definedName name="MO_SPT_StockAverage_Sources" localSheetId="0">#REF!</definedName>
    <definedName name="MO_SPT_StockAverage_Sources">Model!$1089:$1093</definedName>
    <definedName name="MO_SPT_StockAverage_Sources_Bloomberg" localSheetId="5">#REF!</definedName>
    <definedName name="MO_SPT_StockAverage_Sources_Bloomberg" localSheetId="2">#REF!</definedName>
    <definedName name="MO_SPT_StockAverage_Sources_Bloomberg" localSheetId="3">#REF!</definedName>
    <definedName name="MO_SPT_StockAverage_Sources_Bloomberg" localSheetId="7">#REF!</definedName>
    <definedName name="MO_SPT_StockAverage_Sources_Bloomberg" localSheetId="6">#REF!</definedName>
    <definedName name="MO_SPT_StockAverage_Sources_Bloomberg" localSheetId="1">#REF!</definedName>
    <definedName name="MO_SPT_StockAverage_Sources_Bloomberg" localSheetId="9">#REF!</definedName>
    <definedName name="MO_SPT_StockAverage_Sources_Bloomberg" localSheetId="4">#REF!</definedName>
    <definedName name="MO_SPT_StockAverage_Sources_Bloomberg" localSheetId="0">#REF!</definedName>
    <definedName name="MO_SPT_StockAverage_Sources_Bloomberg">Model!$1090:$1090</definedName>
    <definedName name="MO_SPT_StockAverage_Sources_CapIQ" localSheetId="5">#REF!</definedName>
    <definedName name="MO_SPT_StockAverage_Sources_CapIQ" localSheetId="2">#REF!</definedName>
    <definedName name="MO_SPT_StockAverage_Sources_CapIQ" localSheetId="3">#REF!</definedName>
    <definedName name="MO_SPT_StockAverage_Sources_CapIQ" localSheetId="7">#REF!</definedName>
    <definedName name="MO_SPT_StockAverage_Sources_CapIQ" localSheetId="6">#REF!</definedName>
    <definedName name="MO_SPT_StockAverage_Sources_CapIQ" localSheetId="1">#REF!</definedName>
    <definedName name="MO_SPT_StockAverage_Sources_CapIQ" localSheetId="9">#REF!</definedName>
    <definedName name="MO_SPT_StockAverage_Sources_CapIQ" localSheetId="4">#REF!</definedName>
    <definedName name="MO_SPT_StockAverage_Sources_CapIQ" localSheetId="0">#REF!</definedName>
    <definedName name="MO_SPT_StockAverage_Sources_CapIQ">Model!$1091:$1091</definedName>
    <definedName name="MO_SPT_StockAverage_Sources_FactSet" localSheetId="5">#REF!</definedName>
    <definedName name="MO_SPT_StockAverage_Sources_FactSet" localSheetId="2">#REF!</definedName>
    <definedName name="MO_SPT_StockAverage_Sources_FactSet" localSheetId="3">#REF!</definedName>
    <definedName name="MO_SPT_StockAverage_Sources_FactSet" localSheetId="7">#REF!</definedName>
    <definedName name="MO_SPT_StockAverage_Sources_FactSet" localSheetId="6">#REF!</definedName>
    <definedName name="MO_SPT_StockAverage_Sources_FactSet" localSheetId="1">#REF!</definedName>
    <definedName name="MO_SPT_StockAverage_Sources_FactSet" localSheetId="9">#REF!</definedName>
    <definedName name="MO_SPT_StockAverage_Sources_FactSet" localSheetId="4">#REF!</definedName>
    <definedName name="MO_SPT_StockAverage_Sources_FactSet" localSheetId="0">#REF!</definedName>
    <definedName name="MO_SPT_StockAverage_Sources_FactSet">Model!$1092:$1092</definedName>
    <definedName name="MO_SPT_StockAverage_Sources_RealTimeOff" localSheetId="5">#REF!</definedName>
    <definedName name="MO_SPT_StockAverage_Sources_RealTimeOff" localSheetId="2">#REF!</definedName>
    <definedName name="MO_SPT_StockAverage_Sources_RealTimeOff" localSheetId="3">#REF!</definedName>
    <definedName name="MO_SPT_StockAverage_Sources_RealTimeOff" localSheetId="7">#REF!</definedName>
    <definedName name="MO_SPT_StockAverage_Sources_RealTimeOff" localSheetId="6">#REF!</definedName>
    <definedName name="MO_SPT_StockAverage_Sources_RealTimeOff" localSheetId="1">#REF!</definedName>
    <definedName name="MO_SPT_StockAverage_Sources_RealTimeOff" localSheetId="9">#REF!</definedName>
    <definedName name="MO_SPT_StockAverage_Sources_RealTimeOff" localSheetId="4">#REF!</definedName>
    <definedName name="MO_SPT_StockAverage_Sources_RealTimeOff" localSheetId="0">#REF!</definedName>
    <definedName name="MO_SPT_StockAverage_Sources_RealTimeOff">Model!$1089:$1089</definedName>
    <definedName name="MO_SPT_StockAverage_Sources_Thomson" localSheetId="5">#REF!</definedName>
    <definedName name="MO_SPT_StockAverage_Sources_Thomson" localSheetId="2">#REF!</definedName>
    <definedName name="MO_SPT_StockAverage_Sources_Thomson" localSheetId="3">#REF!</definedName>
    <definedName name="MO_SPT_StockAverage_Sources_Thomson" localSheetId="7">#REF!</definedName>
    <definedName name="MO_SPT_StockAverage_Sources_Thomson" localSheetId="6">#REF!</definedName>
    <definedName name="MO_SPT_StockAverage_Sources_Thomson" localSheetId="1">#REF!</definedName>
    <definedName name="MO_SPT_StockAverage_Sources_Thomson" localSheetId="9">#REF!</definedName>
    <definedName name="MO_SPT_StockAverage_Sources_Thomson" localSheetId="4">#REF!</definedName>
    <definedName name="MO_SPT_StockAverage_Sources_Thomson" localSheetId="0">#REF!</definedName>
    <definedName name="MO_SPT_StockAverage_Sources_Thomson">Model!$1093:$1093</definedName>
    <definedName name="MO_SPT_StockEoP" localSheetId="5">#REF!</definedName>
    <definedName name="MO_SPT_StockEoP" localSheetId="2">#REF!</definedName>
    <definedName name="MO_SPT_StockEoP" localSheetId="3">#REF!</definedName>
    <definedName name="MO_SPT_StockEoP" localSheetId="7">#REF!</definedName>
    <definedName name="MO_SPT_StockEoP" localSheetId="6">#REF!</definedName>
    <definedName name="MO_SPT_StockEoP" localSheetId="1">#REF!</definedName>
    <definedName name="MO_SPT_StockEoP" localSheetId="9">#REF!</definedName>
    <definedName name="MO_SPT_StockEoP" localSheetId="4">#REF!</definedName>
    <definedName name="MO_SPT_StockEoP" localSheetId="0">#REF!</definedName>
    <definedName name="MO_SPT_StockEoP">Model!$1103:$1103</definedName>
    <definedName name="MO_SPT_StockHigh" localSheetId="5">#REF!</definedName>
    <definedName name="MO_SPT_StockHigh" localSheetId="2">#REF!</definedName>
    <definedName name="MO_SPT_StockHigh" localSheetId="3">#REF!</definedName>
    <definedName name="MO_SPT_StockHigh" localSheetId="7">#REF!</definedName>
    <definedName name="MO_SPT_StockHigh" localSheetId="6">#REF!</definedName>
    <definedName name="MO_SPT_StockHigh" localSheetId="1">#REF!</definedName>
    <definedName name="MO_SPT_StockHigh" localSheetId="9">#REF!</definedName>
    <definedName name="MO_SPT_StockHigh" localSheetId="4">#REF!</definedName>
    <definedName name="MO_SPT_StockHigh" localSheetId="0">#REF!</definedName>
    <definedName name="MO_SPT_StockHigh">Model!$1074:$1074</definedName>
    <definedName name="MO_SPT_StockHigh_Sources" localSheetId="5">#REF!</definedName>
    <definedName name="MO_SPT_StockHigh_Sources" localSheetId="2">#REF!</definedName>
    <definedName name="MO_SPT_StockHigh_Sources" localSheetId="3">#REF!</definedName>
    <definedName name="MO_SPT_StockHigh_Sources" localSheetId="7">#REF!</definedName>
    <definedName name="MO_SPT_StockHigh_Sources" localSheetId="6">#REF!</definedName>
    <definedName name="MO_SPT_StockHigh_Sources" localSheetId="1">#REF!</definedName>
    <definedName name="MO_SPT_StockHigh_Sources" localSheetId="9">#REF!</definedName>
    <definedName name="MO_SPT_StockHigh_Sources" localSheetId="4">#REF!</definedName>
    <definedName name="MO_SPT_StockHigh_Sources" localSheetId="0">#REF!</definedName>
    <definedName name="MO_SPT_StockHigh_Sources">Model!$1075:$1079</definedName>
    <definedName name="MO_SPT_StockHigh_Sources_Bloomberg" localSheetId="5">#REF!</definedName>
    <definedName name="MO_SPT_StockHigh_Sources_Bloomberg" localSheetId="2">#REF!</definedName>
    <definedName name="MO_SPT_StockHigh_Sources_Bloomberg" localSheetId="3">#REF!</definedName>
    <definedName name="MO_SPT_StockHigh_Sources_Bloomberg" localSheetId="7">#REF!</definedName>
    <definedName name="MO_SPT_StockHigh_Sources_Bloomberg" localSheetId="6">#REF!</definedName>
    <definedName name="MO_SPT_StockHigh_Sources_Bloomberg" localSheetId="1">#REF!</definedName>
    <definedName name="MO_SPT_StockHigh_Sources_Bloomberg" localSheetId="9">#REF!</definedName>
    <definedName name="MO_SPT_StockHigh_Sources_Bloomberg" localSheetId="4">#REF!</definedName>
    <definedName name="MO_SPT_StockHigh_Sources_Bloomberg" localSheetId="0">#REF!</definedName>
    <definedName name="MO_SPT_StockHigh_Sources_Bloomberg">Model!$1076:$1076</definedName>
    <definedName name="MO_SPT_StockHigh_Sources_CapIQ" localSheetId="5">#REF!</definedName>
    <definedName name="MO_SPT_StockHigh_Sources_CapIQ" localSheetId="2">#REF!</definedName>
    <definedName name="MO_SPT_StockHigh_Sources_CapIQ" localSheetId="3">#REF!</definedName>
    <definedName name="MO_SPT_StockHigh_Sources_CapIQ" localSheetId="7">#REF!</definedName>
    <definedName name="MO_SPT_StockHigh_Sources_CapIQ" localSheetId="6">#REF!</definedName>
    <definedName name="MO_SPT_StockHigh_Sources_CapIQ" localSheetId="1">#REF!</definedName>
    <definedName name="MO_SPT_StockHigh_Sources_CapIQ" localSheetId="9">#REF!</definedName>
    <definedName name="MO_SPT_StockHigh_Sources_CapIQ" localSheetId="4">#REF!</definedName>
    <definedName name="MO_SPT_StockHigh_Sources_CapIQ" localSheetId="0">#REF!</definedName>
    <definedName name="MO_SPT_StockHigh_Sources_CapIQ">Model!$1077:$1077</definedName>
    <definedName name="MO_SPT_StockHigh_Sources_FactSet" localSheetId="5">#REF!</definedName>
    <definedName name="MO_SPT_StockHigh_Sources_FactSet" localSheetId="2">#REF!</definedName>
    <definedName name="MO_SPT_StockHigh_Sources_FactSet" localSheetId="3">#REF!</definedName>
    <definedName name="MO_SPT_StockHigh_Sources_FactSet" localSheetId="7">#REF!</definedName>
    <definedName name="MO_SPT_StockHigh_Sources_FactSet" localSheetId="6">#REF!</definedName>
    <definedName name="MO_SPT_StockHigh_Sources_FactSet" localSheetId="1">#REF!</definedName>
    <definedName name="MO_SPT_StockHigh_Sources_FactSet" localSheetId="9">#REF!</definedName>
    <definedName name="MO_SPT_StockHigh_Sources_FactSet" localSheetId="4">#REF!</definedName>
    <definedName name="MO_SPT_StockHigh_Sources_FactSet" localSheetId="0">#REF!</definedName>
    <definedName name="MO_SPT_StockHigh_Sources_FactSet">Model!$1078:$1078</definedName>
    <definedName name="MO_SPT_StockHigh_Sources_RealTimeOff" localSheetId="5">#REF!</definedName>
    <definedName name="MO_SPT_StockHigh_Sources_RealTimeOff" localSheetId="2">#REF!</definedName>
    <definedName name="MO_SPT_StockHigh_Sources_RealTimeOff" localSheetId="3">#REF!</definedName>
    <definedName name="MO_SPT_StockHigh_Sources_RealTimeOff" localSheetId="7">#REF!</definedName>
    <definedName name="MO_SPT_StockHigh_Sources_RealTimeOff" localSheetId="6">#REF!</definedName>
    <definedName name="MO_SPT_StockHigh_Sources_RealTimeOff" localSheetId="1">#REF!</definedName>
    <definedName name="MO_SPT_StockHigh_Sources_RealTimeOff" localSheetId="9">#REF!</definedName>
    <definedName name="MO_SPT_StockHigh_Sources_RealTimeOff" localSheetId="4">#REF!</definedName>
    <definedName name="MO_SPT_StockHigh_Sources_RealTimeOff" localSheetId="0">#REF!</definedName>
    <definedName name="MO_SPT_StockHigh_Sources_RealTimeOff">Model!$1075:$1075</definedName>
    <definedName name="MO_SPT_StockHigh_Sources_Thomson" localSheetId="5">#REF!</definedName>
    <definedName name="MO_SPT_StockHigh_Sources_Thomson" localSheetId="2">#REF!</definedName>
    <definedName name="MO_SPT_StockHigh_Sources_Thomson" localSheetId="3">#REF!</definedName>
    <definedName name="MO_SPT_StockHigh_Sources_Thomson" localSheetId="7">#REF!</definedName>
    <definedName name="MO_SPT_StockHigh_Sources_Thomson" localSheetId="6">#REF!</definedName>
    <definedName name="MO_SPT_StockHigh_Sources_Thomson" localSheetId="1">#REF!</definedName>
    <definedName name="MO_SPT_StockHigh_Sources_Thomson" localSheetId="9">#REF!</definedName>
    <definedName name="MO_SPT_StockHigh_Sources_Thomson" localSheetId="4">#REF!</definedName>
    <definedName name="MO_SPT_StockHigh_Sources_Thomson" localSheetId="0">#REF!</definedName>
    <definedName name="MO_SPT_StockHigh_Sources_Thomson">Model!$1079:$1079</definedName>
    <definedName name="MO_SPT_StockLow" localSheetId="5">#REF!</definedName>
    <definedName name="MO_SPT_StockLow" localSheetId="2">#REF!</definedName>
    <definedName name="MO_SPT_StockLow" localSheetId="3">#REF!</definedName>
    <definedName name="MO_SPT_StockLow" localSheetId="7">#REF!</definedName>
    <definedName name="MO_SPT_StockLow" localSheetId="6">#REF!</definedName>
    <definedName name="MO_SPT_StockLow" localSheetId="1">#REF!</definedName>
    <definedName name="MO_SPT_StockLow" localSheetId="9">#REF!</definedName>
    <definedName name="MO_SPT_StockLow" localSheetId="4">#REF!</definedName>
    <definedName name="MO_SPT_StockLow" localSheetId="0">#REF!</definedName>
    <definedName name="MO_SPT_StockLow">Model!$1081:$1081</definedName>
    <definedName name="MO_SPT_StockLow_Sources" localSheetId="5">#REF!</definedName>
    <definedName name="MO_SPT_StockLow_Sources" localSheetId="2">#REF!</definedName>
    <definedName name="MO_SPT_StockLow_Sources" localSheetId="3">#REF!</definedName>
    <definedName name="MO_SPT_StockLow_Sources" localSheetId="7">#REF!</definedName>
    <definedName name="MO_SPT_StockLow_Sources" localSheetId="6">#REF!</definedName>
    <definedName name="MO_SPT_StockLow_Sources" localSheetId="1">#REF!</definedName>
    <definedName name="MO_SPT_StockLow_Sources" localSheetId="9">#REF!</definedName>
    <definedName name="MO_SPT_StockLow_Sources" localSheetId="4">#REF!</definedName>
    <definedName name="MO_SPT_StockLow_Sources" localSheetId="0">#REF!</definedName>
    <definedName name="MO_SPT_StockLow_Sources">Model!$1082:$1086</definedName>
    <definedName name="MO_SPT_StockLow_Sources_Bloomberg" localSheetId="5">#REF!</definedName>
    <definedName name="MO_SPT_StockLow_Sources_Bloomberg" localSheetId="2">#REF!</definedName>
    <definedName name="MO_SPT_StockLow_Sources_Bloomberg" localSheetId="3">#REF!</definedName>
    <definedName name="MO_SPT_StockLow_Sources_Bloomberg" localSheetId="7">#REF!</definedName>
    <definedName name="MO_SPT_StockLow_Sources_Bloomberg" localSheetId="6">#REF!</definedName>
    <definedName name="MO_SPT_StockLow_Sources_Bloomberg" localSheetId="1">#REF!</definedName>
    <definedName name="MO_SPT_StockLow_Sources_Bloomberg" localSheetId="9">#REF!</definedName>
    <definedName name="MO_SPT_StockLow_Sources_Bloomberg" localSheetId="4">#REF!</definedName>
    <definedName name="MO_SPT_StockLow_Sources_Bloomberg" localSheetId="0">#REF!</definedName>
    <definedName name="MO_SPT_StockLow_Sources_Bloomberg">Model!$1083:$1083</definedName>
    <definedName name="MO_SPT_StockLow_Sources_CapIQ" localSheetId="5">#REF!</definedName>
    <definedName name="MO_SPT_StockLow_Sources_CapIQ" localSheetId="2">#REF!</definedName>
    <definedName name="MO_SPT_StockLow_Sources_CapIQ" localSheetId="3">#REF!</definedName>
    <definedName name="MO_SPT_StockLow_Sources_CapIQ" localSheetId="7">#REF!</definedName>
    <definedName name="MO_SPT_StockLow_Sources_CapIQ" localSheetId="6">#REF!</definedName>
    <definedName name="MO_SPT_StockLow_Sources_CapIQ" localSheetId="1">#REF!</definedName>
    <definedName name="MO_SPT_StockLow_Sources_CapIQ" localSheetId="9">#REF!</definedName>
    <definedName name="MO_SPT_StockLow_Sources_CapIQ" localSheetId="4">#REF!</definedName>
    <definedName name="MO_SPT_StockLow_Sources_CapIQ" localSheetId="0">#REF!</definedName>
    <definedName name="MO_SPT_StockLow_Sources_CapIQ">Model!$1084:$1084</definedName>
    <definedName name="MO_SPT_StockLow_Sources_FactSet" localSheetId="5">#REF!</definedName>
    <definedName name="MO_SPT_StockLow_Sources_FactSet" localSheetId="2">#REF!</definedName>
    <definedName name="MO_SPT_StockLow_Sources_FactSet" localSheetId="3">#REF!</definedName>
    <definedName name="MO_SPT_StockLow_Sources_FactSet" localSheetId="7">#REF!</definedName>
    <definedName name="MO_SPT_StockLow_Sources_FactSet" localSheetId="6">#REF!</definedName>
    <definedName name="MO_SPT_StockLow_Sources_FactSet" localSheetId="1">#REF!</definedName>
    <definedName name="MO_SPT_StockLow_Sources_FactSet" localSheetId="9">#REF!</definedName>
    <definedName name="MO_SPT_StockLow_Sources_FactSet" localSheetId="4">#REF!</definedName>
    <definedName name="MO_SPT_StockLow_Sources_FactSet" localSheetId="0">#REF!</definedName>
    <definedName name="MO_SPT_StockLow_Sources_FactSet">Model!$1085:$1085</definedName>
    <definedName name="MO_SPT_StockLow_Sources_RealTimeOff" localSheetId="5">#REF!</definedName>
    <definedName name="MO_SPT_StockLow_Sources_RealTimeOff" localSheetId="2">#REF!</definedName>
    <definedName name="MO_SPT_StockLow_Sources_RealTimeOff" localSheetId="3">#REF!</definedName>
    <definedName name="MO_SPT_StockLow_Sources_RealTimeOff" localSheetId="7">#REF!</definedName>
    <definedName name="MO_SPT_StockLow_Sources_RealTimeOff" localSheetId="6">#REF!</definedName>
    <definedName name="MO_SPT_StockLow_Sources_RealTimeOff" localSheetId="1">#REF!</definedName>
    <definedName name="MO_SPT_StockLow_Sources_RealTimeOff" localSheetId="9">#REF!</definedName>
    <definedName name="MO_SPT_StockLow_Sources_RealTimeOff" localSheetId="4">#REF!</definedName>
    <definedName name="MO_SPT_StockLow_Sources_RealTimeOff" localSheetId="0">#REF!</definedName>
    <definedName name="MO_SPT_StockLow_Sources_RealTimeOff">Model!$1082:$1082</definedName>
    <definedName name="MO_SPT_StockLow_Sources_Thomson" localSheetId="5">#REF!</definedName>
    <definedName name="MO_SPT_StockLow_Sources_Thomson" localSheetId="2">#REF!</definedName>
    <definedName name="MO_SPT_StockLow_Sources_Thomson" localSheetId="3">#REF!</definedName>
    <definedName name="MO_SPT_StockLow_Sources_Thomson" localSheetId="7">#REF!</definedName>
    <definedName name="MO_SPT_StockLow_Sources_Thomson" localSheetId="6">#REF!</definedName>
    <definedName name="MO_SPT_StockLow_Sources_Thomson" localSheetId="1">#REF!</definedName>
    <definedName name="MO_SPT_StockLow_Sources_Thomson" localSheetId="9">#REF!</definedName>
    <definedName name="MO_SPT_StockLow_Sources_Thomson" localSheetId="4">#REF!</definedName>
    <definedName name="MO_SPT_StockLow_Sources_Thomson" localSheetId="0">#REF!</definedName>
    <definedName name="MO_SPT_StockLow_Sources_Thomson">Model!$1086:$1086</definedName>
    <definedName name="MO_SR_Geo_APAC">Model!$119:$119</definedName>
    <definedName name="MO_SR_Geo_Europe">Model!$118:$118</definedName>
    <definedName name="MO_SR_Geo_NorthAmerica">Model!$117:$117</definedName>
    <definedName name="MO_SR_Geo_US">Model!$129:$129</definedName>
    <definedName name="MO_SS_Breakdown_REV_Geo_1">Model!$117:$117</definedName>
    <definedName name="MO_SS_Breakdown_REV_Geo_2">Model!$118:$118</definedName>
    <definedName name="MO_SS_Breakdown_REV_Geo_3">Model!$119:$119</definedName>
    <definedName name="MO_SS_Breakdown_REV_Geo_4">Model!$120:$120</definedName>
    <definedName name="MO_SS_Breakdown_REV_Geo_Mix_1">Model!$123:$123</definedName>
    <definedName name="MO_SS_Breakdown_REV_Geo_Mix_2">Model!$124:$124</definedName>
    <definedName name="MO_SS_Breakdown_REV_Geo_Mix_3">Model!$125:$125</definedName>
    <definedName name="MO_SS_Breakdown_REV_Geo_Mix_4">Model!$126:$126</definedName>
    <definedName name="MO_SS_Breakdown_REV_Geo_Mix_Total">Model!$127:$127</definedName>
    <definedName name="MO_SS_Breakdown_REV_Geo_Total">Model!$121:$121</definedName>
    <definedName name="MO_SS_Breakdown_REV_ProdServ_1">Model!$83:$83</definedName>
    <definedName name="MO_SS_Breakdown_REV_ProdServ_2">Model!$84:$84</definedName>
    <definedName name="MO_SS_Breakdown_REV_ProdServ_Mix_1">Model!$89:$89</definedName>
    <definedName name="MO_SS_Breakdown_REV_ProdServ_Mix_2">Model!$90:$90</definedName>
    <definedName name="MO_SS_Breakdown_REV_ProdServ_Mix_Total">Model!$91:$91</definedName>
    <definedName name="MO_SS_Breakdown_REV_ProdServ_Total">Model!$85:$85</definedName>
    <definedName name="MO_SubSection_BS_CA" localSheetId="5">#REF!</definedName>
    <definedName name="MO_SubSection_BS_CA" localSheetId="2">#REF!</definedName>
    <definedName name="MO_SubSection_BS_CA" localSheetId="3">#REF!</definedName>
    <definedName name="MO_SubSection_BS_CA" localSheetId="7">#REF!</definedName>
    <definedName name="MO_SubSection_BS_CA" localSheetId="6">#REF!</definedName>
    <definedName name="MO_SubSection_BS_CA" localSheetId="1">#REF!</definedName>
    <definedName name="MO_SubSection_BS_CA" localSheetId="9">#REF!</definedName>
    <definedName name="MO_SubSection_BS_CA" localSheetId="4">#REF!</definedName>
    <definedName name="MO_SubSection_BS_CA" localSheetId="0">#REF!</definedName>
    <definedName name="MO_SubSection_BS_CA">Model!$902:$902</definedName>
    <definedName name="MO_SubSection_BS_CL" localSheetId="5">#REF!</definedName>
    <definedName name="MO_SubSection_BS_CL" localSheetId="2">#REF!</definedName>
    <definedName name="MO_SubSection_BS_CL" localSheetId="3">#REF!</definedName>
    <definedName name="MO_SubSection_BS_CL" localSheetId="7">#REF!</definedName>
    <definedName name="MO_SubSection_BS_CL" localSheetId="6">#REF!</definedName>
    <definedName name="MO_SubSection_BS_CL" localSheetId="1">#REF!</definedName>
    <definedName name="MO_SubSection_BS_CL" localSheetId="9">#REF!</definedName>
    <definedName name="MO_SubSection_BS_CL" localSheetId="4">#REF!</definedName>
    <definedName name="MO_SubSection_BS_CL" localSheetId="0">#REF!</definedName>
    <definedName name="MO_SubSection_BS_CL">Model!$922:$922</definedName>
    <definedName name="MO_SubSection_BS_NCA" localSheetId="5">#REF!</definedName>
    <definedName name="MO_SubSection_BS_NCA" localSheetId="2">#REF!</definedName>
    <definedName name="MO_SubSection_BS_NCA" localSheetId="3">#REF!</definedName>
    <definedName name="MO_SubSection_BS_NCA" localSheetId="7">#REF!</definedName>
    <definedName name="MO_SubSection_BS_NCA" localSheetId="6">#REF!</definedName>
    <definedName name="MO_SubSection_BS_NCA" localSheetId="1">#REF!</definedName>
    <definedName name="MO_SubSection_BS_NCA" localSheetId="9">#REF!</definedName>
    <definedName name="MO_SubSection_BS_NCA" localSheetId="4">#REF!</definedName>
    <definedName name="MO_SubSection_BS_NCA" localSheetId="0">#REF!</definedName>
    <definedName name="MO_SubSection_BS_NCA">Model!$911:$911</definedName>
    <definedName name="MO_SubSection_BS_NCL" localSheetId="5">#REF!</definedName>
    <definedName name="MO_SubSection_BS_NCL" localSheetId="2">#REF!</definedName>
    <definedName name="MO_SubSection_BS_NCL" localSheetId="3">#REF!</definedName>
    <definedName name="MO_SubSection_BS_NCL" localSheetId="7">#REF!</definedName>
    <definedName name="MO_SubSection_BS_NCL" localSheetId="6">#REF!</definedName>
    <definedName name="MO_SubSection_BS_NCL" localSheetId="1">#REF!</definedName>
    <definedName name="MO_SubSection_BS_NCL" localSheetId="9">#REF!</definedName>
    <definedName name="MO_SubSection_BS_NCL" localSheetId="4">#REF!</definedName>
    <definedName name="MO_SubSection_BS_NCL" localSheetId="0">#REF!</definedName>
    <definedName name="MO_SubSection_BS_NCL">Model!$937:$937</definedName>
    <definedName name="MO_SubSection_BS_SE" localSheetId="5">#REF!</definedName>
    <definedName name="MO_SubSection_BS_SE" localSheetId="2">#REF!</definedName>
    <definedName name="MO_SubSection_BS_SE" localSheetId="3">#REF!</definedName>
    <definedName name="MO_SubSection_BS_SE" localSheetId="7">#REF!</definedName>
    <definedName name="MO_SubSection_BS_SE" localSheetId="6">#REF!</definedName>
    <definedName name="MO_SubSection_BS_SE" localSheetId="1">#REF!</definedName>
    <definedName name="MO_SubSection_BS_SE" localSheetId="9">#REF!</definedName>
    <definedName name="MO_SubSection_BS_SE" localSheetId="4">#REF!</definedName>
    <definedName name="MO_SubSection_BS_SE" localSheetId="0">#REF!</definedName>
    <definedName name="MO_SubSection_BS_SE">Model!$946:$946</definedName>
    <definedName name="MO_SubSection_CCFS_CFF" localSheetId="5">#REF!</definedName>
    <definedName name="MO_SubSection_CCFS_CFF" localSheetId="2">#REF!</definedName>
    <definedName name="MO_SubSection_CCFS_CFF" localSheetId="3">#REF!</definedName>
    <definedName name="MO_SubSection_CCFS_CFF" localSheetId="7">#REF!</definedName>
    <definedName name="MO_SubSection_CCFS_CFF" localSheetId="6">#REF!</definedName>
    <definedName name="MO_SubSection_CCFS_CFF" localSheetId="1">#REF!</definedName>
    <definedName name="MO_SubSection_CCFS_CFF" localSheetId="9">#REF!</definedName>
    <definedName name="MO_SubSection_CCFS_CFF" localSheetId="4">#REF!</definedName>
    <definedName name="MO_SubSection_CCFS_CFF" localSheetId="0">#REF!</definedName>
    <definedName name="MO_SubSection_CCFS_CFF">Model!$774:$774</definedName>
    <definedName name="MO_SubSection_CCFS_CFI" localSheetId="5">#REF!</definedName>
    <definedName name="MO_SubSection_CCFS_CFI" localSheetId="2">#REF!</definedName>
    <definedName name="MO_SubSection_CCFS_CFI" localSheetId="3">#REF!</definedName>
    <definedName name="MO_SubSection_CCFS_CFI" localSheetId="7">#REF!</definedName>
    <definedName name="MO_SubSection_CCFS_CFI" localSheetId="6">#REF!</definedName>
    <definedName name="MO_SubSection_CCFS_CFI" localSheetId="1">#REF!</definedName>
    <definedName name="MO_SubSection_CCFS_CFI" localSheetId="9">#REF!</definedName>
    <definedName name="MO_SubSection_CCFS_CFI" localSheetId="4">#REF!</definedName>
    <definedName name="MO_SubSection_CCFS_CFI" localSheetId="0">#REF!</definedName>
    <definedName name="MO_SubSection_CCFS_CFI">Model!$760:$760</definedName>
    <definedName name="MO_SubSection_CCFS_CFO" localSheetId="5">#REF!</definedName>
    <definedName name="MO_SubSection_CCFS_CFO" localSheetId="2">#REF!</definedName>
    <definedName name="MO_SubSection_CCFS_CFO" localSheetId="3">#REF!</definedName>
    <definedName name="MO_SubSection_CCFS_CFO" localSheetId="7">#REF!</definedName>
    <definedName name="MO_SubSection_CCFS_CFO" localSheetId="6">#REF!</definedName>
    <definedName name="MO_SubSection_CCFS_CFO" localSheetId="1">#REF!</definedName>
    <definedName name="MO_SubSection_CCFS_CFO" localSheetId="9">#REF!</definedName>
    <definedName name="MO_SubSection_CCFS_CFO" localSheetId="4">#REF!</definedName>
    <definedName name="MO_SubSection_CCFS_CFO" localSheetId="0">#REF!</definedName>
    <definedName name="MO_SubSection_CCFS_CFO">Model!$733:$733</definedName>
    <definedName name="MO_SubSection_CFS_CFF" localSheetId="5">#REF!</definedName>
    <definedName name="MO_SubSection_CFS_CFF" localSheetId="2">#REF!</definedName>
    <definedName name="MO_SubSection_CFS_CFF" localSheetId="3">#REF!</definedName>
    <definedName name="MO_SubSection_CFS_CFF" localSheetId="7">#REF!</definedName>
    <definedName name="MO_SubSection_CFS_CFF" localSheetId="6">#REF!</definedName>
    <definedName name="MO_SubSection_CFS_CFF" localSheetId="1">#REF!</definedName>
    <definedName name="MO_SubSection_CFS_CFF" localSheetId="9">#REF!</definedName>
    <definedName name="MO_SubSection_CFS_CFF" localSheetId="4">#REF!</definedName>
    <definedName name="MO_SubSection_CFS_CFF" localSheetId="0">#REF!</definedName>
    <definedName name="MO_SubSection_CFS_CFF">Model!$843:$843</definedName>
    <definedName name="MO_SubSection_CFS_CFI" localSheetId="5">#REF!</definedName>
    <definedName name="MO_SubSection_CFS_CFI" localSheetId="2">#REF!</definedName>
    <definedName name="MO_SubSection_CFS_CFI" localSheetId="3">#REF!</definedName>
    <definedName name="MO_SubSection_CFS_CFI" localSheetId="7">#REF!</definedName>
    <definedName name="MO_SubSection_CFS_CFI" localSheetId="6">#REF!</definedName>
    <definedName name="MO_SubSection_CFS_CFI" localSheetId="1">#REF!</definedName>
    <definedName name="MO_SubSection_CFS_CFI" localSheetId="9">#REF!</definedName>
    <definedName name="MO_SubSection_CFS_CFI" localSheetId="4">#REF!</definedName>
    <definedName name="MO_SubSection_CFS_CFI" localSheetId="0">#REF!</definedName>
    <definedName name="MO_SubSection_CFS_CFI">Model!$829:$829</definedName>
    <definedName name="MO_SubSection_CFS_CFO" localSheetId="5">#REF!</definedName>
    <definedName name="MO_SubSection_CFS_CFO" localSheetId="2">#REF!</definedName>
    <definedName name="MO_SubSection_CFS_CFO" localSheetId="3">#REF!</definedName>
    <definedName name="MO_SubSection_CFS_CFO" localSheetId="7">#REF!</definedName>
    <definedName name="MO_SubSection_CFS_CFO" localSheetId="6">#REF!</definedName>
    <definedName name="MO_SubSection_CFS_CFO" localSheetId="1">#REF!</definedName>
    <definedName name="MO_SubSection_CFS_CFO" localSheetId="9">#REF!</definedName>
    <definedName name="MO_SubSection_CFS_CFO" localSheetId="4">#REF!</definedName>
    <definedName name="MO_SubSection_CFS_CFO" localSheetId="0">#REF!</definedName>
    <definedName name="MO_SubSection_CFS_CFO">Model!$802:$802</definedName>
    <definedName name="MO_VA_EV" localSheetId="5">#REF!</definedName>
    <definedName name="MO_VA_EV" localSheetId="2">#REF!</definedName>
    <definedName name="MO_VA_EV" localSheetId="3">#REF!</definedName>
    <definedName name="MO_VA_EV" localSheetId="7">#REF!</definedName>
    <definedName name="MO_VA_EV" localSheetId="6">#REF!</definedName>
    <definedName name="MO_VA_EV" localSheetId="1">#REF!</definedName>
    <definedName name="MO_VA_EV" localSheetId="9">#REF!</definedName>
    <definedName name="MO_VA_EV" localSheetId="4">#REF!</definedName>
    <definedName name="MO_VA_EV" localSheetId="0">#REF!</definedName>
    <definedName name="MO_VA_EV">Model!$711:$711</definedName>
    <definedName name="MO_VA_EV_ToEBITDA" localSheetId="5">#REF!</definedName>
    <definedName name="MO_VA_EV_ToEBITDA" localSheetId="2">#REF!</definedName>
    <definedName name="MO_VA_EV_ToEBITDA" localSheetId="3">#REF!</definedName>
    <definedName name="MO_VA_EV_ToEBITDA" localSheetId="7">#REF!</definedName>
    <definedName name="MO_VA_EV_ToEBITDA" localSheetId="6">#REF!</definedName>
    <definedName name="MO_VA_EV_ToEBITDA" localSheetId="1">#REF!</definedName>
    <definedName name="MO_VA_EV_ToEBITDA" localSheetId="9">#REF!</definedName>
    <definedName name="MO_VA_EV_ToEBITDA" localSheetId="4">#REF!</definedName>
    <definedName name="MO_VA_EV_ToEBITDA" localSheetId="0">#REF!</definedName>
    <definedName name="MO_VA_EV_ToEBITDA">Model!$714:$714</definedName>
    <definedName name="MO_VA_EVCalc_NCI" localSheetId="5">#REF!</definedName>
    <definedName name="MO_VA_EVCalc_NCI" localSheetId="2">#REF!</definedName>
    <definedName name="MO_VA_EVCalc_NCI" localSheetId="3">#REF!</definedName>
    <definedName name="MO_VA_EVCalc_NCI" localSheetId="7">#REF!</definedName>
    <definedName name="MO_VA_EVCalc_NCI" localSheetId="6">#REF!</definedName>
    <definedName name="MO_VA_EVCalc_NCI" localSheetId="1">#REF!</definedName>
    <definedName name="MO_VA_EVCalc_NCI" localSheetId="9">#REF!</definedName>
    <definedName name="MO_VA_EVCalc_NCI" localSheetId="4">#REF!</definedName>
    <definedName name="MO_VA_EVCalc_NCI" localSheetId="0">#REF!</definedName>
    <definedName name="MO_VA_EVCalc_NCI">Model!$728:$728</definedName>
    <definedName name="MO_VA_EVCalc_Other" localSheetId="5">#REF!</definedName>
    <definedName name="MO_VA_EVCalc_Other" localSheetId="2">#REF!</definedName>
    <definedName name="MO_VA_EVCalc_Other" localSheetId="3">#REF!</definedName>
    <definedName name="MO_VA_EVCalc_Other" localSheetId="7">#REF!</definedName>
    <definedName name="MO_VA_EVCalc_Other" localSheetId="6">#REF!</definedName>
    <definedName name="MO_VA_EVCalc_Other" localSheetId="1">#REF!</definedName>
    <definedName name="MO_VA_EVCalc_Other" localSheetId="9">#REF!</definedName>
    <definedName name="MO_VA_EVCalc_Other" localSheetId="4">#REF!</definedName>
    <definedName name="MO_VA_EVCalc_Other" localSheetId="0">#REF!</definedName>
    <definedName name="MO_VA_EVCalc_Other">Model!$730:$730</definedName>
    <definedName name="MO_VA_EVCalc_Prefs" localSheetId="5">#REF!</definedName>
    <definedName name="MO_VA_EVCalc_Prefs" localSheetId="2">#REF!</definedName>
    <definedName name="MO_VA_EVCalc_Prefs" localSheetId="3">#REF!</definedName>
    <definedName name="MO_VA_EVCalc_Prefs" localSheetId="7">#REF!</definedName>
    <definedName name="MO_VA_EVCalc_Prefs" localSheetId="6">#REF!</definedName>
    <definedName name="MO_VA_EVCalc_Prefs" localSheetId="1">#REF!</definedName>
    <definedName name="MO_VA_EVCalc_Prefs" localSheetId="9">#REF!</definedName>
    <definedName name="MO_VA_EVCalc_Prefs" localSheetId="4">#REF!</definedName>
    <definedName name="MO_VA_EVCalc_Prefs" localSheetId="0">#REF!</definedName>
    <definedName name="MO_VA_EVCalc_Prefs">Model!$729:$729</definedName>
    <definedName name="MO_VA_FCFYield_ToEV" localSheetId="5">#REF!</definedName>
    <definedName name="MO_VA_FCFYield_ToEV" localSheetId="2">#REF!</definedName>
    <definedName name="MO_VA_FCFYield_ToEV" localSheetId="3">#REF!</definedName>
    <definedName name="MO_VA_FCFYield_ToEV" localSheetId="7">#REF!</definedName>
    <definedName name="MO_VA_FCFYield_ToEV" localSheetId="6">#REF!</definedName>
    <definedName name="MO_VA_FCFYield_ToEV" localSheetId="1">#REF!</definedName>
    <definedName name="MO_VA_FCFYield_ToEV" localSheetId="9">#REF!</definedName>
    <definedName name="MO_VA_FCFYield_ToEV" localSheetId="4">#REF!</definedName>
    <definedName name="MO_VA_FCFYield_ToEV" localSheetId="0">#REF!</definedName>
    <definedName name="MO_VA_FCFYield_ToEV">Model!$717:$717</definedName>
    <definedName name="MO_VA_FCFYield_ToMktCap" localSheetId="5">#REF!</definedName>
    <definedName name="MO_VA_FCFYield_ToMktCap" localSheetId="2">#REF!</definedName>
    <definedName name="MO_VA_FCFYield_ToMktCap" localSheetId="3">#REF!</definedName>
    <definedName name="MO_VA_FCFYield_ToMktCap" localSheetId="7">#REF!</definedName>
    <definedName name="MO_VA_FCFYield_ToMktCap" localSheetId="6">#REF!</definedName>
    <definedName name="MO_VA_FCFYield_ToMktCap" localSheetId="1">#REF!</definedName>
    <definedName name="MO_VA_FCFYield_ToMktCap" localSheetId="9">#REF!</definedName>
    <definedName name="MO_VA_FCFYield_ToMktCap" localSheetId="4">#REF!</definedName>
    <definedName name="MO_VA_FCFYield_ToMktCap" localSheetId="0">#REF!</definedName>
    <definedName name="MO_VA_FCFYield_ToMktCap">Model!$716:$716</definedName>
    <definedName name="MO_VA_FX_Average" localSheetId="5">#REF!</definedName>
    <definedName name="MO_VA_FX_Average" localSheetId="2">#REF!</definedName>
    <definedName name="MO_VA_FX_Average" localSheetId="3">#REF!</definedName>
    <definedName name="MO_VA_FX_Average" localSheetId="7">#REF!</definedName>
    <definedName name="MO_VA_FX_Average" localSheetId="6">#REF!</definedName>
    <definedName name="MO_VA_FX_Average" localSheetId="1">#REF!</definedName>
    <definedName name="MO_VA_FX_Average" localSheetId="9">#REF!</definedName>
    <definedName name="MO_VA_FX_Average" localSheetId="4">#REF!</definedName>
    <definedName name="MO_VA_FX_Average" localSheetId="0">#REF!</definedName>
    <definedName name="MO_VA_FX_Average">Model!$723:$723</definedName>
    <definedName name="MO_VA_FX_EoP" localSheetId="5">#REF!</definedName>
    <definedName name="MO_VA_FX_EoP" localSheetId="2">#REF!</definedName>
    <definedName name="MO_VA_FX_EoP" localSheetId="3">#REF!</definedName>
    <definedName name="MO_VA_FX_EoP" localSheetId="7">#REF!</definedName>
    <definedName name="MO_VA_FX_EoP" localSheetId="6">#REF!</definedName>
    <definedName name="MO_VA_FX_EoP" localSheetId="1">#REF!</definedName>
    <definedName name="MO_VA_FX_EoP" localSheetId="9">#REF!</definedName>
    <definedName name="MO_VA_FX_EoP" localSheetId="4">#REF!</definedName>
    <definedName name="MO_VA_FX_EoP" localSheetId="0">#REF!</definedName>
    <definedName name="MO_VA_FX_EoP">Model!$724:$724</definedName>
    <definedName name="MO_VA_MarketCap" localSheetId="5">#REF!</definedName>
    <definedName name="MO_VA_MarketCap" localSheetId="2">#REF!</definedName>
    <definedName name="MO_VA_MarketCap" localSheetId="3">#REF!</definedName>
    <definedName name="MO_VA_MarketCap" localSheetId="7">#REF!</definedName>
    <definedName name="MO_VA_MarketCap" localSheetId="6">#REF!</definedName>
    <definedName name="MO_VA_MarketCap" localSheetId="1">#REF!</definedName>
    <definedName name="MO_VA_MarketCap" localSheetId="9">#REF!</definedName>
    <definedName name="MO_VA_MarketCap" localSheetId="4">#REF!</definedName>
    <definedName name="MO_VA_MarketCap" localSheetId="0">#REF!</definedName>
    <definedName name="MO_VA_MarketCap">Model!$710:$710</definedName>
    <definedName name="MO_VA_P_ToCF" localSheetId="5">#REF!</definedName>
    <definedName name="MO_VA_P_ToCF" localSheetId="2">#REF!</definedName>
    <definedName name="MO_VA_P_ToCF" localSheetId="3">#REF!</definedName>
    <definedName name="MO_VA_P_ToCF" localSheetId="7">#REF!</definedName>
    <definedName name="MO_VA_P_ToCF" localSheetId="6">#REF!</definedName>
    <definedName name="MO_VA_P_ToCF" localSheetId="1">#REF!</definedName>
    <definedName name="MO_VA_P_ToCF" localSheetId="9">#REF!</definedName>
    <definedName name="MO_VA_P_ToCF" localSheetId="4">#REF!</definedName>
    <definedName name="MO_VA_P_ToCF" localSheetId="0">#REF!</definedName>
    <definedName name="MO_VA_P_ToCF">Model!$715:$715</definedName>
    <definedName name="MO_VA_P_ToE" localSheetId="5">#REF!</definedName>
    <definedName name="MO_VA_P_ToE" localSheetId="2">#REF!</definedName>
    <definedName name="MO_VA_P_ToE" localSheetId="3">#REF!</definedName>
    <definedName name="MO_VA_P_ToE" localSheetId="7">#REF!</definedName>
    <definedName name="MO_VA_P_ToE" localSheetId="6">#REF!</definedName>
    <definedName name="MO_VA_P_ToE" localSheetId="1">#REF!</definedName>
    <definedName name="MO_VA_P_ToE" localSheetId="9">#REF!</definedName>
    <definedName name="MO_VA_P_ToE" localSheetId="4">#REF!</definedName>
    <definedName name="MO_VA_P_ToE" localSheetId="0">#REF!</definedName>
    <definedName name="MO_VA_P_ToE">Model!$713:$713</definedName>
    <definedName name="MO_VA_StockPrice" localSheetId="5">#REF!</definedName>
    <definedName name="MO_VA_StockPrice" localSheetId="2">#REF!</definedName>
    <definedName name="MO_VA_StockPrice" localSheetId="3">#REF!</definedName>
    <definedName name="MO_VA_StockPrice" localSheetId="7">#REF!</definedName>
    <definedName name="MO_VA_StockPrice" localSheetId="6">#REF!</definedName>
    <definedName name="MO_VA_StockPrice" localSheetId="1">#REF!</definedName>
    <definedName name="MO_VA_StockPrice" localSheetId="9">#REF!</definedName>
    <definedName name="MO_VA_StockPrice" localSheetId="4">#REF!</definedName>
    <definedName name="MO_VA_StockPrice" localSheetId="0">#REF!</definedName>
    <definedName name="MO_VA_StockPrice">Model!$709:$709</definedName>
    <definedName name="MO_VA_StockPrice_Avg" localSheetId="5">#REF!</definedName>
    <definedName name="MO_VA_StockPrice_Avg" localSheetId="2">#REF!</definedName>
    <definedName name="MO_VA_StockPrice_Avg" localSheetId="3">#REF!</definedName>
    <definedName name="MO_VA_StockPrice_Avg" localSheetId="7">#REF!</definedName>
    <definedName name="MO_VA_StockPrice_Avg" localSheetId="6">#REF!</definedName>
    <definedName name="MO_VA_StockPrice_Avg" localSheetId="1">#REF!</definedName>
    <definedName name="MO_VA_StockPrice_Avg" localSheetId="9">#REF!</definedName>
    <definedName name="MO_VA_StockPrice_Avg" localSheetId="4">#REF!</definedName>
    <definedName name="MO_VA_StockPrice_Avg" localSheetId="0">#REF!</definedName>
    <definedName name="MO_VA_StockPrice_Avg">Model!$721:$721</definedName>
    <definedName name="MO_VA_StockPrice_EoP" localSheetId="5">#REF!</definedName>
    <definedName name="MO_VA_StockPrice_EoP" localSheetId="2">#REF!</definedName>
    <definedName name="MO_VA_StockPrice_EoP" localSheetId="3">#REF!</definedName>
    <definedName name="MO_VA_StockPrice_EoP" localSheetId="7">#REF!</definedName>
    <definedName name="MO_VA_StockPrice_EoP" localSheetId="6">#REF!</definedName>
    <definedName name="MO_VA_StockPrice_EoP" localSheetId="1">#REF!</definedName>
    <definedName name="MO_VA_StockPrice_EoP" localSheetId="9">#REF!</definedName>
    <definedName name="MO_VA_StockPrice_EoP" localSheetId="4">#REF!</definedName>
    <definedName name="MO_VA_StockPrice_EoP" localSheetId="0">#REF!</definedName>
    <definedName name="MO_VA_StockPrice_EoP">Model!$722:$722</definedName>
    <definedName name="MO_VA_StockPrice_High" localSheetId="5">#REF!</definedName>
    <definedName name="MO_VA_StockPrice_High" localSheetId="2">#REF!</definedName>
    <definedName name="MO_VA_StockPrice_High" localSheetId="3">#REF!</definedName>
    <definedName name="MO_VA_StockPrice_High" localSheetId="7">#REF!</definedName>
    <definedName name="MO_VA_StockPrice_High" localSheetId="6">#REF!</definedName>
    <definedName name="MO_VA_StockPrice_High" localSheetId="1">#REF!</definedName>
    <definedName name="MO_VA_StockPrice_High" localSheetId="9">#REF!</definedName>
    <definedName name="MO_VA_StockPrice_High" localSheetId="4">#REF!</definedName>
    <definedName name="MO_VA_StockPrice_High" localSheetId="0">#REF!</definedName>
    <definedName name="MO_VA_StockPrice_High">Model!$719:$719</definedName>
    <definedName name="MO_VA_StockPrice_Low" localSheetId="5">#REF!</definedName>
    <definedName name="MO_VA_StockPrice_Low" localSheetId="2">#REF!</definedName>
    <definedName name="MO_VA_StockPrice_Low" localSheetId="3">#REF!</definedName>
    <definedName name="MO_VA_StockPrice_Low" localSheetId="7">#REF!</definedName>
    <definedName name="MO_VA_StockPrice_Low" localSheetId="6">#REF!</definedName>
    <definedName name="MO_VA_StockPrice_Low" localSheetId="1">#REF!</definedName>
    <definedName name="MO_VA_StockPrice_Low" localSheetId="9">#REF!</definedName>
    <definedName name="MO_VA_StockPrice_Low" localSheetId="4">#REF!</definedName>
    <definedName name="MO_VA_StockPrice_Low" localSheetId="0">#REF!</definedName>
    <definedName name="MO_VA_StockPrice_Low">Model!$720:$720</definedName>
    <definedName name="MO_VA_StockPrice_TradingCurrency" localSheetId="5">#REF!</definedName>
    <definedName name="MO_VA_StockPrice_TradingCurrency" localSheetId="2">#REF!</definedName>
    <definedName name="MO_VA_StockPrice_TradingCurrency" localSheetId="3">#REF!</definedName>
    <definedName name="MO_VA_StockPrice_TradingCurrency" localSheetId="7">#REF!</definedName>
    <definedName name="MO_VA_StockPrice_TradingCurrency" localSheetId="6">#REF!</definedName>
    <definedName name="MO_VA_StockPrice_TradingCurrency" localSheetId="1">#REF!</definedName>
    <definedName name="MO_VA_StockPrice_TradingCurrency" localSheetId="9">#REF!</definedName>
    <definedName name="MO_VA_StockPrice_TradingCurrency" localSheetId="4">#REF!</definedName>
    <definedName name="MO_VA_StockPrice_TradingCurrency" localSheetId="0">#REF!</definedName>
    <definedName name="MO_VA_StockPrice_TradingCurrency">Model!$725:$725</definedName>
    <definedName name="MO_WCF_AP_Margin">#REF!</definedName>
    <definedName name="MO_WCF_AP_Margin_Change">#REF!</definedName>
    <definedName name="MO_WCF_AR_Margin" localSheetId="5">#REF!</definedName>
    <definedName name="MO_WCF_AR_Margin" localSheetId="2">#REF!</definedName>
    <definedName name="MO_WCF_AR_Margin" localSheetId="3">#REF!</definedName>
    <definedName name="MO_WCF_AR_Margin" localSheetId="7">#REF!</definedName>
    <definedName name="MO_WCF_AR_Margin" localSheetId="6">#REF!</definedName>
    <definedName name="MO_WCF_AR_Margin" localSheetId="1">#REF!</definedName>
    <definedName name="MO_WCF_AR_Margin" localSheetId="9">#REF!</definedName>
    <definedName name="MO_WCF_AR_Margin" localSheetId="4">#REF!</definedName>
    <definedName name="MO_WCF_AR_Margin" localSheetId="0">#REF!</definedName>
    <definedName name="MO_WCF_AR_Margin">Model!$873:$873</definedName>
    <definedName name="MO_WCF_AR_Margin_Change" localSheetId="5">#REF!</definedName>
    <definedName name="MO_WCF_AR_Margin_Change" localSheetId="2">#REF!</definedName>
    <definedName name="MO_WCF_AR_Margin_Change" localSheetId="3">#REF!</definedName>
    <definedName name="MO_WCF_AR_Margin_Change" localSheetId="7">#REF!</definedName>
    <definedName name="MO_WCF_AR_Margin_Change" localSheetId="6">#REF!</definedName>
    <definedName name="MO_WCF_AR_Margin_Change" localSheetId="1">#REF!</definedName>
    <definedName name="MO_WCF_AR_Margin_Change" localSheetId="9">#REF!</definedName>
    <definedName name="MO_WCF_AR_Margin_Change" localSheetId="4">#REF!</definedName>
    <definedName name="MO_WCF_AR_Margin_Change" localSheetId="0">#REF!</definedName>
    <definedName name="MO_WCF_AR_Margin_Change">Model!$876:$876</definedName>
    <definedName name="MO_WCF_INV_Margin">#REF!</definedName>
    <definedName name="MO_WCF_INV_Margin_Change">#REF!</definedName>
    <definedName name="P_TF_LVMforCompanyIdentifier_GMEG0H0133">"2025-05-05T01:59:08.000Z|TSLA_US|2020-12-30T08:00:00.000Z|2021-01-08T08:00:00.000Z"</definedName>
    <definedName name="P_TF_LVMforCompanyIdentifier_QEQHF80154">"2025-05-05T01:23:14.000Z|SG_US|2022-12-29T22:00:00.000Z|2023-01-07T22:00:00.000Z"</definedName>
    <definedName name="_xlnm.Print_Area" localSheetId="5">'Company Calls'!$B$1:$H$48</definedName>
    <definedName name="_xlnm.Print_Area" localSheetId="2">DD!$B$1:$H$18</definedName>
    <definedName name="_xlnm.Print_Area" localSheetId="3">Drivers!$B$1:$H$13</definedName>
    <definedName name="_xlnm.Print_Area" localSheetId="7">'EV &amp; CE'!$A$1:$I$53,'EV &amp; CE'!$K$19:$X$74</definedName>
    <definedName name="_xlnm.Print_Area" localSheetId="6">'Expert Calls'!$B$1:$G$164</definedName>
    <definedName name="_xlnm.Print_Area" localSheetId="1">'Memo - A (2)'!$B$2:$AE$206</definedName>
    <definedName name="_xlnm.Print_Area" localSheetId="10">Model!$A$1:$CB$953</definedName>
    <definedName name="_xlnm.Print_Area" localSheetId="9">'Quarterly (2)'!$A$1:$AP$299,'Quarterly (2)'!$AO$156:$AY$206,'Quarterly (2)'!$AO$254:$BF$290</definedName>
    <definedName name="_xlnm.Print_Area" localSheetId="4">'Stock (N)'!$A$1:$AI$187</definedName>
    <definedName name="_xlnm.Print_Area" localSheetId="0">Summary!$B$2:$AC$126</definedName>
    <definedName name="_xlnm.Print_Area" localSheetId="14">'Summary Page'!$A$1:$CB$124</definedName>
    <definedName name="_xlnm.Print_Titles" localSheetId="10">Model!$5:$5</definedName>
    <definedName name="SP.ReportFX">'Summary Page'!$B$2</definedName>
    <definedName name="SP.ValuationToggle" localSheetId="5">'[2]Summary Page'!$B$4</definedName>
    <definedName name="SP.ValuationToggle" localSheetId="2">'[2]Summary Page'!$B$4</definedName>
    <definedName name="SP.ValuationToggle" localSheetId="3">'[2]Summary Page'!$B$4</definedName>
    <definedName name="SP.ValuationToggle" localSheetId="7">'[2]Summary Page'!$B$4</definedName>
    <definedName name="SP.ValuationToggle" localSheetId="6">'[2]Summary Page'!$B$4</definedName>
    <definedName name="SP.ValuationToggle" localSheetId="1">'[2]Summary Page'!$B$4</definedName>
    <definedName name="SP.ValuationToggle" localSheetId="9">'[2]Summary Page'!$B$4</definedName>
    <definedName name="SP.ValuationToggle" localSheetId="4">'[2]Summary Page'!$B$4</definedName>
    <definedName name="SP.ValuationToggle" localSheetId="0">'[2]Summary Page'!$B$4</definedName>
    <definedName name="SP.ValuationToggle">'Summary Page'!$B$4</definedName>
    <definedName name="SP_BSR_Capital">'Summary Page'!$85:$85</definedName>
    <definedName name="SP_BSR_CashFlow">'Summary Page'!$84:$84</definedName>
    <definedName name="SP_BSR_CashFlow_LTM" localSheetId="5">'[2]Summary Page'!$92:$92</definedName>
    <definedName name="SP_BSR_CashFlow_LTM" localSheetId="2">'[2]Summary Page'!$92:$92</definedName>
    <definedName name="SP_BSR_CashFlow_LTM" localSheetId="3">'[2]Summary Page'!$92:$92</definedName>
    <definedName name="SP_BSR_CashFlow_LTM" localSheetId="7">'[2]Summary Page'!$92:$92</definedName>
    <definedName name="SP_BSR_CashFlow_LTM" localSheetId="6">'[2]Summary Page'!$92:$92</definedName>
    <definedName name="SP_BSR_CashFlow_LTM" localSheetId="1">'[2]Summary Page'!$92:$92</definedName>
    <definedName name="SP_BSR_CashFlow_LTM" localSheetId="9">'[2]Summary Page'!$92:$92</definedName>
    <definedName name="SP_BSR_CashFlow_LTM" localSheetId="4">'[2]Summary Page'!$92:$92</definedName>
    <definedName name="SP_BSR_CashFlow_LTM" localSheetId="0">'[2]Summary Page'!$92:$92</definedName>
    <definedName name="SP_BSR_CashFlow_LTM">'Summary Page'!$87:$87</definedName>
    <definedName name="SP_BSR_CL">'Summary Page'!$106:$106</definedName>
    <definedName name="SP_BSR_CL_Avg" localSheetId="5">'[2]Summary Page'!$112:$112</definedName>
    <definedName name="SP_BSR_CL_Avg" localSheetId="2">'[2]Summary Page'!$112:$112</definedName>
    <definedName name="SP_BSR_CL_Avg" localSheetId="3">'[2]Summary Page'!$112:$112</definedName>
    <definedName name="SP_BSR_CL_Avg" localSheetId="7">'[2]Summary Page'!$112:$112</definedName>
    <definedName name="SP_BSR_CL_Avg" localSheetId="6">'[2]Summary Page'!$112:$112</definedName>
    <definedName name="SP_BSR_CL_Avg" localSheetId="1">'[2]Summary Page'!$112:$112</definedName>
    <definedName name="SP_BSR_CL_Avg" localSheetId="9">'[2]Summary Page'!$112:$112</definedName>
    <definedName name="SP_BSR_CL_Avg" localSheetId="4">'[2]Summary Page'!$112:$112</definedName>
    <definedName name="SP_BSR_CL_Avg" localSheetId="0">'[2]Summary Page'!$112:$112</definedName>
    <definedName name="SP_BSR_CL_Avg">'Summary Page'!$107:$107</definedName>
    <definedName name="SP_BSR_Debt">'Summary Page'!$100:$100</definedName>
    <definedName name="SP_BSR_Debt_Avg" localSheetId="5">'[2]Summary Page'!$106:$106</definedName>
    <definedName name="SP_BSR_Debt_Avg" localSheetId="2">'[2]Summary Page'!$106:$106</definedName>
    <definedName name="SP_BSR_Debt_Avg" localSheetId="3">'[2]Summary Page'!$106:$106</definedName>
    <definedName name="SP_BSR_Debt_Avg" localSheetId="7">'[2]Summary Page'!$106:$106</definedName>
    <definedName name="SP_BSR_Debt_Avg" localSheetId="6">'[2]Summary Page'!$106:$106</definedName>
    <definedName name="SP_BSR_Debt_Avg" localSheetId="1">'[2]Summary Page'!$106:$106</definedName>
    <definedName name="SP_BSR_Debt_Avg" localSheetId="9">'[2]Summary Page'!$106:$106</definedName>
    <definedName name="SP_BSR_Debt_Avg" localSheetId="4">'[2]Summary Page'!$106:$106</definedName>
    <definedName name="SP_BSR_Debt_Avg" localSheetId="0">'[2]Summary Page'!$106:$106</definedName>
    <definedName name="SP_BSR_Debt_Avg">'Summary Page'!$101:$101</definedName>
    <definedName name="SP_BSR_EBITDA">'Summary Page'!$83:$83</definedName>
    <definedName name="SP_BSR_EBITDA_LTM" localSheetId="5">'[2]Summary Page'!$91:$91</definedName>
    <definedName name="SP_BSR_EBITDA_LTM" localSheetId="2">'[2]Summary Page'!$91:$91</definedName>
    <definedName name="SP_BSR_EBITDA_LTM" localSheetId="3">'[2]Summary Page'!$91:$91</definedName>
    <definedName name="SP_BSR_EBITDA_LTM" localSheetId="7">'[2]Summary Page'!$91:$91</definedName>
    <definedName name="SP_BSR_EBITDA_LTM" localSheetId="6">'[2]Summary Page'!$91:$91</definedName>
    <definedName name="SP_BSR_EBITDA_LTM" localSheetId="1">'[2]Summary Page'!$91:$91</definedName>
    <definedName name="SP_BSR_EBITDA_LTM" localSheetId="9">'[2]Summary Page'!$91:$91</definedName>
    <definedName name="SP_BSR_EBITDA_LTM" localSheetId="4">'[2]Summary Page'!$91:$91</definedName>
    <definedName name="SP_BSR_EBITDA_LTM" localSheetId="0">'[2]Summary Page'!$91:$91</definedName>
    <definedName name="SP_BSR_EBITDA_LTM">'Summary Page'!$86:$86</definedName>
    <definedName name="SP_BSR_SE">'Summary Page'!$92:$92</definedName>
    <definedName name="SP_BSR_SE_Avg" localSheetId="5">'[2]Summary Page'!$98:$98</definedName>
    <definedName name="SP_BSR_SE_Avg" localSheetId="2">'[2]Summary Page'!$98:$98</definedName>
    <definedName name="SP_BSR_SE_Avg" localSheetId="3">'[2]Summary Page'!$98:$98</definedName>
    <definedName name="SP_BSR_SE_Avg" localSheetId="7">'[2]Summary Page'!$98:$98</definedName>
    <definedName name="SP_BSR_SE_Avg" localSheetId="6">'[2]Summary Page'!$98:$98</definedName>
    <definedName name="SP_BSR_SE_Avg" localSheetId="1">'[2]Summary Page'!$98:$98</definedName>
    <definedName name="SP_BSR_SE_Avg" localSheetId="9">'[2]Summary Page'!$98:$98</definedName>
    <definedName name="SP_BSR_SE_Avg" localSheetId="4">'[2]Summary Page'!$98:$98</definedName>
    <definedName name="SP_BSR_SE_Avg" localSheetId="0">'[2]Summary Page'!$98:$98</definedName>
    <definedName name="SP_BSR_SE_Avg">'Summary Page'!$93:$93</definedName>
    <definedName name="SP_BSR_TA">'Summary Page'!$97:$97</definedName>
    <definedName name="SP_BSR_TA_Avg" localSheetId="5">'[2]Summary Page'!$103:$103</definedName>
    <definedName name="SP_BSR_TA_Avg" localSheetId="2">'[2]Summary Page'!$103:$103</definedName>
    <definedName name="SP_BSR_TA_Avg" localSheetId="3">'[2]Summary Page'!$103:$103</definedName>
    <definedName name="SP_BSR_TA_Avg" localSheetId="7">'[2]Summary Page'!$103:$103</definedName>
    <definedName name="SP_BSR_TA_Avg" localSheetId="6">'[2]Summary Page'!$103:$103</definedName>
    <definedName name="SP_BSR_TA_Avg" localSheetId="1">'[2]Summary Page'!$103:$103</definedName>
    <definedName name="SP_BSR_TA_Avg" localSheetId="9">'[2]Summary Page'!$103:$103</definedName>
    <definedName name="SP_BSR_TA_Avg" localSheetId="4">'[2]Summary Page'!$103:$103</definedName>
    <definedName name="SP_BSR_TA_Avg" localSheetId="0">'[2]Summary Page'!$103:$103</definedName>
    <definedName name="SP_BSR_TA_Avg">'Summary Page'!$98:$98</definedName>
    <definedName name="SP_CFA_Acquisition">'Summary Page'!$69:$69</definedName>
    <definedName name="SP_CFA_Capex">'Summary Page'!$65:$65</definedName>
    <definedName name="SP_CFA_CFO" localSheetId="5">'[2]Summary Page'!$69:$69</definedName>
    <definedName name="SP_CFA_CFO" localSheetId="2">'[2]Summary Page'!$69:$69</definedName>
    <definedName name="SP_CFA_CFO" localSheetId="3">'[2]Summary Page'!$69:$69</definedName>
    <definedName name="SP_CFA_CFO" localSheetId="7">'[2]Summary Page'!$69:$69</definedName>
    <definedName name="SP_CFA_CFO" localSheetId="6">'[2]Summary Page'!$69:$69</definedName>
    <definedName name="SP_CFA_CFO" localSheetId="1">'[2]Summary Page'!$69:$69</definedName>
    <definedName name="SP_CFA_CFO" localSheetId="9">'[2]Summary Page'!$69:$69</definedName>
    <definedName name="SP_CFA_CFO" localSheetId="4">'[2]Summary Page'!$69:$69</definedName>
    <definedName name="SP_CFA_CFO" localSheetId="0">'[2]Summary Page'!$69:$69</definedName>
    <definedName name="SP_CFA_CFO">'Summary Page'!$64:$64</definedName>
    <definedName name="SP_CFA_CFO_BeforeWC">'Summary Page'!$62:$62</definedName>
    <definedName name="SP_CFA_CFO_PerShare" localSheetId="5">'[2]Summary Page'!$81:$81</definedName>
    <definedName name="SP_CFA_CFO_PerShare" localSheetId="2">'[2]Summary Page'!$81:$81</definedName>
    <definedName name="SP_CFA_CFO_PerShare" localSheetId="3">'[2]Summary Page'!$81:$81</definedName>
    <definedName name="SP_CFA_CFO_PerShare" localSheetId="7">'[2]Summary Page'!$81:$81</definedName>
    <definedName name="SP_CFA_CFO_PerShare" localSheetId="6">'[2]Summary Page'!$81:$81</definedName>
    <definedName name="SP_CFA_CFO_PerShare" localSheetId="1">'[2]Summary Page'!$81:$81</definedName>
    <definedName name="SP_CFA_CFO_PerShare" localSheetId="9">'[2]Summary Page'!$81:$81</definedName>
    <definedName name="SP_CFA_CFO_PerShare" localSheetId="4">'[2]Summary Page'!$81:$81</definedName>
    <definedName name="SP_CFA_CFO_PerShare" localSheetId="0">'[2]Summary Page'!$81:$81</definedName>
    <definedName name="SP_CFA_CFO_PerShare">'Summary Page'!$76:$76</definedName>
    <definedName name="SP_CFA_Debt">'Summary Page'!$72:$72</definedName>
    <definedName name="SP_CFA_Div">'Summary Page'!$67:$67</definedName>
    <definedName name="SP_CFA_Div_PerShare">'Summary Page'!$78:$78</definedName>
    <definedName name="SP_CFA_Divestiture">'Summary Page'!$70:$70</definedName>
    <definedName name="SP_CFA_Equity">'Summary Page'!$71:$71</definedName>
    <definedName name="SP_CFA_FCF_PerShare">'Summary Page'!$77:$77</definedName>
    <definedName name="SP_CFA_FCF_PostDiv">'Summary Page'!$68:$68</definedName>
    <definedName name="SP_CFA_FCF_PreDiv" localSheetId="5">'[2]Summary Page'!$71:$71</definedName>
    <definedName name="SP_CFA_FCF_PreDiv" localSheetId="2">'[2]Summary Page'!$71:$71</definedName>
    <definedName name="SP_CFA_FCF_PreDiv" localSheetId="3">'[2]Summary Page'!$71:$71</definedName>
    <definedName name="SP_CFA_FCF_PreDiv" localSheetId="7">'[2]Summary Page'!$71:$71</definedName>
    <definedName name="SP_CFA_FCF_PreDiv" localSheetId="6">'[2]Summary Page'!$71:$71</definedName>
    <definedName name="SP_CFA_FCF_PreDiv" localSheetId="1">'[2]Summary Page'!$71:$71</definedName>
    <definedName name="SP_CFA_FCF_PreDiv" localSheetId="9">'[2]Summary Page'!$71:$71</definedName>
    <definedName name="SP_CFA_FCF_PreDiv" localSheetId="4">'[2]Summary Page'!$71:$71</definedName>
    <definedName name="SP_CFA_FCF_PreDiv" localSheetId="0">'[2]Summary Page'!$71:$71</definedName>
    <definedName name="SP_CFA_FCF_PreDiv">'Summary Page'!$66:$66</definedName>
    <definedName name="SP_CFA_NetChange" localSheetId="5">'[2]Summary Page'!$79:$79</definedName>
    <definedName name="SP_CFA_NetChange" localSheetId="2">'[2]Summary Page'!$79:$79</definedName>
    <definedName name="SP_CFA_NetChange" localSheetId="3">'[2]Summary Page'!$79:$79</definedName>
    <definedName name="SP_CFA_NetChange" localSheetId="7">'[2]Summary Page'!$79:$79</definedName>
    <definedName name="SP_CFA_NetChange" localSheetId="6">'[2]Summary Page'!$79:$79</definedName>
    <definedName name="SP_CFA_NetChange" localSheetId="1">'[2]Summary Page'!$79:$79</definedName>
    <definedName name="SP_CFA_NetChange" localSheetId="9">'[2]Summary Page'!$79:$79</definedName>
    <definedName name="SP_CFA_NetChange" localSheetId="4">'[2]Summary Page'!$79:$79</definedName>
    <definedName name="SP_CFA_NetChange" localSheetId="0">'[2]Summary Page'!$79:$79</definedName>
    <definedName name="SP_CFA_NetChange">'Summary Page'!$74:$74</definedName>
    <definedName name="SP_CFA_Other">'Summary Page'!$73:$73</definedName>
    <definedName name="SP_CFA_Payout_vsEPS">'Summary Page'!$80:$80</definedName>
    <definedName name="SP_CFA_Payout_vsFCF">'Summary Page'!$79:$79</definedName>
    <definedName name="SP_CFA_WC">'Summary Page'!$63:$63</definedName>
    <definedName name="SP_Checks_SummaryPage">'Summary Page'!$BH$127:$XES$132</definedName>
    <definedName name="SP_Common_Column_A">'Summary Page'!$A:$A</definedName>
    <definedName name="SP_Common_Column_B">'Summary Page'!$B:$B</definedName>
    <definedName name="SP_Common_ColumnHeader">'Summary Page'!$2:$2</definedName>
    <definedName name="SP_Common_QEndDate">'Summary Page'!$1:$1</definedName>
    <definedName name="SP_CS_Cash" localSheetId="5">'[2]Summary Page'!$7:$7</definedName>
    <definedName name="SP_CS_Cash" localSheetId="2">'[2]Summary Page'!$7:$7</definedName>
    <definedName name="SP_CS_Cash" localSheetId="3">'[2]Summary Page'!$7:$7</definedName>
    <definedName name="SP_CS_Cash" localSheetId="7">'[2]Summary Page'!$7:$7</definedName>
    <definedName name="SP_CS_Cash" localSheetId="6">'[2]Summary Page'!$7:$7</definedName>
    <definedName name="SP_CS_Cash" localSheetId="1">'[2]Summary Page'!$7:$7</definedName>
    <definedName name="SP_CS_Cash" localSheetId="9">'[2]Summary Page'!$7:$7</definedName>
    <definedName name="SP_CS_Cash" localSheetId="4">'[2]Summary Page'!$7:$7</definedName>
    <definedName name="SP_CS_Cash" localSheetId="0">'[2]Summary Page'!$7:$7</definedName>
    <definedName name="SP_CS_Cash">'Summary Page'!$7:$7</definedName>
    <definedName name="SP_CS_Debt" localSheetId="5">'[2]Summary Page'!$8:$8</definedName>
    <definedName name="SP_CS_Debt" localSheetId="2">'[2]Summary Page'!$8:$8</definedName>
    <definedName name="SP_CS_Debt" localSheetId="3">'[2]Summary Page'!$8:$8</definedName>
    <definedName name="SP_CS_Debt" localSheetId="7">'[2]Summary Page'!$8:$8</definedName>
    <definedName name="SP_CS_Debt" localSheetId="6">'[2]Summary Page'!$8:$8</definedName>
    <definedName name="SP_CS_Debt" localSheetId="1">'[2]Summary Page'!$8:$8</definedName>
    <definedName name="SP_CS_Debt" localSheetId="9">'[2]Summary Page'!$8:$8</definedName>
    <definedName name="SP_CS_Debt" localSheetId="4">'[2]Summary Page'!$8:$8</definedName>
    <definedName name="SP_CS_Debt" localSheetId="0">'[2]Summary Page'!$8:$8</definedName>
    <definedName name="SP_CS_Debt">'Summary Page'!$8:$8</definedName>
    <definedName name="SP_CS_EV" localSheetId="5">'[2]Summary Page'!$11:$11</definedName>
    <definedName name="SP_CS_EV" localSheetId="2">'[2]Summary Page'!$11:$11</definedName>
    <definedName name="SP_CS_EV" localSheetId="3">'[2]Summary Page'!$11:$11</definedName>
    <definedName name="SP_CS_EV" localSheetId="7">'[2]Summary Page'!$11:$11</definedName>
    <definedName name="SP_CS_EV" localSheetId="6">'[2]Summary Page'!$11:$11</definedName>
    <definedName name="SP_CS_EV" localSheetId="1">'[2]Summary Page'!$11:$11</definedName>
    <definedName name="SP_CS_EV" localSheetId="9">'[2]Summary Page'!$11:$11</definedName>
    <definedName name="SP_CS_EV" localSheetId="4">'[2]Summary Page'!$11:$11</definedName>
    <definedName name="SP_CS_EV" localSheetId="0">'[2]Summary Page'!$11:$11</definedName>
    <definedName name="SP_CS_EV">'Summary Page'!$11:$11</definedName>
    <definedName name="SP_CS_EVCalc_Other" localSheetId="5">'[2]Summary Page'!$10:$10</definedName>
    <definedName name="SP_CS_EVCalc_Other" localSheetId="2">'[2]Summary Page'!$10:$10</definedName>
    <definedName name="SP_CS_EVCalc_Other" localSheetId="3">'[2]Summary Page'!$10:$10</definedName>
    <definedName name="SP_CS_EVCalc_Other" localSheetId="7">'[2]Summary Page'!$10:$10</definedName>
    <definedName name="SP_CS_EVCalc_Other" localSheetId="6">'[2]Summary Page'!$10:$10</definedName>
    <definedName name="SP_CS_EVCalc_Other" localSheetId="1">'[2]Summary Page'!$10:$10</definedName>
    <definedName name="SP_CS_EVCalc_Other" localSheetId="9">'[2]Summary Page'!$10:$10</definedName>
    <definedName name="SP_CS_EVCalc_Other" localSheetId="4">'[2]Summary Page'!$10:$10</definedName>
    <definedName name="SP_CS_EVCalc_Other" localSheetId="0">'[2]Summary Page'!$10:$10</definedName>
    <definedName name="SP_CS_EVCalc_Other">'Summary Page'!$10:$10</definedName>
    <definedName name="SP_CS_MarketCap" localSheetId="5">'[2]Summary Page'!$6:$6</definedName>
    <definedName name="SP_CS_MarketCap" localSheetId="2">'[2]Summary Page'!$6:$6</definedName>
    <definedName name="SP_CS_MarketCap" localSheetId="3">'[2]Summary Page'!$6:$6</definedName>
    <definedName name="SP_CS_MarketCap" localSheetId="7">'[2]Summary Page'!$6:$6</definedName>
    <definedName name="SP_CS_MarketCap" localSheetId="6">'[2]Summary Page'!$6:$6</definedName>
    <definedName name="SP_CS_MarketCap" localSheetId="1">'[2]Summary Page'!$6:$6</definedName>
    <definedName name="SP_CS_MarketCap" localSheetId="9">'[2]Summary Page'!$6:$6</definedName>
    <definedName name="SP_CS_MarketCap" localSheetId="4">'[2]Summary Page'!$6:$6</definedName>
    <definedName name="SP_CS_MarketCap" localSheetId="0">'[2]Summary Page'!$6:$6</definedName>
    <definedName name="SP_CS_MarketCap">'Summary Page'!$6:$6</definedName>
    <definedName name="SP_CS_OL" localSheetId="5">'[2]Summary Page'!$9:$9</definedName>
    <definedName name="SP_CS_OL" localSheetId="2">'[2]Summary Page'!$9:$9</definedName>
    <definedName name="SP_CS_OL" localSheetId="3">'[2]Summary Page'!$9:$9</definedName>
    <definedName name="SP_CS_OL" localSheetId="7">'[2]Summary Page'!$9:$9</definedName>
    <definedName name="SP_CS_OL" localSheetId="6">'[2]Summary Page'!$9:$9</definedName>
    <definedName name="SP_CS_OL" localSheetId="1">'[2]Summary Page'!$9:$9</definedName>
    <definedName name="SP_CS_OL" localSheetId="9">'[2]Summary Page'!$9:$9</definedName>
    <definedName name="SP_CS_OL" localSheetId="4">'[2]Summary Page'!$9:$9</definedName>
    <definedName name="SP_CS_OL" localSheetId="0">'[2]Summary Page'!$9:$9</definedName>
    <definedName name="SP_CS_OL">'Summary Page'!$9:$9</definedName>
    <definedName name="SP_CS_ShareCount">'Summary Page'!$5:$5</definedName>
    <definedName name="SP_CS_ShareCount_EoP_Diluted" localSheetId="5">'[2]Summary Page'!$5:$5</definedName>
    <definedName name="SP_CS_ShareCount_EoP_Diluted" localSheetId="2">'[2]Summary Page'!$5:$5</definedName>
    <definedName name="SP_CS_ShareCount_EoP_Diluted" localSheetId="3">'[2]Summary Page'!$5:$5</definedName>
    <definedName name="SP_CS_ShareCount_EoP_Diluted" localSheetId="7">'[2]Summary Page'!$5:$5</definedName>
    <definedName name="SP_CS_ShareCount_EoP_Diluted" localSheetId="6">'[2]Summary Page'!$5:$5</definedName>
    <definedName name="SP_CS_ShareCount_EoP_Diluted" localSheetId="1">'[2]Summary Page'!$5:$5</definedName>
    <definedName name="SP_CS_ShareCount_EoP_Diluted" localSheetId="9">'[2]Summary Page'!$5:$5</definedName>
    <definedName name="SP_CS_ShareCount_EoP_Diluted" localSheetId="4">'[2]Summary Page'!$5:$5</definedName>
    <definedName name="SP_CS_ShareCount_EoP_Diluted" localSheetId="0">'[2]Summary Page'!$5:$5</definedName>
    <definedName name="SP_CS_ShareCount_EoP_Diluted">'Summary Page'!$5:$5</definedName>
    <definedName name="SP_CS_StockPrice" localSheetId="5">'[2]Summary Page'!$4:$4</definedName>
    <definedName name="SP_CS_StockPrice" localSheetId="2">'[2]Summary Page'!$4:$4</definedName>
    <definedName name="SP_CS_StockPrice" localSheetId="3">'[2]Summary Page'!$4:$4</definedName>
    <definedName name="SP_CS_StockPrice" localSheetId="7">'[2]Summary Page'!$4:$4</definedName>
    <definedName name="SP_CS_StockPrice" localSheetId="6">'[2]Summary Page'!$4:$4</definedName>
    <definedName name="SP_CS_StockPrice" localSheetId="1">'[2]Summary Page'!$4:$4</definedName>
    <definedName name="SP_CS_StockPrice" localSheetId="9">'[2]Summary Page'!$4:$4</definedName>
    <definedName name="SP_CS_StockPrice" localSheetId="4">'[2]Summary Page'!$4:$4</definedName>
    <definedName name="SP_CS_StockPrice" localSheetId="0">'[2]Summary Page'!$4:$4</definedName>
    <definedName name="SP_CS_StockPrice">'Summary Page'!$4:$4</definedName>
    <definedName name="SP_GF_COGS" localSheetId="5">'[3]Summary Page'!$31:$31</definedName>
    <definedName name="SP_GF_COGS" localSheetId="2">'[3]Summary Page'!$31:$31</definedName>
    <definedName name="SP_GF_COGS" localSheetId="3">'[3]Summary Page'!$31:$31</definedName>
    <definedName name="SP_GF_COGS" localSheetId="7">'[3]Summary Page'!$31:$31</definedName>
    <definedName name="SP_GF_COGS" localSheetId="6">'[3]Summary Page'!$31:$31</definedName>
    <definedName name="SP_GF_COGS" localSheetId="1">'[3]Summary Page'!$31:$31</definedName>
    <definedName name="SP_GF_COGS" localSheetId="9">'[3]Summary Page'!$31:$31</definedName>
    <definedName name="SP_GF_COGS" localSheetId="4">'[3]Summary Page'!$31:$31</definedName>
    <definedName name="SP_GF_COGS" localSheetId="0">'[3]Summary Page'!$31:$31</definedName>
    <definedName name="SP_GF_COGS">'Summary Page'!$29:$29</definedName>
    <definedName name="SP_GF_DA_ISAR">'[2]Summary Page'!$35:$35</definedName>
    <definedName name="SP_GF_DisCont" localSheetId="5">'[2]Summary Page'!$43:$43</definedName>
    <definedName name="SP_GF_DisCont" localSheetId="2">'[2]Summary Page'!$43:$43</definedName>
    <definedName name="SP_GF_DisCont" localSheetId="3">'[2]Summary Page'!$43:$43</definedName>
    <definedName name="SP_GF_DisCont" localSheetId="7">'[2]Summary Page'!$43:$43</definedName>
    <definedName name="SP_GF_DisCont" localSheetId="6">'[2]Summary Page'!$43:$43</definedName>
    <definedName name="SP_GF_DisCont" localSheetId="1">'[2]Summary Page'!$43:$43</definedName>
    <definedName name="SP_GF_DisCont" localSheetId="9">'[2]Summary Page'!$43:$43</definedName>
    <definedName name="SP_GF_DisCont" localSheetId="4">'[2]Summary Page'!$43:$43</definedName>
    <definedName name="SP_GF_DisCont" localSheetId="0">'[2]Summary Page'!$43:$43</definedName>
    <definedName name="SP_GF_DisCont">'Summary Page'!$38:$38</definedName>
    <definedName name="SP_GF_Div_Prefs" localSheetId="5">'[2]Summary Page'!$45:$45</definedName>
    <definedName name="SP_GF_Div_Prefs" localSheetId="2">'[2]Summary Page'!$45:$45</definedName>
    <definedName name="SP_GF_Div_Prefs" localSheetId="3">'[2]Summary Page'!$45:$45</definedName>
    <definedName name="SP_GF_Div_Prefs" localSheetId="7">'[2]Summary Page'!$45:$45</definedName>
    <definedName name="SP_GF_Div_Prefs" localSheetId="6">'[2]Summary Page'!$45:$45</definedName>
    <definedName name="SP_GF_Div_Prefs" localSheetId="1">'[2]Summary Page'!$45:$45</definedName>
    <definedName name="SP_GF_Div_Prefs" localSheetId="9">'[2]Summary Page'!$45:$45</definedName>
    <definedName name="SP_GF_Div_Prefs" localSheetId="4">'[2]Summary Page'!$45:$45</definedName>
    <definedName name="SP_GF_Div_Prefs" localSheetId="0">'[2]Summary Page'!$45:$45</definedName>
    <definedName name="SP_GF_Div_Prefs">'Summary Page'!$40:$40</definedName>
    <definedName name="SP_GF_EBIT" localSheetId="5">'[2]Summary Page'!$37:$37</definedName>
    <definedName name="SP_GF_EBIT" localSheetId="2">'[2]Summary Page'!$37:$37</definedName>
    <definedName name="SP_GF_EBIT" localSheetId="3">'[2]Summary Page'!$37:$37</definedName>
    <definedName name="SP_GF_EBIT" localSheetId="7">'[2]Summary Page'!$37:$37</definedName>
    <definedName name="SP_GF_EBIT" localSheetId="6">'[2]Summary Page'!$37:$37</definedName>
    <definedName name="SP_GF_EBIT" localSheetId="1">'[2]Summary Page'!$37:$37</definedName>
    <definedName name="SP_GF_EBIT" localSheetId="9">'[2]Summary Page'!$37:$37</definedName>
    <definedName name="SP_GF_EBIT" localSheetId="4">'[2]Summary Page'!$37:$37</definedName>
    <definedName name="SP_GF_EBIT" localSheetId="0">'[2]Summary Page'!$37:$37</definedName>
    <definedName name="SP_GF_EBIT">'Summary Page'!$33:$33</definedName>
    <definedName name="SP_GF_EBT" localSheetId="5">'[2]Summary Page'!$41:$41</definedName>
    <definedName name="SP_GF_EBT" localSheetId="2">'[2]Summary Page'!$41:$41</definedName>
    <definedName name="SP_GF_EBT" localSheetId="3">'[2]Summary Page'!$41:$41</definedName>
    <definedName name="SP_GF_EBT" localSheetId="7">'[2]Summary Page'!$41:$41</definedName>
    <definedName name="SP_GF_EBT" localSheetId="6">'[2]Summary Page'!$41:$41</definedName>
    <definedName name="SP_GF_EBT" localSheetId="1">'[2]Summary Page'!$41:$41</definedName>
    <definedName name="SP_GF_EBT" localSheetId="9">'[2]Summary Page'!$41:$41</definedName>
    <definedName name="SP_GF_EBT" localSheetId="4">'[2]Summary Page'!$41:$41</definedName>
    <definedName name="SP_GF_EBT" localSheetId="0">'[2]Summary Page'!$41:$41</definedName>
    <definedName name="SP_GF_EBT">'Summary Page'!$36:$36</definedName>
    <definedName name="SP_GF_EI">'[4]Summary Page'!$38:$38</definedName>
    <definedName name="SP_GF_EPS_WAD">'Summary Page'!$42:$42</definedName>
    <definedName name="SP_GF_GA" localSheetId="5">'[2]Summary Page'!$34:$34</definedName>
    <definedName name="SP_GF_GA" localSheetId="2">'[2]Summary Page'!$34:$34</definedName>
    <definedName name="SP_GF_GA" localSheetId="3">'[2]Summary Page'!$34:$34</definedName>
    <definedName name="SP_GF_GA" localSheetId="7">'[2]Summary Page'!$34:$34</definedName>
    <definedName name="SP_GF_GA" localSheetId="6">'[2]Summary Page'!$34:$34</definedName>
    <definedName name="SP_GF_GA" localSheetId="1">'[2]Summary Page'!$34:$34</definedName>
    <definedName name="SP_GF_GA" localSheetId="9">'[2]Summary Page'!$34:$34</definedName>
    <definedName name="SP_GF_GA" localSheetId="4">'[2]Summary Page'!$34:$34</definedName>
    <definedName name="SP_GF_GA" localSheetId="0">'[2]Summary Page'!$34:$34</definedName>
    <definedName name="SP_GF_GA">'Summary Page'!$30:$30</definedName>
    <definedName name="SP_GF_IE" localSheetId="5">'[2]Summary Page'!$38:$38</definedName>
    <definedName name="SP_GF_IE" localSheetId="2">'[2]Summary Page'!$38:$38</definedName>
    <definedName name="SP_GF_IE" localSheetId="3">'[2]Summary Page'!$38:$38</definedName>
    <definedName name="SP_GF_IE" localSheetId="7">'[2]Summary Page'!$38:$38</definedName>
    <definedName name="SP_GF_IE" localSheetId="6">'[2]Summary Page'!$38:$38</definedName>
    <definedName name="SP_GF_IE" localSheetId="1">'[2]Summary Page'!$38:$38</definedName>
    <definedName name="SP_GF_IE" localSheetId="9">'[2]Summary Page'!$38:$38</definedName>
    <definedName name="SP_GF_IE" localSheetId="4">'[2]Summary Page'!$38:$38</definedName>
    <definedName name="SP_GF_IE" localSheetId="0">'[2]Summary Page'!$38:$38</definedName>
    <definedName name="SP_GF_IE">'Summary Page'!$34:$34</definedName>
    <definedName name="SP_GF_IE_Net">'Summary Page'!$34:$34</definedName>
    <definedName name="SP_GF_NCI" localSheetId="5">'[2]Summary Page'!$44:$44</definedName>
    <definedName name="SP_GF_NCI" localSheetId="2">'[2]Summary Page'!$44:$44</definedName>
    <definedName name="SP_GF_NCI" localSheetId="3">'[2]Summary Page'!$44:$44</definedName>
    <definedName name="SP_GF_NCI" localSheetId="7">'[2]Summary Page'!$44:$44</definedName>
    <definedName name="SP_GF_NCI" localSheetId="6">'[2]Summary Page'!$44:$44</definedName>
    <definedName name="SP_GF_NCI" localSheetId="1">'[2]Summary Page'!$44:$44</definedName>
    <definedName name="SP_GF_NCI" localSheetId="9">'[2]Summary Page'!$44:$44</definedName>
    <definedName name="SP_GF_NCI" localSheetId="4">'[2]Summary Page'!$44:$44</definedName>
    <definedName name="SP_GF_NCI" localSheetId="0">'[2]Summary Page'!$44:$44</definedName>
    <definedName name="SP_GF_NCI">'Summary Page'!$39:$39</definedName>
    <definedName name="SP_GF_NI" localSheetId="5">'[2]Summary Page'!$46:$46</definedName>
    <definedName name="SP_GF_NI" localSheetId="2">'[2]Summary Page'!$46:$46</definedName>
    <definedName name="SP_GF_NI" localSheetId="3">'[2]Summary Page'!$46:$46</definedName>
    <definedName name="SP_GF_NI" localSheetId="7">'[2]Summary Page'!$46:$46</definedName>
    <definedName name="SP_GF_NI" localSheetId="6">'[2]Summary Page'!$46:$46</definedName>
    <definedName name="SP_GF_NI" localSheetId="1">'[2]Summary Page'!$46:$46</definedName>
    <definedName name="SP_GF_NI" localSheetId="9">'[2]Summary Page'!$46:$46</definedName>
    <definedName name="SP_GF_NI" localSheetId="4">'[2]Summary Page'!$46:$46</definedName>
    <definedName name="SP_GF_NI" localSheetId="0">'[2]Summary Page'!$46:$46</definedName>
    <definedName name="SP_GF_NI">'Summary Page'!$41:$41</definedName>
    <definedName name="SP_GF_OI" localSheetId="5">'[2]Summary Page'!$40:$40</definedName>
    <definedName name="SP_GF_OI" localSheetId="2">'[2]Summary Page'!$40:$40</definedName>
    <definedName name="SP_GF_OI" localSheetId="3">'[2]Summary Page'!$40:$40</definedName>
    <definedName name="SP_GF_OI" localSheetId="7">'[2]Summary Page'!$40:$40</definedName>
    <definedName name="SP_GF_OI" localSheetId="6">'[2]Summary Page'!$40:$40</definedName>
    <definedName name="SP_GF_OI" localSheetId="1">'[2]Summary Page'!$40:$40</definedName>
    <definedName name="SP_GF_OI" localSheetId="9">'[2]Summary Page'!$40:$40</definedName>
    <definedName name="SP_GF_OI" localSheetId="4">'[2]Summary Page'!$40:$40</definedName>
    <definedName name="SP_GF_OI" localSheetId="0">'[2]Summary Page'!$40:$40</definedName>
    <definedName name="SP_GF_OI">'Summary Page'!$35:$35</definedName>
    <definedName name="SP_GF_OI_Operating">'[2]Summary Page'!$36:$36</definedName>
    <definedName name="SP_GF_OPEX">'[2]Summary Page'!$33:$33</definedName>
    <definedName name="SP_GF_OTI_Operating">'[3]Summary Page'!$34:$34</definedName>
    <definedName name="SP_GF_RD" localSheetId="5">'[3]Summary Page'!$33:$33</definedName>
    <definedName name="SP_GF_RD" localSheetId="2">'[3]Summary Page'!$33:$33</definedName>
    <definedName name="SP_GF_RD" localSheetId="3">'[3]Summary Page'!$33:$33</definedName>
    <definedName name="SP_GF_RD" localSheetId="7">'[3]Summary Page'!$33:$33</definedName>
    <definedName name="SP_GF_RD" localSheetId="6">'[3]Summary Page'!$33:$33</definedName>
    <definedName name="SP_GF_RD" localSheetId="1">'[3]Summary Page'!$33:$33</definedName>
    <definedName name="SP_GF_RD" localSheetId="9">'[3]Summary Page'!$33:$33</definedName>
    <definedName name="SP_GF_RD" localSheetId="4">'[3]Summary Page'!$33:$33</definedName>
    <definedName name="SP_GF_RD" localSheetId="0">'[3]Summary Page'!$33:$33</definedName>
    <definedName name="SP_GF_RD">'Summary Page'!$32:$32</definedName>
    <definedName name="SP_GF_Rev" localSheetId="5">'[2]Summary Page'!$32:$32</definedName>
    <definedName name="SP_GF_Rev" localSheetId="2">'[2]Summary Page'!$32:$32</definedName>
    <definedName name="SP_GF_Rev" localSheetId="3">'[2]Summary Page'!$32:$32</definedName>
    <definedName name="SP_GF_Rev" localSheetId="7">'[2]Summary Page'!$32:$32</definedName>
    <definedName name="SP_GF_Rev" localSheetId="6">'[2]Summary Page'!$32:$32</definedName>
    <definedName name="SP_GF_Rev" localSheetId="1">'[2]Summary Page'!$32:$32</definedName>
    <definedName name="SP_GF_Rev" localSheetId="9">'[2]Summary Page'!$32:$32</definedName>
    <definedName name="SP_GF_Rev" localSheetId="4">'[2]Summary Page'!$32:$32</definedName>
    <definedName name="SP_GF_Rev" localSheetId="0">'[2]Summary Page'!$32:$32</definedName>
    <definedName name="SP_GF_Rev">'Summary Page'!$28:$28</definedName>
    <definedName name="SP_GF_SGA" localSheetId="5">'[3]Summary Page'!$32:$32</definedName>
    <definedName name="SP_GF_SGA" localSheetId="2">'[3]Summary Page'!$32:$32</definedName>
    <definedName name="SP_GF_SGA" localSheetId="3">'[3]Summary Page'!$32:$32</definedName>
    <definedName name="SP_GF_SGA" localSheetId="7">'[3]Summary Page'!$32:$32</definedName>
    <definedName name="SP_GF_SGA" localSheetId="6">'[3]Summary Page'!$32:$32</definedName>
    <definedName name="SP_GF_SGA" localSheetId="1">'[3]Summary Page'!$32:$32</definedName>
    <definedName name="SP_GF_SGA" localSheetId="9">'[3]Summary Page'!$32:$32</definedName>
    <definedName name="SP_GF_SGA" localSheetId="4">'[3]Summary Page'!$32:$32</definedName>
    <definedName name="SP_GF_SGA" localSheetId="0">'[3]Summary Page'!$32:$32</definedName>
    <definedName name="SP_GF_SGA">'Summary Page'!$30:$30</definedName>
    <definedName name="SP_GF_ShareCount" localSheetId="5">'[2]Summary Page'!$48:$48</definedName>
    <definedName name="SP_GF_ShareCount" localSheetId="2">'[2]Summary Page'!$48:$48</definedName>
    <definedName name="SP_GF_ShareCount" localSheetId="3">'[2]Summary Page'!$48:$48</definedName>
    <definedName name="SP_GF_ShareCount" localSheetId="7">'[2]Summary Page'!$48:$48</definedName>
    <definedName name="SP_GF_ShareCount" localSheetId="6">'[2]Summary Page'!$48:$48</definedName>
    <definedName name="SP_GF_ShareCount" localSheetId="1">'[2]Summary Page'!$48:$48</definedName>
    <definedName name="SP_GF_ShareCount" localSheetId="9">'[2]Summary Page'!$48:$48</definedName>
    <definedName name="SP_GF_ShareCount" localSheetId="4">'[2]Summary Page'!$48:$48</definedName>
    <definedName name="SP_GF_ShareCount" localSheetId="0">'[2]Summary Page'!$48:$48</definedName>
    <definedName name="SP_GF_ShareCount">'Summary Page'!$43:$43</definedName>
    <definedName name="SP_GF_SM" localSheetId="5">'[5]Summary Page'!$31:$31</definedName>
    <definedName name="SP_GF_SM" localSheetId="2">'[5]Summary Page'!$31:$31</definedName>
    <definedName name="SP_GF_SM" localSheetId="3">'[5]Summary Page'!$31:$31</definedName>
    <definedName name="SP_GF_SM" localSheetId="7">'[5]Summary Page'!$31:$31</definedName>
    <definedName name="SP_GF_SM" localSheetId="6">'[5]Summary Page'!$31:$31</definedName>
    <definedName name="SP_GF_SM" localSheetId="1">'[5]Summary Page'!$31:$31</definedName>
    <definedName name="SP_GF_SM" localSheetId="9">'[5]Summary Page'!$31:$31</definedName>
    <definedName name="SP_GF_SM" localSheetId="4">'[5]Summary Page'!$31:$31</definedName>
    <definedName name="SP_GF_SM" localSheetId="0">'[5]Summary Page'!$31:$31</definedName>
    <definedName name="SP_GF_SM">'Summary Page'!$31:$31</definedName>
    <definedName name="SP_GF_Tax" localSheetId="5">'[2]Summary Page'!$42:$42</definedName>
    <definedName name="SP_GF_Tax" localSheetId="2">'[2]Summary Page'!$42:$42</definedName>
    <definedName name="SP_GF_Tax" localSheetId="3">'[2]Summary Page'!$42:$42</definedName>
    <definedName name="SP_GF_Tax" localSheetId="7">'[2]Summary Page'!$42:$42</definedName>
    <definedName name="SP_GF_Tax" localSheetId="6">'[2]Summary Page'!$42:$42</definedName>
    <definedName name="SP_GF_Tax" localSheetId="1">'[2]Summary Page'!$42:$42</definedName>
    <definedName name="SP_GF_Tax" localSheetId="9">'[2]Summary Page'!$42:$42</definedName>
    <definedName name="SP_GF_Tax" localSheetId="4">'[2]Summary Page'!$42:$42</definedName>
    <definedName name="SP_GF_Tax" localSheetId="0">'[2]Summary Page'!$42:$42</definedName>
    <definedName name="SP_GF_Tax">'Summary Page'!$37:$37</definedName>
    <definedName name="SP_MA_COGS">'Summary Page'!$52:$52</definedName>
    <definedName name="SP_MA_EBIT">'Summary Page'!$56:$56</definedName>
    <definedName name="SP_MA_EBIT_Adj">'Summary Page'!$57:$57</definedName>
    <definedName name="SP_MA_EBITDA">'Summary Page'!$58:$58</definedName>
    <definedName name="SP_MA_EBITDA_Adj">'Summary Page'!$59:$59</definedName>
    <definedName name="SP_MA_GA">'Summary Page'!$53:$53</definedName>
    <definedName name="SP_MA_RD">'Summary Page'!$55:$55</definedName>
    <definedName name="SP_MA_SM">'Summary Page'!$54:$54</definedName>
    <definedName name="SP_NGF_EBIT" localSheetId="5">'[5]Summary Page'!$47:$47</definedName>
    <definedName name="SP_NGF_EBIT" localSheetId="2">'[5]Summary Page'!$47:$47</definedName>
    <definedName name="SP_NGF_EBIT" localSheetId="3">'[5]Summary Page'!$47:$47</definedName>
    <definedName name="SP_NGF_EBIT" localSheetId="7">'[5]Summary Page'!$47:$47</definedName>
    <definedName name="SP_NGF_EBIT" localSheetId="6">'[5]Summary Page'!$47:$47</definedName>
    <definedName name="SP_NGF_EBIT" localSheetId="1">'[5]Summary Page'!$47:$47</definedName>
    <definedName name="SP_NGF_EBIT" localSheetId="9">'[5]Summary Page'!$47:$47</definedName>
    <definedName name="SP_NGF_EBIT" localSheetId="4">'[5]Summary Page'!$47:$47</definedName>
    <definedName name="SP_NGF_EBIT" localSheetId="0">'[5]Summary Page'!$47:$47</definedName>
    <definedName name="SP_NGF_EBIT">'Summary Page'!$47:$47</definedName>
    <definedName name="SP_NGF_EBITDA" localSheetId="5">'[2]Summary Page'!$51:$51</definedName>
    <definedName name="SP_NGF_EBITDA" localSheetId="2">'[2]Summary Page'!$51:$51</definedName>
    <definedName name="SP_NGF_EBITDA" localSheetId="3">'[2]Summary Page'!$51:$51</definedName>
    <definedName name="SP_NGF_EBITDA" localSheetId="7">'[2]Summary Page'!$51:$51</definedName>
    <definedName name="SP_NGF_EBITDA" localSheetId="6">'[2]Summary Page'!$51:$51</definedName>
    <definedName name="SP_NGF_EBITDA" localSheetId="1">'[2]Summary Page'!$51:$51</definedName>
    <definedName name="SP_NGF_EBITDA" localSheetId="9">'[2]Summary Page'!$51:$51</definedName>
    <definedName name="SP_NGF_EBITDA" localSheetId="4">'[2]Summary Page'!$51:$51</definedName>
    <definedName name="SP_NGF_EBITDA" localSheetId="0">'[2]Summary Page'!$51:$51</definedName>
    <definedName name="SP_NGF_EBITDA">'Summary Page'!$46:$46</definedName>
    <definedName name="SP_NGF_EPS" localSheetId="5">'[2]Summary Page'!$54:$54</definedName>
    <definedName name="SP_NGF_EPS" localSheetId="2">'[2]Summary Page'!$54:$54</definedName>
    <definedName name="SP_NGF_EPS" localSheetId="3">'[2]Summary Page'!$54:$54</definedName>
    <definedName name="SP_NGF_EPS" localSheetId="7">'[2]Summary Page'!$54:$54</definedName>
    <definedName name="SP_NGF_EPS" localSheetId="6">'[2]Summary Page'!$54:$54</definedName>
    <definedName name="SP_NGF_EPS" localSheetId="1">'[2]Summary Page'!$54:$54</definedName>
    <definedName name="SP_NGF_EPS" localSheetId="9">'[2]Summary Page'!$54:$54</definedName>
    <definedName name="SP_NGF_EPS" localSheetId="4">'[2]Summary Page'!$54:$54</definedName>
    <definedName name="SP_NGF_EPS" localSheetId="0">'[2]Summary Page'!$54:$54</definedName>
    <definedName name="SP_NGF_EPS">'Summary Page'!$49:$49</definedName>
    <definedName name="SP_NGF_NI" localSheetId="5">'[2]Summary Page'!$53:$53</definedName>
    <definedName name="SP_NGF_NI" localSheetId="2">'[2]Summary Page'!$53:$53</definedName>
    <definedName name="SP_NGF_NI" localSheetId="3">'[2]Summary Page'!$53:$53</definedName>
    <definedName name="SP_NGF_NI" localSheetId="7">'[2]Summary Page'!$53:$53</definedName>
    <definedName name="SP_NGF_NI" localSheetId="6">'[2]Summary Page'!$53:$53</definedName>
    <definedName name="SP_NGF_NI" localSheetId="1">'[2]Summary Page'!$53:$53</definedName>
    <definedName name="SP_NGF_NI" localSheetId="9">'[2]Summary Page'!$53:$53</definedName>
    <definedName name="SP_NGF_NI" localSheetId="4">'[2]Summary Page'!$53:$53</definedName>
    <definedName name="SP_NGF_NI" localSheetId="0">'[2]Summary Page'!$53:$53</definedName>
    <definedName name="SP_NGF_NI">'Summary Page'!$48:$48</definedName>
    <definedName name="SP_PR_ROA">'Summary Page'!$99:$99</definedName>
    <definedName name="SP_PR_ROCE">'Summary Page'!$109:$109</definedName>
    <definedName name="SP_PR_ROE">'Summary Page'!$94:$94</definedName>
    <definedName name="SP_PR_ROIC">'Summary Page'!$103:$103</definedName>
    <definedName name="SP_PSGM_CFO">'Summary Page'!$115:$115</definedName>
    <definedName name="SP_Section_BalanceSheetRatios">'Summary Page'!$82:$82</definedName>
    <definedName name="SP_Section_CapitalizationSummary">'Summary Page'!$3:$3</definedName>
    <definedName name="SP_Section_CashFlowAnalysis">'Summary Page'!$61:$61</definedName>
    <definedName name="SP_Section_Checks">'Summary Page'!$126:$126</definedName>
    <definedName name="SP_Section_GAAPFinancials">'Summary Page'!$27:$27</definedName>
    <definedName name="SP_Section_LastRow">'Summary Page'!$134:$134</definedName>
    <definedName name="SP_Section_MarginAnalysis">'Summary Page'!$51:$51</definedName>
    <definedName name="SP_Section_PerShareGrowthMetrics">'Summary Page'!$111:$111</definedName>
    <definedName name="SP_VM_EV_toSales">'Summary Page'!$120:$120</definedName>
    <definedName name="tb_ConsensusEstimate" localSheetId="5">#REF!</definedName>
    <definedName name="tb_ConsensusEstimate" localSheetId="2">#REF!</definedName>
    <definedName name="tb_ConsensusEstimate" localSheetId="3">#REF!</definedName>
    <definedName name="tb_ConsensusEstimate" localSheetId="7">#REF!</definedName>
    <definedName name="tb_ConsensusEstimate" localSheetId="6">#REF!</definedName>
    <definedName name="tb_ConsensusEstimate" localSheetId="1">#REF!</definedName>
    <definedName name="tb_ConsensusEstimate" localSheetId="9">#REF!</definedName>
    <definedName name="tb_ConsensusEstimate" localSheetId="4">#REF!</definedName>
    <definedName name="tb_ConsensusEstimate" localSheetId="0">#REF!</definedName>
    <definedName name="tb_ConsensusEstimate">Model!$A$1059:$CB$1069</definedName>
    <definedName name="tb_EntireModel" localSheetId="5">#REF!</definedName>
    <definedName name="tb_EntireModel" localSheetId="2">#REF!</definedName>
    <definedName name="tb_EntireModel" localSheetId="3">#REF!</definedName>
    <definedName name="tb_EntireModel" localSheetId="7">#REF!</definedName>
    <definedName name="tb_EntireModel" localSheetId="6">#REF!</definedName>
    <definedName name="tb_EntireModel" localSheetId="1">#REF!</definedName>
    <definedName name="tb_EntireModel" localSheetId="9">#REF!</definedName>
    <definedName name="tb_EntireModel" localSheetId="4">#REF!</definedName>
    <definedName name="tb_EntireModel" localSheetId="0">#REF!</definedName>
    <definedName name="tb_EntireModel">Model!$A$1:$CB$955</definedName>
    <definedName name="tb_Guidance_FY" localSheetId="5">#REF!</definedName>
    <definedName name="tb_Guidance_FY" localSheetId="2">#REF!</definedName>
    <definedName name="tb_Guidance_FY" localSheetId="3">#REF!</definedName>
    <definedName name="tb_Guidance_FY" localSheetId="7">#REF!</definedName>
    <definedName name="tb_Guidance_FY" localSheetId="6">#REF!</definedName>
    <definedName name="tb_Guidance_FY" localSheetId="1">#REF!</definedName>
    <definedName name="tb_Guidance_FY" localSheetId="9">#REF!</definedName>
    <definedName name="tb_Guidance_FY" localSheetId="4">#REF!</definedName>
    <definedName name="tb_Guidance_FY" localSheetId="0">#REF!</definedName>
    <definedName name="tb_Guidance_FY">Model!$A$1041:$CB$1057</definedName>
    <definedName name="tb_Guidance_Q" localSheetId="5">#REF!</definedName>
    <definedName name="tb_Guidance_Q" localSheetId="2">#REF!</definedName>
    <definedName name="tb_Guidance_Q" localSheetId="3">#REF!</definedName>
    <definedName name="tb_Guidance_Q" localSheetId="7">#REF!</definedName>
    <definedName name="tb_Guidance_Q" localSheetId="6">#REF!</definedName>
    <definedName name="tb_Guidance_Q" localSheetId="1">#REF!</definedName>
    <definedName name="tb_Guidance_Q" localSheetId="9">#REF!</definedName>
    <definedName name="tb_Guidance_Q" localSheetId="4">#REF!</definedName>
    <definedName name="tb_Guidance_Q" localSheetId="0">#REF!</definedName>
    <definedName name="tb_Guidance_Q">Model!$A$1024:$CB$1039</definedName>
    <definedName name="tb_KeyOutputs" localSheetId="5">#REF!</definedName>
    <definedName name="tb_KeyOutputs" localSheetId="2">#REF!</definedName>
    <definedName name="tb_KeyOutputs" localSheetId="3">#REF!</definedName>
    <definedName name="tb_KeyOutputs" localSheetId="7">#REF!</definedName>
    <definedName name="tb_KeyOutputs" localSheetId="6">#REF!</definedName>
    <definedName name="tb_KeyOutputs" localSheetId="1">#REF!</definedName>
    <definedName name="tb_KeyOutputs" localSheetId="9">#REF!</definedName>
    <definedName name="tb_KeyOutputs" localSheetId="4">#REF!</definedName>
    <definedName name="tb_KeyOutputs" localSheetId="0">#REF!</definedName>
    <definedName name="tb_KeyOutputs">Model!$A$995:$A$1002</definedName>
    <definedName name="tb_KPIs" localSheetId="5">#REF!</definedName>
    <definedName name="tb_KPIs" localSheetId="2">#REF!</definedName>
    <definedName name="tb_KPIs" localSheetId="3">#REF!</definedName>
    <definedName name="tb_KPIs" localSheetId="7">#REF!</definedName>
    <definedName name="tb_KPIs" localSheetId="6">#REF!</definedName>
    <definedName name="tb_KPIs" localSheetId="1">#REF!</definedName>
    <definedName name="tb_KPIs" localSheetId="9">#REF!</definedName>
    <definedName name="tb_KPIs" localSheetId="4">#REF!</definedName>
    <definedName name="tb_KPIs" localSheetId="0">#REF!</definedName>
    <definedName name="tb_KPIs">Model!$A$1004:$A$1022</definedName>
    <definedName name="tb_StockPrice" localSheetId="5">#REF!</definedName>
    <definedName name="tb_StockPrice" localSheetId="2">#REF!</definedName>
    <definedName name="tb_StockPrice" localSheetId="3">#REF!</definedName>
    <definedName name="tb_StockPrice" localSheetId="7">#REF!</definedName>
    <definedName name="tb_StockPrice" localSheetId="6">#REF!</definedName>
    <definedName name="tb_StockPrice" localSheetId="1">#REF!</definedName>
    <definedName name="tb_StockPrice" localSheetId="9">#REF!</definedName>
    <definedName name="tb_StockPrice" localSheetId="4">#REF!</definedName>
    <definedName name="tb_StockPrice" localSheetId="0">#REF!</definedName>
    <definedName name="tb_StockPrice">Model!$A$1071:$CB$1101</definedName>
    <definedName name="tb_Tickers" localSheetId="5">#REF!</definedName>
    <definedName name="tb_Tickers" localSheetId="2">#REF!</definedName>
    <definedName name="tb_Tickers" localSheetId="3">#REF!</definedName>
    <definedName name="tb_Tickers" localSheetId="7">#REF!</definedName>
    <definedName name="tb_Tickers" localSheetId="6">#REF!</definedName>
    <definedName name="tb_Tickers" localSheetId="1">#REF!</definedName>
    <definedName name="tb_Tickers" localSheetId="9">#REF!</definedName>
    <definedName name="tb_Tickers" localSheetId="4">#REF!</definedName>
    <definedName name="tb_Tickers" localSheetId="0">#REF!</definedName>
    <definedName name="tb_Tickers">Model!$A$982:$A$987</definedName>
    <definedName name="tb_UpdateLog">'Update Log'!$C$10:$H$70</definedName>
    <definedName name="tb_ValuationToggle" localSheetId="5">#REF!</definedName>
    <definedName name="tb_ValuationToggle" localSheetId="2">#REF!</definedName>
    <definedName name="tb_ValuationToggle" localSheetId="3">#REF!</definedName>
    <definedName name="tb_ValuationToggle" localSheetId="7">#REF!</definedName>
    <definedName name="tb_ValuationToggle" localSheetId="6">#REF!</definedName>
    <definedName name="tb_ValuationToggle" localSheetId="1">#REF!</definedName>
    <definedName name="tb_ValuationToggle" localSheetId="9">#REF!</definedName>
    <definedName name="tb_ValuationToggle" localSheetId="4">#REF!</definedName>
    <definedName name="tb_ValuationToggle" localSheetId="0">#REF!</definedName>
    <definedName name="tb_ValuationToggle">Model!$A$989:$B$993</definedName>
    <definedName name="Tegus_functions_Workbook_ID" localSheetId="5">"1c475edd-a42a-4f4b-bb8c-eb151d7a9095"</definedName>
    <definedName name="Tegus_functions_Workbook_ID" localSheetId="2">"1c475edd-a42a-4f4b-bb8c-eb151d7a9095"</definedName>
    <definedName name="Tegus_functions_Workbook_ID" localSheetId="3">"1c475edd-a42a-4f4b-bb8c-eb151d7a9095"</definedName>
    <definedName name="Tegus_functions_Workbook_ID" localSheetId="7">"1c475edd-a42a-4f4b-bb8c-eb151d7a9095"</definedName>
    <definedName name="Tegus_functions_Workbook_ID" localSheetId="6">"1c475edd-a42a-4f4b-bb8c-eb151d7a9095"</definedName>
    <definedName name="Tegus_functions_Workbook_ID" localSheetId="1">"1c475edd-a42a-4f4b-bb8c-eb151d7a9095"</definedName>
    <definedName name="Tegus_functions_Workbook_ID" localSheetId="9">"1c475edd-a42a-4f4b-bb8c-eb151d7a9095"</definedName>
    <definedName name="Tegus_functions_Workbook_ID" localSheetId="4">"1c475edd-a42a-4f4b-bb8c-eb151d7a9095"</definedName>
    <definedName name="Tegus_functions_Workbook_ID" localSheetId="0">"1c475edd-a42a-4f4b-bb8c-eb151d7a9095"</definedName>
    <definedName name="Tegus_functions_Workbook_ID">"6548ef21-f8e2-4693-a282-8caa43eba6ae"</definedName>
    <definedName name="UL.CSIN">'Update Log'!$H$7</definedName>
    <definedName name="UL.ModelVersion">'Update Log'!$H$8</definedName>
    <definedName name="UL.MRQ" localSheetId="5">'[2]Update Log'!$F$7</definedName>
    <definedName name="UL.MRQ" localSheetId="2">'[2]Update Log'!$F$7</definedName>
    <definedName name="UL.MRQ" localSheetId="3">'[2]Update Log'!$F$7</definedName>
    <definedName name="UL.MRQ" localSheetId="7">'[2]Update Log'!$F$7</definedName>
    <definedName name="UL.MRQ" localSheetId="6">'[2]Update Log'!$F$7</definedName>
    <definedName name="UL.MRQ" localSheetId="1">'[2]Update Log'!$F$7</definedName>
    <definedName name="UL.MRQ" localSheetId="9">'[2]Update Log'!$F$7</definedName>
    <definedName name="UL.MRQ" localSheetId="4">'[2]Update Log'!$F$7</definedName>
    <definedName name="UL.MRQ" localSheetId="0">'[2]Update Log'!$F$7</definedName>
    <definedName name="UL.MRQ">'Update Log'!$F$7</definedName>
    <definedName name="UL.MRQColNum">'Update Log'!$E$7</definedName>
    <definedName name="WS.CanalystName" localSheetId="12">"Exec Comp"</definedName>
    <definedName name="WS.CanalystName" localSheetId="8">"Front Page"</definedName>
    <definedName name="WS.CanalystName" localSheetId="10">"Model"</definedName>
    <definedName name="WS.CanalystName" localSheetId="14">"Summary Page"</definedName>
    <definedName name="WS.CanalystName" localSheetId="11">"Supplemental Data"</definedName>
    <definedName name="WS.CanalystName" localSheetId="15">"Update Log"</definedName>
    <definedName name="WS.HasWorkingRange" localSheetId="12">"TRUE"</definedName>
    <definedName name="WS.HasWorkingRange" localSheetId="11">"TRUE"</definedName>
    <definedName name="WS.WorkingRangeType" localSheetId="12">"Standard"</definedName>
    <definedName name="WS.WorkingRangeType" localSheetId="11">"Standard"</definedName>
    <definedName name="WS.WorksheetType" localSheetId="12">"Supplemental"</definedName>
    <definedName name="WS.WorksheetType" localSheetId="11">"Supplemental"</definedName>
    <definedName name="WS_ColumnHeader" localSheetId="12">'Exec Comp'!$5:$5</definedName>
    <definedName name="WS_ColumnHeader" localSheetId="11">'Supplemental Data'!$5:$5</definedName>
    <definedName name="WS_LastRow" localSheetId="12">'Exec Comp'!$142:$142</definedName>
    <definedName name="WS_LastRow" localSheetId="11">'Supplemental Data'!$38:$38</definedName>
    <definedName name="WS_PeriodMetadata_FPDays" localSheetId="12">'Exec Comp'!$3:$3</definedName>
    <definedName name="WS_PeriodMetadata_FPDays" localSheetId="11">'Supplemental Data'!$3:$3</definedName>
    <definedName name="WS_PeriodMetadata_PAnnotation" localSheetId="12">'Exec Comp'!$2:$2</definedName>
    <definedName name="WS_PeriodMetadata_PAnnotation" localSheetId="11">'Supplemental Data'!$2:$2</definedName>
    <definedName name="WS_PeriodMetadata_PEndDate" localSheetId="12">'Exec Comp'!$4:$4</definedName>
    <definedName name="WS_PeriodMetadata_PEndDate" localSheetId="11">'Supplemental Data'!$4:$4</definedName>
    <definedName name="WS_RowTitle" localSheetId="12">'Exec Comp'!$A:$A</definedName>
    <definedName name="WS_RowTitle" localSheetId="11">'Supplemental Data'!$A:$A</definedName>
    <definedName name="WS_WorkingRange_FirstColumn" localSheetId="12">'Exec Comp'!$C:$C</definedName>
    <definedName name="WS_WorkingRange_FirstColumn" localSheetId="11">'Supplemental Data'!$C:$C</definedName>
    <definedName name="WS_WorkingRange_FirstRow" localSheetId="12">'Exec Comp'!$6:$6</definedName>
    <definedName name="WS_WorkingRange_FirstRow" localSheetId="11">'Supplemental Data'!$6:$6</definedName>
    <definedName name="WS_WorkingRange_LastColumn" localSheetId="12">'Exec Comp'!$CB:$CB</definedName>
    <definedName name="WS_WorkingRange_LastColumn" localSheetId="11">'Supplemental Data'!$CB:$CB</definedName>
    <definedName name="WS_WorkingRange_LastRow" localSheetId="12">'Exec Comp'!$142:$142</definedName>
    <definedName name="WS_WorkingRange_LastRow" localSheetId="11">'Supplemental Data'!$38:$38</definedName>
    <definedName name="z_8J5YSV0166_MO_BlankRow_OS_19">"Deleted"</definedName>
    <definedName name="z_8J5YSV0166_MO_BlankRow_OS_7">"Deleted"</definedName>
    <definedName name="z_8J5YSV0166_MO_BS_ClassBCommonUnits">"Deleted"</definedName>
    <definedName name="z_8J5YSV0166_MO_MA_COGSMargin_1">"Deleted"</definedName>
    <definedName name="z_8J5YSV0166_MO_MA_FulfillmentExpensesMargin">[4]Historicals!$187:$187</definedName>
    <definedName name="z_8J5YSV0166_MO_MA_GrossMargin_1">"Deleted"</definedName>
    <definedName name="z_8J5YSV0166_MO_MA_SellingandDistributionExpensesMargin">[4]Historicals!$188:$188</definedName>
    <definedName name="z_8J5YSV0166_MO_OS_Generalandadministrativeexpenses">[4]Historicals!$34:$34</definedName>
    <definedName name="z_8J5YSV0166_MO_OS_Marketingexpenses">[4]Historicals!$33:$33</definedName>
    <definedName name="z_8J5YSV0166_MO_RIS_AddbackSBC">"Deleted"</definedName>
    <definedName name="z_8J5YSV0166_MO_RIS_AdjustedEBITDA_1">"Deleted"</definedName>
    <definedName name="z_8J5YSV0166_MO_RIS_COGS_1">"Deleted"</definedName>
    <definedName name="z_8J5YSV0166_MO_RIS_EBITDA_1">"Deleted"</definedName>
    <definedName name="z_8J5YSV0166_MO_Unstructured_SNA_MOKPIActiveSellers">"Deleted"</definedName>
    <definedName name="z_8J5YSV0166_MO_Unstructured_SNA_MOKPIBuyertoSeller">"Deleted"</definedName>
    <definedName name="z_8J5YSV0166_MO_Unstructured_SNA_MOKPIGMV_2">"Deleted"</definedName>
    <definedName name="z_8J5YSV0166_MO_Unstructured_SNA_MOKPIGMVGrowth">"Deleted"</definedName>
    <definedName name="z_8J5YSV0166_MO_Unstructured_SNA_MOKPIGMVLTM">"Deleted"</definedName>
    <definedName name="z_8J5YSV0166_MO_Unstructured_SNA_MOKPIGMVMarketplaceLTM">"Deleted"</definedName>
    <definedName name="z_8J5YSV0166_MO_Unstructured_SNA_MOKPIGMVPerActiveBuyerLTM">"Deleted"</definedName>
    <definedName name="z_8J5YSV0166_MO_Unstructured_SNA_MOKPIGMVPerActiveSellerLTM">"Deleted"</definedName>
    <definedName name="z_8J5YSV0166_MO_Unstructured_SNA_MOKPITakeRate">"Deleted"</definedName>
    <definedName name="z_8J5YSV0166_MO_Unstructured_SNA_MOKPITakeRateLTM">"Deleted"</definedName>
    <definedName name="z_GMEG0H0133_MO_BlankRow_OS_100">"Deleted"</definedName>
    <definedName name="z_GMEG0H0133_MO_BlankRow_OS_102">"Deleted"</definedName>
    <definedName name="z_GMEG0H0133_MO_BlankRow_OS_103">"Deleted"</definedName>
    <definedName name="z_GMEG0H0133_MO_BlankRow_OS_27">"Deleted"</definedName>
    <definedName name="z_GMEG0H0133_MO_BlankRow_OS_28">"Deleted"</definedName>
    <definedName name="z_GMEG0H0133_MO_BlankRow_OS_33">"Deleted"</definedName>
    <definedName name="z_GMEG0H0133_MO_BlankRow_OS_35">"Deleted"</definedName>
    <definedName name="z_GMEG0H0133_MO_BlankRow_OS_59">"Deleted"</definedName>
    <definedName name="z_GMEG0H0133_MO_BlankRow_OS_60">"Deleted"</definedName>
    <definedName name="z_GMEG0H0133_MO_BlankRow_OS_64">"Deleted"</definedName>
    <definedName name="z_GMEG0H0133_MO_CCFS_Netcashflowsfromdebtactivities">"Deleted"</definedName>
    <definedName name="z_GMEG0H0133_MO_CCFS_Other_6">"Deleted"</definedName>
    <definedName name="z_GMEG0H0133_MO_CFS_Netcashflowsfromdebtactivities">"Deleted"</definedName>
    <definedName name="z_GMEG0H0133_MO_CFS_Other_6">"Deleted"</definedName>
    <definedName name="z_GMEG0H0133_MO_CFSum_CashFlowPerDilutedShare">"Deleted"</definedName>
    <definedName name="z_GMEG0H0133_MO_OS_AdjustedEBIT">"Deleted"</definedName>
    <definedName name="z_GMEG0H0133_MO_OS_AdjustedEBITMargin">"Deleted"</definedName>
    <definedName name="z_GMEG0H0133_MO_OS_ConsensusEstimatesAdjustedEBIT">"Deleted"</definedName>
    <definedName name="z_GMEG0H0133_MO_OS_ConsensusEstimatesAdjustedEBITMargin">"Deleted"</definedName>
    <definedName name="z_GMEG0H0133_MO_OS_Director10allothercomp">"Deleted"</definedName>
    <definedName name="z_GMEG0H0133_MO_OS_Director10cashcomp">"Deleted"</definedName>
    <definedName name="z_GMEG0H0133_MO_OS_Director10optionawardcomp">"Deleted"</definedName>
    <definedName name="z_GMEG0H0133_MO_OS_Director11allothercomp">"Deleted"</definedName>
    <definedName name="z_GMEG0H0133_MO_OS_Director11cashcomp">"Deleted"</definedName>
    <definedName name="z_GMEG0H0133_MO_OS_Director11optionawardcomp">"Deleted"</definedName>
    <definedName name="z_GMEG0H0133_MO_OS_Director12allothercomp">"Deleted"</definedName>
    <definedName name="z_GMEG0H0133_MO_OS_Director12cashcomp">"Deleted"</definedName>
    <definedName name="z_GMEG0H0133_MO_OS_Director12optionawardcomp">"Deleted"</definedName>
    <definedName name="z_GMEG0H0133_MO_OS_Model3ModelYannualproductioncapacityinCalifornia">"Deleted"</definedName>
    <definedName name="z_GMEG0H0133_MO_OS_ModelSModelXannualproductioncapacityinCalifornia">"Deleted"</definedName>
    <definedName name="z_GMEG0H0133_MO_OS_Superchargerstations_2">"Deleted"</definedName>
    <definedName name="z_GMEG0H0133_MO_OS_YYgrowthinadjustedEBIT">"Deleted"</definedName>
    <definedName name="z_GMEG0H0133_MO_OS_YYimprovementinadjustedEBITMargin">"Deleted"</definedName>
    <definedName name="z_QEQHF80154_MO_AN_AdjustedEBITDA">#REF!</definedName>
    <definedName name="z_QEQHF80154_MO_AN_Amortizationofintangibles">#REF!</definedName>
    <definedName name="z_QEQHF80154_MO_AN_Amortizationofintangibles_1">#REF!</definedName>
    <definedName name="z_QEQHF80154_MO_AN_Closedstorecosts">#REF!</definedName>
    <definedName name="z_QEQHF80154_MO_AN_Closedstorecosts_1">"Deleted"</definedName>
    <definedName name="z_QEQHF80154_MO_AN_CumulativeAdjustedEBITDA">#REF!</definedName>
    <definedName name="z_QEQHF80154_MO_AN_CumulativeClosedstorecosts">#REF!</definedName>
    <definedName name="z_QEQHF80154_MO_AN_CumulativeClosedstorecosts_1">"Deleted"</definedName>
    <definedName name="z_QEQHF80154_MO_AN_CumulativeDepreciationandamortization">#REF!</definedName>
    <definedName name="z_QEQHF80154_MO_AN_CumulativeDepreciationandamortization_1">#REF!</definedName>
    <definedName name="z_QEQHF80154_MO_AN_CumulativeERPimplementationandrelatedcosts">#REF!</definedName>
    <definedName name="z_QEQHF80154_MO_AN_CumulativeGeneralandadministrative">#REF!</definedName>
    <definedName name="z_QEQHF80154_MO_AN_CumulativeImpairmentoflonglivedassets">#REF!</definedName>
    <definedName name="z_QEQHF80154_MO_AN_CumulativeImpairmentoflonglivedassets_1">#REF!</definedName>
    <definedName name="z_QEQHF80154_MO_AN_CumulativeIncometaxprovision">#REF!</definedName>
    <definedName name="z_QEQHF80154_MO_AN_CumulativeInterestexpense">#REF!</definedName>
    <definedName name="z_QEQHF80154_MO_AN_CumulativeInterestincome">#REF!</definedName>
    <definedName name="z_QEQHF80154_MO_AN_CumulativeLossfromoperations">#REF!</definedName>
    <definedName name="z_QEQHF80154_MO_AN_CumulativeLossondisposalofpropertyandequipment">#REF!</definedName>
    <definedName name="z_QEQHF80154_MO_AN_CumulativeLossondisposalofpropertyandequipment_1">#REF!</definedName>
    <definedName name="z_QEQHF80154_MO_AN_CumulativeNetloss">#REF!</definedName>
    <definedName name="z_QEQHF80154_MO_AN_CumulativeOtherexpense">#REF!</definedName>
    <definedName name="z_QEQHF80154_MO_AN_CumulativePreopeningcosts">#REF!</definedName>
    <definedName name="z_QEQHF80154_MO_AN_CumulativeRestaurantLevelProfit">#REF!</definedName>
    <definedName name="z_QEQHF80154_MO_AN_CumulativeRestructuringcharges">#REF!</definedName>
    <definedName name="z_QEQHF80154_MO_AN_CumulativeRestructuringcharges_1">#REF!</definedName>
    <definedName name="z_QEQHF80154_MO_AN_CumulativeSpyceacquisitioncosts">#REF!</definedName>
    <definedName name="z_QEQHF80154_MO_AN_CumulativeStockbasedcompensation">#REF!</definedName>
    <definedName name="z_QEQHF80154_MO_AN_Depreciationandamortization">#REF!</definedName>
    <definedName name="z_QEQHF80154_MO_AN_Depreciationandamortization_1">#REF!</definedName>
    <definedName name="z_QEQHF80154_MO_AN_DepreciationofPPE">#REF!</definedName>
    <definedName name="z_QEQHF80154_MO_AN_DepreciationofPPE_1">#REF!</definedName>
    <definedName name="z_QEQHF80154_MO_AN_ERPimplementationandrelatedcosts">#REF!</definedName>
    <definedName name="z_QEQHF80154_MO_AN_Generalandadministrative">#REF!</definedName>
    <definedName name="z_QEQHF80154_MO_AN_Impairmentoflonglivedassets">#REF!</definedName>
    <definedName name="z_QEQHF80154_MO_AN_Impairmentoflonglivedassets_1">#REF!</definedName>
    <definedName name="z_QEQHF80154_MO_AN_Incometaxprovision">#REF!</definedName>
    <definedName name="z_QEQHF80154_MO_AN_Interestexpense">#REF!</definedName>
    <definedName name="z_QEQHF80154_MO_AN_Interestincome">#REF!</definedName>
    <definedName name="z_QEQHF80154_MO_AN_Legalsettlements">#REF!</definedName>
    <definedName name="z_QEQHF80154_MO_AN_Lossfromoperations">#REF!</definedName>
    <definedName name="z_QEQHF80154_MO_AN_Lossondisposalofpropertyandequipment">#REF!</definedName>
    <definedName name="z_QEQHF80154_MO_AN_Lossondisposalofpropertyandequipment_1">#REF!</definedName>
    <definedName name="z_QEQHF80154_MO_AN_Netloss">#REF!</definedName>
    <definedName name="z_QEQHF80154_MO_AN_Otherexpense">#REF!</definedName>
    <definedName name="z_QEQHF80154_MO_AN_Performancestockunitpayrolltaxes">#REF!</definedName>
    <definedName name="z_QEQHF80154_MO_AN_Preopeningcosts">#REF!</definedName>
    <definedName name="z_QEQHF80154_MO_AN_RestaurantLevelProfit">#REF!</definedName>
    <definedName name="z_QEQHF80154_MO_AN_Restructuringcharges">#REF!</definedName>
    <definedName name="z_QEQHF80154_MO_AN_Restructuringcharges_1">#REF!</definedName>
    <definedName name="z_QEQHF80154_MO_AN_Spyceacquisitioncosts">#REF!</definedName>
    <definedName name="z_QEQHF80154_MO_AN_Stockbasedcompensation">#REF!</definedName>
    <definedName name="z_QEQHF80154_MO_AN_TotalDA">#REF!</definedName>
    <definedName name="z_QEQHF80154_MO_AN_TotalDA_1">#REF!</definedName>
    <definedName name="z_QEQHF80154_MO_BlankRow_AN">#REF!</definedName>
    <definedName name="z_QEQHF80154_MO_BlankRow_AN_1">#REF!</definedName>
    <definedName name="z_QEQHF80154_MO_BlankRow_AN_2">#REF!</definedName>
    <definedName name="z_QEQHF80154_MO_BlankRow_AN_3">#REF!</definedName>
    <definedName name="z_QEQHF80154_MO_BlankRow_AN_4">#REF!</definedName>
    <definedName name="z_QEQHF80154_MO_BlankRow_AN_5">#REF!</definedName>
    <definedName name="z_QEQHF80154_MO_BlankRow_BS_1">#REF!</definedName>
    <definedName name="z_QEQHF80154_MO_BlankRow_BS_2">#REF!</definedName>
    <definedName name="z_QEQHF80154_MO_BlankRow_BS_3">#REF!</definedName>
    <definedName name="z_QEQHF80154_MO_BlankRow_BS_4">#REF!</definedName>
    <definedName name="z_QEQHF80154_MO_BlankRow_BSS">#REF!</definedName>
    <definedName name="z_QEQHF80154_MO_BlankRow_BSS_1">#REF!</definedName>
    <definedName name="z_QEQHF80154_MO_BlankRow_BSS_2">#REF!</definedName>
    <definedName name="z_QEQHF80154_MO_BlankRow_CCFS">#REF!</definedName>
    <definedName name="z_QEQHF80154_MO_BlankRow_CCFS_1">#REF!</definedName>
    <definedName name="z_QEQHF80154_MO_BlankRow_CCFS_2">#REF!</definedName>
    <definedName name="z_QEQHF80154_MO_BlankRow_CCFS_3">#REF!</definedName>
    <definedName name="z_QEQHF80154_MO_BlankRow_CCFS_4">#REF!</definedName>
    <definedName name="z_QEQHF80154_MO_BlankRow_CCFS_5">#REF!</definedName>
    <definedName name="z_QEQHF80154_MO_BlankRow_CFS_10">#REF!</definedName>
    <definedName name="z_QEQHF80154_MO_BlankRow_CFS_4">#REF!</definedName>
    <definedName name="z_QEQHF80154_MO_BlankRow_CFS_5">#REF!</definedName>
    <definedName name="z_QEQHF80154_MO_BlankRow_CFS_6">#REF!</definedName>
    <definedName name="z_QEQHF80154_MO_BlankRow_CFS_7">#REF!</definedName>
    <definedName name="z_QEQHF80154_MO_BlankRow_CFS_8">#REF!</definedName>
    <definedName name="z_QEQHF80154_MO_BlankRow_CFS_9">#REF!</definedName>
    <definedName name="z_QEQHF80154_MO_BlankRow_CFSum">#REF!</definedName>
    <definedName name="z_QEQHF80154_MO_BlankRow_CFSum_1">#REF!</definedName>
    <definedName name="z_QEQHF80154_MO_BlankRow_CFSum_2">#REF!</definedName>
    <definedName name="z_QEQHF80154_MO_BlankRow_CFSum_3">#REF!</definedName>
    <definedName name="z_QEQHF80154_MO_BlankRow_DAF">#REF!</definedName>
    <definedName name="z_QEQHF80154_MO_BlankRow_DAF_1">#REF!</definedName>
    <definedName name="z_QEQHF80154_MO_BlankRow_DAF_2">#REF!</definedName>
    <definedName name="z_QEQHF80154_MO_BlankRow_DAF_3">#REF!</definedName>
    <definedName name="z_QEQHF80154_MO_BlankRow_GA">#REF!</definedName>
    <definedName name="z_QEQHF80154_MO_BlankRow_GA_1">#REF!</definedName>
    <definedName name="z_QEQHF80154_MO_BlankRow_IS">#REF!</definedName>
    <definedName name="z_QEQHF80154_MO_BlankRow_IS_1">#REF!</definedName>
    <definedName name="z_QEQHF80154_MO_BlankRow_IS_2">#REF!</definedName>
    <definedName name="z_QEQHF80154_MO_BlankRow_MA">#REF!</definedName>
    <definedName name="z_QEQHF80154_MO_BlankRow_MA_1">#REF!</definedName>
    <definedName name="z_QEQHF80154_MO_BlankRow_MA_2">#REF!</definedName>
    <definedName name="z_QEQHF80154_MO_BlankRow_MA_3">#REF!</definedName>
    <definedName name="z_QEQHF80154_MO_BlankRow_MA_4">#REF!</definedName>
    <definedName name="z_QEQHF80154_MO_BlankRow_MA_5">#REF!</definedName>
    <definedName name="z_QEQHF80154_MO_BlankRow_MA_6">#REF!</definedName>
    <definedName name="z_QEQHF80154_MO_BlankRow_MA_7">#REF!</definedName>
    <definedName name="z_QEQHF80154_MO_BlankRow_OS">#REF!</definedName>
    <definedName name="z_QEQHF80154_MO_BlankRow_OS_1">#REF!</definedName>
    <definedName name="z_QEQHF80154_MO_BlankRow_OS_10">#REF!</definedName>
    <definedName name="z_QEQHF80154_MO_BlankRow_OS_11">#REF!</definedName>
    <definedName name="z_QEQHF80154_MO_BlankRow_OS_12">#REF!</definedName>
    <definedName name="z_QEQHF80154_MO_BlankRow_OS_13">#REF!</definedName>
    <definedName name="z_QEQHF80154_MO_BlankRow_OS_14">#REF!</definedName>
    <definedName name="z_QEQHF80154_MO_BlankRow_OS_15">#REF!</definedName>
    <definedName name="z_QEQHF80154_MO_BlankRow_OS_16">#REF!</definedName>
    <definedName name="z_QEQHF80154_MO_BlankRow_OS_17">#REF!</definedName>
    <definedName name="z_QEQHF80154_MO_BlankRow_OS_18">#REF!</definedName>
    <definedName name="z_QEQHF80154_MO_BlankRow_OS_19">#REF!</definedName>
    <definedName name="z_QEQHF80154_MO_BlankRow_OS_2">#REF!</definedName>
    <definedName name="z_QEQHF80154_MO_BlankRow_OS_20">#REF!</definedName>
    <definedName name="z_QEQHF80154_MO_BlankRow_OS_21">#REF!</definedName>
    <definedName name="z_QEQHF80154_MO_BlankRow_OS_22">#REF!</definedName>
    <definedName name="z_QEQHF80154_MO_BlankRow_OS_23">#REF!</definedName>
    <definedName name="z_QEQHF80154_MO_BlankRow_OS_24">#REF!</definedName>
    <definedName name="z_QEQHF80154_MO_BlankRow_OS_25">#REF!</definedName>
    <definedName name="z_QEQHF80154_MO_BlankRow_OS_26">#REF!</definedName>
    <definedName name="z_QEQHF80154_MO_BlankRow_OS_27">#REF!</definedName>
    <definedName name="z_QEQHF80154_MO_BlankRow_OS_28">#REF!</definedName>
    <definedName name="z_QEQHF80154_MO_BlankRow_OS_29">#REF!</definedName>
    <definedName name="z_QEQHF80154_MO_BlankRow_OS_3">#REF!</definedName>
    <definedName name="z_QEQHF80154_MO_BlankRow_OS_30">#REF!</definedName>
    <definedName name="z_QEQHF80154_MO_BlankRow_OS_31">#REF!</definedName>
    <definedName name="z_QEQHF80154_MO_BlankRow_OS_32">#REF!</definedName>
    <definedName name="z_QEQHF80154_MO_BlankRow_OS_33">#REF!</definedName>
    <definedName name="z_QEQHF80154_MO_BlankRow_OS_34">#REF!</definedName>
    <definedName name="z_QEQHF80154_MO_BlankRow_OS_35">#REF!</definedName>
    <definedName name="z_QEQHF80154_MO_BlankRow_OS_36">#REF!</definedName>
    <definedName name="z_QEQHF80154_MO_BlankRow_OS_37">#REF!</definedName>
    <definedName name="z_QEQHF80154_MO_BlankRow_OS_38">#REF!</definedName>
    <definedName name="z_QEQHF80154_MO_BlankRow_OS_39">#REF!</definedName>
    <definedName name="z_QEQHF80154_MO_BlankRow_OS_4">#REF!</definedName>
    <definedName name="z_QEQHF80154_MO_BlankRow_OS_40">#REF!</definedName>
    <definedName name="z_QEQHF80154_MO_BlankRow_OS_41">#REF!</definedName>
    <definedName name="z_QEQHF80154_MO_BlankRow_OS_42">#REF!</definedName>
    <definedName name="z_QEQHF80154_MO_BlankRow_OS_43">#REF!</definedName>
    <definedName name="z_QEQHF80154_MO_BlankRow_OS_44">#REF!</definedName>
    <definedName name="z_QEQHF80154_MO_BlankRow_OS_45">#REF!</definedName>
    <definedName name="z_QEQHF80154_MO_BlankRow_OS_46">#REF!</definedName>
    <definedName name="z_QEQHF80154_MO_BlankRow_OS_47">#REF!</definedName>
    <definedName name="z_QEQHF80154_MO_BlankRow_OS_48">#REF!</definedName>
    <definedName name="z_QEQHF80154_MO_BlankRow_OS_49">#REF!</definedName>
    <definedName name="z_QEQHF80154_MO_BlankRow_OS_5">#REF!</definedName>
    <definedName name="z_QEQHF80154_MO_BlankRow_OS_50">#REF!</definedName>
    <definedName name="z_QEQHF80154_MO_BlankRow_OS_51">#REF!</definedName>
    <definedName name="z_QEQHF80154_MO_BlankRow_OS_52">"Deleted"</definedName>
    <definedName name="z_QEQHF80154_MO_BlankRow_OS_53">#REF!</definedName>
    <definedName name="z_QEQHF80154_MO_BlankRow_OS_55">#REF!</definedName>
    <definedName name="z_QEQHF80154_MO_BlankRow_OS_56">#REF!</definedName>
    <definedName name="z_QEQHF80154_MO_BlankRow_OS_58">#REF!</definedName>
    <definedName name="z_QEQHF80154_MO_BlankRow_OS_59">#REF!</definedName>
    <definedName name="z_QEQHF80154_MO_BlankRow_OS_6">#REF!</definedName>
    <definedName name="z_QEQHF80154_MO_BlankRow_OS_60">#REF!</definedName>
    <definedName name="z_QEQHF80154_MO_BlankRow_OS_61">#REF!</definedName>
    <definedName name="z_QEQHF80154_MO_BlankRow_OS_62">#REF!</definedName>
    <definedName name="z_QEQHF80154_MO_BlankRow_OS_63">#REF!</definedName>
    <definedName name="z_QEQHF80154_MO_BlankRow_OS_65">#REF!</definedName>
    <definedName name="z_QEQHF80154_MO_BlankRow_OS_66">#REF!</definedName>
    <definedName name="z_QEQHF80154_MO_BlankRow_OS_68">#REF!</definedName>
    <definedName name="z_QEQHF80154_MO_BlankRow_OS_7">#REF!</definedName>
    <definedName name="z_QEQHF80154_MO_BlankRow_OS_70">#REF!</definedName>
    <definedName name="z_QEQHF80154_MO_BlankRow_OS_71">"Deleted"</definedName>
    <definedName name="z_QEQHF80154_MO_BlankRow_OS_72">"Deleted"</definedName>
    <definedName name="z_QEQHF80154_MO_BlankRow_OS_73">"Deleted"</definedName>
    <definedName name="z_QEQHF80154_MO_BlankRow_OS_74">#REF!</definedName>
    <definedName name="z_QEQHF80154_MO_BlankRow_OS_75">#REF!</definedName>
    <definedName name="z_QEQHF80154_MO_BlankRow_OS_76">#REF!</definedName>
    <definedName name="z_QEQHF80154_MO_BlankRow_OS_77">#REF!</definedName>
    <definedName name="z_QEQHF80154_MO_BlankRow_OS_78">#REF!</definedName>
    <definedName name="z_QEQHF80154_MO_BlankRow_OS_79">#REF!</definedName>
    <definedName name="z_QEQHF80154_MO_BlankRow_OS_8">#REF!</definedName>
    <definedName name="z_QEQHF80154_MO_BlankRow_OS_80">#REF!</definedName>
    <definedName name="z_QEQHF80154_MO_BlankRow_OS_81">#REF!</definedName>
    <definedName name="z_QEQHF80154_MO_BlankRow_OS_82">#REF!</definedName>
    <definedName name="z_QEQHF80154_MO_BlankRow_OS_83">#REF!</definedName>
    <definedName name="z_QEQHF80154_MO_BlankRow_OS_84">#REF!</definedName>
    <definedName name="z_QEQHF80154_MO_BlankRow_OS_9">#REF!</definedName>
    <definedName name="z_QEQHF80154_MO_BlankRow_RIS">#REF!</definedName>
    <definedName name="z_QEQHF80154_MO_BlankRow_RIS_1">#REF!</definedName>
    <definedName name="z_QEQHF80154_MO_BlankRow_RIS_2">#REF!</definedName>
    <definedName name="z_QEQHF80154_MO_BlankRow_RIS_3">#REF!</definedName>
    <definedName name="z_QEQHF80154_MO_BlankRow_RIS_4">#REF!</definedName>
    <definedName name="z_QEQHF80154_MO_BlankRow_RIS_5">#REF!</definedName>
    <definedName name="z_QEQHF80154_MO_BlankRow_RIS_6">#REF!</definedName>
    <definedName name="z_QEQHF80154_MO_BlankRow_RIS_7">#REF!</definedName>
    <definedName name="z_QEQHF80154_MO_BlankRow_SNA">#REF!</definedName>
    <definedName name="z_QEQHF80154_MO_BlankRow_SNA_1">#REF!</definedName>
    <definedName name="z_QEQHF80154_MO_BlankRow_SNA_10">#REF!</definedName>
    <definedName name="z_QEQHF80154_MO_BlankRow_SNA_11">#REF!</definedName>
    <definedName name="z_QEQHF80154_MO_BlankRow_SNA_12">#REF!</definedName>
    <definedName name="z_QEQHF80154_MO_BlankRow_SNA_13">#REF!</definedName>
    <definedName name="z_QEQHF80154_MO_BlankRow_SNA_14">#REF!</definedName>
    <definedName name="z_QEQHF80154_MO_BlankRow_SNA_15">#REF!</definedName>
    <definedName name="z_QEQHF80154_MO_BlankRow_SNA_16">#REF!</definedName>
    <definedName name="z_QEQHF80154_MO_BlankRow_SNA_17">#REF!</definedName>
    <definedName name="z_QEQHF80154_MO_BlankRow_SNA_18">#REF!</definedName>
    <definedName name="z_QEQHF80154_MO_BlankRow_SNA_19">#REF!</definedName>
    <definedName name="z_QEQHF80154_MO_BlankRow_SNA_2">#REF!</definedName>
    <definedName name="z_QEQHF80154_MO_BlankRow_SNA_20">#REF!</definedName>
    <definedName name="z_QEQHF80154_MO_BlankRow_SNA_21">#REF!</definedName>
    <definedName name="z_QEQHF80154_MO_BlankRow_SNA_22">#REF!</definedName>
    <definedName name="z_QEQHF80154_MO_BlankRow_SNA_3">#REF!</definedName>
    <definedName name="z_QEQHF80154_MO_BlankRow_SNA_4">#REF!</definedName>
    <definedName name="z_QEQHF80154_MO_BlankRow_SNA_5">#REF!</definedName>
    <definedName name="z_QEQHF80154_MO_BlankRow_SNA_6">#REF!</definedName>
    <definedName name="z_QEQHF80154_MO_BlankRow_SNA_7">#REF!</definedName>
    <definedName name="z_QEQHF80154_MO_BlankRow_SNA_8">#REF!</definedName>
    <definedName name="z_QEQHF80154_MO_BlankRow_SNA_9">#REF!</definedName>
    <definedName name="z_QEQHF80154_MO_BS_Accountspayable">#REF!</definedName>
    <definedName name="z_QEQHF80154_MO_BS_Accountsreceivable">#REF!</definedName>
    <definedName name="z_QEQHF80154_MO_BS_Accruedexpenses">#REF!</definedName>
    <definedName name="z_QEQHF80154_MO_BS_Accruedpayroll">#REF!</definedName>
    <definedName name="z_QEQHF80154_MO_BS_Accruedpayroll_1">#REF!</definedName>
    <definedName name="z_QEQHF80154_MO_BS_Accumulateddeficit">#REF!</definedName>
    <definedName name="z_QEQHF80154_MO_BS_Additionalpaidincapital">#REF!</definedName>
    <definedName name="z_QEQHF80154_MO_BS_Cashandcashequivalents">#REF!</definedName>
    <definedName name="z_QEQHF80154_MO_BS_ClassSstock">#REF!</definedName>
    <definedName name="z_QEQHF80154_MO_BS_Commonstock">#REF!</definedName>
    <definedName name="z_QEQHF80154_MO_BS_Contingentconsiderationliability">#REF!</definedName>
    <definedName name="z_QEQHF80154_MO_BS_Currentportionofdeferredrentliability">#REF!</definedName>
    <definedName name="z_QEQHF80154_MO_BS_Currentportionofleaseacquisitioncosts">#REF!</definedName>
    <definedName name="z_QEQHF80154_MO_BS_Currentportionofoperatingleaseliabilities">#REF!</definedName>
    <definedName name="z_QEQHF80154_MO_BS_Deferredrentliability">#REF!</definedName>
    <definedName name="z_QEQHF80154_MO_BS_Deferredtaxliabilities">#REF!</definedName>
    <definedName name="z_QEQHF80154_MO_BS_Giftcardsandloyaltyliability">#REF!</definedName>
    <definedName name="z_QEQHF80154_MO_BS_Goodwill">#REF!</definedName>
    <definedName name="z_QEQHF80154_MO_BS_Intangibleassets">#REF!</definedName>
    <definedName name="z_QEQHF80154_MO_BS_Inventory">#REF!</definedName>
    <definedName name="z_QEQHF80154_MO_BS_Leaseacquisitioncosts">#REF!</definedName>
    <definedName name="z_QEQHF80154_MO_BS_Loanstorelatedparties">#REF!</definedName>
    <definedName name="z_QEQHF80154_MO_BS_Longtermconvertibledebt">#REF!</definedName>
    <definedName name="z_QEQHF80154_MO_BS_Longtermdebt">#REF!</definedName>
    <definedName name="z_QEQHF80154_MO_BS_NCI">#REF!</definedName>
    <definedName name="z_QEQHF80154_MO_BS_Noncurrentoperatingleaseliabilities">#REF!</definedName>
    <definedName name="z_QEQHF80154_MO_BS_Operatingleaseassets">#REF!</definedName>
    <definedName name="z_QEQHF80154_MO_BS_Otherassets">#REF!</definedName>
    <definedName name="z_QEQHF80154_MO_BS_Othercurrentassets">#REF!</definedName>
    <definedName name="z_QEQHF80154_MO_BS_Othercurrentliabilities">#REF!</definedName>
    <definedName name="z_QEQHF80154_MO_BS_Othernoncurrentliabilities">#REF!</definedName>
    <definedName name="z_QEQHF80154_MO_BS_Preferredstock_1">#REF!</definedName>
    <definedName name="z_QEQHF80154_MO_BS_Preferredstockwarrantliability">#REF!</definedName>
    <definedName name="z_QEQHF80154_MO_BS_Prepaidexpenses">#REF!</definedName>
    <definedName name="z_QEQHF80154_MO_BS_Propertyandequipment">#REF!</definedName>
    <definedName name="z_QEQHF80154_MO_BS_Restrictedcash">#REF!</definedName>
    <definedName name="z_QEQHF80154_MO_BS_Securitydeposits">#REF!</definedName>
    <definedName name="z_QEQHF80154_MO_BS_Shorttermconvertibledebt">#REF!</definedName>
    <definedName name="z_QEQHF80154_MO_BS_Shorttermdebt">#REF!</definedName>
    <definedName name="z_QEQHF80154_MO_BS_Tenantimprovementreceivable">#REF!</definedName>
    <definedName name="z_QEQHF80154_MO_BS_TotalAssets">#REF!</definedName>
    <definedName name="z_QEQHF80154_MO_BS_TotalCurrentAssets">#REF!</definedName>
    <definedName name="z_QEQHF80154_MO_BS_TotalCurrentLiabilities">#REF!</definedName>
    <definedName name="z_QEQHF80154_MO_BS_TotalLiabilities">#REF!</definedName>
    <definedName name="z_QEQHF80154_MO_BS_TotalLiabilitiesSE">#REF!</definedName>
    <definedName name="z_QEQHF80154_MO_BS_TotalNonCurrentAssets">#REF!</definedName>
    <definedName name="z_QEQHF80154_MO_BS_TotalNonCurrentliabilities">#REF!</definedName>
    <definedName name="z_QEQHF80154_MO_BS_Totalreceivables">#REF!</definedName>
    <definedName name="z_QEQHF80154_MO_BS_TotalSE">#REF!</definedName>
    <definedName name="z_QEQHF80154_MO_BSS_Cash">#REF!</definedName>
    <definedName name="z_QEQHF80154_MO_BSS_Debt">#REF!</definedName>
    <definedName name="z_QEQHF80154_MO_BSS_EBITDANetInterestExpense">#REF!</definedName>
    <definedName name="z_QEQHF80154_MO_BSS_EffectiveInterestRateonCash">#REF!</definedName>
    <definedName name="z_QEQHF80154_MO_BSS_EffectiveInterestRateonDebt">#REF!</definedName>
    <definedName name="z_QEQHF80154_MO_BSS_EffectiveNetInterestRateonDebt">#REF!</definedName>
    <definedName name="z_QEQHF80154_MO_BSS_InterestExpense">#REF!</definedName>
    <definedName name="z_QEQHF80154_MO_BSS_InterestIncome">#REF!</definedName>
    <definedName name="z_QEQHF80154_MO_BSS_LTDebt">#REF!</definedName>
    <definedName name="z_QEQHF80154_MO_BSS_NetDebt">#REF!</definedName>
    <definedName name="z_QEQHF80154_MO_BSS_NetDebtCashFlow">#REF!</definedName>
    <definedName name="z_QEQHF80154_MO_BSS_NetDebtEBITDA">#REF!</definedName>
    <definedName name="z_QEQHF80154_MO_BSS_NetInterestExpenseIncome">#REF!</definedName>
    <definedName name="z_QEQHF80154_MO_BSS_OperatingLeaseLiabilities">#REF!</definedName>
    <definedName name="z_QEQHF80154_MO_BSS_STDebt">#REF!</definedName>
    <definedName name="z_QEQHF80154_MO_CCFS_Accountspayable">#REF!</definedName>
    <definedName name="z_QEQHF80154_MO_CCFS_Accountsreceivable">#REF!</definedName>
    <definedName name="z_QEQHF80154_MO_CCFS_Accruedexpenses">#REF!</definedName>
    <definedName name="z_QEQHF80154_MO_CCFS_Accruedpayrollandbenefits">#REF!</definedName>
    <definedName name="z_QEQHF80154_MO_CCFS_Acquisition">#REF!</definedName>
    <definedName name="z_QEQHF80154_MO_CCFS_Amortizationofcloudcomputingarrangements">#REF!</definedName>
    <definedName name="z_QEQHF80154_MO_CCFS_Amortizationofleaseacquisition">#REF!</definedName>
    <definedName name="z_QEQHF80154_MO_CCFS_Amortizationofloanoriginationfees">#REF!</definedName>
    <definedName name="z_QEQHF80154_MO_CCFS_BeginningCashBalance">#REF!</definedName>
    <definedName name="z_QEQHF80154_MO_CCFS_Cashpaidforincometaxes">#REF!</definedName>
    <definedName name="z_QEQHF80154_MO_CCFS_Cashpaidforinterest">#REF!</definedName>
    <definedName name="z_QEQHF80154_MO_CCFS_CFObeforeWC">#REF!</definedName>
    <definedName name="z_QEQHF80154_MO_CCFS_Changeinfairvalueofcontingentconsideration">#REF!</definedName>
    <definedName name="z_QEQHF80154_MO_CCFS_Changeinfairvalueofpreferredstockwarrantliability">#REF!</definedName>
    <definedName name="z_QEQHF80154_MO_CCFS_Closedstorecosts">#REF!</definedName>
    <definedName name="z_QEQHF80154_MO_CCFS_Deferredofferingcostspaid">#REF!</definedName>
    <definedName name="z_QEQHF80154_MO_CCFS_Deferredrentliability">#REF!</definedName>
    <definedName name="z_QEQHF80154_MO_CCFS_Deferredtax">#REF!</definedName>
    <definedName name="z_QEQHF80154_MO_CCFS_Depreciationandamortization">#REF!</definedName>
    <definedName name="z_QEQHF80154_MO_CCFS_Divestitures">#REF!</definedName>
    <definedName name="z_QEQHF80154_MO_CCFS_Dividendspaid">#REF!</definedName>
    <definedName name="z_QEQHF80154_MO_CCFS_EndingCashBalance">#REF!</definedName>
    <definedName name="z_QEQHF80154_MO_CCFS_Exerciseofcappedcall">#REF!</definedName>
    <definedName name="z_QEQHF80154_MO_CCFS_FX">#REF!</definedName>
    <definedName name="z_QEQHF80154_MO_CCFS_Giftcardandloyaltyliability">#REF!</definedName>
    <definedName name="z_QEQHF80154_MO_CCFS_Impairmentoflonglivedassets">#REF!</definedName>
    <definedName name="z_QEQHF80154_MO_CCFS_Inventory">#REF!</definedName>
    <definedName name="z_QEQHF80154_MO_CCFS_Leaseacquisitioncosts">#REF!</definedName>
    <definedName name="z_QEQHF80154_MO_CCFS_Lossonfixedassetdisposal">#REF!</definedName>
    <definedName name="z_QEQHF80154_MO_CCFS_NetCFF">#REF!</definedName>
    <definedName name="z_QEQHF80154_MO_CCFS_NetCFI">#REF!</definedName>
    <definedName name="z_QEQHF80154_MO_CCFS_NetCFO">#REF!</definedName>
    <definedName name="z_QEQHF80154_MO_CCFS_NetChangeinCashBalance">#REF!</definedName>
    <definedName name="z_QEQHF80154_MO_CCFS_Netequityissued">#REF!</definedName>
    <definedName name="z_QEQHF80154_MO_CCFS_Netloss">#REF!</definedName>
    <definedName name="z_QEQHF80154_MO_CCFS_Noncashoperatingleasecost">#REF!</definedName>
    <definedName name="z_QEQHF80154_MO_CCFS_Noncashrestructuringcharge">#REF!</definedName>
    <definedName name="z_QEQHF80154_MO_CCFS_Operatingleaseliability">#REF!</definedName>
    <definedName name="z_QEQHF80154_MO_CCFS_Othernoncurrentliabilities">#REF!</definedName>
    <definedName name="z_QEQHF80154_MO_CCFS_Paymentofcontingentconsideration">#REF!</definedName>
    <definedName name="z_QEQHF80154_MO_CCFS_Paymentsassociatedtosharesrepurchasedfortaxwithholding">#REF!</definedName>
    <definedName name="z_QEQHF80154_MO_CCFS_Prepaidexpensesandothercurrentassets">#REF!</definedName>
    <definedName name="z_QEQHF80154_MO_CCFS_Proceedsfromexerciseofwarrants">#REF!</definedName>
    <definedName name="z_QEQHF80154_MO_CCFS_Proceedsfromissuanceofcommonstockinconnectionwithinitialpublicoffering">#REF!</definedName>
    <definedName name="z_QEQHF80154_MO_CCFS_Proceedsfromissuanceofconvertiblenotes">#REF!</definedName>
    <definedName name="z_QEQHF80154_MO_CCFS_ProceedsfromissuanceofSeriesFwarrantsinconnectionwiththeinitialpublicoffering">#REF!</definedName>
    <definedName name="z_QEQHF80154_MO_CCFS_Proceedsfromlongtermdebt">#REF!</definedName>
    <definedName name="z_QEQHF80154_MO_CCFS_Proceedsfrompreferredstockissuance">#REF!</definedName>
    <definedName name="z_QEQHF80154_MO_CCFS_Proceedsfromrelatedpartyloan">#REF!</definedName>
    <definedName name="z_QEQHF80154_MO_CCFS_Proceedsfromstockoptionexercise">#REF!</definedName>
    <definedName name="z_QEQHF80154_MO_CCFS_Purchaseofintangibleassets">#REF!</definedName>
    <definedName name="z_QEQHF80154_MO_CCFS_Purchaseofpropertyandequipment">#REF!</definedName>
    <definedName name="z_QEQHF80154_MO_CCFS_Repaymentonlongtermdebt">#REF!</definedName>
    <definedName name="z_QEQHF80154_MO_CCFS_Securityandlandlorddeposits">#REF!</definedName>
    <definedName name="z_QEQHF80154_MO_CCFS_Stockbasedcompensation">#REF!</definedName>
    <definedName name="z_QEQHF80154_MO_CCFS_Tenantimprovementreceivables">#REF!</definedName>
    <definedName name="z_QEQHF80154_MO_CFS_Accountspayable">#REF!</definedName>
    <definedName name="z_QEQHF80154_MO_CFS_Accountsreceivable">#REF!</definedName>
    <definedName name="z_QEQHF80154_MO_CFS_Accruedexpenses">#REF!</definedName>
    <definedName name="z_QEQHF80154_MO_CFS_Accruedpayrollandbenefits">#REF!</definedName>
    <definedName name="z_QEQHF80154_MO_CFS_Acquisition">#REF!</definedName>
    <definedName name="z_QEQHF80154_MO_CFS_Amortizationofcloudcomputingarrangements">#REF!</definedName>
    <definedName name="z_QEQHF80154_MO_CFS_Amortizationofleaseacquisition">#REF!</definedName>
    <definedName name="z_QEQHF80154_MO_CFS_Amortizationofloanoriginationfees">#REF!</definedName>
    <definedName name="z_QEQHF80154_MO_CFS_BeginningCashBalance">#REF!</definedName>
    <definedName name="z_QEQHF80154_MO_CFS_Cashpaidforincometaxes">#REF!</definedName>
    <definedName name="z_QEQHF80154_MO_CFS_Cashpaidforinterest">#REF!</definedName>
    <definedName name="z_QEQHF80154_MO_CFS_CFObeforeWC">#REF!</definedName>
    <definedName name="z_QEQHF80154_MO_CFS_Changeinfairvalueofcontingentconsideration">#REF!</definedName>
    <definedName name="z_QEQHF80154_MO_CFS_Changeinfairvalueofpreferredstockwarrantliability">#REF!</definedName>
    <definedName name="z_QEQHF80154_MO_CFS_Closedstorecosts">#REF!</definedName>
    <definedName name="z_QEQHF80154_MO_CFS_Deferredofferingcostspaid">#REF!</definedName>
    <definedName name="z_QEQHF80154_MO_CFS_Deferredrentliability">#REF!</definedName>
    <definedName name="z_QEQHF80154_MO_CFS_Deferredtax">#REF!</definedName>
    <definedName name="z_QEQHF80154_MO_CFS_Depreciationandamortization">#REF!</definedName>
    <definedName name="z_QEQHF80154_MO_CFS_Divestitures">#REF!</definedName>
    <definedName name="z_QEQHF80154_MO_CFS_Dividendspaid">#REF!</definedName>
    <definedName name="z_QEQHF80154_MO_CFS_EndingCashBalance">#REF!</definedName>
    <definedName name="z_QEQHF80154_MO_CFS_Exerciseofcappedcall">#REF!</definedName>
    <definedName name="z_QEQHF80154_MO_CFS_FX">#REF!</definedName>
    <definedName name="z_QEQHF80154_MO_CFS_Giftcardandloyaltyliability">#REF!</definedName>
    <definedName name="z_QEQHF80154_MO_CFS_Impairmentoflonglivedassets">#REF!</definedName>
    <definedName name="z_QEQHF80154_MO_CFS_Inventory">#REF!</definedName>
    <definedName name="z_QEQHF80154_MO_CFS_Leaseacquisitioncosts">#REF!</definedName>
    <definedName name="z_QEQHF80154_MO_CFS_Lossonfixedassetdisposal">#REF!</definedName>
    <definedName name="z_QEQHF80154_MO_CFS_NetCFF">#REF!</definedName>
    <definedName name="z_QEQHF80154_MO_CFS_NetCFI">#REF!</definedName>
    <definedName name="z_QEQHF80154_MO_CFS_NetCFO">#REF!</definedName>
    <definedName name="z_QEQHF80154_MO_CFS_NetChangeinCashBalance">#REF!</definedName>
    <definedName name="z_QEQHF80154_MO_CFS_Netequityissued">#REF!</definedName>
    <definedName name="z_QEQHF80154_MO_CFS_Netloss">#REF!</definedName>
    <definedName name="z_QEQHF80154_MO_CFS_Noncashoperatingleasecost">#REF!</definedName>
    <definedName name="z_QEQHF80154_MO_CFS_Noncashrestructuringcharge">#REF!</definedName>
    <definedName name="z_QEQHF80154_MO_CFS_Operatingleaseliability">#REF!</definedName>
    <definedName name="z_QEQHF80154_MO_CFS_Othernoncurrentliabilities">#REF!</definedName>
    <definedName name="z_QEQHF80154_MO_CFS_Paymentofcontingentconsideration">#REF!</definedName>
    <definedName name="z_QEQHF80154_MO_CFS_Paymentsassociatedtosharesrepurchasedfortaxwithholding">#REF!</definedName>
    <definedName name="z_QEQHF80154_MO_CFS_Prepaidexpensesandothercurrentassets">#REF!</definedName>
    <definedName name="z_QEQHF80154_MO_CFS_Proceedsfromexerciseofwarrants">#REF!</definedName>
    <definedName name="z_QEQHF80154_MO_CFS_Proceedsfromissuanceofcommonstockinconnectionwithinitialpublicoffering">#REF!</definedName>
    <definedName name="z_QEQHF80154_MO_CFS_Proceedsfromissuanceofconvertiblenotes">#REF!</definedName>
    <definedName name="z_QEQHF80154_MO_CFS_ProceedsfromissuanceofSeriesFwarrantsinconnectionwiththeinitialpublicoffering">#REF!</definedName>
    <definedName name="z_QEQHF80154_MO_CFS_Proceedsfromlongtermdebt">#REF!</definedName>
    <definedName name="z_QEQHF80154_MO_CFS_Proceedsfrompreferredstockissuance">#REF!</definedName>
    <definedName name="z_QEQHF80154_MO_CFS_Proceedsfromrelatedpartyloan">#REF!</definedName>
    <definedName name="z_QEQHF80154_MO_CFS_Proceedsfromstockoptionexercise">#REF!</definedName>
    <definedName name="z_QEQHF80154_MO_CFS_Purchaseofintangibleassets">#REF!</definedName>
    <definedName name="z_QEQHF80154_MO_CFS_Purchaseofpropertyandequipment">#REF!</definedName>
    <definedName name="z_QEQHF80154_MO_CFS_Repaymentonlongtermdebt">#REF!</definedName>
    <definedName name="z_QEQHF80154_MO_CFS_Securityandlandlorddeposits">#REF!</definedName>
    <definedName name="z_QEQHF80154_MO_CFS_Stockbasedcompensation">#REF!</definedName>
    <definedName name="z_QEQHF80154_MO_CFS_Tenantimprovementreceivables">#REF!</definedName>
    <definedName name="z_QEQHF80154_MO_CFSum_Acquisitions">#REF!</definedName>
    <definedName name="z_QEQHF80154_MO_CFSum_Capex">#REF!</definedName>
    <definedName name="z_QEQHF80154_MO_CFSum_CashFlowPerDilutedShare">#REF!</definedName>
    <definedName name="z_QEQHF80154_MO_CFSum_CashFlowPerDilutedShare_1">#REF!</definedName>
    <definedName name="z_QEQHF80154_MO_CFSum_ChangeinWorkingCapital">#REF!</definedName>
    <definedName name="z_QEQHF80154_MO_CFSum_ConsensusEstimatesCapex">#REF!</definedName>
    <definedName name="z_QEQHF80154_MO_CFSum_ConsensusEstimatesCashFlowPerDilutedShare">#REF!</definedName>
    <definedName name="z_QEQHF80154_MO_CFSum_ConvertibleNotesIssuanceRepayment">#REF!</definedName>
    <definedName name="z_QEQHF80154_MO_CFSum_Divestiture">#REF!</definedName>
    <definedName name="z_QEQHF80154_MO_CFSum_DividendPaid">#REF!</definedName>
    <definedName name="z_QEQHF80154_MO_CFSum_DividendPerShare">#REF!</definedName>
    <definedName name="z_QEQHF80154_MO_CFSum_EstimatedSharePriceforIssuanceBuybacks">#REF!</definedName>
    <definedName name="z_QEQHF80154_MO_CFSum_FCF">#REF!</definedName>
    <definedName name="z_QEQHF80154_MO_CFSum_FCF_1">#REF!</definedName>
    <definedName name="z_QEQHF80154_MO_CFSum_FCF_2">#REF!</definedName>
    <definedName name="z_QEQHF80154_MO_CFSum_FCF_4">#REF!</definedName>
    <definedName name="z_QEQHF80154_MO_CFSum_FCFPostDiv_1">#REF!</definedName>
    <definedName name="z_QEQHF80154_MO_CFSum_FCFPostDiv_2">#REF!</definedName>
    <definedName name="z_QEQHF80154_MO_CFSum_FCFPostDivDebtBuyback">#REF!</definedName>
    <definedName name="z_QEQHF80154_MO_CFSum_FCFPostDivDebtBuyback_1">#REF!</definedName>
    <definedName name="z_QEQHF80154_MO_CFSum_NetDebtIssuanceRepayment">#REF!</definedName>
    <definedName name="z_QEQHF80154_MO_CFSum_NetShareIssuanceBuybacks">#REF!</definedName>
    <definedName name="z_QEQHF80154_MO_CFSum_NonConvertibleNotesIssuanceRepayment">#REF!</definedName>
    <definedName name="z_QEQHF80154_MO_CFSum_OperatingCashFlowafterWC">#REF!</definedName>
    <definedName name="z_QEQHF80154_MO_CFSum_OperatingCashFlowbeforeWC">#REF!</definedName>
    <definedName name="z_QEQHF80154_MO_CFSum_SBCexpense">#REF!</definedName>
    <definedName name="z_QEQHF80154_MO_CFSum_SBCexpenseasofrevenue">#REF!</definedName>
    <definedName name="z_QEQHF80154_MO_Checks_CFS_CFCheck">#REF!</definedName>
    <definedName name="z_QEQHF80154_MO_Checks_IS_ISCheck">#REF!</definedName>
    <definedName name="z_QEQHF80154_MO_Checks_SNA_AdjustedNumbersFYSumofQs">#REF!</definedName>
    <definedName name="z_QEQHF80154_MO_Checks_SNA_BalanceSheetisnotRepeated">#REF!</definedName>
    <definedName name="z_QEQHF80154_MO_Checks_SNA_BSCheck">#REF!</definedName>
    <definedName name="z_QEQHF80154_MO_Checks_SNA_CapexisUpdated">#REF!</definedName>
    <definedName name="z_QEQHF80154_MO_Checks_SNA_CashFlowisnotRepeated">#REF!</definedName>
    <definedName name="z_QEQHF80154_MO_Checks_SNA_CashFlowSummarySignsareCorrect">#REF!</definedName>
    <definedName name="z_QEQHF80154_MO_Checks_SNA_CFFsubtotalFYSumofQs">#REF!</definedName>
    <definedName name="z_QEQHF80154_MO_Checks_SNA_CFIsubtotalFYSumofQs">#REF!</definedName>
    <definedName name="z_QEQHF80154_MO_Checks_SNA_CFOBeforeWCsubtotalFYSumofQs">#REF!</definedName>
    <definedName name="z_QEQHF80154_MO_Checks_SNA_CFOsubtotalFYSumofQs">#REF!</definedName>
    <definedName name="z_QEQHF80154_MO_Checks_SNA_CFSummaryFYSumofQs">#REF!</definedName>
    <definedName name="z_QEQHF80154_MO_Checks_SNA_EndingCFEndingCumulativeCF">#REF!</definedName>
    <definedName name="z_QEQHF80154_MO_Checks_SNA_IncomeStatementisnotRepeated">#REF!</definedName>
    <definedName name="z_QEQHF80154_MO_Checks_SNA_MarginisUpdated">#REF!</definedName>
    <definedName name="z_QEQHF80154_MO_Checks_SNA_NetIncomeonReportedISNIonRevised">#REF!</definedName>
    <definedName name="z_QEQHF80154_MO_Checks_SNA_NetIncomeonRevisedISNIonCFstatement">#REF!</definedName>
    <definedName name="z_QEQHF80154_MO_Checks_SNA_RISAdjustedNIFYSumofQs">#REF!</definedName>
    <definedName name="z_QEQHF80154_MO_Checks_SNA_RISNIFYSumofQs">#REF!</definedName>
    <definedName name="z_QEQHF80154_MO_Checks_SNA_SegmentedRevenueRevenue">#REF!</definedName>
    <definedName name="z_QEQHF80154_MO_DAF_AmortizationaspercentageofIntangiblesBoP">#REF!</definedName>
    <definedName name="z_QEQHF80154_MO_DAF_Amortizationofintangibles">#REF!</definedName>
    <definedName name="z_QEQHF80154_MO_DAF_Capexofintangibles">#REF!</definedName>
    <definedName name="z_QEQHF80154_MO_DAF_CapexofPPE">#REF!</definedName>
    <definedName name="z_QEQHF80154_MO_DAF_CapexofPPEandIntangibles">#REF!</definedName>
    <definedName name="z_QEQHF80154_MO_DAF_DAofPPEandIntangibles">#REF!</definedName>
    <definedName name="z_QEQHF80154_MO_DAF_DepreciationaspercentageofPPEBoP">#REF!</definedName>
    <definedName name="z_QEQHF80154_MO_DAF_Depreciationoffixedassets">#REF!</definedName>
    <definedName name="z_QEQHF80154_MO_DAF_Impliedlifeoffixedassets">#REF!</definedName>
    <definedName name="z_QEQHF80154_MO_DAF_Impliedlifeofintangibles">#REF!</definedName>
    <definedName name="z_QEQHF80154_MO_DAF_IntangiblesBoP">#REF!</definedName>
    <definedName name="z_QEQHF80154_MO_DAF_IntangiblesEoP">#REF!</definedName>
    <definedName name="z_QEQHF80154_MO_DAF_Othernetadditionstointangibles">#REF!</definedName>
    <definedName name="z_QEQHF80154_MO_DAF_OthernetadditionstoPPE">#REF!</definedName>
    <definedName name="z_QEQHF80154_MO_DAF_Percentageofcapexallocatedtointangibleassets">#REF!</definedName>
    <definedName name="z_QEQHF80154_MO_DAF_PPEBoP">#REF!</definedName>
    <definedName name="z_QEQHF80154_MO_DAF_PPEEoP">#REF!</definedName>
    <definedName name="z_QEQHF80154_MO_GA_ChangeinAvgofRestaurants">#REF!</definedName>
    <definedName name="z_QEQHF80154_MO_GA_Comparablerestaurantsalesgrowth">#REF!</definedName>
    <definedName name="z_QEQHF80154_MO_GA_Totalrevenuegrowth">#REF!</definedName>
    <definedName name="z_QEQHF80154_MO_GA_YYgrowthinInStoreChannelrevenue">#REF!</definedName>
    <definedName name="z_QEQHF80154_MO_GA_YYgrowthinMarketplaceChannelrevenue">#REF!</definedName>
    <definedName name="z_QEQHF80154_MO_GA_YYgrowthinOwnedDigitalChannelsrevenue">#REF!</definedName>
    <definedName name="z_QEQHF80154_MO_Header_HeaderRow">#REF!</definedName>
    <definedName name="z_QEQHF80154_MO_Header_HeaderRow_1">#REF!</definedName>
    <definedName name="z_QEQHF80154_MO_Header_HeaderRow_2">#REF!</definedName>
    <definedName name="z_QEQHF80154_MO_Header_HeaderRow_3">#REF!</definedName>
    <definedName name="z_QEQHF80154_MO_Header_HeaderRow_4">#REF!</definedName>
    <definedName name="z_QEQHF80154_MO_IS_Closedstorecosts">#REF!</definedName>
    <definedName name="z_QEQHF80154_MO_IS_CumulativeClosedstorecosts">#REF!</definedName>
    <definedName name="z_QEQHF80154_MO_IS_CumulativeDepreciationandamortization">#REF!</definedName>
    <definedName name="z_QEQHF80154_MO_IS_CumulativeFoodbeverage">#REF!</definedName>
    <definedName name="z_QEQHF80154_MO_IS_CumulativeGeneralandadministrative">#REF!</definedName>
    <definedName name="z_QEQHF80154_MO_IS_CumulativeImpairmentoflonglivedassets">#REF!</definedName>
    <definedName name="z_QEQHF80154_MO_IS_CumulativeIncometaxprovision">#REF!</definedName>
    <definedName name="z_QEQHF80154_MO_IS_CumulativeInterestexpense">#REF!</definedName>
    <definedName name="z_QEQHF80154_MO_IS_CumulativeInterestincome">#REF!</definedName>
    <definedName name="z_QEQHF80154_MO_IS_CumulativeLaborandrelatedexpenses">#REF!</definedName>
    <definedName name="z_QEQHF80154_MO_IS_CumulativeLossfromoperations">#REF!</definedName>
    <definedName name="z_QEQHF80154_MO_IS_CumulativeLossondisposalofpropertyandequipment">#REF!</definedName>
    <definedName name="z_QEQHF80154_MO_IS_CumulativeNetloss_1">#REF!</definedName>
    <definedName name="z_QEQHF80154_MO_IS_CumulativeNetlossbeforeincometaxes">#REF!</definedName>
    <definedName name="z_QEQHF80154_MO_IS_CumulativeOccupancyandrelatedexpenses">#REF!</definedName>
    <definedName name="z_QEQHF80154_MO_IS_CumulativeOtherexpense">#REF!</definedName>
    <definedName name="z_QEQHF80154_MO_IS_CumulativeOtherrestaurantoperatingcosts">#REF!</definedName>
    <definedName name="z_QEQHF80154_MO_IS_CumulativePreopeningcosts">#REF!</definedName>
    <definedName name="z_QEQHF80154_MO_IS_CumulativeRestructuringcharges">#REF!</definedName>
    <definedName name="z_QEQHF80154_MO_IS_CumulativeRevenue">#REF!</definedName>
    <definedName name="z_QEQHF80154_MO_IS_CumulativeTotaloperatingexpenses">#REF!</definedName>
    <definedName name="z_QEQHF80154_MO_IS_CumulativeTotalrestaurantoperatingcosts">#REF!</definedName>
    <definedName name="z_QEQHF80154_MO_IS_Depreciationandamortization">#REF!</definedName>
    <definedName name="z_QEQHF80154_MO_IS_Foodbeverage">#REF!</definedName>
    <definedName name="z_QEQHF80154_MO_IS_Generalandadministrative">#REF!</definedName>
    <definedName name="z_QEQHF80154_MO_IS_Impairmentoflonglivedassets">#REF!</definedName>
    <definedName name="z_QEQHF80154_MO_IS_Incometaxprovision">#REF!</definedName>
    <definedName name="z_QEQHF80154_MO_IS_Interestexpense">#REF!</definedName>
    <definedName name="z_QEQHF80154_MO_IS_Interestincome">#REF!</definedName>
    <definedName name="z_QEQHF80154_MO_IS_Laborandrelatedexpenses">#REF!</definedName>
    <definedName name="z_QEQHF80154_MO_IS_Lossfromoperations">#REF!</definedName>
    <definedName name="z_QEQHF80154_MO_IS_Lossondisposalofpropertyandequipment">#REF!</definedName>
    <definedName name="z_QEQHF80154_MO_IS_Netloss_1">#REF!</definedName>
    <definedName name="z_QEQHF80154_MO_IS_Netlossbeforeincometaxes">#REF!</definedName>
    <definedName name="z_QEQHF80154_MO_IS_Occupancyandrelatedexpenses">#REF!</definedName>
    <definedName name="z_QEQHF80154_MO_IS_Otherexpense">#REF!</definedName>
    <definedName name="z_QEQHF80154_MO_IS_Otherrestaurantoperatingcosts">#REF!</definedName>
    <definedName name="z_QEQHF80154_MO_IS_Preopeningcosts">#REF!</definedName>
    <definedName name="z_QEQHF80154_MO_IS_Restructuringcharges">#REF!</definedName>
    <definedName name="z_QEQHF80154_MO_IS_Revenue">#REF!</definedName>
    <definedName name="z_QEQHF80154_MO_IS_Totaloperatingexpenses">#REF!</definedName>
    <definedName name="z_QEQHF80154_MO_IS_Totalrestaurantoperatingcosts">#REF!</definedName>
    <definedName name="z_QEQHF80154_MO_MA_AddbackDAMargin">#REF!</definedName>
    <definedName name="z_QEQHF80154_MO_MA_AddbackOtherMargin">#REF!</definedName>
    <definedName name="z_QEQHF80154_MO_MA_AddbackSBCMargin">#REF!</definedName>
    <definedName name="z_QEQHF80154_MO_MA_AdjustedEBITDAMargin">#REF!</definedName>
    <definedName name="z_QEQHF80154_MO_MA_AdjustedEBITMargin">#REF!</definedName>
    <definedName name="z_QEQHF80154_MO_MA_AverageFXRate">#REF!</definedName>
    <definedName name="z_QEQHF80154_MO_MA_ConsensusEstimatesAdjustedEBITDAMargin">#REF!</definedName>
    <definedName name="z_QEQHF80154_MO_MA_ConsensusEstimatesAdjustedEBITMargin">#REF!</definedName>
    <definedName name="z_QEQHF80154_MO_MA_DAMargin">#REF!</definedName>
    <definedName name="z_QEQHF80154_MO_MA_EBITDAMargin">#REF!</definedName>
    <definedName name="z_QEQHF80154_MO_MA_EBITMargin">#REF!</definedName>
    <definedName name="z_QEQHF80154_MO_MA_EnterpriseValueAvg">#REF!</definedName>
    <definedName name="z_QEQHF80154_MO_MA_EnterpriseValueComponents">#REF!</definedName>
    <definedName name="z_QEQHF80154_MO_MA_EoPFXRate">#REF!</definedName>
    <definedName name="z_QEQHF80154_MO_MA_EVEBITDAAvg">#REF!</definedName>
    <definedName name="z_QEQHF80154_MO_MA_FCFYieldtoAvgEnterpriseValue">#REF!</definedName>
    <definedName name="z_QEQHF80154_MO_MA_FCFYieldtoAvgMarketCap">#REF!</definedName>
    <definedName name="z_QEQHF80154_MO_MA_FoodandBeverageCostsMarginImprovement">#REF!</definedName>
    <definedName name="z_QEQHF80154_MO_MA_GAMargin">#REF!</definedName>
    <definedName name="z_QEQHF80154_MO_MA_LaborExpenseMargin">#REF!</definedName>
    <definedName name="z_QEQHF80154_MO_MA_LaborExpenseMarginImprovement">#REF!</definedName>
    <definedName name="z_QEQHF80154_MO_MA_MarketCapAvg">#REF!</definedName>
    <definedName name="z_QEQHF80154_MO_MA_NoncontrollingInterest">#REF!</definedName>
    <definedName name="z_QEQHF80154_MO_MA_OccupancyCostsMargin">#REF!</definedName>
    <definedName name="z_QEQHF80154_MO_MA_OccupancyCostsMarginImprovement">#REF!</definedName>
    <definedName name="z_QEQHF80154_MO_MA_OtherEVComponents">#REF!</definedName>
    <definedName name="z_QEQHF80154_MO_MA_OtherMargin">#REF!</definedName>
    <definedName name="z_QEQHF80154_MO_MA_OtherOperatingExpensesMargin">#REF!</definedName>
    <definedName name="z_QEQHF80154_MO_MA_OtherOperatingExpensesMarginImprovement">#REF!</definedName>
    <definedName name="z_QEQHF80154_MO_MA_PCFAvg">#REF!</definedName>
    <definedName name="z_QEQHF80154_MO_MA_PEAvg">#REF!</definedName>
    <definedName name="z_QEQHF80154_MO_MA_PreferredShares">#REF!</definedName>
    <definedName name="z_QEQHF80154_MO_MA_ProductCostsMargin">#REF!</definedName>
    <definedName name="z_QEQHF80154_MO_MA_RestaurantLevelOperatingCostMargin">#REF!</definedName>
    <definedName name="z_QEQHF80154_MO_MA_RestaurantLevelOperatingProfitMargin">#REF!</definedName>
    <definedName name="z_QEQHF80154_MO_MA_RestaurantLevelOperatingProfitMarginImprovement">#REF!</definedName>
    <definedName name="z_QEQHF80154_MO_MA_StockAverage">#REF!</definedName>
    <definedName name="z_QEQHF80154_MO_MA_StockEoP">#REF!</definedName>
    <definedName name="z_QEQHF80154_MO_MA_StockHigh">#REF!</definedName>
    <definedName name="z_QEQHF80154_MO_MA_StockLow">#REF!</definedName>
    <definedName name="z_QEQHF80154_MO_MA_StockPriceReportingCurAvg">#REF!</definedName>
    <definedName name="z_QEQHF80154_MO_MA_StockPriceTradingCurAvg">#REF!</definedName>
    <definedName name="z_QEQHF80154_MO_OS_20X1NoteAmortizationofDebtIssuanceCost">#REF!</definedName>
    <definedName name="z_QEQHF80154_MO_OS_20X1NotesCashPaymentonCappedCallExercise">#REF!</definedName>
    <definedName name="z_QEQHF80154_MO_OS_20X1NotesCashPaymentonNotePrincipalRepayment">#REF!</definedName>
    <definedName name="z_QEQHF80154_MO_OS_20X1NotesNetShareIncreasefromNoteConversionandCappedCallExercise">#REF!</definedName>
    <definedName name="z_QEQHF80154_MO_OS_20X1NotesOutstandingBookValue">#REF!</definedName>
    <definedName name="z_QEQHF80154_MO_OS_20X1NotesOutstandingPrincipalEoP">#REF!</definedName>
    <definedName name="z_QEQHF80154_MO_OS_20X1NotesOutstandingUnamortizedDebtDiscount">#REF!</definedName>
    <definedName name="z_QEQHF80154_MO_OS_20X1NotesOutstandingUnamortizedDebtIssuanceCosts">#REF!</definedName>
    <definedName name="z_QEQHF80154_MO_OS_Accountspayable">#REF!</definedName>
    <definedName name="z_QEQHF80154_MO_OS_AccountspayableYYChange">#REF!</definedName>
    <definedName name="z_QEQHF80154_MO_OS_Accountsreceivable">#REF!</definedName>
    <definedName name="z_QEQHF80154_MO_OS_AccountsreceivableYYChange">#REF!</definedName>
    <definedName name="z_QEQHF80154_MO_OS_Accruedexpenses">#REF!</definedName>
    <definedName name="z_QEQHF80154_MO_OS_AccruedexpensesYYChange">#REF!</definedName>
    <definedName name="z_QEQHF80154_MO_OS_Accruedpayroll">#REF!</definedName>
    <definedName name="z_QEQHF80154_MO_OS_AccruedpayrollYYChange">#REF!</definedName>
    <definedName name="z_QEQHF80154_MO_OS_Activecustomers">#REF!</definedName>
    <definedName name="z_QEQHF80154_MO_OS_AdjustedCash">#REF!</definedName>
    <definedName name="z_QEQHF80154_MO_OS_AdjustedDebt">#REF!</definedName>
    <definedName name="z_QEQHF80154_MO_OS_Americanswhoeastfastfoodeveryday">#REF!</definedName>
    <definedName name="z_QEQHF80154_MO_OS_Appconversionrate">#REF!</definedName>
    <definedName name="z_QEQHF80154_MO_OS_AppdownloadsonAppleandGoogleplaystore">#REF!</definedName>
    <definedName name="z_QEQHF80154_MO_OS_AssumedAverageExercisePriceSpyceAcquisition">#REF!</definedName>
    <definedName name="z_QEQHF80154_MO_OS_AssumedStockOptionsSpycePlan">#REF!</definedName>
    <definedName name="z_QEQHF80154_MO_OS_Averageinvestmentperrestaurant">#REF!</definedName>
    <definedName name="z_QEQHF80154_MO_OS_Averagequarterlyorderspercustomerwhoorderednondigitalonly">#REF!</definedName>
    <definedName name="z_QEQHF80154_MO_OS_Averagequarterlyorderspercustomerwhoorderedon1digitalchannel">#REF!</definedName>
    <definedName name="z_QEQHF80154_MO_OS_Averagequarterlyorderspercustomerwhoorderedon2digitalchannels">#REF!</definedName>
    <definedName name="z_QEQHF80154_MO_OS_AveragequarterlyordersperOutpostcustomer">#REF!</definedName>
    <definedName name="z_QEQHF80154_MO_OS_Averagesamestoresaleschangeperannumfrom20142019">#REF!</definedName>
    <definedName name="z_QEQHF80154_MO_OS_AverageUnitVolumecalculated">#REF!</definedName>
    <definedName name="z_QEQHF80154_MO_OS_AverageUnitVolumereported">#REF!</definedName>
    <definedName name="z_QEQHF80154_MO_OS_AverageyeartwoCashonCashReturnsforourrestaurantsopenedfrom2014through2017">#REF!</definedName>
    <definedName name="z_QEQHF80154_MO_OS_AverageyeartwoCashonCashReturnsforourrestaurantsopenedfrom2014through2017_1">#REF!</definedName>
    <definedName name="z_QEQHF80154_MO_OS_BoPTotalStockOptionsOutstanding">#REF!</definedName>
    <definedName name="z_QEQHF80154_MO_OS_BoPTotalStockOptionsOutstandingexclgrantedacquisition">"Deleted"</definedName>
    <definedName name="z_QEQHF80154_MO_OS_BoPWeightedAverageExercisePrice">#REF!</definedName>
    <definedName name="z_QEQHF80154_MO_OS_BoPWeightedAverageExercisePricePerShareexclgrantedandacquisition">"Deleted"</definedName>
    <definedName name="z_QEQHF80154_MO_OS_Brandawareness">#REF!</definedName>
    <definedName name="z_QEQHF80154_MO_OS_Californiarestaurants">#REF!</definedName>
    <definedName name="z_QEQHF80154_MO_OS_CanalystCoverPageFullyDilutedSharesOutstanding">#REF!</definedName>
    <definedName name="z_QEQHF80154_MO_OS_CanalystEoPFullyDilutedSharesOutstanding">#REF!</definedName>
    <definedName name="z_QEQHF80154_MO_OS_CanalystFullyDilutedMarketCap">#REF!</definedName>
    <definedName name="z_QEQHF80154_MO_OS_CappedCallImpact">#REF!</definedName>
    <definedName name="z_QEQHF80154_MO_OS_Cash_1">#REF!</definedName>
    <definedName name="z_QEQHF80154_MO_OS_CashPaidforExercisingCallOptions">#REF!</definedName>
    <definedName name="z_QEQHF80154_MO_OS_ChangeinbenefitrelatedtorefundableemployeeretentiontaxcreditsERC">#REF!</definedName>
    <definedName name="z_QEQHF80154_MO_OS_Changeinfoodbeverageandpackagingcostsfoodandbeveragecosts">#REF!</definedName>
    <definedName name="z_QEQHF80154_MO_OS_Changeinfoodbeverageandpackagingcostsfreightandgassurcharge">#REF!</definedName>
    <definedName name="z_QEQHF80154_MO_OS_Changeinfoodbeverageandpackagingcostsotherexpenses">#REF!</definedName>
    <definedName name="z_QEQHF80154_MO_OS_Changeinfoodbeverageandpackagingcostspackagingcosts">#REF!</definedName>
    <definedName name="z_QEQHF80154_MO_OS_ChangeinGAaccountingrelatedfees">#REF!</definedName>
    <definedName name="z_QEQHF80154_MO_OS_ChangeinGAacquisitioncosts">#REF!</definedName>
    <definedName name="z_QEQHF80154_MO_OS_ChangeinGAbenefitofERCs">#REF!</definedName>
    <definedName name="z_QEQHF80154_MO_OS_ChangeinGACOVID19relatedemployeesupportcosts">#REF!</definedName>
    <definedName name="z_QEQHF80154_MO_OS_ChangeinGAdirectorsofficersliabilityinsurancecosts">#REF!</definedName>
    <definedName name="z_QEQHF80154_MO_OS_ChangeinGAgeneralcosts">#REF!</definedName>
    <definedName name="z_QEQHF80154_MO_OS_ChangeinGAincrementalcostsincurredrelatedtostoreclosuresandstoredamagefromcivilunrest">#REF!</definedName>
    <definedName name="z_QEQHF80154_MO_OS_ChangeinGAinvestmentinSpyce">#REF!</definedName>
    <definedName name="z_QEQHF80154_MO_OS_ChangeinGAIPOexpenses">#REF!</definedName>
    <definedName name="z_QEQHF80154_MO_OS_ChangeinGAlegalfees">#REF!</definedName>
    <definedName name="z_QEQHF80154_MO_OS_ChangeinGAmanagementbonus">#REF!</definedName>
    <definedName name="z_QEQHF80154_MO_OS_ChangeinGAmanagementrelatedwagesandbenefits">#REF!</definedName>
    <definedName name="z_QEQHF80154_MO_OS_ChangeinGAmarketingandadvertising">#REF!</definedName>
    <definedName name="z_QEQHF80154_MO_OS_ChangeinGAnonrecurringacquisitionrelatedcosts">#REF!</definedName>
    <definedName name="z_QEQHF80154_MO_OS_ChangeinGAoperationalandsystemrelatedexpenses">#REF!</definedName>
    <definedName name="z_QEQHF80154_MO_OS_ChangeinGAoperationalconsultingcosts">#REF!</definedName>
    <definedName name="z_QEQHF80154_MO_OS_ChangeinGAotherexpenses">#REF!</definedName>
    <definedName name="z_QEQHF80154_MO_OS_ChangeinGApubliccompanyofficesystems">#REF!</definedName>
    <definedName name="z_QEQHF80154_MO_OS_ChangeinGARD">#REF!</definedName>
    <definedName name="z_QEQHF80154_MO_OS_ChangeinGARD_1">#REF!</definedName>
    <definedName name="z_QEQHF80154_MO_OS_ChangeinGAreferralbonus">#REF!</definedName>
    <definedName name="z_QEQHF80154_MO_OS_ChangeinGArent">#REF!</definedName>
    <definedName name="z_QEQHF80154_MO_OS_ChangeinGArestauranttrainingprogram">#REF!</definedName>
    <definedName name="z_QEQHF80154_MO_OS_ChangeinGASBCexpenses">#REF!</definedName>
    <definedName name="z_QEQHF80154_MO_OS_ChangeinGASBCexpensesrelatedtopreviouslyissuedperformancebasedstockoptions">#REF!</definedName>
    <definedName name="z_QEQHF80154_MO_OS_ChangeinGAseverancerelatedcosts">#REF!</definedName>
    <definedName name="z_QEQHF80154_MO_OS_ChangeinGAtemporarylaborcosts">#REF!</definedName>
    <definedName name="z_QEQHF80154_MO_OS_ChangeinGAtravelrelatedexpenses">#REF!</definedName>
    <definedName name="z_QEQHF80154_MO_OS_Changeinlaborandrelatedexpenseschangeinheadcountandnewrestaurantopenings">#REF!</definedName>
    <definedName name="z_QEQHF80154_MO_OS_Changeinlaborandrelatedexpensesotherexpenses">#REF!</definedName>
    <definedName name="z_QEQHF80154_MO_OS_Changeinoccupancyandrelatedexpensesnewrestaurantopenings">#REF!</definedName>
    <definedName name="z_QEQHF80154_MO_OS_Changeinoccupancyandrelatedexpensesotherexpenses">#REF!</definedName>
    <definedName name="z_QEQHF80154_MO_OS_Changeinotherrestaurantoperatingcostscreditcardandonlinerelatedprocessingfees">#REF!</definedName>
    <definedName name="z_QEQHF80154_MO_OS_Changeinotherrestaurantoperatingcostsdeliveryfees">#REF!</definedName>
    <definedName name="z_QEQHF80154_MO_OS_Changeinotherrestaurantoperatingcostskitchencleaningandrelatedsuppliestosupportnewopenings">#REF!</definedName>
    <definedName name="z_QEQHF80154_MO_OS_Changeinotherrestaurantoperatingcostsofficesystemsrelatedexpense">#REF!</definedName>
    <definedName name="z_QEQHF80154_MO_OS_Changeinotherrestaurantoperatingcostsotherexpenses">#REF!</definedName>
    <definedName name="z_QEQHF80154_MO_OS_Changeinotherrestaurantoperatingcostspaidadvertising">#REF!</definedName>
    <definedName name="z_QEQHF80154_MO_OS_Changeinotherrestaurantoperatingcostsrealestatetaxesutilitiesandrepairandmaintenanceexpenses">#REF!</definedName>
    <definedName name="z_QEQHF80154_MO_OS_Changeinrevenuescomprestaurantbaserevenue">#REF!</definedName>
    <definedName name="z_QEQHF80154_MO_OS_Changeinrevenuesimpactoftemporaryclosures">#REF!</definedName>
    <definedName name="z_QEQHF80154_MO_OS_Changeinrevenuesnewrestaurantopenings">#REF!</definedName>
    <definedName name="z_QEQHF80154_MO_OS_Changeinrevenuesotherrevenues">#REF!</definedName>
    <definedName name="z_QEQHF80154_MO_OS_Changeinsamestoresales">#REF!</definedName>
    <definedName name="z_QEQHF80154_MO_OS_ClassAcommonstockoutstandingEoP">#REF!</definedName>
    <definedName name="z_QEQHF80154_MO_OS_ClassAequivalentcommonstockoutstandingEoP">#REF!</definedName>
    <definedName name="z_QEQHF80154_MO_OS_ClassBcommonstockoutstandingEoP">#REF!</definedName>
    <definedName name="z_QEQHF80154_MO_OS_ClassBtoClassAconversionratio">#REF!</definedName>
    <definedName name="z_QEQHF80154_MO_OS_Closedrestaurantimpactoncompbasecalculated">#REF!</definedName>
    <definedName name="z_QEQHF80154_MO_OS_Coloradorestaurants">#REF!</definedName>
    <definedName name="z_QEQHF80154_MO_OS_Comparablerestaurantsalesgrowth">#REF!</definedName>
    <definedName name="z_QEQHF80154_MO_OS_Comprestaurantoperatingweekscalculated">#REF!</definedName>
    <definedName name="z_QEQHF80154_MO_OS_Comprestaurantprioryearsalesbaseperoperatingweekcalculated">#REF!</definedName>
    <definedName name="z_QEQHF80154_MO_OS_Comprestaurantsalesperoperatingweekcalculated">#REF!</definedName>
    <definedName name="z_QEQHF80154_MO_OS_ComprestaurantsAveragecalculated">#REF!</definedName>
    <definedName name="z_QEQHF80154_MO_OS_Comprestaurantscalculated">#REF!</definedName>
    <definedName name="z_QEQHF80154_MO_OS_Connecticutrestaurants">#REF!</definedName>
    <definedName name="z_QEQHF80154_MO_OS_ConvertibleDebtConversionImpact">#REF!</definedName>
    <definedName name="z_QEQHF80154_MO_OS_Coremenuitems">#REF!</definedName>
    <definedName name="z_QEQHF80154_MO_OS_Coremenuitemsrevenueasaoftotalrevenue">#REF!</definedName>
    <definedName name="z_QEQHF80154_MO_OS_Coremenuorderswithatleastonemodification">#REF!</definedName>
    <definedName name="z_QEQHF80154_MO_OS_CoverpageClassAcommonstockoutstanding">#REF!</definedName>
    <definedName name="z_QEQHF80154_MO_OS_CoverpageClassAequivalentcommonstockoutstandingcalculated">#REF!</definedName>
    <definedName name="z_QEQHF80154_MO_OS_CoverpageClassBcommonstockoutstanding">#REF!</definedName>
    <definedName name="z_QEQHF80154_MO_OS_CumulativeAssumedAverageExercisePriceSpyceAcquisition">#REF!</definedName>
    <definedName name="z_QEQHF80154_MO_OS_CumulativeAssumedStockOptionsSpycePlan">#REF!</definedName>
    <definedName name="z_QEQHF80154_MO_OS_CumulativeAverageUnitVolume">#REF!</definedName>
    <definedName name="z_QEQHF80154_MO_OS_CumulativeBoPTotalStockOptionsOutstanding">#REF!</definedName>
    <definedName name="z_QEQHF80154_MO_OS_CumulativeBoPWeightedAverageExercisePrice">#REF!</definedName>
    <definedName name="z_QEQHF80154_MO_OS_CumulativeEoPTotalStockOptionsOutstanding">#REF!</definedName>
    <definedName name="z_QEQHF80154_MO_OS_CumulativeEoPWeightedAverageExercisePrice">#REF!</definedName>
    <definedName name="z_QEQHF80154_MO_OS_CumulativeExercisedAverageExercisePrice">#REF!</definedName>
    <definedName name="z_QEQHF80154_MO_OS_CumulativeExercisedStockOptions">#REF!</definedName>
    <definedName name="z_QEQHF80154_MO_OS_CumulativeExpiredAverageExercisePrice">#REF!</definedName>
    <definedName name="z_QEQHF80154_MO_OS_CumulativeExpiredStockOptions">#REF!</definedName>
    <definedName name="z_QEQHF80154_MO_OS_CumulativeForfeitedandExpiredAverageExercisePrice">#REF!</definedName>
    <definedName name="z_QEQHF80154_MO_OS_CumulativeForfeitedandExpiredStockOptions">#REF!</definedName>
    <definedName name="z_QEQHF80154_MO_OS_CumulativeForfeitedAverageExercisePrice">#REF!</definedName>
    <definedName name="z_QEQHF80154_MO_OS_CumulativeForfeitedStockOptions">#REF!</definedName>
    <definedName name="z_QEQHF80154_MO_OS_CumulativeGrantedAverageExercisePrice">#REF!</definedName>
    <definedName name="z_QEQHF80154_MO_OS_CumulativeGrantedStockOptions">#REF!</definedName>
    <definedName name="z_QEQHF80154_MO_OS_CumulativeInStoreChannelrevenue">#REF!</definedName>
    <definedName name="z_QEQHF80154_MO_OS_CumulativeMarketplaceChannelrevenue">#REF!</definedName>
    <definedName name="z_QEQHF80154_MO_OS_CumulativeOwnedDigitalChannelsrevenue">#REF!</definedName>
    <definedName name="z_QEQHF80154_MO_OS_CumulativeOwnedDigitalRevenuePercentage">#REF!</definedName>
    <definedName name="z_QEQHF80154_MO_OS_CumulativeSameStoreSalesChange">#REF!</definedName>
    <definedName name="z_QEQHF80154_MO_OS_CumulativeTotalDigitalRevenuePercentage">#REF!</definedName>
    <definedName name="z_QEQHF80154_MO_OS_CumulativeTotalRevenue">#REF!</definedName>
    <definedName name="z_QEQHF80154_MO_OS_CurrentPeriodfoodbeverageandpackagingcosts">#REF!</definedName>
    <definedName name="z_QEQHF80154_MO_OS_CurrentPeriodGA">#REF!</definedName>
    <definedName name="z_QEQHF80154_MO_OS_CurrentPeriodlaborandrelatedexpenses">#REF!</definedName>
    <definedName name="z_QEQHF80154_MO_OS_CurrentPeriodoccupancyandrelatedexpenses">#REF!</definedName>
    <definedName name="z_QEQHF80154_MO_OS_CurrentPeriodotherrestaurantoperatingcosts">#REF!</definedName>
    <definedName name="z_QEQHF80154_MO_OS_CurrentPeriodrevenues">#REF!</definedName>
    <definedName name="z_QEQHF80154_MO_OS_Customersover35yearsofage">#REF!</definedName>
    <definedName name="z_QEQHF80154_MO_OS_Customersover45yearsofage">#REF!</definedName>
    <definedName name="z_QEQHF80154_MO_OS_Customerswhoorderednondigitalonly">#REF!</definedName>
    <definedName name="z_QEQHF80154_MO_OS_Customerswhoorderedon1digitalchannel">#REF!</definedName>
    <definedName name="z_QEQHF80154_MO_OS_Customerswhoorderedon2digitalchannels">#REF!</definedName>
    <definedName name="z_QEQHF80154_MO_OS_Customordersrevenueasaoftotalrevenue">#REF!</definedName>
    <definedName name="z_QEQHF80154_MO_OS_Dateofcoverpagesharecount">#REF!</definedName>
    <definedName name="z_QEQHF80154_MO_OS_Debt">#REF!</definedName>
    <definedName name="z_QEQHF80154_MO_OS_DifferenceinAverageOrderValueforordersplacedonOwnedDigitalChannelsvsNondigitalorders">#REF!</definedName>
    <definedName name="z_QEQHF80154_MO_OS_Digitalexclusiveitemsrevenueasaoftotalrevenue">#REF!</definedName>
    <definedName name="z_QEQHF80154_MO_OS_Dilutedsharecounttobasicsharecountratio">"Deleted"</definedName>
    <definedName name="z_QEQHF80154_MO_OS_DilutedSharesfromSBCplusBasicSharestoBasicShareCountRatio">#REF!</definedName>
    <definedName name="z_QEQHF80154_MO_OS_DilutiveOffsetfromCappedCall20X1">#REF!</definedName>
    <definedName name="z_QEQHF80154_MO_OS_DilutiveSharesfromConvertibleNotes20X1">#REF!</definedName>
    <definedName name="z_QEQHF80154_MO_OS_DilutiveSharesfromExercisedOptionsTreasuryMethod">#REF!</definedName>
    <definedName name="z_QEQHF80154_MO_OS_DilutiveSharesfromExercisedWarrantsTreasuryMethod">#REF!</definedName>
    <definedName name="z_QEQHF80154_MO_OS_Dinnerordersmix">#REF!</definedName>
    <definedName name="z_QEQHF80154_MO_OS_Domesticfoodpartners">#REF!</definedName>
    <definedName name="z_QEQHF80154_MO_OS_Employees">#REF!</definedName>
    <definedName name="z_QEQHF80154_MO_OS_EndofPeriodStockPrice">#REF!</definedName>
    <definedName name="z_QEQHF80154_MO_OS_EoPContingentlyIssuableStockPriceSpyceAcquisition">#REF!</definedName>
    <definedName name="z_QEQHF80154_MO_OS_EoPContingentlyIssuableStockSpyceAcquisition">#REF!</definedName>
    <definedName name="z_QEQHF80154_MO_OS_EoPESPPObligations">#REF!</definedName>
    <definedName name="z_QEQHF80154_MO_OS_EoPOthers">#REF!</definedName>
    <definedName name="z_QEQHF80154_MO_OS_EoPPotentiallyDilutiveSecurities">#REF!</definedName>
    <definedName name="z_QEQHF80154_MO_OS_EoPTotalDilutedCommonStockOutstanding">#REF!</definedName>
    <definedName name="z_QEQHF80154_MO_OS_EoPTotalSharesOutstanding">"Deleted"</definedName>
    <definedName name="z_QEQHF80154_MO_OS_EoPTotalStockOptionsExercisable">#REF!</definedName>
    <definedName name="z_QEQHF80154_MO_OS_EoPTotalStockOptionsOutstanding">#REF!</definedName>
    <definedName name="z_QEQHF80154_MO_OS_EoPTotalStockOptionsOutstanding_2">#REF!</definedName>
    <definedName name="z_QEQHF80154_MO_OS_EoPTotalStockOptionsOutstandingexclgrantedacquisition">"Deleted"</definedName>
    <definedName name="z_QEQHF80154_MO_OS_EoPUndistributedPSUPrice">#REF!</definedName>
    <definedName name="z_QEQHF80154_MO_OS_EoPUndistributedPSUs">#REF!</definedName>
    <definedName name="z_QEQHF80154_MO_OS_EoPUnvestedPSOs">#REF!</definedName>
    <definedName name="z_QEQHF80154_MO_OS_EoPUnvestedPSUs">#REF!</definedName>
    <definedName name="z_QEQHF80154_MO_OS_EoPUnvestedRSUPrice">#REF!</definedName>
    <definedName name="z_QEQHF80154_MO_OS_EoPUnvestedRSUs">#REF!</definedName>
    <definedName name="z_QEQHF80154_MO_OS_EoPWarrants">#REF!</definedName>
    <definedName name="z_QEQHF80154_MO_OS_EoPWarrantsAverageExercisePrice">#REF!</definedName>
    <definedName name="z_QEQHF80154_MO_OS_EoPWeightedAverageExercisableOptionExercisePrice">#REF!</definedName>
    <definedName name="z_QEQHF80154_MO_OS_EoPWeightedAverageExercisePrice">#REF!</definedName>
    <definedName name="z_QEQHF80154_MO_OS_EoPWeightedAverageExercisePricePerShareexclgrantedandacquisition">"Deleted"</definedName>
    <definedName name="z_QEQHF80154_MO_OS_EVNTMEBITDAFullyDiluted">#REF!</definedName>
    <definedName name="z_QEQHF80154_MO_OS_EVNTMSalesFullyDiluted">#REF!</definedName>
    <definedName name="z_QEQHF80154_MO_OS_ExercisedAverageExercisePrice">#REF!</definedName>
    <definedName name="z_QEQHF80154_MO_OS_ExercisedAverageExercisePrice_1">"Deleted"</definedName>
    <definedName name="z_QEQHF80154_MO_OS_ExercisedStockOptions">#REF!</definedName>
    <definedName name="z_QEQHF80154_MO_OS_ExercisedStockOptions_1">"Deleted"</definedName>
    <definedName name="z_QEQHF80154_MO_OS_FastfoodlocationsintheUS">#REF!</definedName>
    <definedName name="z_QEQHF80154_MO_OS_Floridarestaurants">#REF!</definedName>
    <definedName name="z_QEQHF80154_MO_OS_Foodawayfromhome">#REF!</definedName>
    <definedName name="z_QEQHF80154_MO_OS_Foodexpenditures">#REF!</definedName>
    <definedName name="z_QEQHF80154_MO_OS_ForfeitedandCanceledAverageExercisePrice">#REF!</definedName>
    <definedName name="z_QEQHF80154_MO_OS_ForfeitedandCanceledAverageExercisePrice_1">"Deleted"</definedName>
    <definedName name="z_QEQHF80154_MO_OS_ForfeitedandCanceledStockOptions">"Deleted"</definedName>
    <definedName name="z_QEQHF80154_MO_OS_ForfeitedandExpiredStockOptions">#REF!</definedName>
    <definedName name="z_QEQHF80154_MO_OS_FullyDilutedEV">#REF!</definedName>
    <definedName name="z_QEQHF80154_MO_OS_Georgiarestaurants">#REF!</definedName>
    <definedName name="z_QEQHF80154_MO_OS_GrantedAverageExercisePrice">#REF!</definedName>
    <definedName name="z_QEQHF80154_MO_OS_GrantedStockOptions">#REF!</definedName>
    <definedName name="z_QEQHF80154_MO_OS_Illinoisrestaurants">#REF!</definedName>
    <definedName name="z_QEQHF80154_MO_OS_Impactofbasechange">#REF!</definedName>
    <definedName name="z_QEQHF80154_MO_OS_InitialCapPrice20X1">#REF!</definedName>
    <definedName name="z_QEQHF80154_MO_OS_InitialConversionPrice20X1">#REF!</definedName>
    <definedName name="z_QEQHF80154_MO_OS_InStoreChannelrevenue">#REF!</definedName>
    <definedName name="z_QEQHF80154_MO_OS_Inventory">#REF!</definedName>
    <definedName name="z_QEQHF80154_MO_OS_InventoryYYChange">#REF!</definedName>
    <definedName name="z_QEQHF80154_MO_OS_LastWorkingDay">#REF!</definedName>
    <definedName name="z_QEQHF80154_MO_OS_Limitedservicerestaurants20142019CAGR">#REF!</definedName>
    <definedName name="z_QEQHF80154_MO_OS_LTMAUV">#REF!</definedName>
    <definedName name="z_QEQHF80154_MO_OS_LTMLaborExpense">#REF!</definedName>
    <definedName name="z_QEQHF80154_MO_OS_LTMOccupancyandOtherOPEX">#REF!</definedName>
    <definedName name="z_QEQHF80154_MO_OS_LTMOccupancyExpense">#REF!</definedName>
    <definedName name="z_QEQHF80154_MO_OS_LTMOtherOPEX">#REF!</definedName>
    <definedName name="z_QEQHF80154_MO_OS_LTMProductCosts">#REF!</definedName>
    <definedName name="z_QEQHF80154_MO_OS_LTMRestLevelExpenseMargin">#REF!</definedName>
    <definedName name="z_QEQHF80154_MO_OS_LTMRestLevelProfitMargin">#REF!</definedName>
    <definedName name="z_QEQHF80154_MO_OS_LTMSalesGrowth">#REF!</definedName>
    <definedName name="z_QEQHF80154_MO_OS_LTMSameStoreSalesGrowth">#REF!</definedName>
    <definedName name="z_QEQHF80154_MO_OS_LTMTotalRevenue">#REF!</definedName>
    <definedName name="z_QEQHF80154_MO_OS_Lunchordersmix">#REF!</definedName>
    <definedName name="z_QEQHF80154_MO_OS_MarketplaceChannelrevenue">#REF!</definedName>
    <definedName name="z_QEQHF80154_MO_OS_Marketplacedeliverychannelrevenuemix">#REF!</definedName>
    <definedName name="z_QEQHF80154_MO_OS_Marylandrestaurants">#REF!</definedName>
    <definedName name="z_QEQHF80154_MO_OS_Massachusettsrestaurants">#REF!</definedName>
    <definedName name="z_QEQHF80154_MO_OS_Mealsserved">#REF!</definedName>
    <definedName name="z_QEQHF80154_MO_OS_Mealsservedsinceinception">#REF!</definedName>
    <definedName name="z_QEQHF80154_MO_OS_Netclosedproductivityestimated">#REF!</definedName>
    <definedName name="z_QEQHF80154_MO_OS_NetDebt">#REF!</definedName>
    <definedName name="z_QEQHF80154_MO_OS_NetNewRestaurantOpenings">#REF!</definedName>
    <definedName name="z_QEQHF80154_MO_OS_NewJerseyrestaurants">#REF!</definedName>
    <definedName name="z_QEQHF80154_MO_OS_Newrestaurantoperatingweekscalculated">#REF!</definedName>
    <definedName name="z_QEQHF80154_MO_OS_Newrestaurantsalesperoperatingweekcalculated">#REF!</definedName>
    <definedName name="z_QEQHF80154_MO_OS_Newrestaurantsalesproductivitycalculated">#REF!</definedName>
    <definedName name="z_QEQHF80154_MO_OS_NewrestaurantsAveragecalculated">#REF!</definedName>
    <definedName name="z_QEQHF80154_MO_OS_Newrestaurantscalculated">#REF!</definedName>
    <definedName name="z_QEQHF80154_MO_OS_Newrestaurantsinnewmarketsthathaveopenedsince2020averagepenetrationonowneddigitalchannels">#REF!</definedName>
    <definedName name="z_QEQHF80154_MO_OS_Newrestaurantsinnewmarketsthathaveopenedsince2020averagepenetrationontotaldigitalchannels">#REF!</definedName>
    <definedName name="z_QEQHF80154_MO_OS_Newstoregrowth">#REF!</definedName>
    <definedName name="z_QEQHF80154_MO_OS_NewYorkrestaurants">#REF!</definedName>
    <definedName name="z_QEQHF80154_MO_OS_Noncomparablesalesgrowth">#REF!</definedName>
    <definedName name="z_QEQHF80154_MO_OS_NoncontrollingInterest">#REF!</definedName>
    <definedName name="z_QEQHF80154_MO_OS_Offpremisestransactionsrevenue_1">#REF!</definedName>
    <definedName name="z_QEQHF80154_MO_OS_Offpremisestransactionsrevenuemix">#REF!</definedName>
    <definedName name="z_QEQHF80154_MO_OS_OperatingLeaseLiabilities">#REF!</definedName>
    <definedName name="z_QEQHF80154_MO_OS_Organicfoodrevenue20102019CAGR">#REF!</definedName>
    <definedName name="z_QEQHF80154_MO_OS_Organicfoodsales20102019CAGR">#REF!</definedName>
    <definedName name="z_QEQHF80154_MO_OS_OtherEVComponents">#REF!</definedName>
    <definedName name="z_QEQHF80154_MO_OS_Otheritemsrevenueasaoftotalrevenue">#REF!</definedName>
    <definedName name="z_QEQHF80154_MO_OS_Outpostlocations">#REF!</definedName>
    <definedName name="z_QEQHF80154_MO_OS_OwnedDigitalChannelsrevenue">#REF!</definedName>
    <definedName name="z_QEQHF80154_MO_OS_Owneddigitalrevenuemix">#REF!</definedName>
    <definedName name="z_QEQHF80154_MO_OS_Pennsylvaniarestaurants">#REF!</definedName>
    <definedName name="z_QEQHF80154_MO_OS_PreferredShares">#REF!</definedName>
    <definedName name="z_QEQHF80154_MO_OS_Prepaidexpenses">#REF!</definedName>
    <definedName name="z_QEQHF80154_MO_OS_PrepaidexpensesYYChange">#REF!</definedName>
    <definedName name="z_QEQHF80154_MO_OS_PriorPeriodfoodbeverageandpackagingcosts">#REF!</definedName>
    <definedName name="z_QEQHF80154_MO_OS_PriorPeriodGA">#REF!</definedName>
    <definedName name="z_QEQHF80154_MO_OS_PriorPeriodlaborandrelatedexpenses">#REF!</definedName>
    <definedName name="z_QEQHF80154_MO_OS_PriorPeriodoccupancyandrelatedexpenses">#REF!</definedName>
    <definedName name="z_QEQHF80154_MO_OS_PriorPeriodotherrestaurantoperatingcosts">#REF!</definedName>
    <definedName name="z_QEQHF80154_MO_OS_PriorPeriodrevenues">#REF!</definedName>
    <definedName name="z_QEQHF80154_MO_OS_QQbasicshareexpansionEoP">#REF!</definedName>
    <definedName name="z_QEQHF80154_MO_OS_QQbasicshareexpansionfromdilutivesecurities">#REF!</definedName>
    <definedName name="z_QEQHF80154_MO_OS_QQbasicshareexpansionfromshareissuancebuyback">#REF!</definedName>
    <definedName name="z_QEQHF80154_MO_OS_RestaurantAverage">#REF!</definedName>
    <definedName name="z_QEQHF80154_MO_OS_Restaurantemployees">#REF!</definedName>
    <definedName name="z_QEQHF80154_MO_OS_RestaurantsBoP">#REF!</definedName>
    <definedName name="z_QEQHF80154_MO_OS_Restaurantsclosed">#REF!</definedName>
    <definedName name="z_QEQHF80154_MO_OS_RestaurantsEoP">#REF!</definedName>
    <definedName name="z_QEQHF80154_MO_OS_Restaurantsopened">#REF!</definedName>
    <definedName name="z_QEQHF80154_MO_OS_Restrictedstock">#REF!</definedName>
    <definedName name="z_QEQHF80154_MO_OS_Salesfromcomprestaurants">#REF!</definedName>
    <definedName name="z_QEQHF80154_MO_OS_Salesfromnewrestaurants">#REF!</definedName>
    <definedName name="z_QEQHF80154_MO_OS_Salespercomprestaurantcalculated">#REF!</definedName>
    <definedName name="z_QEQHF80154_MO_OS_Salespernewrestaurantcalculated">#REF!</definedName>
    <definedName name="z_QEQHF80154_MO_OS_SalesPerRestaurantCalculated">#REF!</definedName>
    <definedName name="z_QEQHF80154_MO_OS_SameStoreSalesChange">#REF!</definedName>
    <definedName name="z_QEQHF80154_MO_OS_Seasonalmenuitemsrevenueasaoftotalrevenue">#REF!</definedName>
    <definedName name="z_QEQHF80154_MO_OS_SharesCovered20X1">#REF!</definedName>
    <definedName name="z_QEQHF80154_MO_OS_SharesIssuableUponConversion">#REF!</definedName>
    <definedName name="z_QEQHF80154_MO_OS_Signaturesaladswarmbowlsandplatescumulativerevenuemix">#REF!</definedName>
    <definedName name="z_QEQHF80154_MO_OS_Statesserved">#REF!</definedName>
    <definedName name="z_QEQHF80154_MO_OS_Supportcenteremployees">#REF!</definedName>
    <definedName name="z_QEQHF80154_MO_OS_TargetmaximumAUV">#REF!</definedName>
    <definedName name="z_QEQHF80154_MO_OS_TargetmaximumRestaurantLevelProfitMargin">#REF!</definedName>
    <definedName name="z_QEQHF80154_MO_OS_TargetmaximumtwoCashonCashReturns">#REF!</definedName>
    <definedName name="z_QEQHF80154_MO_OS_TargetminimumAUV">#REF!</definedName>
    <definedName name="z_QEQHF80154_MO_OS_TargetminimumRestaurantLevelProfitMargin">#REF!</definedName>
    <definedName name="z_QEQHF80154_MO_OS_TargetminimumyeartwoCashonCashReturns">#REF!</definedName>
    <definedName name="z_QEQHF80154_MO_OS_Texasrestaurants">#REF!</definedName>
    <definedName name="z_QEQHF80154_MO_OS_ThetotalpresentandfuturecostsoftheUSfoodsystemincludingfactorslikepollutionbiodiversitylossandrisinghealthcarecostsassociatedwithdietrelateddisease">#REF!</definedName>
    <definedName name="z_QEQHF80154_MO_OS_ThirdpartydeliveryfeesforourMarketplaceChannel">#REF!</definedName>
    <definedName name="z_QEQHF80154_MO_OS_ThirdpartydeliveryfeesforourNativeDeliveryChannel">#REF!</definedName>
    <definedName name="z_QEQHF80154_MO_OS_TotalAmortizationofDebtIssuanceCost">#REF!</definedName>
    <definedName name="z_QEQHF80154_MO_OS_Totalcustomermix">#REF!</definedName>
    <definedName name="z_QEQHF80154_MO_OS_Totaldaypartmix">#REF!</definedName>
    <definedName name="z_QEQHF80154_MO_OS_Totaldigitalrevenue_1">#REF!</definedName>
    <definedName name="z_QEQHF80154_MO_OS_Totaldigitalrevenuegrowth">#REF!</definedName>
    <definedName name="z_QEQHF80154_MO_OS_Totaldigitalrevenuemix">#REF!</definedName>
    <definedName name="z_QEQHF80154_MO_OS_TotalDilutiveOffsetfromCappedCalls">#REF!</definedName>
    <definedName name="z_QEQHF80154_MO_OS_TotalDilutiveSharesfromConvertibleNotes">#REF!</definedName>
    <definedName name="z_QEQHF80154_MO_OS_TotalEmployees">#REF!</definedName>
    <definedName name="z_QEQHF80154_MO_OS_TotalOperatingWeeksCalculated">#REF!</definedName>
    <definedName name="z_QEQHF80154_MO_OS_Totalrestaurants">#REF!</definedName>
    <definedName name="z_QEQHF80154_MO_OS_TotalRevenue">#REF!</definedName>
    <definedName name="z_QEQHF80154_MO_OS_TotalRevenue_1">#REF!</definedName>
    <definedName name="z_QEQHF80154_MO_OS_TotalRevenueGrowth">#REF!</definedName>
    <definedName name="z_QEQHF80154_MO_OS_Totalrevenuemix">#REF!</definedName>
    <definedName name="z_QEQHF80154_MO_OS_TotalSalesPerOperatingWeekCalculated">#REF!</definedName>
    <definedName name="z_QEQHF80154_MO_OS_TwoYearLTMSameStoreSalesGrowth">#REF!</definedName>
    <definedName name="z_QEQHF80154_MO_OS_USfoodsystem">#REF!</definedName>
    <definedName name="z_QEQHF80154_MO_OS_Virginiarestaurants">#REF!</definedName>
    <definedName name="z_QEQHF80154_MO_OS_WashingtonDCrestaurants">#REF!</definedName>
    <definedName name="z_QEQHF80154_MO_OS_WeightedAverageExercisePrice">#REF!</definedName>
    <definedName name="z_QEQHF80154_MO_OS_YYbasicshareexpansionEoP">#REF!</definedName>
    <definedName name="z_QEQHF80154_MO_OS_YYbasicshareexpansionfromdilutivesecurities">#REF!</definedName>
    <definedName name="z_QEQHF80154_MO_OS_YYbasicshareexpansionfromshareissuancebuyback">#REF!</definedName>
    <definedName name="z_QEQHF80154_MO_OS_YYdigitalordersgrowth">#REF!</definedName>
    <definedName name="z_QEQHF80154_MO_OS_YYLTMRestLevelProfitMarginImprovement">#REF!</definedName>
    <definedName name="z_QEQHF80154_MO_RIS_AddbackDA">#REF!</definedName>
    <definedName name="z_QEQHF80154_MO_RIS_AddbackOther">#REF!</definedName>
    <definedName name="z_QEQHF80154_MO_RIS_AddbackSBC">#REF!</definedName>
    <definedName name="z_QEQHF80154_MO_RIS_AdjustedEarningsPerShareWAD">#REF!</definedName>
    <definedName name="z_QEQHF80154_MO_RIS_AdjustedEBITDA">#REF!</definedName>
    <definedName name="z_QEQHF80154_MO_RIS_AdjustedEBITNoAdjustments">#REF!</definedName>
    <definedName name="z_QEQHF80154_MO_RIS_AdjustedNetIncome">#REF!</definedName>
    <definedName name="z_QEQHF80154_MO_RIS_AdjustedSharesOutstandingWAD">#REF!</definedName>
    <definedName name="z_QEQHF80154_MO_RIS_AdjustmentsforConvertibleSecurities">#REF!</definedName>
    <definedName name="z_QEQHF80154_MO_RIS_ConsensusEstimatesAdjustedEarningsPerShareWAD">#REF!</definedName>
    <definedName name="z_QEQHF80154_MO_RIS_ConsensusEstimatesAdjustedEBIT">#REF!</definedName>
    <definedName name="z_QEQHF80154_MO_RIS_ConsensusEstimatesAdjustedEBITDA">#REF!</definedName>
    <definedName name="z_QEQHF80154_MO_RIS_ConsensusEstimatesNetRevenue">#REF!</definedName>
    <definedName name="z_QEQHF80154_MO_RIS_Currenttax">#REF!</definedName>
    <definedName name="z_QEQHF80154_MO_RIS_Currenttaxrate">#REF!</definedName>
    <definedName name="z_QEQHF80154_MO_RIS_DA">"Deleted"</definedName>
    <definedName name="z_QEQHF80154_MO_RIS_DA_1">#REF!</definedName>
    <definedName name="z_QEQHF80154_MO_RIS_Deferredtax">#REF!</definedName>
    <definedName name="z_QEQHF80154_MO_RIS_Deferredtaxrate">#REF!</definedName>
    <definedName name="z_QEQHF80154_MO_RIS_DilutedNetIncometoCommonShareholders">#REF!</definedName>
    <definedName name="z_QEQHF80154_MO_RIS_DiscontinuedOperations">#REF!</definedName>
    <definedName name="z_QEQHF80154_MO_RIS_EarningsPerShareWAB">#REF!</definedName>
    <definedName name="z_QEQHF80154_MO_RIS_EarningsPerShareWAD">#REF!</definedName>
    <definedName name="z_QEQHF80154_MO_RIS_EarningstoPreferredandOtherSecurities">#REF!</definedName>
    <definedName name="z_QEQHF80154_MO_RIS_EBIT">#REF!</definedName>
    <definedName name="z_QEQHF80154_MO_RIS_EBITDA">#REF!</definedName>
    <definedName name="z_QEQHF80154_MO_RIS_EBT">#REF!</definedName>
    <definedName name="z_QEQHF80154_MO_RIS_GA">#REF!</definedName>
    <definedName name="z_QEQHF80154_MO_RIS_Incomefromequitymethodinvestments">#REF!</definedName>
    <definedName name="z_QEQHF80154_MO_RIS_Interestexpense">#REF!</definedName>
    <definedName name="z_QEQHF80154_MO_RIS_Interestincome">#REF!</definedName>
    <definedName name="z_QEQHF80154_MO_RIS_NetIncomefromContinuedOperation">#REF!</definedName>
    <definedName name="z_QEQHF80154_MO_RIS_NetIncometoCommonShareholders">#REF!</definedName>
    <definedName name="z_QEQHF80154_MO_RIS_NetIncometoNCI">#REF!</definedName>
    <definedName name="z_QEQHF80154_MO_RIS_NetRevenue">#REF!</definedName>
    <definedName name="z_QEQHF80154_MO_RIS_NonGAAPAdjustments">#REF!</definedName>
    <definedName name="z_QEQHF80154_MO_RIS_NonGAAPAdjustmentsforDilutiveSecurities">#REF!</definedName>
    <definedName name="z_QEQHF80154_MO_RIS_Onetimeitem">#REF!</definedName>
    <definedName name="z_QEQHF80154_MO_RIS_Other">#REF!</definedName>
    <definedName name="z_QEQHF80154_MO_RIS_Otheritems">#REF!</definedName>
    <definedName name="z_QEQHF80154_MO_RIS_Restaurantleveloperatingexpenses">#REF!</definedName>
    <definedName name="z_QEQHF80154_MO_RIS_SharesOutstandingWAB">#REF!</definedName>
    <definedName name="z_QEQHF80154_MO_RIS_SharesOutstandingWAD">#REF!</definedName>
    <definedName name="z_QEQHF80154_MO_Section_AN_AdjustedNumbersAsReported">#REF!</definedName>
    <definedName name="z_QEQHF80154_MO_Section_BS_BalanceSheet">#REF!</definedName>
    <definedName name="z_QEQHF80154_MO_Section_BSS_BalanceSheetSummary">#REF!</definedName>
    <definedName name="z_QEQHF80154_MO_Section_CCFS_CumulativeCashFlowStatement">#REF!</definedName>
    <definedName name="z_QEQHF80154_MO_Section_CFS_CashFlowStatement">#REF!</definedName>
    <definedName name="z_QEQHF80154_MO_Section_CFSum_CashFlowSummary">#REF!</definedName>
    <definedName name="z_QEQHF80154_MO_Section_DAF_DAForecasting">#REF!</definedName>
    <definedName name="z_QEQHF80154_MO_Section_GA_GrowthAnalysis">#REF!</definedName>
    <definedName name="z_QEQHF80154_MO_Section_IS_IncomeStatementAsReported">#REF!</definedName>
    <definedName name="z_QEQHF80154_MO_Section_MA_MarginAnalysis">#REF!</definedName>
    <definedName name="z_QEQHF80154_MO_Section_MA_Valuation">#REF!</definedName>
    <definedName name="z_QEQHF80154_MO_Section_OS_KeyMetricsAdditionalRestaurantStatsS1">#REF!</definedName>
    <definedName name="z_QEQHF80154_MO_Section_OS_KeyMetricsCompanyStatsS1">#REF!</definedName>
    <definedName name="z_QEQHF80154_MO_Section_OS_KeyMetricsCostGranularityS1">#REF!</definedName>
    <definedName name="z_QEQHF80154_MO_Section_OS_KeyMetricsCustomerStatsS1">#REF!</definedName>
    <definedName name="z_QEQHF80154_MO_Section_OS_KeyMetricsEmployeeCountS1">#REF!</definedName>
    <definedName name="z_QEQHF80154_MO_Section_OS_KeyMetricsIndustryStatsS1">#REF!</definedName>
    <definedName name="z_QEQHF80154_MO_Section_OS_KeyMetricsLTMMetrics">#REF!</definedName>
    <definedName name="z_QEQHF80154_MO_Section_OS_KeyMetricsRestaurantCountS1">#REF!</definedName>
    <definedName name="z_QEQHF80154_MO_Section_OS_OperatingStatsRestaurantsBreakdownS1">#REF!</definedName>
    <definedName name="z_QEQHF80154_MO_Section_OS_SegmentedResultsRevenueBreakdownS1">#REF!</definedName>
    <definedName name="z_QEQHF80154_MO_Section_OS_ShareCountAnalysis">#REF!</definedName>
    <definedName name="z_QEQHF80154_MO_Section_OS_WorkingCapitalForecasting">#REF!</definedName>
    <definedName name="z_QEQHF80154_MO_Section_RIS_RevisedIncomeStatement">#REF!</definedName>
    <definedName name="z_QEQHF80154_MO_Section_SNA_Canalyst">#REF!</definedName>
    <definedName name="z_QEQHF80154_MO_Section_SNA_ModelChecks">#REF!</definedName>
    <definedName name="z_QEQHF80154_MO_Section_SNA_OtherTables">#REF!</definedName>
    <definedName name="z_QEQHF80154_MO_SubSection_BS_CurrentAssets">#REF!</definedName>
    <definedName name="z_QEQHF80154_MO_SubSection_BS_CurrentLiabilities">#REF!</definedName>
    <definedName name="z_QEQHF80154_MO_SubSection_BS_NonCurrentAssets">#REF!</definedName>
    <definedName name="z_QEQHF80154_MO_SubSection_BS_NonCurrentLiabilities">#REF!</definedName>
    <definedName name="z_QEQHF80154_MO_SubSection_BS_ShareholdersEquity">#REF!</definedName>
    <definedName name="z_QEQHF80154_MO_SubSection_CCFS_CFF">#REF!</definedName>
    <definedName name="z_QEQHF80154_MO_SubSection_CCFS_CFI">#REF!</definedName>
    <definedName name="z_QEQHF80154_MO_SubSection_CCFS_CFO">#REF!</definedName>
    <definedName name="z_QEQHF80154_MO_SubSection_CFS_CFF">#REF!</definedName>
    <definedName name="z_QEQHF80154_MO_SubSection_CFS_CFI">#REF!</definedName>
    <definedName name="z_QEQHF80154_MO_SubSection_CFS_CFO">#REF!</definedName>
    <definedName name="z_QEQHF80154_MO_Unstructured_SNA_2146826265">"Deleted"</definedName>
    <definedName name="z_QEQHF80154_MO_Unstructured_SNA_AdjustedEarningsPerShareWAD">#REF!</definedName>
    <definedName name="z_QEQHF80154_MO_Unstructured_SNA_AdjustedEBITDA">#REF!</definedName>
    <definedName name="z_QEQHF80154_MO_Unstructured_SNA_AdjustedEBITNoAdjustments">#REF!</definedName>
    <definedName name="z_QEQHF80154_MO_Unstructured_SNA_AnnualGuidanceTable">#REF!</definedName>
    <definedName name="z_QEQHF80154_MO_Unstructured_SNA_ApplicablePeriod">#REF!</definedName>
    <definedName name="z_QEQHF80154_MO_Unstructured_SNA_ApplicablePeriod_1">#REF!</definedName>
    <definedName name="z_QEQHF80154_MO_Unstructured_SNA_ApplyTradeCurrencyScaling">#REF!</definedName>
    <definedName name="z_QEQHF80154_MO_Unstructured_SNA_Avg">#REF!</definedName>
    <definedName name="z_QEQHF80154_MO_Unstructured_SNA_Bloomberg">#REF!</definedName>
    <definedName name="z_QEQHF80154_MO_Unstructured_SNA_Bloomberg_1">#REF!</definedName>
    <definedName name="z_QEQHF80154_MO_Unstructured_SNA_Bloomberg_2">#REF!</definedName>
    <definedName name="z_QEQHF80154_MO_Unstructured_SNA_Bloomberg_3">#REF!</definedName>
    <definedName name="z_QEQHF80154_MO_Unstructured_SNA_CapitalIQ">#REF!</definedName>
    <definedName name="z_QEQHF80154_MO_Unstructured_SNA_CapitalIQ_1">#REF!</definedName>
    <definedName name="z_QEQHF80154_MO_Unstructured_SNA_CapitalIQ_2">#REF!</definedName>
    <definedName name="z_QEQHF80154_MO_Unstructured_SNA_CapitalIQ_3">#REF!</definedName>
    <definedName name="z_QEQHF80154_MO_Unstructured_SNA_ConsensusEstimatesAdjustedEarningsPerShare_1">#REF!</definedName>
    <definedName name="z_QEQHF80154_MO_Unstructured_SNA_ConsensusEstimatesAdjustedEarningsPerShareWAD">"Deleted"</definedName>
    <definedName name="z_QEQHF80154_MO_Unstructured_SNA_ConsensusEstimatesAdjustedEBIT_1">#REF!</definedName>
    <definedName name="z_QEQHF80154_MO_Unstructured_SNA_ConsensusEstimatesAdjustedEBITDA">#REF!</definedName>
    <definedName name="z_QEQHF80154_MO_Unstructured_SNA_ConsensusEstimatesCapex">#REF!</definedName>
    <definedName name="z_QEQHF80154_MO_Unstructured_SNA_ConsensusEstimatesCashFlowPerDilutedShare">#REF!</definedName>
    <definedName name="z_QEQHF80154_MO_Unstructured_SNA_ConsensusEstimatesNetRevenue">#REF!</definedName>
    <definedName name="z_QEQHF80154_MO_Unstructured_SNA_ConsensusEstimateTable">#REF!</definedName>
    <definedName name="z_QEQHF80154_MO_Unstructured_SNA_ConvertiblenotesonBSConvertiblenotesBVinPDS">#REF!</definedName>
    <definedName name="z_QEQHF80154_MO_Unstructured_SNA_CurrentFiscalYear">#REF!</definedName>
    <definedName name="z_QEQHF80154_MO_Unstructured_SNA_DataSourceIndex">#REF!</definedName>
    <definedName name="z_QEQHF80154_MO_Unstructured_SNA_EoP">#REF!</definedName>
    <definedName name="z_QEQHF80154_MO_Unstructured_SNA_EVEBITDAAvg">#REF!</definedName>
    <definedName name="z_QEQHF80154_MO_Unstructured_SNA_FactSet">#REF!</definedName>
    <definedName name="z_QEQHF80154_MO_Unstructured_SNA_FactSet_1">#REF!</definedName>
    <definedName name="z_QEQHF80154_MO_Unstructured_SNA_FactSet_2">#REF!</definedName>
    <definedName name="z_QEQHF80154_MO_Unstructured_SNA_FactSet_3">#REF!</definedName>
    <definedName name="z_QEQHF80154_MO_Unstructured_SNA_FirstForecastFiscalYear">#REF!</definedName>
    <definedName name="z_QEQHF80154_MO_Unstructured_SNA_FiscalPeriodStartDate">#REF!</definedName>
    <definedName name="z_QEQHF80154_MO_Unstructured_SNA_FXAverageRealTimeOffSource">#REF!</definedName>
    <definedName name="z_QEQHF80154_MO_Unstructured_SNA_FXEoP">#REF!</definedName>
    <definedName name="z_QEQHF80154_MO_Unstructured_SNA_FYorFQ">#REF!</definedName>
    <definedName name="z_QEQHF80154_MO_Unstructured_SNA_GeneralTable">#REF!</definedName>
    <definedName name="z_QEQHF80154_MO_Unstructured_SNA_High">#REF!</definedName>
    <definedName name="z_QEQHF80154_MO_Unstructured_SNA_IsHistoricalPeriod">#REF!</definedName>
    <definedName name="z_QEQHF80154_MO_Unstructured_SNA_IsLatest">#REF!</definedName>
    <definedName name="z_QEQHF80154_MO_Unstructured_SNA_KeyOutputs">#REF!</definedName>
    <definedName name="z_QEQHF80154_MO_Unstructured_SNA_KPICount">#REF!</definedName>
    <definedName name="z_QEQHF80154_MO_Unstructured_SNA_KPIData">#REF!</definedName>
    <definedName name="z_QEQHF80154_MO_Unstructured_SNA_LastPrice">#REF!</definedName>
    <definedName name="z_QEQHF80154_MO_Unstructured_SNA_LastPriceDate">#REF!</definedName>
    <definedName name="z_QEQHF80154_MO_Unstructured_SNA_LastPriceFormula">#REF!</definedName>
    <definedName name="z_QEQHF80154_MO_Unstructured_SNA_LastWorkingDayInPeriod">#REF!</definedName>
    <definedName name="z_QEQHF80154_MO_Unstructured_SNA_Low">#REF!</definedName>
    <definedName name="z_QEQHF80154_MO_Unstructured_SNA_ModelSheetCurrencyHardcoded">#REF!</definedName>
    <definedName name="z_QEQHF80154_MO_Unstructured_SNA_MOKPIAUVSystemWideLTM">#REF!</definedName>
    <definedName name="z_QEQHF80154_MO_Unstructured_SNA_MOKPILaborExpenseMarginLTM">#REF!</definedName>
    <definedName name="z_QEQHF80154_MO_Unstructured_SNA_MOKPINetNewStores">#REF!</definedName>
    <definedName name="z_QEQHF80154_MO_Unstructured_SNA_MOKPIOccupancyExpenseMarginLTM">#REF!</definedName>
    <definedName name="z_QEQHF80154_MO_Unstructured_SNA_MOKPIOnlineSalesGrowth">#REF!</definedName>
    <definedName name="z_QEQHF80154_MO_Unstructured_SNA_MOKPIOnlineSalesPerc">#REF!</definedName>
    <definedName name="z_QEQHF80154_MO_Unstructured_SNA_MOKPIProductCostMarginLTM">#REF!</definedName>
    <definedName name="z_QEQHF80154_MO_Unstructured_SNA_MOKPIRestLevelProfitMarginImprovementLTM">#REF!</definedName>
    <definedName name="z_QEQHF80154_MO_Unstructured_SNA_MOKPIRestLevelProfitMarginLTM">#REF!</definedName>
    <definedName name="z_QEQHF80154_MO_Unstructured_SNA_MOKPIREVOnline">#REF!</definedName>
    <definedName name="z_QEQHF80154_MO_Unstructured_SNA_MOKPISalesSystemWideLTM">#REF!</definedName>
    <definedName name="z_QEQHF80154_MO_Unstructured_SNA_MOKPISSSGLTM">#REF!</definedName>
    <definedName name="z_QEQHF80154_MO_Unstructured_SNA_MOKPIStores_2">#REF!</definedName>
    <definedName name="z_QEQHF80154_MO_Unstructured_SNA_MOKPISystemWideSalesGrowthExFXLTM">#REF!</definedName>
    <definedName name="z_QEQHF80154_MO_Unstructured_SNA_MOMAEBITDAAdj">#REF!</definedName>
    <definedName name="z_QEQHF80154_MO_Unstructured_SNA_MOOSEmployeeCount">#REF!</definedName>
    <definedName name="z_QEQHF80154_MO_Unstructured_SNA_MORISEBITDAAdj">#REF!</definedName>
    <definedName name="z_QEQHF80154_MO_Unstructured_SNA_MORISEPSWADAdj">#REF!</definedName>
    <definedName name="z_QEQHF80154_MO_Unstructured_SNA_MORISNINONGAAPDiluted">#REF!</definedName>
    <definedName name="z_QEQHF80154_MO_Unstructured_SNA_MORISREV">#REF!</definedName>
    <definedName name="z_QEQHF80154_MO_Unstructured_SNA_MostRecentFiscalPeriodMRFP">#REF!</definedName>
    <definedName name="z_QEQHF80154_MO_Unstructured_SNA_MostRecentFX">#REF!</definedName>
    <definedName name="z_QEQHF80154_MO_Unstructured_SNA_MostRecentFXHardcoded">#REF!</definedName>
    <definedName name="z_QEQHF80154_MO_Unstructured_SNA_MRFPColumnNumber">#REF!</definedName>
    <definedName name="z_QEQHF80154_MO_Unstructured_SNA_NetRevenue">#REF!</definedName>
    <definedName name="z_QEQHF80154_MO_Unstructured_SNA_NYSESG">#REF!</definedName>
    <definedName name="z_QEQHF80154_MO_Unstructured_SNA_PEAvg">#REF!</definedName>
    <definedName name="z_QEQHF80154_MO_Unstructured_SNA_Period">#REF!</definedName>
    <definedName name="z_QEQHF80154_MO_Unstructured_SNA_QuarterlyGuidanceTable">#REF!</definedName>
    <definedName name="z_QEQHF80154_MO_Unstructured_SNA_RealTimeOffSource">#REF!</definedName>
    <definedName name="z_QEQHF80154_MO_Unstructured_SNA_RealTimeOffSource_1">#REF!</definedName>
    <definedName name="z_QEQHF80154_MO_Unstructured_SNA_RealTimeOffSource_2">#REF!</definedName>
    <definedName name="z_QEQHF80154_MO_Unstructured_SNA_RealTimeOffSource_3">#REF!</definedName>
    <definedName name="z_QEQHF80154_MO_Unstructured_SNA_RealTimeStockPrice">#REF!</definedName>
    <definedName name="z_QEQHF80154_MO_Unstructured_SNA_Refinitiv">#REF!</definedName>
    <definedName name="z_QEQHF80154_MO_Unstructured_SNA_Refinitiv_1">#REF!</definedName>
    <definedName name="z_QEQHF80154_MO_Unstructured_SNA_Refinitiv_2">#REF!</definedName>
    <definedName name="z_QEQHF80154_MO_Unstructured_SNA_Refinitiv_3">#REF!</definedName>
    <definedName name="z_QEQHF80154_MO_Unstructured_SNA_ReportingDate">#REF!</definedName>
    <definedName name="z_QEQHF80154_MO_Unstructured_SNA_ReportingDate_1">#REF!</definedName>
    <definedName name="z_QEQHF80154_MO_Unstructured_SNA_SGN">#REF!</definedName>
    <definedName name="z_QEQHF80154_MO_Unstructured_SNA_SGUS">#REF!</definedName>
    <definedName name="z_QEQHF80154_MO_Unstructured_SNA_SGUS_1">#REF!</definedName>
    <definedName name="z_QEQHF80154_MO_Unstructured_SNA_SGUS_2">#REF!</definedName>
    <definedName name="z_QEQHF80154_MO_Unstructured_SNA_StockAverageRealTimeOffSource">#REF!</definedName>
    <definedName name="z_QEQHF80154_MO_Unstructured_SNA_StockHighRealTimeOffSource">#REF!</definedName>
    <definedName name="z_QEQHF80154_MO_Unstructured_SNA_StockLowRealTimeOffSource">#REF!</definedName>
    <definedName name="z_QEQHF80154_MO_Unstructured_SNA_StockPriceEoP">#REF!</definedName>
    <definedName name="z_QEQHF80154_MO_Unstructured_SNA_StockPriceTable">#REF!</definedName>
    <definedName name="z_QEQHF80154_MO_Unstructured_SNA_TickerSymbol">#REF!</definedName>
    <definedName name="z_QEQHF80154_MO_Unstructured_SNA_TradeCurrency">#REF!</definedName>
    <definedName name="z_QEQHF80154_MO_Unstructured_SNA_TradeCurrencyHardcoded">#REF!</definedName>
    <definedName name="z_QEQHF80154_MO_Unstructured_SNA_Unamortizeddebtdiscountandissuancecostisnegative">#REF!</definedName>
    <definedName name="z_QEQHF80154_MO_Unstructured_SNA_ValuationToggleTable">#REF!</definedName>
    <definedName name="z_T897CE0113_MO_AN_amortizationofintangibleassets">Model!$363:$363</definedName>
    <definedName name="z_T897CE0113_MO_AN_amortizationofintangiblesexpense">Model!$194:$194</definedName>
    <definedName name="z_T897CE0113_MO_AN_cogsrelatedsbc">Model!$185:$185</definedName>
    <definedName name="z_T897CE0113_MO_AN_DilutedNetIncome_1">Model!$370:$370</definedName>
    <definedName name="z_T897CE0113_MO_AN_FreeCashFlow">Model!$375:$375</definedName>
    <definedName name="z_T897CE0113_MO_AN_gaapnetincome">Model!$360:$360</definedName>
    <definedName name="z_T897CE0113_MO_AN_garelatedsbc">Model!$188:$188</definedName>
    <definedName name="z_T897CE0113_MO_AN_incometaxadjustments">Model!$364:$364</definedName>
    <definedName name="z_T897CE0113_MO_AN_Netcashfromoperatingactivities">Model!$372:$372</definedName>
    <definedName name="z_T897CE0113_MO_AN_netincomeattributabletocommonstockholders">Model!$367:$367</definedName>
    <definedName name="z_T897CE0113_MO_AN_nongaapnetincome">Model!$365:$365</definedName>
    <definedName name="z_T897CE0113_MO_AN_payrolltaxexpensesrelatedtosharebasedcompensation">Model!$362:$362</definedName>
    <definedName name="z_T897CE0113_MO_AN_Principalpaymentsonfinancelease">Model!$374:$374</definedName>
    <definedName name="z_T897CE0113_MO_AN_Purchaseofpropertyandequipment">Model!$373:$373</definedName>
    <definedName name="z_T897CE0113_MO_AN_rdrelatedsbc">Model!$186:$186</definedName>
    <definedName name="z_T897CE0113_MO_AN_reallocationofnetincomeasaresultofconversionofclassbtoclassastock">Model!$369:$369</definedName>
    <definedName name="z_T897CE0113_MO_AN_reallocationofnetincomeattributabletoparticipatingsecurities">Model!$368:$368</definedName>
    <definedName name="z_T897CE0113_MO_AN_sharebasedcompensationexpense">Model!$361:$361</definedName>
    <definedName name="z_T897CE0113_MO_AN_smrelatedsbc">Model!$187:$187</definedName>
    <definedName name="z_T897CE0113_MO_AN_totalsharebasedcompensation">Model!$189:$189</definedName>
    <definedName name="z_T897CE0113_MO_BlankRow_AN_1">Model!$366:$366</definedName>
    <definedName name="z_T897CE0113_MO_BlankRow_AN_3">Model!$190:$190</definedName>
    <definedName name="z_T897CE0113_MO_BlankRow_AN_4">Model!$376:$376</definedName>
    <definedName name="z_T897CE0113_MO_BlankRow_AN_5">Model!$197:$197</definedName>
    <definedName name="z_T897CE0113_MO_BlankRow_AN_6">Model!$371:$371</definedName>
    <definedName name="z_T897CE0113_MO_BlankRow_BS_1">Model!$910:$910</definedName>
    <definedName name="z_T897CE0113_MO_BlankRow_BS_2">Model!$921:$921</definedName>
    <definedName name="z_T897CE0113_MO_BlankRow_BS_3">Model!$936:$936</definedName>
    <definedName name="z_T897CE0113_MO_BlankRow_BS_4">Model!$945:$945</definedName>
    <definedName name="z_T897CE0113_MO_BlankRow_BS_5">Model!$954:$954</definedName>
    <definedName name="z_T897CE0113_MO_BlankRow_BS_6">Model!$956:$956</definedName>
    <definedName name="z_T897CE0113_MO_BlankRow_BS_9">"Deleted"</definedName>
    <definedName name="z_T897CE0113_MO_BlankRow_BSS">Model!$707:$707</definedName>
    <definedName name="z_T897CE0113_MO_BlankRow_BSS_1">Model!$696:$696</definedName>
    <definedName name="z_T897CE0113_MO_BlankRow_BSS_2">Model!$703:$703</definedName>
    <definedName name="z_T897CE0113_MO_BlankRow_CCFS">Model!$759:$759</definedName>
    <definedName name="z_T897CE0113_MO_BlankRow_CCFS_1">Model!$773:$773</definedName>
    <definedName name="z_T897CE0113_MO_BlankRow_CCFS_2">Model!$789:$789</definedName>
    <definedName name="z_T897CE0113_MO_BlankRow_CCFS_3">Model!$792:$792</definedName>
    <definedName name="z_T897CE0113_MO_BlankRow_CCFS_4">Model!$800:$800</definedName>
    <definedName name="z_T897CE0113_MO_BlankRow_CCFS_5">Model!$795:$795</definedName>
    <definedName name="z_T897CE0113_MO_BlankRow_CFS_10">Model!$864:$864</definedName>
    <definedName name="z_T897CE0113_MO_BlankRow_CFS_2">Model!$828:$828</definedName>
    <definedName name="z_T897CE0113_MO_BlankRow_CFS_3">Model!$842:$842</definedName>
    <definedName name="z_T897CE0113_MO_BlankRow_CFS_4">Model!$858:$858</definedName>
    <definedName name="z_T897CE0113_MO_BlankRow_CFS_5">Model!$861:$861</definedName>
    <definedName name="z_T897CE0113_MO_BlankRow_CFS_6">Model!$869:$869</definedName>
    <definedName name="z_T897CE0113_MO_BlankRow_CFS_7">Model!$871:$871</definedName>
    <definedName name="z_T897CE0113_MO_BlankRow_CFSum">Model!$676:$676</definedName>
    <definedName name="z_T897CE0113_MO_BlankRow_CFSum_1">Model!$688:$688</definedName>
    <definedName name="z_T897CE0113_MO_BlankRow_CFSum_2">Model!$672:$672</definedName>
    <definedName name="z_T897CE0113_MO_BlankRow_CFSum_3">Model!$679:$679</definedName>
    <definedName name="z_T897CE0113_MO_BlankRow_DAF">Model!$885:$885</definedName>
    <definedName name="z_T897CE0113_MO_BlankRow_DAF_1">Model!$891:$891</definedName>
    <definedName name="z_T897CE0113_MO_BlankRow_DAF_2">Model!$896:$896</definedName>
    <definedName name="z_T897CE0113_MO_BlankRow_DAF_3">Model!$900:$900</definedName>
    <definedName name="z_T897CE0113_MO_BlankRow_IS">Model!$356:$356</definedName>
    <definedName name="z_T897CE0113_MO_BlankRow_IS_1">Model!$358:$358</definedName>
    <definedName name="z_T897CE0113_MO_BlankRow_MA">Model!$322:$322</definedName>
    <definedName name="z_T897CE0113_MO_BlankRow_MA_2">Model!$712:$712</definedName>
    <definedName name="z_T897CE0113_MO_BlankRow_MA_3">Model!$726:$726</definedName>
    <definedName name="z_T897CE0113_MO_BlankRow_MA_4">Model!$731:$731</definedName>
    <definedName name="z_T897CE0113_MO_BlankRow_MA_5">Model!$718:$718</definedName>
    <definedName name="z_T897CE0113_MO_BlankRow_MA_6">Model!$329:$329</definedName>
    <definedName name="z_T897CE0113_MO_BlankRow_MA_7">Model!$336:$336</definedName>
    <definedName name="z_T897CE0113_MO_BlankRow_MA_8">"Deleted"</definedName>
    <definedName name="z_T897CE0113_MO_BlankRow_OS_100">"Deleted"</definedName>
    <definedName name="z_T897CE0113_MO_BlankRow_OS_101">Model!$432:$432</definedName>
    <definedName name="z_T897CE0113_MO_BlankRow_OS_102">"Deleted"</definedName>
    <definedName name="z_T897CE0113_MO_BlankRow_OS_103">Model!$450:$450</definedName>
    <definedName name="z_T897CE0113_MO_BlankRow_OS_104">Model!$452:$452</definedName>
    <definedName name="z_T897CE0113_MO_BlankRow_OS_105">Model!$458:$458</definedName>
    <definedName name="z_T897CE0113_MO_BlankRow_OS_106">Model!$464:$464</definedName>
    <definedName name="z_T897CE0113_MO_BlankRow_OS_107">Model!$470:$470</definedName>
    <definedName name="z_T897CE0113_MO_BlankRow_OS_108">Model!$477:$477</definedName>
    <definedName name="z_T897CE0113_MO_BlankRow_OS_109">Model!$480:$480</definedName>
    <definedName name="z_T897CE0113_MO_BlankRow_OS_110">Model!$483:$483</definedName>
    <definedName name="z_T897CE0113_MO_BlankRow_OS_111">Model!$488:$488</definedName>
    <definedName name="z_T897CE0113_MO_BlankRow_OS_112">Model!$490:$490</definedName>
    <definedName name="z_T897CE0113_MO_BlankRow_OS_113">Model!$492:$492</definedName>
    <definedName name="z_T897CE0113_MO_BlankRow_OS_114">"Deleted"</definedName>
    <definedName name="z_T897CE0113_MO_BlankRow_OS_115">Model!$499:$499</definedName>
    <definedName name="z_T897CE0113_MO_BlankRow_OS_116">Model!$50:$50</definedName>
    <definedName name="z_T897CE0113_MO_BlankRow_OS_117">Model!$65:$65</definedName>
    <definedName name="z_T897CE0113_MO_BlankRow_OS_118">Model!$70:$70</definedName>
    <definedName name="z_T897CE0113_MO_BlankRow_OS_119">Model!$76:$76</definedName>
    <definedName name="z_T897CE0113_MO_BlankRow_OS_120">Model!$128:$128</definedName>
    <definedName name="z_T897CE0113_MO_BlankRow_OS_121">Model!$183:$183</definedName>
    <definedName name="z_T897CE0113_MO_BlankRow_OS_122">Model!$535:$535</definedName>
    <definedName name="z_T897CE0113_MO_BlankRow_OS_123">Model!$542:$542</definedName>
    <definedName name="z_T897CE0113_MO_BlankRow_OS_124">Model!$554:$554</definedName>
    <definedName name="z_T897CE0113_MO_BlankRow_OS_125">Model!$558:$558</definedName>
    <definedName name="z_T897CE0113_MO_BlankRow_OS_126">Model!$568:$568</definedName>
    <definedName name="z_T897CE0113_MO_BlankRow_OS_127">Model!$578:$578</definedName>
    <definedName name="z_T897CE0113_MO_BlankRow_OS_128">Model!$582:$582</definedName>
    <definedName name="z_T897CE0113_MO_BlankRow_OS_129">Model!$593:$593</definedName>
    <definedName name="z_T897CE0113_MO_BlankRow_OS_13">'Supplemental Data'!$21:$21</definedName>
    <definedName name="z_T897CE0113_MO_BlankRow_OS_130">Model!$597:$597</definedName>
    <definedName name="z_T897CE0113_MO_BlankRow_OS_131">Model!$607:$607</definedName>
    <definedName name="z_T897CE0113_MO_BlankRow_OS_132">Model!$612:$612</definedName>
    <definedName name="z_T897CE0113_MO_BlankRow_OS_133">Model!$622:$622</definedName>
    <definedName name="z_T897CE0113_MO_BlankRow_OS_134">Model!$626:$626</definedName>
    <definedName name="z_T897CE0113_MO_BlankRow_OS_135">Model!$637:$637</definedName>
    <definedName name="z_T897CE0113_MO_BlankRow_OS_136">Model!$641:$641</definedName>
    <definedName name="z_T897CE0113_MO_BlankRow_OS_137">Model!$651:$651</definedName>
    <definedName name="z_T897CE0113_MO_BlankRow_OS_138">Model!$656:$656</definedName>
    <definedName name="z_T897CE0113_MO_BlankRow_OS_139">Model!$657:$657</definedName>
    <definedName name="z_T897CE0113_MO_BlankRow_OS_14">Model!$875:$875</definedName>
    <definedName name="z_T897CE0113_MO_BlankRow_OS_140">Model!$281:$281</definedName>
    <definedName name="z_T897CE0113_MO_BlankRow_OS_141">Model!$136:$136</definedName>
    <definedName name="z_T897CE0113_MO_BlankRow_OS_142">'Exec Comp'!$14:$14</definedName>
    <definedName name="z_T897CE0113_MO_BlankRow_OS_143">'Exec Comp'!$18:$18</definedName>
    <definedName name="z_T897CE0113_MO_BlankRow_OS_144">'Exec Comp'!$35:$35</definedName>
    <definedName name="z_T897CE0113_MO_BlankRow_OS_145">'Exec Comp'!$39:$39</definedName>
    <definedName name="z_T897CE0113_MO_BlankRow_OS_146">'Exec Comp'!$46:$46</definedName>
    <definedName name="z_T897CE0113_MO_BlankRow_OS_147">'Exec Comp'!$50:$50</definedName>
    <definedName name="z_T897CE0113_MO_BlankRow_OS_148">'Exec Comp'!$67:$67</definedName>
    <definedName name="z_T897CE0113_MO_BlankRow_OS_149">'Exec Comp'!$71:$71</definedName>
    <definedName name="z_T897CE0113_MO_BlankRow_OS_15">Model!$878:$878</definedName>
    <definedName name="z_T897CE0113_MO_BlankRow_OS_150">'Exec Comp'!$78:$78</definedName>
    <definedName name="z_T897CE0113_MO_BlankRow_OS_151">'Exec Comp'!$82:$82</definedName>
    <definedName name="z_T897CE0113_MO_BlankRow_OS_152">'Exec Comp'!$89:$89</definedName>
    <definedName name="z_T897CE0113_MO_BlankRow_OS_153">'Exec Comp'!$93:$93</definedName>
    <definedName name="z_T897CE0113_MO_BlankRow_OS_154">'Exec Comp'!$98:$98</definedName>
    <definedName name="z_T897CE0113_MO_BlankRow_OS_155">'Exec Comp'!$102:$102</definedName>
    <definedName name="z_T897CE0113_MO_BlankRow_OS_156">'Exec Comp'!$136:$136</definedName>
    <definedName name="z_T897CE0113_MO_BlankRow_OS_157">'Exec Comp'!$141:$141</definedName>
    <definedName name="z_T897CE0113_MO_BlankRow_OS_158">Model!$303:$303</definedName>
    <definedName name="z_T897CE0113_MO_BlankRow_OS_159">Model!$295:$295</definedName>
    <definedName name="z_T897CE0113_MO_BlankRow_OS_160">Model!$260:$260</definedName>
    <definedName name="z_T897CE0113_MO_BlankRow_OS_161">Model!$13:$13</definedName>
    <definedName name="z_T897CE0113_MO_BlankRow_OS_162">"Deleted"</definedName>
    <definedName name="z_T897CE0113_MO_BlankRow_OS_163">Model!$20:$20</definedName>
    <definedName name="z_T897CE0113_MO_BlankRow_OS_164">Model!$24:$24</definedName>
    <definedName name="z_T897CE0113_MO_BlankRow_OS_165">Model!$42:$42</definedName>
    <definedName name="z_T897CE0113_MO_BlankRow_OS_166">Model!$46:$46</definedName>
    <definedName name="z_T897CE0113_MO_BlankRow_OS_167">Model!$56:$56</definedName>
    <definedName name="z_T897CE0113_MO_BlankRow_OS_168">Model!$59:$59</definedName>
    <definedName name="z_T897CE0113_MO_BlankRow_OS_169">Model!$80:$80</definedName>
    <definedName name="z_T897CE0113_MO_BlankRow_OS_170">Model!$110:$110</definedName>
    <definedName name="z_T897CE0113_MO_BlankRow_OS_171">Model!$116:$116</definedName>
    <definedName name="z_T897CE0113_MO_BlankRow_OS_172">'Supplemental Data'!$28:$28</definedName>
    <definedName name="z_T897CE0113_MO_BlankRow_OS_173">Model!$307:$307</definedName>
    <definedName name="z_T897CE0113_MO_BlankRow_OS_174">Model!$310:$310</definedName>
    <definedName name="z_T897CE0113_MO_BlankRow_OS_175">Model!$314:$314</definedName>
    <definedName name="z_T897CE0113_MO_BlankRow_OS_176">Model!$317:$317</definedName>
    <definedName name="z_T897CE0113_MO_BlankRow_OS_177">Model!$203:$203</definedName>
    <definedName name="z_T897CE0113_MO_BlankRow_OS_178">Model!$208:$208</definedName>
    <definedName name="z_T897CE0113_MO_BlankRow_OS_179">Model!$213:$213</definedName>
    <definedName name="z_T897CE0113_MO_BlankRow_OS_24">'Supplemental Data'!$33:$33</definedName>
    <definedName name="z_T897CE0113_MO_BlankRow_OS_25">"Deleted"</definedName>
    <definedName name="z_T897CE0113_MO_BlankRow_OS_26">Model!$266:$266</definedName>
    <definedName name="z_T897CE0113_MO_BlankRow_OS_28">"Deleted"</definedName>
    <definedName name="z_T897CE0113_MO_BlankRow_OS_29">Model!$30:$30</definedName>
    <definedName name="z_T897CE0113_MO_BlankRow_OS_46">Model!$238:$238</definedName>
    <definedName name="z_T897CE0113_MO_BlankRow_OS_49">Model!$242:$242</definedName>
    <definedName name="z_T897CE0113_MO_BlankRow_OS_50">Model!$144:$144</definedName>
    <definedName name="z_T897CE0113_MO_BlankRow_OS_51">'Supplemental Data'!$11:$11</definedName>
    <definedName name="z_T897CE0113_MO_BlankRow_OS_52">'Supplemental Data'!$16:$16</definedName>
    <definedName name="z_T897CE0113_MO_BlankRow_OS_53">"Deleted"</definedName>
    <definedName name="z_T897CE0113_MO_BlankRow_OS_54">Model!$16:$16</definedName>
    <definedName name="z_T897CE0113_MO_BlankRow_OS_55">Model!$147:$147</definedName>
    <definedName name="z_T897CE0113_MO_BlankRow_OS_56">Model!$153:$153</definedName>
    <definedName name="z_T897CE0113_MO_BlankRow_OS_57">Model!$158:$158</definedName>
    <definedName name="z_T897CE0113_MO_BlankRow_OS_58">Model!$163:$163</definedName>
    <definedName name="z_T897CE0113_MO_BlankRow_OS_59">Model!$168:$168</definedName>
    <definedName name="z_T897CE0113_MO_BlankRow_OS_6">'Supplemental Data'!$37:$37</definedName>
    <definedName name="z_T897CE0113_MO_BlankRow_OS_60">Model!$173:$173</definedName>
    <definedName name="z_T897CE0113_MO_BlankRow_OS_61">"Deleted"</definedName>
    <definedName name="z_T897CE0113_MO_BlankRow_OS_62">Model!$180:$180</definedName>
    <definedName name="z_T897CE0113_MO_BlankRow_OS_63">Model!$232:$232</definedName>
    <definedName name="z_T897CE0113_MO_BlankRow_OS_64">Model!$122:$122</definedName>
    <definedName name="z_T897CE0113_MO_BlankRow_OS_65">Model!$249:$249</definedName>
    <definedName name="z_T897CE0113_MO_BlankRow_OS_66">Model!$220:$220</definedName>
    <definedName name="z_T897CE0113_MO_BlankRow_OS_67">Model!$226:$226</definedName>
    <definedName name="z_T897CE0113_MO_BlankRow_OS_68">Model!$36:$36</definedName>
    <definedName name="z_T897CE0113_MO_BlankRow_OS_7">"Deleted"</definedName>
    <definedName name="z_T897CE0113_MO_BlankRow_OS_83">Model!$86:$86</definedName>
    <definedName name="z_T897CE0113_MO_BlankRow_OS_84">Model!$92:$92</definedName>
    <definedName name="z_T897CE0113_MO_BlankRow_OS_85">Model!$96:$96</definedName>
    <definedName name="z_T897CE0113_MO_BlankRow_OS_86">Model!$100:$100</definedName>
    <definedName name="z_T897CE0113_MO_BlankRow_OS_87">Model!$104:$104</definedName>
    <definedName name="z_T897CE0113_MO_BlankRow_OS_88">Model!$434:$434</definedName>
    <definedName name="z_T897CE0113_MO_BlankRow_OS_89">Model!$447:$447</definedName>
    <definedName name="z_T897CE0113_MO_BlankRow_OS_90">"Deleted"</definedName>
    <definedName name="z_T897CE0113_MO_BlankRow_OS_91">Model!$524:$524</definedName>
    <definedName name="z_T897CE0113_MO_BlankRow_OS_92">Model!$497:$497</definedName>
    <definedName name="z_T897CE0113_MO_BlankRow_OS_93">Model!$504:$504</definedName>
    <definedName name="z_T897CE0113_MO_BlankRow_OS_94">Model!$509:$509</definedName>
    <definedName name="z_T897CE0113_MO_BlankRow_OS_95">Model!$514:$514</definedName>
    <definedName name="z_T897CE0113_MO_BlankRow_OS_96">Model!$519:$519</definedName>
    <definedName name="z_T897CE0113_MO_BlankRow_OS_97">Model!$254:$254</definedName>
    <definedName name="z_T897CE0113_MO_BlankRow_OS_98">"Deleted"</definedName>
    <definedName name="z_T897CE0113_MO_BlankRow_OS_99">"Deleted"</definedName>
    <definedName name="z_T897CE0113_MO_BlankRow_RIS">Model!$381:$381</definedName>
    <definedName name="z_T897CE0113_MO_BlankRow_RIS_1">Model!$384:$384</definedName>
    <definedName name="z_T897CE0113_MO_BlankRow_RIS_2">Model!$398:$398</definedName>
    <definedName name="z_T897CE0113_MO_BlankRow_RIS_3">Model!$391:$391</definedName>
    <definedName name="z_T897CE0113_MO_BlankRow_RIS_4">Model!$403:$403</definedName>
    <definedName name="z_T897CE0113_MO_BlankRow_RIS_5">Model!$416:$416</definedName>
    <definedName name="z_T897CE0113_MO_BlankRow_RIS_6">Model!$419:$419</definedName>
    <definedName name="z_T897CE0113_MO_BlankRow_RIS_7">Model!$424:$424</definedName>
    <definedName name="z_T897CE0113_MO_BlankRow_RIS_8">Model!$428:$428</definedName>
    <definedName name="z_T897CE0113_MO_BlankRow_SNA">Model!$979:$979</definedName>
    <definedName name="z_T897CE0113_MO_BlankRow_SNA_1">Model!$981:$981</definedName>
    <definedName name="z_T897CE0113_MO_BlankRow_SNA_10">Model!$1094:$1094</definedName>
    <definedName name="z_T897CE0113_MO_BlankRow_SNA_11">Model!$1101:$1101</definedName>
    <definedName name="z_T897CE0113_MO_BlankRow_SNA_12">Model!$1106:$1106</definedName>
    <definedName name="z_T897CE0113_MO_BlankRow_SNA_13">Model!$1124:$1124</definedName>
    <definedName name="z_T897CE0113_MO_BlankRow_SNA_14">Model!$1105:$1105</definedName>
    <definedName name="z_T897CE0113_MO_BlankRow_SNA_15">Model!$1022:$1022</definedName>
    <definedName name="z_T897CE0113_MO_BlankRow_SNA_16">Model!$1023:$1023</definedName>
    <definedName name="z_T897CE0113_MO_BlankRow_SNA_17">Model!$1039:$1039</definedName>
    <definedName name="z_T897CE0113_MO_BlankRow_SNA_18">Model!$1040:$1040</definedName>
    <definedName name="z_T897CE0113_MO_BlankRow_SNA_19">Model!$1057:$1057</definedName>
    <definedName name="z_T897CE0113_MO_BlankRow_SNA_2">Model!$988:$988</definedName>
    <definedName name="z_T897CE0113_MO_BlankRow_SNA_20">Model!$1058:$1058</definedName>
    <definedName name="z_T897CE0113_MO_BlankRow_SNA_3">Model!$994:$994</definedName>
    <definedName name="z_T897CE0113_MO_BlankRow_SNA_4">Model!$1002:$1002</definedName>
    <definedName name="z_T897CE0113_MO_BlankRow_SNA_5">Model!$1003:$1003</definedName>
    <definedName name="z_T897CE0113_MO_BlankRow_SNA_6">Model!$1069:$1069</definedName>
    <definedName name="z_T897CE0113_MO_BlankRow_SNA_7">Model!$1070:$1070</definedName>
    <definedName name="z_T897CE0113_MO_BlankRow_SNA_8">Model!$1080:$1080</definedName>
    <definedName name="z_T897CE0113_MO_BlankRow_SNA_9">Model!$1087:$1087</definedName>
    <definedName name="z_T897CE0113_MO_BS_Accountspayable">Model!$923:$923</definedName>
    <definedName name="z_T897CE0113_MO_BS_Accountsreceivable">Model!$905:$905</definedName>
    <definedName name="z_T897CE0113_MO_BS_Accruedcompensationandbenefits">Model!$927:$927</definedName>
    <definedName name="z_T897CE0113_MO_BS_Accruedexpensesandothercurrentliabilities">Model!$931:$931</definedName>
    <definedName name="z_T897CE0113_MO_BS_Accruedpropertyandequipment">Model!$929:$929</definedName>
    <definedName name="z_T897CE0113_MO_BS_Accruedtaxes">Model!$928:$928</definedName>
    <definedName name="z_T897CE0113_MO_BS_Accumulatedothercomprehensiveloss">Model!$949:$949</definedName>
    <definedName name="z_T897CE0113_MO_BS_additionalpaidincapital">Model!$948:$948</definedName>
    <definedName name="z_T897CE0113_MO_BS_BSCheck">Model!$955:$955</definedName>
    <definedName name="z_T897CE0113_MO_BS_capitalleaseobligations">Model!$938:$938</definedName>
    <definedName name="z_T897CE0113_MO_BS_cashandcashequivalents">Model!$903:$903</definedName>
    <definedName name="z_T897CE0113_MO_BS_convertiblepreferredstock">Model!$947:$947</definedName>
    <definedName name="z_T897CE0113_MO_BS_CurrentAssets">Model!$902:$902</definedName>
    <definedName name="z_T897CE0113_MO_BS_CurrentLiabilities">Model!$922:$922</definedName>
    <definedName name="z_T897CE0113_MO_BS_currentportionofcapitalleaseobligations">Model!$934:$934</definedName>
    <definedName name="z_T897CE0113_MO_BS_Deferredincometaxes">Model!$933:$933</definedName>
    <definedName name="z_T897CE0113_MO_BS_deferredrevenueanddeposits">Model!$932:$932</definedName>
    <definedName name="z_T897CE0113_MO_BS_Equityinvestments">Model!$912:$912</definedName>
    <definedName name="z_T897CE0113_MO_BS_Goodwill">Model!$916:$916</definedName>
    <definedName name="z_T897CE0113_MO_BS_incometaxrefundable">Model!$906:$906</definedName>
    <definedName name="z_T897CE0113_MO_BS_Intangibleassets">Model!$915:$915</definedName>
    <definedName name="z_T897CE0113_MO_BS_Legalrelatedaccruals">Model!$926:$926</definedName>
    <definedName name="z_T897CE0113_MO_BS_Longtermdebt">Model!$940:$940</definedName>
    <definedName name="z_T897CE0113_MO_BS_Longtermincometaxes">Model!$941:$941</definedName>
    <definedName name="z_T897CE0113_MO_BS_marketablesecurities">Model!$904:$904</definedName>
    <definedName name="z_T897CE0113_MO_BS_NCI">Model!$952:$952</definedName>
    <definedName name="z_T897CE0113_MO_BS_NetIncomeonReportedISNIonRevised">Model!$959:$959</definedName>
    <definedName name="z_T897CE0113_MO_BS_NetIncomeonRevisedISNIonCFstatement">Model!$958:$958</definedName>
    <definedName name="z_T897CE0113_MO_BS_NonCurrentAssets">Model!$911:$911</definedName>
    <definedName name="z_T897CE0113_MO_BS_NonCurrentLiabilities">Model!$937:$937</definedName>
    <definedName name="z_T897CE0113_MO_BS_Operatingleaseliabilities">Model!$925:$925</definedName>
    <definedName name="z_T897CE0113_MO_BS_Operatingleaseliabilities_1">Model!$939:$939</definedName>
    <definedName name="z_T897CE0113_MO_BS_Operatingleaserightofuseassets">Model!$914:$914</definedName>
    <definedName name="z_T897CE0113_MO_BS_Otheraccruedexpensesandliabilities">"Deleted"</definedName>
    <definedName name="z_T897CE0113_MO_BS_Otherassets">Model!$918:$918</definedName>
    <definedName name="z_T897CE0113_MO_BS_Othercurrentliabilities">Model!$930:$930</definedName>
    <definedName name="z_T897CE0113_MO_BS_Otherliabilities">Model!$942:$942</definedName>
    <definedName name="z_T897CE0113_MO_BS_partnerspayable">Model!$924:$924</definedName>
    <definedName name="z_T897CE0113_MO_BS_Prepaidexpensesandothercurrentassets">Model!$908:$908</definedName>
    <definedName name="z_T897CE0113_MO_BS_Propertyandequipment">Model!$913:$913</definedName>
    <definedName name="z_T897CE0113_MO_BS_Restrictedcash">Model!$907:$907</definedName>
    <definedName name="z_T897CE0113_MO_BS_Restrictedcash_1">Model!$917:$917</definedName>
    <definedName name="z_T897CE0113_MO_BS_retainedearnings">Model!$950:$950</definedName>
    <definedName name="z_T897CE0113_MO_BS_ShareholdersEquity">Model!$946:$946</definedName>
    <definedName name="z_T897CE0113_MO_BS_TotalAssets">Model!$920:$920</definedName>
    <definedName name="z_T897CE0113_MO_BS_Totalcashandcashequivalents">"Deleted"</definedName>
    <definedName name="z_T897CE0113_MO_BS_TotalCurrentAssets">Model!$909:$909</definedName>
    <definedName name="z_T897CE0113_MO_BS_TotalCurrentLiabilities">Model!$935:$935</definedName>
    <definedName name="z_T897CE0113_MO_BS_TotalLiabilities">Model!$944:$944</definedName>
    <definedName name="z_T897CE0113_MO_BS_TotalLiabilitiesSE">Model!$953:$953</definedName>
    <definedName name="z_T897CE0113_MO_BS_TotalNonCurrentAssets">Model!$919:$919</definedName>
    <definedName name="z_T897CE0113_MO_BS_TotalNonCurrentliabilities">Model!$943:$943</definedName>
    <definedName name="z_T897CE0113_MO_BS_TotalSE">Model!$951:$951</definedName>
    <definedName name="z_T897CE0113_MO_BSS_Cash">Model!$690:$690</definedName>
    <definedName name="z_T897CE0113_MO_BSS_Debt">Model!$693:$693</definedName>
    <definedName name="z_T897CE0113_MO_BSS_DebtCashFlow">Model!$706:$706</definedName>
    <definedName name="z_T897CE0113_MO_BSS_DebtEBITDA">Model!$705:$705</definedName>
    <definedName name="z_T897CE0113_MO_BSS_EBITDANetInterestExpense">Model!$704:$704</definedName>
    <definedName name="z_T897CE0113_MO_BSS_EffectiveInterestRateonCash">Model!$700:$700</definedName>
    <definedName name="z_T897CE0113_MO_BSS_EffectiveInterestRateonDebt">Model!$698:$698</definedName>
    <definedName name="z_T897CE0113_MO_BSS_EffectiveNetInterestRateonDebt">Model!$702:$702</definedName>
    <definedName name="z_T897CE0113_MO_BSS_InterestExpense">Model!$697:$697</definedName>
    <definedName name="z_T897CE0113_MO_BSS_InterestIncome">Model!$699:$699</definedName>
    <definedName name="z_T897CE0113_MO_BSS_LTDebt">Model!$692:$692</definedName>
    <definedName name="z_T897CE0113_MO_BSS_NetDebt">Model!$695:$695</definedName>
    <definedName name="z_T897CE0113_MO_BSS_NetInterestExpenseIncome">Model!$701:$701</definedName>
    <definedName name="z_T897CE0113_MO_BSS_OperatingLeaseLiabilities">Model!$694:$694</definedName>
    <definedName name="z_T897CE0113_MO_BSS_STDebt">Model!$691:$691</definedName>
    <definedName name="z_T897CE0113_MO_CCFS_accountspayable">Model!$752:$752</definedName>
    <definedName name="z_T897CE0113_MO_CCFS_accountsreceivable">Model!$747:$747</definedName>
    <definedName name="z_T897CE0113_MO_CCFS_Accruedexpensesandothercurrentliabilities">Model!$754:$754</definedName>
    <definedName name="z_T897CE0113_MO_CCFS_Acquisitionsofbusinessesnetofcashacquired">Model!$768:$768</definedName>
    <definedName name="z_T897CE0113_MO_CCFS_BeginningCashBalance">Model!$793:$793</definedName>
    <definedName name="z_T897CE0113_MO_CCFS_Cashpaidduringtheperiodforincometaxes">Model!$797:$797</definedName>
    <definedName name="z_T897CE0113_MO_CCFS_Cashpaidduringtheperiodforincometaxes_1">Model!$799:$799</definedName>
    <definedName name="z_T897CE0113_MO_CCFS_Cashpaidduringtheperiodforinterest">Model!$796:$796</definedName>
    <definedName name="z_T897CE0113_MO_CCFS_Cashreceivedduringtheperiodforincometaxes">Model!$798:$798</definedName>
    <definedName name="z_T897CE0113_MO_CCFS_CFF">Model!$774:$774</definedName>
    <definedName name="z_T897CE0113_MO_CCFS_CFI">Model!$760:$760</definedName>
    <definedName name="z_T897CE0113_MO_CCFS_CFO">Model!$733:$733</definedName>
    <definedName name="z_T897CE0113_MO_CCFS_CFObeforeWC">Model!$746:$746</definedName>
    <definedName name="z_T897CE0113_MO_CCFS_changeinrestrictedcashanddeposits">Model!$769:$769</definedName>
    <definedName name="z_T897CE0113_MO_CCFS_deferredincometaxes">Model!$740:$740</definedName>
    <definedName name="z_T897CE0113_MO_CCFS_deferredrevenueanddeposits">Model!$755:$755</definedName>
    <definedName name="z_T897CE0113_MO_CCFS_depreciationandamortization">Model!$735:$735</definedName>
    <definedName name="z_T897CE0113_MO_CCFS_Divestitureofbusinesssegment">Model!$770:$770</definedName>
    <definedName name="z_T897CE0113_MO_CCFS_Dividendspaid">Model!$786:$786</definedName>
    <definedName name="z_T897CE0113_MO_CCFS_EndingCashBalance">Model!$794:$794</definedName>
    <definedName name="z_T897CE0113_MO_CCFS_excesstaxbenefitfromsharebasedawardactivity">Model!$743:$743</definedName>
    <definedName name="z_T897CE0113_MO_CCFS_excesstaxbenefitfromsharebasedawardactivity_1">Model!$783:$783</definedName>
    <definedName name="z_T897CE0113_MO_CCFS_Fairvalueadjustmentsfornonmarketablesecurities">Model!$742:$742</definedName>
    <definedName name="z_T897CE0113_MO_CCFS_FX">Model!$790:$790</definedName>
    <definedName name="z_T897CE0113_MO_CCFS_Impairmentrelatedtoleasesandleaseholdimprovements">Model!$744:$744</definedName>
    <definedName name="z_T897CE0113_MO_CCFS_incometaxrefundable">Model!$748:$748</definedName>
    <definedName name="z_T897CE0113_MO_CCFS_Investmentsinnonmarketableequitysecurities">Model!$766:$766</definedName>
    <definedName name="z_T897CE0113_MO_CCFS_leaseabandonment">Model!$737:$737</definedName>
    <definedName name="z_T897CE0113_MO_CCFS_lossondisposalorwriteoffofequipment">Model!$738:$738</definedName>
    <definedName name="z_T897CE0113_MO_CCFS_lossonwriteoffofequipment">Model!$736:$736</definedName>
    <definedName name="z_T897CE0113_MO_CCFS_maturitiesofmarketablesecurities">Model!$765:$765</definedName>
    <definedName name="z_T897CE0113_MO_CCFS_NetCFF">Model!$788:$788</definedName>
    <definedName name="z_T897CE0113_MO_CCFS_NetCFI">Model!$772:$772</definedName>
    <definedName name="z_T897CE0113_MO_CCFS_NetCFO">Model!$758:$758</definedName>
    <definedName name="z_T897CE0113_MO_CCFS_NetChangeinCashBalance">Model!$791:$791</definedName>
    <definedName name="z_T897CE0113_MO_CCFS_Netchangeinoverdraftincashpoolingentities">Model!$785:$785</definedName>
    <definedName name="z_T897CE0113_MO_CCFS_netincome">Model!$734:$734</definedName>
    <definedName name="z_T897CE0113_MO_CCFS_netproceedsfromissuanceofcommonstock">Model!$775:$775</definedName>
    <definedName name="z_T897CE0113_MO_CCFS_netproceedsfromissuanceofconvertiblepreferredstock">Model!$776:$776</definedName>
    <definedName name="z_T897CE0113_MO_CCFS_Operatingleaseliabilities">Model!$756:$756</definedName>
    <definedName name="z_T897CE0113_MO_CCFS_Operatingleaserightofuseassets">Model!$751:$751</definedName>
    <definedName name="z_T897CE0113_MO_CCFS_Other">Model!$745:$745</definedName>
    <definedName name="z_T897CE0113_MO_CCFS_Otherassets">Model!$750:$750</definedName>
    <definedName name="z_T897CE0113_MO_CCFS_Otherfinancingactivities">Model!$787:$787</definedName>
    <definedName name="z_T897CE0113_MO_CCFS_Otherinvestingactivities">Model!$771:$771</definedName>
    <definedName name="z_T897CE0113_MO_CCFS_Otherliabilities">Model!$757:$757</definedName>
    <definedName name="z_T897CE0113_MO_CCFS_partnerspayable">Model!$753:$753</definedName>
    <definedName name="z_T897CE0113_MO_CCFS_Prepaidexpensesandothercurrentassets">Model!$749:$749</definedName>
    <definedName name="z_T897CE0113_MO_CCFS_principalpaymentsoncapitalleaseobligations">Model!$782:$782</definedName>
    <definedName name="z_T897CE0113_MO_CCFS_Principalpaymentsonfinanceleases">"Deleted"</definedName>
    <definedName name="z_T897CE0113_MO_CCFS_proceedsfromexerciseofstockoptions">Model!$778:$778</definedName>
    <definedName name="z_T897CE0113_MO_CCFS_Proceedsfromlongtermdebt">Model!$779:$779</definedName>
    <definedName name="z_T897CE0113_MO_CCFS_proceedsfromsaleandleasebacktransactions">Model!$781:$781</definedName>
    <definedName name="z_T897CE0113_MO_CCFS_Proceedsrelatingtopropertyandequipment">Model!$763:$763</definedName>
    <definedName name="z_T897CE0113_MO_CCFS_Purchaseofequityinvestments">Model!$767:$767</definedName>
    <definedName name="z_T897CE0113_MO_CCFS_purchasesofmarketablesecurities">Model!$762:$762</definedName>
    <definedName name="z_T897CE0113_MO_CCFS_purchasesofpropertyandequipment">Model!$761:$761</definedName>
    <definedName name="z_T897CE0113_MO_CCFS_Repaymentoflongtermdebt">Model!$780:$780</definedName>
    <definedName name="z_T897CE0113_MO_CCFS_repurchasesofclassacommonstock">Model!$784:$784</definedName>
    <definedName name="z_T897CE0113_MO_CCFS_salesofmarketablesecurities">Model!$764:$764</definedName>
    <definedName name="z_T897CE0113_MO_CCFS_sharebasedcompensation">Model!$739:$739</definedName>
    <definedName name="z_T897CE0113_MO_CCFS_taxbenefitfromsharebasedawardactivity">Model!$741:$741</definedName>
    <definedName name="z_T897CE0113_MO_CCFS_taxespaidrelatedtonetsharesettlement">Model!$777:$777</definedName>
    <definedName name="z_T897CE0113_MO_CFS_accountspayable">Model!$821:$821</definedName>
    <definedName name="z_T897CE0113_MO_CFS_accountsreceivable">Model!$816:$816</definedName>
    <definedName name="z_T897CE0113_MO_CFS_Accruedexpensesandothercurrentliabilities">Model!$823:$823</definedName>
    <definedName name="z_T897CE0113_MO_CFS_Acquisitionsofbusinessesnetofcashacquired">Model!$837:$837</definedName>
    <definedName name="z_T897CE0113_MO_CFS_BeginningCashBalance">Model!$862:$862</definedName>
    <definedName name="z_T897CE0113_MO_CFS_Cashpaidduringtheperiodforincometaxes">Model!$866:$866</definedName>
    <definedName name="z_T897CE0113_MO_CFS_Cashpaidduringtheperiodforincometaxes_1">Model!$868:$868</definedName>
    <definedName name="z_T897CE0113_MO_CFS_Cashpaidduringtheperiodforinterest">Model!$865:$865</definedName>
    <definedName name="z_T897CE0113_MO_CFS_Cashreceivedduringtheperiodforincometaxes">Model!$867:$867</definedName>
    <definedName name="z_T897CE0113_MO_CFS_CFCheck">Model!$870:$870</definedName>
    <definedName name="z_T897CE0113_MO_CFS_CFF">Model!$843:$843</definedName>
    <definedName name="z_T897CE0113_MO_CFS_CFI">Model!$829:$829</definedName>
    <definedName name="z_T897CE0113_MO_CFS_CFO">Model!$802:$802</definedName>
    <definedName name="z_T897CE0113_MO_CFS_CFObeforeWC">Model!$815:$815</definedName>
    <definedName name="z_T897CE0113_MO_CFS_changeinrestrictedcashanddeposits">Model!$838:$838</definedName>
    <definedName name="z_T897CE0113_MO_CFS_deferredincometaxes">Model!$809:$809</definedName>
    <definedName name="z_T897CE0113_MO_CFS_deferredrevenueanddeposits">Model!$824:$824</definedName>
    <definedName name="z_T897CE0113_MO_CFS_depreciationandamortization">Model!$804:$804</definedName>
    <definedName name="z_T897CE0113_MO_CFS_Divestitureofbusinesssegment">Model!$839:$839</definedName>
    <definedName name="z_T897CE0113_MO_CFS_Dividendspaid">Model!$855:$855</definedName>
    <definedName name="z_T897CE0113_MO_CFS_EndingCashBalance">Model!$863:$863</definedName>
    <definedName name="z_T897CE0113_MO_CFS_excesstaxbenefitfromsharebasedawardactivity">Model!$812:$812</definedName>
    <definedName name="z_T897CE0113_MO_CFS_excesstaxbenefitfromsharebasedawardactivity_1">Model!$852:$852</definedName>
    <definedName name="z_T897CE0113_MO_CFS_Fairvalueadjustmentsfornonmarketablesecurities">Model!$811:$811</definedName>
    <definedName name="z_T897CE0113_MO_CFS_FX">Model!$859:$859</definedName>
    <definedName name="z_T897CE0113_MO_CFS_Impairmentrelatedtoleasesandleaseholdimprovements">Model!$813:$813</definedName>
    <definedName name="z_T897CE0113_MO_CFS_incometaxrefundable">Model!$817:$817</definedName>
    <definedName name="z_T897CE0113_MO_CFS_Investmentsinnonmarketableequitysecurities">Model!$835:$835</definedName>
    <definedName name="z_T897CE0113_MO_CFS_leaseabandonment">Model!$806:$806</definedName>
    <definedName name="z_T897CE0113_MO_CFS_lossondisposalorwriteoffofequipment">Model!$807:$807</definedName>
    <definedName name="z_T897CE0113_MO_CFS_lossonwriteoffofequipment">Model!$805:$805</definedName>
    <definedName name="z_T897CE0113_MO_CFS_maturitiesofmarketablesecurities">Model!$834:$834</definedName>
    <definedName name="z_T897CE0113_MO_CFS_NetCFF">Model!$857:$857</definedName>
    <definedName name="z_T897CE0113_MO_CFS_NetCFI">Model!$841:$841</definedName>
    <definedName name="z_T897CE0113_MO_CFS_NetCFO">Model!$827:$827</definedName>
    <definedName name="z_T897CE0113_MO_CFS_NetChangeinCashBalance">Model!$860:$860</definedName>
    <definedName name="z_T897CE0113_MO_CFS_Netchangeinoverdraftincashpoolingentities">Model!$854:$854</definedName>
    <definedName name="z_T897CE0113_MO_CFS_netincome">Model!$803:$803</definedName>
    <definedName name="z_T897CE0113_MO_CFS_netproceedsfromissuanceofcommonstock">Model!$844:$844</definedName>
    <definedName name="z_T897CE0113_MO_CFS_netproceedsfromissuanceofconvertiblepreferredstock">Model!$845:$845</definedName>
    <definedName name="z_T897CE0113_MO_CFS_Operatingleaseliabilities">Model!$825:$825</definedName>
    <definedName name="z_T897CE0113_MO_CFS_Operatingleaserightofuseassets">Model!$819:$819</definedName>
    <definedName name="z_T897CE0113_MO_CFS_Other">Model!$814:$814</definedName>
    <definedName name="z_T897CE0113_MO_CFS_Otherassets">Model!$820:$820</definedName>
    <definedName name="z_T897CE0113_MO_CFS_Otherfinancingactivities">Model!$856:$856</definedName>
    <definedName name="z_T897CE0113_MO_CFS_Otherinvestingactivities">Model!$840:$840</definedName>
    <definedName name="z_T897CE0113_MO_CFS_Otherliabilities">Model!$826:$826</definedName>
    <definedName name="z_T897CE0113_MO_CFS_partnerspayable">Model!$822:$822</definedName>
    <definedName name="z_T897CE0113_MO_CFS_Prepaidexpensesandothercurrentassets">Model!$818:$818</definedName>
    <definedName name="z_T897CE0113_MO_CFS_principalpaymentsoncapitalleaseobligations">Model!$851:$851</definedName>
    <definedName name="z_T897CE0113_MO_CFS_Principalpaymentsonfinanceleases">"Deleted"</definedName>
    <definedName name="z_T897CE0113_MO_CFS_proceedsfromexerciseofstockoptions">Model!$847:$847</definedName>
    <definedName name="z_T897CE0113_MO_CFS_Proceedsfromlongtermdebt">Model!$848:$848</definedName>
    <definedName name="z_T897CE0113_MO_CFS_proceedsfromsaleandleasebacktransactions">Model!$850:$850</definedName>
    <definedName name="z_T897CE0113_MO_CFS_Proceedsrelatingtopropertyandequipment">Model!$832:$832</definedName>
    <definedName name="z_T897CE0113_MO_CFS_Purchaseofequityinvestments">Model!$836:$836</definedName>
    <definedName name="z_T897CE0113_MO_CFS_purchasesofmarketablesecurities">Model!$831:$831</definedName>
    <definedName name="z_T897CE0113_MO_CFS_purchasesofpropertyandequipment">Model!$830:$830</definedName>
    <definedName name="z_T897CE0113_MO_CFS_Repaymentoflongtermdebt">Model!$849:$849</definedName>
    <definedName name="z_T897CE0113_MO_CFS_repurchasesofclassacommonstock">Model!$853:$853</definedName>
    <definedName name="z_T897CE0113_MO_CFS_salesofmarketablesecurities">Model!$833:$833</definedName>
    <definedName name="z_T897CE0113_MO_CFS_sharebasedcompensation">Model!$808:$808</definedName>
    <definedName name="z_T897CE0113_MO_CFS_taxbenefitfromsharebasedawardactivity">Model!$810:$810</definedName>
    <definedName name="z_T897CE0113_MO_CFS_taxespaidrelatedtonetsharesettlement">Model!$846:$846</definedName>
    <definedName name="z_T897CE0113_MO_CFSum_Acquisitions">Model!$668:$668</definedName>
    <definedName name="z_T897CE0113_MO_CFSum_Capex">Model!$665:$665</definedName>
    <definedName name="z_T897CE0113_MO_CFSum_CashFlowPerDilutedShare">Model!$662:$662</definedName>
    <definedName name="z_T897CE0113_MO_CFSum_CashFlowPerDilutedShare_1">Model!$663:$663</definedName>
    <definedName name="z_T897CE0113_MO_CFSum_ChangeinWorkingCapital">Model!$660:$660</definedName>
    <definedName name="z_T897CE0113_MO_CFSum_ConsensusEstimatesCapex">Model!$666:$666</definedName>
    <definedName name="z_T897CE0113_MO_CFSum_consensusestimatescashflowperdilutedshare">Model!$664:$664</definedName>
    <definedName name="z_T897CE0113_MO_CFSum_Divestiture">Model!$669:$669</definedName>
    <definedName name="z_T897CE0113_MO_CFSum_DividendPaid">Model!$670:$670</definedName>
    <definedName name="z_T897CE0113_MO_CFSum_DividendPerShare">Model!$671:$671</definedName>
    <definedName name="z_T897CE0113_MO_CFSum_EstimatedSharePriceforIssuanceBuybacks">Model!$675:$675</definedName>
    <definedName name="z_T897CE0113_MO_CFSum_FCF">Model!$680:$680</definedName>
    <definedName name="z_T897CE0113_MO_CFSum_FCF_1">Model!$681:$681</definedName>
    <definedName name="z_T897CE0113_MO_CFSum_FCF_2">Model!$682:$682</definedName>
    <definedName name="z_T897CE0113_MO_CFSum_FCF_4">Model!$684:$684</definedName>
    <definedName name="z_T897CE0113_MO_CFSum_FCFPostDiv_1">Model!$685:$685</definedName>
    <definedName name="z_T897CE0113_MO_CFSum_FCFPostDiv_2">Model!$686:$686</definedName>
    <definedName name="z_T897CE0113_MO_CFSum_FCFPostDivDebtBuyback">Model!$683:$683</definedName>
    <definedName name="z_T897CE0113_MO_CFSum_FCFPostDivDebtBuyback_1">Model!$687:$687</definedName>
    <definedName name="z_T897CE0113_MO_CFSum_GuidanceCapex">Model!$667:$667</definedName>
    <definedName name="z_T897CE0113_MO_CFSum_NetDebtIssuanceRepayment">Model!$673:$673</definedName>
    <definedName name="z_T897CE0113_MO_CFSum_NetShareIssuanceBuybacks">Model!$674:$674</definedName>
    <definedName name="z_T897CE0113_MO_CFSum_OperatingCashFlowafterWC">Model!$661:$661</definedName>
    <definedName name="z_T897CE0113_MO_CFSum_OperatingCashFlowbeforeWC">Model!$659:$659</definedName>
    <definedName name="z_T897CE0113_MO_CFSum_SBCexpense">Model!$677:$677</definedName>
    <definedName name="z_T897CE0113_MO_CFSum_SBCexpenseasofrevenue">Model!$678:$678</definedName>
    <definedName name="z_T897CE0113_MO_Checks_SNA_AdjustedNumbersFYSumofQs">Model!$970:$970</definedName>
    <definedName name="z_T897CE0113_MO_Checks_SNA_BalanceSheetisnotRepeated">Model!$966:$966</definedName>
    <definedName name="z_T897CE0113_MO_Checks_SNA_CapexisUpdated">Model!$968:$968</definedName>
    <definedName name="z_T897CE0113_MO_Checks_SNA_CashFlowisnotRepeated">Model!$964:$964</definedName>
    <definedName name="z_T897CE0113_MO_Checks_SNA_CashFlowSummarySignsareCorrect">Model!$971:$971</definedName>
    <definedName name="z_T897CE0113_MO_Checks_SNA_CashisPositive">Model!$960:$960</definedName>
    <definedName name="z_T897CE0113_MO_Checks_SNA_CFFsubtotalFYSumofQs">Model!$977:$977</definedName>
    <definedName name="z_T897CE0113_MO_Checks_SNA_CFIsubtotalFYSumofQs">Model!$976:$976</definedName>
    <definedName name="z_T897CE0113_MO_Checks_SNA_CFOBeforeWCsubtotalFYSumofQs">Model!$974:$974</definedName>
    <definedName name="z_T897CE0113_MO_Checks_SNA_CFOsubtotalFYSumofQs">Model!$975:$975</definedName>
    <definedName name="z_T897CE0113_MO_Checks_SNA_CFSummaryFYSumofQs">Model!$978:$978</definedName>
    <definedName name="z_T897CE0113_MO_Checks_SNA_DebtisPositive">Model!$961:$961</definedName>
    <definedName name="z_T897CE0113_MO_Checks_SNA_EndingCFEndingCumulativeCF">Model!$967:$967</definedName>
    <definedName name="z_T897CE0113_MO_Checks_SNA_IncomeStatementisnotRepeated">Model!$965:$965</definedName>
    <definedName name="z_T897CE0113_MO_Checks_SNA_MarginisUpdated">Model!$969:$969</definedName>
    <definedName name="z_T897CE0113_MO_Checks_SNA_RISAdjustedNIFYSumofQs">Model!$973:$973</definedName>
    <definedName name="z_T897CE0113_MO_Checks_SNA_RISNIFYSumofQs">Model!$972:$972</definedName>
    <definedName name="z_T897CE0113_MO_Checks_SNA_SegmentedEBITEBIT">Model!$963:$963</definedName>
    <definedName name="z_T897CE0113_MO_Checks_SNA_SegmentedRevenueRevenue">Model!$962:$962</definedName>
    <definedName name="z_T897CE0113_MO_DAF_AmortizationaspercentageofIntangiblesBoP">Model!$893:$893</definedName>
    <definedName name="z_T897CE0113_MO_DAF_Amortizationofintangibles">Model!$887:$887</definedName>
    <definedName name="z_T897CE0113_MO_DAF_Capexofintangibles">Model!$888:$888</definedName>
    <definedName name="z_T897CE0113_MO_DAF_CapexofPPE">Model!$882:$882</definedName>
    <definedName name="z_T897CE0113_MO_DAF_DepreciationaspercentageofPPEBoP">Model!$892:$892</definedName>
    <definedName name="z_T897CE0113_MO_DAF_Depreciationoffixedassets">Model!$881:$881</definedName>
    <definedName name="z_T897CE0113_MO_DAF_Impliedlifeoffixedassets">Model!$894:$894</definedName>
    <definedName name="z_T897CE0113_MO_DAF_Impliedlifeofintangibles">Model!$895:$895</definedName>
    <definedName name="z_T897CE0113_MO_DAF_IntangiblesBoP">Model!$886:$886</definedName>
    <definedName name="z_T897CE0113_MO_DAF_IntangiblesEoP">Model!$890:$890</definedName>
    <definedName name="z_T897CE0113_MO_DAF_Othernetadditionstointangibles">Model!$889:$889</definedName>
    <definedName name="z_T897CE0113_MO_DAF_OthernetadditionstoPPE">Model!$883:$883</definedName>
    <definedName name="z_T897CE0113_MO_DAF_Percentageofcapexallocatedtointangibleassets">Model!$899:$899</definedName>
    <definedName name="z_T897CE0113_MO_DAF_PPEBoP">Model!$880:$880</definedName>
    <definedName name="z_T897CE0113_MO_DAF_PPEEoP">Model!$884:$884</definedName>
    <definedName name="z_T897CE0113_MO_DAF_TotalCapex">Model!$898:$898</definedName>
    <definedName name="z_T897CE0113_MO_DAF_TotalDA">Model!$897:$897</definedName>
    <definedName name="z_T897CE0113_MO_GA_AdvertisingConstantCurrencyRevenueGrowth">Model!$41:$41</definedName>
    <definedName name="z_T897CE0113_MO_GA_ConstantCurrencyRevenueGrowth">'Supplemental Data'!$20:$20</definedName>
    <definedName name="z_T897CE0113_MO_Header_ColumnHeader">Model!$5:$5</definedName>
    <definedName name="z_T897CE0113_MO_Header_CompanySubTitle">Model!$2:$2</definedName>
    <definedName name="z_T897CE0113_MO_Header_CompanyTitle">Model!$1:$1</definedName>
    <definedName name="z_T897CE0113_MO_Header_FPDays">Model!$3:$3</definedName>
    <definedName name="z_T897CE0113_MO_Header_HeaderRow">'Supplemental Data'!$1:$1</definedName>
    <definedName name="z_T897CE0113_MO_Header_HeaderRow_1">'Supplemental Data'!$2:$2</definedName>
    <definedName name="z_T897CE0113_MO_Header_HeaderRow_10">'Supplemental Data'!$12:$12</definedName>
    <definedName name="z_T897CE0113_MO_Header_HeaderRow_11">'Supplemental Data'!$23:$23</definedName>
    <definedName name="z_T897CE0113_MO_Header_HeaderRow_12">'Supplemental Data'!$24:$24</definedName>
    <definedName name="z_T897CE0113_MO_Header_HeaderRow_2">'Supplemental Data'!$3:$3</definedName>
    <definedName name="z_T897CE0113_MO_Header_HeaderRow_3">'Supplemental Data'!$4:$4</definedName>
    <definedName name="z_T897CE0113_MO_Header_HeaderRow_4">'Supplemental Data'!$5:$5</definedName>
    <definedName name="z_T897CE0113_MO_Header_HeaderRow_5">'Exec Comp'!$1:$1</definedName>
    <definedName name="z_T897CE0113_MO_Header_HeaderRow_6">'Exec Comp'!$2:$2</definedName>
    <definedName name="z_T897CE0113_MO_Header_HeaderRow_7">'Exec Comp'!$3:$3</definedName>
    <definedName name="z_T897CE0113_MO_Header_HeaderRow_8">'Exec Comp'!$4:$4</definedName>
    <definedName name="z_T897CE0113_MO_Header_HeaderRow_9">'Exec Comp'!$5:$5</definedName>
    <definedName name="z_T897CE0113_MO_Header_QEndDate">Model!$4:$4</definedName>
    <definedName name="z_T897CE0113_MO_IS_costofrevenue">Model!$339:$339</definedName>
    <definedName name="z_T897CE0113_MO_IS_Foreigncurrencyexchangelosses">Model!$349:$349</definedName>
    <definedName name="z_T897CE0113_MO_IS_generalandadministrative">Model!$343:$343</definedName>
    <definedName name="z_T897CE0113_MO_IS_grossprofit">Model!$340:$340</definedName>
    <definedName name="z_T897CE0113_MO_IS_incomebeforeprovisionforincometaxes">Model!$351:$351</definedName>
    <definedName name="z_T897CE0113_MO_IS_incomefromoperations">Model!$345:$345</definedName>
    <definedName name="z_T897CE0113_MO_IS_Interestexpense">Model!$347:$347</definedName>
    <definedName name="z_T897CE0113_MO_IS_Interestincome_1">Model!$346:$346</definedName>
    <definedName name="z_T897CE0113_MO_IS_interestincomeexpense">Model!$348:$348</definedName>
    <definedName name="z_T897CE0113_MO_IS_ISCheck">Model!$357:$357</definedName>
    <definedName name="z_T897CE0113_MO_IS_lessnetincomeattributabletoparticipatingsecurities">Model!$354:$354</definedName>
    <definedName name="z_T897CE0113_MO_IS_marketingandsales">Model!$342:$342</definedName>
    <definedName name="z_T897CE0113_MO_IS_netincome">Model!$353:$353</definedName>
    <definedName name="z_T897CE0113_MO_IS_netincomeattributabletoclassaandclassbcommonstockholders">Model!$355:$355</definedName>
    <definedName name="z_T897CE0113_MO_IS_Otherincomeexpense">Model!$350:$350</definedName>
    <definedName name="z_T897CE0113_MO_IS_provisionforincometaxes">Model!$352:$352</definedName>
    <definedName name="z_T897CE0113_MO_IS_researchanddevelopment">Model!$341:$341</definedName>
    <definedName name="z_T897CE0113_MO_IS_revenue">Model!$338:$338</definedName>
    <definedName name="z_T897CE0113_MO_IS_totalcostsandexpenses">Model!$344:$344</definedName>
    <definedName name="z_T897CE0113_MO_MA_AddbackAmortizationofIntangiblesMargin">Model!$331:$331</definedName>
    <definedName name="z_T897CE0113_MO_MA_AddbackDAMargin">Model!$330:$330</definedName>
    <definedName name="z_T897CE0113_MO_MA_AddbackSBCMargin">Model!$332:$332</definedName>
    <definedName name="z_T897CE0113_MO_MA_AdjustedEBITDAMargin">Model!$334:$334</definedName>
    <definedName name="z_T897CE0113_MO_MA_AdjustedEBITMargin">Model!$327:$327</definedName>
    <definedName name="z_T897CE0113_MO_MA_AverageFXRate">Model!$723:$723</definedName>
    <definedName name="z_T897CE0113_MO_MA_COGSMargin_3">Model!$319:$319</definedName>
    <definedName name="z_T897CE0113_MO_MA_COGSMarginexclforDAandSBC">"Deleted"</definedName>
    <definedName name="z_T897CE0113_MO_MA_consensusestimatesadjustedebitdamargin">Model!$335:$335</definedName>
    <definedName name="z_T897CE0113_MO_MA_ConsensusEstimatesAdjustedEBITMargin">Model!$328:$328</definedName>
    <definedName name="z_T897CE0113_MO_MA_consensusestimatesgrossmargin">Model!$321:$321</definedName>
    <definedName name="z_T897CE0113_MO_MA_EBITDAMargin">Model!$333:$333</definedName>
    <definedName name="z_T897CE0113_MO_MA_EBITMargin">Model!$326:$326</definedName>
    <definedName name="z_T897CE0113_MO_MA_EoPFXRate">Model!$724:$724</definedName>
    <definedName name="z_T897CE0113_MO_MA_GAMargin_2">Model!$323:$323</definedName>
    <definedName name="z_T897CE0113_MO_MA_GrossMargin_3">Model!$320:$320</definedName>
    <definedName name="z_T897CE0113_MO_MA_GrossMarginexclforDAandSBC">"Deleted"</definedName>
    <definedName name="z_T897CE0113_MO_MA_RDMargin_2">Model!$325:$325</definedName>
    <definedName name="z_T897CE0113_MO_MA_SMMargin_2">Model!$324:$324</definedName>
    <definedName name="z_T897CE0113_MO_MA_StockEoP">Model!$722:$722</definedName>
    <definedName name="z_T897CE0113_MO_MA_StockPriceTradingCurAvg">Model!$725:$725</definedName>
    <definedName name="z_T897CE0113_MO_OS_Accountsreceivablenetofallowances">Model!$873:$873</definedName>
    <definedName name="z_T897CE0113_MO_OS_AccountsreceivablenetofallowancesYYChange">Model!$876:$876</definedName>
    <definedName name="z_T897CE0113_MO_OS_Accruedexpensesandothercurrentliabilities">Model!$874:$874</definedName>
    <definedName name="z_T897CE0113_MO_OS_AccruedexpensesandothercurrentliabilitiesYYChange">Model!$877:$877</definedName>
    <definedName name="z_T897CE0113_MO_OS_Additionofrepurchasesauthorized_3">Model!$518:$518</definedName>
    <definedName name="z_T897CE0113_MO_OS_Additionofrepurchasesauthorizedmonth1">Model!$515:$515</definedName>
    <definedName name="z_T897CE0113_MO_OS_Additionofrepurchasesauthorizedmonth2">Model!$516:$516</definedName>
    <definedName name="z_T897CE0113_MO_OS_Additionofrepurchasesauthorizedmonth3">Model!$517:$517</definedName>
    <definedName name="z_T897CE0113_MO_OS_AdjustedEBIT">Model!$174:$174</definedName>
    <definedName name="z_T897CE0113_MO_OS_AdjustedEBITMargin">Model!$177:$177</definedName>
    <definedName name="z_T897CE0113_MO_OS_AdvertisingConstantCurrencyRevenueGrowth">'Supplemental Data'!$10:$10</definedName>
    <definedName name="z_T897CE0113_MO_OS_Advertisingexpenses">Model!$251:$251</definedName>
    <definedName name="z_T897CE0113_MO_OS_AdvertisingexpensesasaofSM">Model!$253:$253</definedName>
    <definedName name="z_T897CE0113_MO_OS_AdvertisingFamilyAVRPcalculated">"Deleted"</definedName>
    <definedName name="z_T897CE0113_MO_OS_AdvertisingFamilyAVRPreported">'Supplemental Data'!$34:$34</definedName>
    <definedName name="z_T897CE0113_MO_OS_Advertisingrevenue">Model!$109:$109</definedName>
    <definedName name="z_T897CE0113_MO_OS_Advertisingrevenue_2">Model!$81:$81</definedName>
    <definedName name="z_T897CE0113_MO_OS_Advertisingrevenue_4">Model!$38:$38</definedName>
    <definedName name="z_T897CE0113_MO_OS_Advertisingrevenue_5">"Deleted"</definedName>
    <definedName name="z_T897CE0113_MO_OS_Advertisingrevenueexcludingforeignexchangeeffect">'Supplemental Data'!$9:$9</definedName>
    <definedName name="z_T897CE0113_MO_OS_Advertisingrevenuemix">Model!$87:$87</definedName>
    <definedName name="z_T897CE0113_MO_OS_AdvertisingWorldwideARPUReported">Model!$239:$239</definedName>
    <definedName name="z_T897CE0113_MO_OS_AmortizationofROUassets">Model!$297:$297</definedName>
    <definedName name="z_T897CE0113_MO_OS_AsiaPacificadimpressiongrowthrate">Model!$257:$257</definedName>
    <definedName name="z_T897CE0113_MO_OS_AsiaPacificadvertisingrevenue">Model!$107:$107</definedName>
    <definedName name="z_T897CE0113_MO_OS_AsiaPacificadvertisingrevenuemix">Model!$113:$113</definedName>
    <definedName name="z_T897CE0113_MO_OS_AsiaPacificaveragepriceperadgrowthrate">Model!$263:$263</definedName>
    <definedName name="z_T897CE0113_MO_OS_AsiaPacificdailyactiveusers_1">Model!$217:$217</definedName>
    <definedName name="z_T897CE0113_MO_OS_AsiaPacificdailyactiveusersmix">Model!$223:$223</definedName>
    <definedName name="z_T897CE0113_MO_OS_AsiaPacificmonthlyactiveusers_1">Model!$229:$229</definedName>
    <definedName name="z_T897CE0113_MO_OS_AsiaPacificmonthlyactiveusersmix">Model!$235:$235</definedName>
    <definedName name="z_T897CE0113_MO_OS_asiapacificmonthlyarpugrowth">"Deleted"</definedName>
    <definedName name="z_T897CE0113_MO_OS_asiapacificrevenue">Model!$119:$119</definedName>
    <definedName name="z_T897CE0113_MO_OS_AsiaPacificrevenuebasedonbillingaddress">Model!$133:$133</definedName>
    <definedName name="z_T897CE0113_MO_OS_AsiaPacificrevenuebasedonbillingaddressmix">Model!$141:$141</definedName>
    <definedName name="z_T897CE0113_MO_OS_AsiaPacificrevenuemix">Model!$125:$125</definedName>
    <definedName name="z_T897CE0113_MO_OS_Averagepriceofsharesrepurchasedcalculated">Model!$508:$508</definedName>
    <definedName name="z_T897CE0113_MO_OS_Averagepriceofsharesrepurchasedmonth1">Model!$505:$505</definedName>
    <definedName name="z_T897CE0113_MO_OS_Averagepriceofsharesrepurchasedmonth2">Model!$506:$506</definedName>
    <definedName name="z_T897CE0113_MO_OS_Averagepriceofsharesrepurchasedmonth3">Model!$507:$507</definedName>
    <definedName name="z_T897CE0113_MO_OS_Averagepriceperadgrowthrate" localSheetId="5">[1]Historicals!$297:$297</definedName>
    <definedName name="z_T897CE0113_MO_OS_Averagepriceperadgrowthrate" localSheetId="2">[1]Historicals!$297:$297</definedName>
    <definedName name="z_T897CE0113_MO_OS_Averagepriceperadgrowthrate" localSheetId="3">[1]Historicals!$297:$297</definedName>
    <definedName name="z_T897CE0113_MO_OS_Averagepriceperadgrowthrate" localSheetId="7">[1]Historicals!$297:$297</definedName>
    <definedName name="z_T897CE0113_MO_OS_Averagepriceperadgrowthrate" localSheetId="6">[1]Historicals!$297:$297</definedName>
    <definedName name="z_T897CE0113_MO_OS_Averagepriceperadgrowthrate" localSheetId="1">[1]Historicals!$297:$297</definedName>
    <definedName name="z_T897CE0113_MO_OS_Averagepriceperadgrowthrate" localSheetId="9">[1]Historicals!$297:$297</definedName>
    <definedName name="z_T897CE0113_MO_OS_Averagepriceperadgrowthrate" localSheetId="4">[1]Historicals!$297:$297</definedName>
    <definedName name="z_T897CE0113_MO_OS_Averagepriceperadgrowthrate" localSheetId="0">[1]Historicals!$297:$297</definedName>
    <definedName name="z_T897CE0113_MO_OS_Averagepriceperadgrowthrate">Model!$265:$265</definedName>
    <definedName name="z_T897CE0113_MO_OS_BoPTotalStockOptionsOutstanding">Model!$459:$459</definedName>
    <definedName name="z_T897CE0113_MO_OS_BoPWeightedAverageExercisePrice">Model!$471:$471</definedName>
    <definedName name="z_T897CE0113_MO_OS_Buildings">Model!$285:$285</definedName>
    <definedName name="z_T897CE0113_MO_OS_Canadarevenuebasedonbillingaddress">Model!$130:$130</definedName>
    <definedName name="z_T897CE0113_MO_OS_Canadarevenuebasedonbillingaddressmix">Model!$138:$138</definedName>
    <definedName name="z_T897CE0113_MO_OS_CanalystCoverPageFullyDilutedSharesOutstanding">Model!$498:$498</definedName>
    <definedName name="z_T897CE0113_MO_OS_CanalystEoPFullyDilutedSharesOutstanding">Model!$491:$491</definedName>
    <definedName name="z_T897CE0113_MO_OS_CapexbeatmissvsmostrecentguidanceMid">Model!$620:$620</definedName>
    <definedName name="z_T897CE0113_MO_OS_Capexguidanceinitialmidpoint">Model!$614:$614</definedName>
    <definedName name="z_T897CE0113_MO_OS_Capexguidancemostrecentmidpoint">Model!$618:$618</definedName>
    <definedName name="z_T897CE0113_MO_OS_Capexguidanceupdate1midpoint">Model!$615:$615</definedName>
    <definedName name="z_T897CE0113_MO_OS_Capexguidanceupdate2midpoint">Model!$616:$616</definedName>
    <definedName name="z_T897CE0113_MO_OS_Capexguidanceupdate3midpoint">Model!$617:$617</definedName>
    <definedName name="z_T897CE0113_MO_OS_Capexreported">Model!$619:$619</definedName>
    <definedName name="z_T897CE0113_MO_OS_CBOAllothercompensation">'Exec Comp'!$86:$86</definedName>
    <definedName name="z_T897CE0113_MO_OS_CBOBasePay">'Exec Comp'!$83:$83</definedName>
    <definedName name="z_T897CE0113_MO_OS_CBOBonus">'Exec Comp'!$84:$84</definedName>
    <definedName name="z_T897CE0113_MO_OS_CBOcomptiedtoequity">'Exec Comp'!$88:$88</definedName>
    <definedName name="z_T897CE0113_MO_OS_CBOEoPClassAsharesbeneficiallyowned">'Exec Comp'!$90:$90</definedName>
    <definedName name="z_T897CE0113_MO_OS_CBOEoPClassBsharesbeneficiallyowned">'Exec Comp'!$91:$91</definedName>
    <definedName name="z_T897CE0113_MO_OS_CBOEoPsharesbeneficiallyowned">'Exec Comp'!$92:$92</definedName>
    <definedName name="z_T897CE0113_MO_OS_CBOStockAwards">'Exec Comp'!$85:$85</definedName>
    <definedName name="z_T897CE0113_MO_OS_CBOTotalComp">'Exec Comp'!$87:$87</definedName>
    <definedName name="z_T897CE0113_MO_OS_CEOAllothercompensation">'Exec Comp'!$10:$10</definedName>
    <definedName name="z_T897CE0113_MO_OS_CEOBasePay">'Exec Comp'!$7:$7</definedName>
    <definedName name="z_T897CE0113_MO_OS_CEOBonus">'Exec Comp'!$8:$8</definedName>
    <definedName name="z_T897CE0113_MO_OS_CEOcomptiedtoequity">'Exec Comp'!$12:$12</definedName>
    <definedName name="z_T897CE0113_MO_OS_CEOEoPClassAsharesbeneficiallyowned">'Exec Comp'!$15:$15</definedName>
    <definedName name="z_T897CE0113_MO_OS_CEOEoPClassBsharesbeneficiallyowned">'Exec Comp'!$16:$16</definedName>
    <definedName name="z_T897CE0113_MO_OS_CEOEoPsharesbeneficiallyowned">'Exec Comp'!$17:$17</definedName>
    <definedName name="z_T897CE0113_MO_OS_CEOStockAwards">'Exec Comp'!$9:$9</definedName>
    <definedName name="z_T897CE0113_MO_OS_CEOStockOwnershipGuidelinessharesequivalentvalue">'Exec Comp'!$138:$138</definedName>
    <definedName name="z_T897CE0113_MO_OS_CEOTotalComp">'Exec Comp'!$11:$11</definedName>
    <definedName name="z_T897CE0113_MO_OS_CFOAllothercompensation">'Exec Comp'!$32:$32</definedName>
    <definedName name="z_T897CE0113_MO_OS_CFOBasePay">'Exec Comp'!$29:$29</definedName>
    <definedName name="z_T897CE0113_MO_OS_CFOBonus">'Exec Comp'!$30:$30</definedName>
    <definedName name="z_T897CE0113_MO_OS_CFOcomptiedtoequity">'Exec Comp'!$34:$34</definedName>
    <definedName name="z_T897CE0113_MO_OS_CFOEoPClassAsharesbeneficiallyowned">'Exec Comp'!$36:$36</definedName>
    <definedName name="z_T897CE0113_MO_OS_CFOEoPClassBsharesbeneficiallyowned">'Exec Comp'!$37:$37</definedName>
    <definedName name="z_T897CE0113_MO_OS_CFOEoPsharesbeneficiallyowned">'Exec Comp'!$38:$38</definedName>
    <definedName name="z_T897CE0113_MO_OS_CFOStockAwards">'Exec Comp'!$31:$31</definedName>
    <definedName name="z_T897CE0113_MO_OS_CFOTotalComp">'Exec Comp'!$33:$33</definedName>
    <definedName name="z_T897CE0113_MO_OS_Checker">"Deleted"</definedName>
    <definedName name="z_T897CE0113_MO_OS_ClassAcommonstockoutstandingEoP">Model!$435:$435</definedName>
    <definedName name="z_T897CE0113_MO_OS_ClassAequivalentcommonstockoutstandingEoP">Model!$437:$437</definedName>
    <definedName name="z_T897CE0113_MO_OS_ClassAequivalentcommonstockoutstandingexclsharessubjecttorepurchasecalculatedEoP">Model!$440:$440</definedName>
    <definedName name="z_T897CE0113_MO_OS_ClassAoutstandingsharessubjecttorepurchaseEoP">Model!$438:$438</definedName>
    <definedName name="z_T897CE0113_MO_OS_ClassBcommonstockoutstandingEoP">Model!$436:$436</definedName>
    <definedName name="z_T897CE0113_MO_OS_ClassBoutstandingsharessubjecttorepurchaseEoP">Model!$439:$439</definedName>
    <definedName name="z_T897CE0113_MO_OS_ClassBtoClassAconversionratio">Model!$433:$433</definedName>
    <definedName name="z_T897CE0113_MO_OS_Computersoftwareofficeequipmentandother">Model!$290:$290</definedName>
    <definedName name="z_T897CE0113_MO_OS_ConsensusEstimatesAdjustedEBIT">Model!$175:$175</definedName>
    <definedName name="z_T897CE0113_MO_OS_ConsensusEstimatesAdjustedEBITMargin">Model!$178:$178</definedName>
    <definedName name="z_T897CE0113_MO_OS_ConsensusEstimatesGrossMargin">Model!$151:$151</definedName>
    <definedName name="z_T897CE0113_MO_OS_ConsensusEstimatesIncomefromoperations">Model!$34:$34</definedName>
    <definedName name="z_T897CE0113_MO_OS_ConsensusEstimatesNetRevenue">Model!$26:$26</definedName>
    <definedName name="z_T897CE0113_MO_OS_Constructioninprogress">Model!$291:$291</definedName>
    <definedName name="z_T897CE0113_MO_OS_COOAllothercompensation">'Exec Comp'!$64:$64</definedName>
    <definedName name="z_T897CE0113_MO_OS_COOBasePay">'Exec Comp'!$61:$61</definedName>
    <definedName name="z_T897CE0113_MO_OS_COOBonus">'Exec Comp'!$62:$62</definedName>
    <definedName name="z_T897CE0113_MO_OS_COOcomptiedtoequity">'Exec Comp'!$66:$66</definedName>
    <definedName name="z_T897CE0113_MO_OS_COOEoPClassAsharesbeneficiallyowned">'Exec Comp'!$68:$68</definedName>
    <definedName name="z_T897CE0113_MO_OS_COOEoPClassBsharesbeneficiallyowned">'Exec Comp'!$69:$69</definedName>
    <definedName name="z_T897CE0113_MO_OS_COOEoPsharesbeneficiallyowned">'Exec Comp'!$70:$70</definedName>
    <definedName name="z_T897CE0113_MO_OS_COOStockAwards">'Exec Comp'!$63:$63</definedName>
    <definedName name="z_T897CE0113_MO_OS_COOTotalComp">'Exec Comp'!$65:$65</definedName>
    <definedName name="z_T897CE0113_MO_OS_CostofrevenueRestructuringCharges">Model!$270:$270</definedName>
    <definedName name="z_T897CE0113_MO_OS_CoverpageClassAcommonstockoutstanding">Model!$493:$493</definedName>
    <definedName name="z_T897CE0113_MO_OS_CoverpageClassAequivalentcommonstockoutstandingcalculated">Model!$495:$495</definedName>
    <definedName name="z_T897CE0113_MO_OS_CoverpageClassBcommonstockoutstanding">Model!$494:$494</definedName>
    <definedName name="z_T897CE0113_MO_OS_CPOAllothercompensation">'Exec Comp'!$43:$43</definedName>
    <definedName name="z_T897CE0113_MO_OS_CPOBasePay">'Exec Comp'!$40:$40</definedName>
    <definedName name="z_T897CE0113_MO_OS_CPOBonus">'Exec Comp'!$41:$41</definedName>
    <definedName name="z_T897CE0113_MO_OS_CPOcomptiedtoequity">'Exec Comp'!$45:$45</definedName>
    <definedName name="z_T897CE0113_MO_OS_CPOEoPClassAsharesbeneficiallyowned">'Exec Comp'!$47:$47</definedName>
    <definedName name="z_T897CE0113_MO_OS_CPOEoPClassBsharesbeneficiallyowned">'Exec Comp'!$48:$48</definedName>
    <definedName name="z_T897CE0113_MO_OS_CPOEoPsharesbeneficiallyowned">'Exec Comp'!$49:$49</definedName>
    <definedName name="z_T897CE0113_MO_OS_CPOStockAwards">'Exec Comp'!$42:$42</definedName>
    <definedName name="z_T897CE0113_MO_OS_CPOTotalComp">'Exec Comp'!$44:$44</definedName>
    <definedName name="z_T897CE0113_MO_OS_CTOAllothercompensation">'Exec Comp'!$75:$75</definedName>
    <definedName name="z_T897CE0113_MO_OS_CTOBasePay">'Exec Comp'!$72:$72</definedName>
    <definedName name="z_T897CE0113_MO_OS_CTOBonus">'Exec Comp'!$73:$73</definedName>
    <definedName name="z_T897CE0113_MO_OS_CTOcomptiedtoequity">'Exec Comp'!$77:$77</definedName>
    <definedName name="z_T897CE0113_MO_OS_CTOEoPClassAsharesbeneficiallyowned">'Exec Comp'!$79:$79</definedName>
    <definedName name="z_T897CE0113_MO_OS_CTOEoPClassBsharesbeneficiallyowned">'Exec Comp'!$80:$80</definedName>
    <definedName name="z_T897CE0113_MO_OS_CTOEoPsharesbeneficiallyowned">'Exec Comp'!$81:$81</definedName>
    <definedName name="z_T897CE0113_MO_OS_CTOStockAwards">'Exec Comp'!$74:$74</definedName>
    <definedName name="z_T897CE0113_MO_OS_CTOTotalComp">'Exec Comp'!$76:$76</definedName>
    <definedName name="z_T897CE0113_MO_OS_CumulativeBoPTotalStockOptionsOutstanding">Model!$453:$453</definedName>
    <definedName name="z_T897CE0113_MO_OS_CumulativeBoPWeightedAverageExercisePrice">Model!$465:$465</definedName>
    <definedName name="z_T897CE0113_MO_OS_CumulativeEoPWeightedAverageExercisePrice">Model!$469:$469</definedName>
    <definedName name="z_T897CE0113_MO_OS_CumulativeExercisedAverageExercisePrice">Model!$467:$467</definedName>
    <definedName name="z_T897CE0113_MO_OS_CumulativeExercisedStockOptions">Model!$455:$455</definedName>
    <definedName name="z_T897CE0113_MO_OS_CumulativeFinancingcashflowsforfinanceleases">Model!$306:$306</definedName>
    <definedName name="z_T897CE0113_MO_OS_CumulativeFinancingleaseliabilitiesarisingfromobtainingROUassets">Model!$309:$309</definedName>
    <definedName name="z_T897CE0113_MO_OS_CumulativeForfeitedandCanceledAverageExercisePrice">Model!$468:$468</definedName>
    <definedName name="z_T897CE0113_MO_OS_CumulativeForfeitedandCanceledStockOptions">Model!$456:$456</definedName>
    <definedName name="z_T897CE0113_MO_OS_CumulativeFYcapexGuidanceRaiseLower">Model!$654:$654</definedName>
    <definedName name="z_T897CE0113_MO_OS_CumulativeFYexpensesGuidanceRaiseLower">Model!$610:$610</definedName>
    <definedName name="z_T897CE0113_MO_OS_CumulativeGrantedAverageExercisePrice">Model!$466:$466</definedName>
    <definedName name="z_T897CE0113_MO_OS_CumulativeGrantedStockOptions">Model!$454:$454</definedName>
    <definedName name="z_T897CE0113_MO_OS_CumulativeincreasedecreaseinFYcapexguidance">Model!$655:$655</definedName>
    <definedName name="z_T897CE0113_MO_OS_CumulativeincreasedecreaseinFYexpensesguidance">Model!$611:$611</definedName>
    <definedName name="z_T897CE0113_MO_OS_CumulativeOperatingcashflowsforfinanceleases">Model!$305:$305</definedName>
    <definedName name="z_T897CE0113_MO_OS_CumulativeOperatingcashflowsforoperatingleases">Model!$304:$304</definedName>
    <definedName name="z_T897CE0113_MO_OS_CumulativeOperatingleaseliabilitiesarisingfromobtainingROUassets">Model!$308:$308</definedName>
    <definedName name="z_T897CE0113_MO_OS_CumulativeTotalStockOptionsOutstanding">Model!$457:$457</definedName>
    <definedName name="z_T897CE0113_MO_OS_DAPMAP">'Supplemental Data'!$32:$32</definedName>
    <definedName name="z_T897CE0113_MO_OS_DAPnetchange">Model!$52:$52</definedName>
    <definedName name="z_T897CE0113_MO_OS_DataCenterAssetsRestructuringChargesCOGS">Model!$269:$269</definedName>
    <definedName name="z_T897CE0113_MO_OS_Dateofcoverpagesharecount">Model!$496:$496</definedName>
    <definedName name="z_T897CE0113_MO_OS_Depreciationandamortization">Model!$196:$196</definedName>
    <definedName name="z_T897CE0113_MO_OS_DepreciationofPPE">Model!$193:$193</definedName>
    <definedName name="z_T897CE0113_MO_OS_Dilutedsharecounttobasicsharecountratio">Model!$449:$449</definedName>
    <definedName name="z_T897CE0113_MO_OS_DilutiveShares">Model!$448:$448</definedName>
    <definedName name="z_T897CE0113_MO_OS_DilutiveSharesfromExercisedOptionstreasurymethod">Model!$476:$476</definedName>
    <definedName name="z_T897CE0113_MO_OS_Director1allothercomp">'Exec Comp'!$124:$124</definedName>
    <definedName name="z_T897CE0113_MO_OS_Director1cashcomp">'Exec Comp'!$104:$104</definedName>
    <definedName name="z_T897CE0113_MO_OS_Director1stockawardcomp">'Exec Comp'!$114:$114</definedName>
    <definedName name="z_T897CE0113_MO_OS_Director2allothercomp">'Exec Comp'!$125:$125</definedName>
    <definedName name="z_T897CE0113_MO_OS_Director2cashcomp">'Exec Comp'!$105:$105</definedName>
    <definedName name="z_T897CE0113_MO_OS_Director2stockawardcomp">'Exec Comp'!$115:$115</definedName>
    <definedName name="z_T897CE0113_MO_OS_Director3allothercomp">'Exec Comp'!$126:$126</definedName>
    <definedName name="z_T897CE0113_MO_OS_Director3cashcomp">'Exec Comp'!$106:$106</definedName>
    <definedName name="z_T897CE0113_MO_OS_Director3stockawardcomp">'Exec Comp'!$116:$116</definedName>
    <definedName name="z_T897CE0113_MO_OS_Director4allothercomp">'Exec Comp'!$127:$127</definedName>
    <definedName name="z_T897CE0113_MO_OS_Director4cashcomp">'Exec Comp'!$107:$107</definedName>
    <definedName name="z_T897CE0113_MO_OS_Director4stockawardcomp">'Exec Comp'!$117:$117</definedName>
    <definedName name="z_T897CE0113_MO_OS_Director5allothercomp">'Exec Comp'!$128:$128</definedName>
    <definedName name="z_T897CE0113_MO_OS_Director5cashcomp">'Exec Comp'!$108:$108</definedName>
    <definedName name="z_T897CE0113_MO_OS_Director5stockawardcomp">'Exec Comp'!$118:$118</definedName>
    <definedName name="z_T897CE0113_MO_OS_Director6allothercomp">'Exec Comp'!$129:$129</definedName>
    <definedName name="z_T897CE0113_MO_OS_Director6cashcomp">'Exec Comp'!$109:$109</definedName>
    <definedName name="z_T897CE0113_MO_OS_Director6stockawardcomp">'Exec Comp'!$119:$119</definedName>
    <definedName name="z_T897CE0113_MO_OS_Director7allothercomp">'Exec Comp'!$130:$130</definedName>
    <definedName name="z_T897CE0113_MO_OS_Director7cashcomp">'Exec Comp'!$110:$110</definedName>
    <definedName name="z_T897CE0113_MO_OS_Director7stockawardcomp">'Exec Comp'!$120:$120</definedName>
    <definedName name="z_T897CE0113_MO_OS_Director8allothercomp">'Exec Comp'!$131:$131</definedName>
    <definedName name="z_T897CE0113_MO_OS_Director8cashcomp">'Exec Comp'!$111:$111</definedName>
    <definedName name="z_T897CE0113_MO_OS_Director8stockawardcomp">'Exec Comp'!$121:$121</definedName>
    <definedName name="z_T897CE0113_MO_OS_Director9allothercomp">'Exec Comp'!$132:$132</definedName>
    <definedName name="z_T897CE0113_MO_OS_Director9cashcomp">'Exec Comp'!$112:$112</definedName>
    <definedName name="z_T897CE0113_MO_OS_Director9stockawardcomp">'Exec Comp'!$122:$122</definedName>
    <definedName name="z_T897CE0113_MO_OS_EBIT">Model!$169:$169</definedName>
    <definedName name="z_T897CE0113_MO_OS_EBITMargin">Model!$171:$171</definedName>
    <definedName name="z_T897CE0113_MO_OS_EndofPeriodStockPrice">Model!$431:$431</definedName>
    <definedName name="z_T897CE0113_MO_OS_EoPClassAOutstandingSharesSubjecttoRepurchase">Model!$485:$485</definedName>
    <definedName name="z_T897CE0113_MO_OS_EoPClassBOutstandingSharesSubjecttoRepurchase">Model!$486:$486</definedName>
    <definedName name="z_T897CE0113_MO_OS_EoPESPPObligations">Model!$484:$484</definedName>
    <definedName name="z_T897CE0113_MO_OS_EoPOther">Model!$487:$487</definedName>
    <definedName name="z_T897CE0113_MO_OS_EoPPotentiallyDilutiveSecurities">Model!$489:$489</definedName>
    <definedName name="z_T897CE0113_MO_OS_EoPTotalDilutedCommonStockOutstanding">Model!$451:$451</definedName>
    <definedName name="z_T897CE0113_MO_OS_EoPTotalStockOptionsExercisable">Model!$478:$478</definedName>
    <definedName name="z_T897CE0113_MO_OS_EoPUnvestedRSUPrice">Model!$482:$482</definedName>
    <definedName name="z_T897CE0113_MO_OS_EoPUnvestedRSUs">Model!$481:$481</definedName>
    <definedName name="z_T897CE0113_MO_OS_EoPWeightedAverageExercisableOptionExercisePrice">Model!$479:$479</definedName>
    <definedName name="z_T897CE0113_MO_OS_EoPWeightedAverageExercisePrice">Model!$475:$475</definedName>
    <definedName name="z_T897CE0113_MO_OS_Equipmentandother">Model!$287:$287</definedName>
    <definedName name="z_T897CE0113_MO_OS_Europeadimpressiongrowthrate">Model!$256:$256</definedName>
    <definedName name="z_T897CE0113_MO_OS_Europeadvertisingrevenue">Model!$106:$106</definedName>
    <definedName name="z_T897CE0113_MO_OS_Europeadvertisingrevenuemix">Model!$112:$112</definedName>
    <definedName name="z_T897CE0113_MO_OS_Europeaveragepriceperadgrowthrate">Model!$262:$262</definedName>
    <definedName name="z_T897CE0113_MO_OS_Europedailyactiveusers_1">Model!$216:$216</definedName>
    <definedName name="z_T897CE0113_MO_OS_Europedailyactiveusersmix">Model!$222:$222</definedName>
    <definedName name="z_T897CE0113_MO_OS_Europemonthlyactiveusers_1">Model!$228:$228</definedName>
    <definedName name="z_T897CE0113_MO_OS_Europemonthlyactiveusersmix">Model!$234:$234</definedName>
    <definedName name="z_T897CE0113_MO_OS_europemonthlyarpugrowth">"Deleted"</definedName>
    <definedName name="z_T897CE0113_MO_OS_europerevenue">Model!$118:$118</definedName>
    <definedName name="z_T897CE0113_MO_OS_Europerevenuebasedonbillingaddress">Model!$132:$132</definedName>
    <definedName name="z_T897CE0113_MO_OS_Europerevenuebasedonbillingaddressmix">Model!$140:$140</definedName>
    <definedName name="z_T897CE0113_MO_OS_Europerevenuemix">Model!$124:$124</definedName>
    <definedName name="z_T897CE0113_MO_OS_ExercisedAverageExercisePrice">Model!$473:$473</definedName>
    <definedName name="z_T897CE0113_MO_OS_ExercisedStockOptions">Model!$461:$461</definedName>
    <definedName name="z_T897CE0113_MO_OS_ExpensesbeatmissvsmostrecentguidanceMid">Model!$576:$576</definedName>
    <definedName name="z_T897CE0113_MO_OS_Expensesguidanceinitialmidpoint">Model!$570:$570</definedName>
    <definedName name="z_T897CE0113_MO_OS_Expensesguidancemostrecentmidpoint">Model!$574:$574</definedName>
    <definedName name="z_T897CE0113_MO_OS_Expensesguidanceupdate1midpoint">Model!$571:$571</definedName>
    <definedName name="z_T897CE0113_MO_OS_Expensesguidanceupdate2midpoint">Model!$572:$572</definedName>
    <definedName name="z_T897CE0113_MO_OS_Expensesguidanceupdate3midpoint">Model!$573:$573</definedName>
    <definedName name="z_T897CE0113_MO_OS_Expensesreported">Model!$575:$575</definedName>
    <definedName name="z_T897CE0113_MO_OS_FacilitiesConsolidationRestructuringChargesCOGS">Model!$268:$268</definedName>
    <definedName name="z_T897CE0113_MO_OS_FacilitiesConsolidationRestructuringChargesGA">Model!$277:$277</definedName>
    <definedName name="z_T897CE0113_MO_OS_FacilitiesConsolidationRestructuringChargesRD">Model!$271:$271</definedName>
    <definedName name="z_T897CE0113_MO_OS_FacilitiesConsolidationRestructuringChargesSM">Model!$274:$274</definedName>
    <definedName name="z_T897CE0113_MO_OS_Familyaveragerevenueperperson">Model!$57:$57</definedName>
    <definedName name="z_T897CE0113_MO_OS_Familyaveragerevenueperperson_1">Model!$79:$79</definedName>
    <definedName name="z_T897CE0113_MO_OS_Familyaveragerevenueperperson_2">Model!$15:$15</definedName>
    <definedName name="z_T897CE0113_MO_OS_FamilyAVRPcalculated">"Deleted"</definedName>
    <definedName name="z_T897CE0113_MO_OS_FamilyAVRPreported">'Supplemental Data'!$36:$36</definedName>
    <definedName name="z_T897CE0113_MO_OS_FamilyDailyActivePeople">'Supplemental Data'!$30:$30</definedName>
    <definedName name="z_T897CE0113_MO_OS_FamilyDailyActivePeople_1">Model!$14:$14</definedName>
    <definedName name="z_T897CE0113_MO_OS_FamilydailyactivepeopleAverage">Model!$55:$55</definedName>
    <definedName name="z_T897CE0113_MO_OS_FamilydailyactivepeopleBoP">Model!$51:$51</definedName>
    <definedName name="z_T897CE0113_MO_OS_FamilydailyactivepeopleEoP">Model!$53:$53</definedName>
    <definedName name="z_T897CE0113_MO_OS_FamilydailyactivepeopleEoP_1">Model!$78:$78</definedName>
    <definedName name="z_T897CE0113_MO_OS_FamilyMonthlyActivePeople">'Supplemental Data'!$31:$31</definedName>
    <definedName name="z_T897CE0113_MO_OS_FamilyMonthlyActivePeople_1">"Deleted"</definedName>
    <definedName name="z_T897CE0113_MO_OS_FamilyofAppsemployeecompensation">Model!$200:$200</definedName>
    <definedName name="z_T897CE0113_MO_OS_FamilyofAppsIncomefromoperations">Model!$31:$31</definedName>
    <definedName name="z_T897CE0113_MO_OS_FamilyofAppsincomefromoperations_1">Model!$93:$93</definedName>
    <definedName name="z_T897CE0113_MO_OS_FamilyofAppsincomefromoperations_4">Model!$61:$61</definedName>
    <definedName name="z_T897CE0113_MO_OS_FamilyofAppsincomefromoperations_5">Model!$202:$202</definedName>
    <definedName name="z_T897CE0113_MO_OS_FamilyofAppsincomefromoperationsmargin">Model!$101:$101</definedName>
    <definedName name="z_T897CE0113_MO_OS_FamilyofAppsincomefromoperationsmix">Model!$97:$97</definedName>
    <definedName name="z_T897CE0113_MO_OS_FamilyofAppsoperatingexpenses">Model!$60:$60</definedName>
    <definedName name="z_T897CE0113_MO_OS_FamilyofAppsoperatingincomemargin">Model!$63:$63</definedName>
    <definedName name="z_T897CE0113_MO_OS_FamilyofAppsothercostsandexpenses">Model!$201:$201</definedName>
    <definedName name="z_T897CE0113_MO_OS_FamilyofAppsrevenue">Model!$17:$17</definedName>
    <definedName name="z_T897CE0113_MO_OS_FamilyofAppsrevenue_1">Model!$83:$83</definedName>
    <definedName name="z_T897CE0113_MO_OS_FamilyofAppsrevenue_3">Model!$47:$47</definedName>
    <definedName name="z_T897CE0113_MO_OS_FamilyofAppsrevenue_4">Model!$199:$199</definedName>
    <definedName name="z_T897CE0113_MO_OS_FamilyofAppsrevenuemix">Model!$89:$89</definedName>
    <definedName name="z_T897CE0113_MO_OS_Financeleaseinterest">Model!$298:$298</definedName>
    <definedName name="z_T897CE0113_MO_OS_Financeleaserightofuseassets">Model!$288:$288</definedName>
    <definedName name="z_T897CE0113_MO_OS_Financingcashflowsforfinanceleases">Model!$313:$313</definedName>
    <definedName name="z_T897CE0113_MO_OS_FinancingleaseliabilitiesarisingfromobtainingROUassets">Model!$316:$316</definedName>
    <definedName name="z_T897CE0113_MO_OS_Foreignexchangeeffects">'Supplemental Data'!$18:$18</definedName>
    <definedName name="z_T897CE0113_MO_OS_Foreignexchangeeffects_1">'Supplemental Data'!$8:$8</definedName>
    <definedName name="z_T897CE0113_MO_OS_ForfeitedandCanceledAverageExercisePrice">Model!$474:$474</definedName>
    <definedName name="z_T897CE0113_MO_OS_ForfeitedandCanceledStockOptions">Model!$462:$462</definedName>
    <definedName name="z_T897CE0113_MO_OS_ForwardannualcapexguidanceHigh">Model!$644:$644</definedName>
    <definedName name="z_T897CE0113_MO_OS_ForwardannualcapexguidanceLow">Model!$643:$643</definedName>
    <definedName name="z_T897CE0113_MO_OS_ForwardannualcapexguidanceMid">Model!$645:$645</definedName>
    <definedName name="z_T897CE0113_MO_OS_Forwardannualcapexguidancevariance">Model!$646:$646</definedName>
    <definedName name="z_T897CE0113_MO_OS_Forwardannualcapexguidancevariance_1">Model!$647:$647</definedName>
    <definedName name="z_T897CE0113_MO_OS_ForwardannualexpensesguidanceHigh">Model!$600:$600</definedName>
    <definedName name="z_T897CE0113_MO_OS_ForwardannualexpensesguidanceLow">Model!$599:$599</definedName>
    <definedName name="z_T897CE0113_MO_OS_ForwardannualexpensesguidanceMid">Model!$601:$601</definedName>
    <definedName name="z_T897CE0113_MO_OS_Forwardannualexpensesguidancevariance">Model!$602:$602</definedName>
    <definedName name="z_T897CE0113_MO_OS_Forwardannualexpensesguidancevariance_1">Model!$603:$603</definedName>
    <definedName name="z_T897CE0113_MO_OS_Forwardannualguidanceapplicableperiod">Model!$559:$559</definedName>
    <definedName name="z_T897CE0113_MO_OS_Forwardannualguidanceapplicableperiod_1">Model!$598:$598</definedName>
    <definedName name="z_T897CE0113_MO_OS_Forwardannualguidanceapplicableperiod_2">Model!$642:$642</definedName>
    <definedName name="z_T897CE0113_MO_OS_ForwardannualguidedYYcapexgrowthHigh">Model!$649:$649</definedName>
    <definedName name="z_T897CE0113_MO_OS_ForwardannualguidedYYcapexgrowthLow">Model!$648:$648</definedName>
    <definedName name="z_T897CE0113_MO_OS_ForwardannualguidedYYcapexgrowthMid">Model!$650:$650</definedName>
    <definedName name="z_T897CE0113_MO_OS_ForwardannualguidedYYexpensesgrowthHigh">Model!$605:$605</definedName>
    <definedName name="z_T897CE0113_MO_OS_ForwardannualguidedYYexpensesgrowthLow">Model!$604:$604</definedName>
    <definedName name="z_T897CE0113_MO_OS_ForwardannualguidedYYexpensesgrowthMid">Model!$606:$606</definedName>
    <definedName name="z_T897CE0113_MO_OS_ForwardannualguidedYYrevenuegrowthHigh">Model!$566:$566</definedName>
    <definedName name="z_T897CE0113_MO_OS_ForwardannualguidedYYrevenuegrowthLow">Model!$565:$565</definedName>
    <definedName name="z_T897CE0113_MO_OS_ForwardannualguidedYYrevenuegrowthMid">Model!$567:$567</definedName>
    <definedName name="z_T897CE0113_MO_OS_ForwardannualrevenueguidanceHigh">Model!$561:$561</definedName>
    <definedName name="z_T897CE0113_MO_OS_ForwardannualrevenueguidanceLow">Model!$560:$560</definedName>
    <definedName name="z_T897CE0113_MO_OS_ForwardannualrevenueguidanceMid">Model!$562:$562</definedName>
    <definedName name="z_T897CE0113_MO_OS_Forwardannualrevenueguidancevariance">Model!$563:$563</definedName>
    <definedName name="z_T897CE0113_MO_OS_Forwardannualrevenueguidancevariance_1">Model!$564:$564</definedName>
    <definedName name="z_T897CE0113_MO_OS_Forwardguidancereportdate">Model!$543:$543</definedName>
    <definedName name="z_T897CE0113_MO_OS_Forwardguidancereportdate_1">Model!$583:$583</definedName>
    <definedName name="z_T897CE0113_MO_OS_Forwardguidancereportdate_2">Model!$627:$627</definedName>
    <definedName name="z_T897CE0113_MO_OS_ForwardguidedQQrevenuegrowthMid">Model!$552:$552</definedName>
    <definedName name="z_T897CE0113_MO_OS_ForwardguidedYYcapexgrowthMid">Model!$636:$636</definedName>
    <definedName name="z_T897CE0113_MO_OS_ForwardguidedYYexpensesgrowthMid">Model!$592:$592</definedName>
    <definedName name="z_T897CE0113_MO_OS_ForwardguidedYYrevenuegrowthMid">Model!$553:$553</definedName>
    <definedName name="z_T897CE0113_MO_OS_ForwardquarterlycapexguidanceHigh">Model!$630:$630</definedName>
    <definedName name="z_T897CE0113_MO_OS_ForwardquarterlycapexguidanceLow">Model!$629:$629</definedName>
    <definedName name="z_T897CE0113_MO_OS_ForwardquarterlycapexguidanceMid">Model!$631:$631</definedName>
    <definedName name="z_T897CE0113_MO_OS_Forwardquarterlycapexguidancevariance">Model!$632:$632</definedName>
    <definedName name="z_T897CE0113_MO_OS_Forwardquarterlycapexguidancevariance_1">Model!$633:$633</definedName>
    <definedName name="z_T897CE0113_MO_OS_ForwardquarterlyexpensesguidanceHigh">Model!$586:$586</definedName>
    <definedName name="z_T897CE0113_MO_OS_ForwardquarterlyexpensesguidanceLow">Model!$585:$585</definedName>
    <definedName name="z_T897CE0113_MO_OS_ForwardquarterlyexpensesguidanceMid">Model!$587:$587</definedName>
    <definedName name="z_T897CE0113_MO_OS_Forwardquarterlyexpensesguidancevariance">Model!$588:$588</definedName>
    <definedName name="z_T897CE0113_MO_OS_Forwardquarterlyexpensesguidancevariance_1">Model!$589:$589</definedName>
    <definedName name="z_T897CE0113_MO_OS_Forwardquarterlyguidanceapplicableperiod">Model!$544:$544</definedName>
    <definedName name="z_T897CE0113_MO_OS_Forwardquarterlyguidanceapplicableperiod_1">Model!$584:$584</definedName>
    <definedName name="z_T897CE0113_MO_OS_Forwardquarterlyguidanceapplicableperiod_2">Model!$628:$628</definedName>
    <definedName name="z_T897CE0113_MO_OS_ForwardquarterlyguidedQQrevenuegrowthHigh">Model!$551:$551</definedName>
    <definedName name="z_T897CE0113_MO_OS_ForwardquarterlyguidedQQrevenuegrowthLow">Model!$550:$550</definedName>
    <definedName name="z_T897CE0113_MO_OS_ForwardquarterlyguidedYYcapexgrowthHigh">Model!$635:$635</definedName>
    <definedName name="z_T897CE0113_MO_OS_ForwardquarterlyguidedYYcapexgrowthLow">Model!$634:$634</definedName>
    <definedName name="z_T897CE0113_MO_OS_ForwardquarterlyguidedYYexpensesgrowthHigh">Model!$591:$591</definedName>
    <definedName name="z_T897CE0113_MO_OS_ForwardquarterlyguidedYYexpensesgrowthLow">Model!$590:$590</definedName>
    <definedName name="z_T897CE0113_MO_OS_ForwardquarterlyrevenueguidanceHigh">Model!$546:$546</definedName>
    <definedName name="z_T897CE0113_MO_OS_ForwardquarterlyrevenueguidanceLow">Model!$545:$545</definedName>
    <definedName name="z_T897CE0113_MO_OS_ForwardquarterlyrevenueguidanceMid">Model!$547:$547</definedName>
    <definedName name="z_T897CE0113_MO_OS_Forwardquarterlyrevenueguidancevariance">Model!$548:$548</definedName>
    <definedName name="z_T897CE0113_MO_OS_Forwardquarterlyrevenueguidancevariance_1">Model!$549:$549</definedName>
    <definedName name="z_T897CE0113_MO_OS_FYcapexGuidanceRaiseLower">Model!$652:$652</definedName>
    <definedName name="z_T897CE0113_MO_OS_FYexpensesGuidanceRaiseLower">Model!$608:$608</definedName>
    <definedName name="z_T897CE0113_MO_OS_GAAPadvertisingrevenue">'Supplemental Data'!$7:$7</definedName>
    <definedName name="z_T897CE0113_MO_OS_GAAPPaymentsandotherfeesrevenueforeignexchangeeffectscalculated">'Supplemental Data'!$13:$13</definedName>
    <definedName name="z_T897CE0113_MO_OS_GAAPrevenue">'Supplemental Data'!$17:$17</definedName>
    <definedName name="z_T897CE0113_MO_OS_GAExpense">Model!$154:$154</definedName>
    <definedName name="z_T897CE0113_MO_OS_GAMargin">Model!$156:$156</definedName>
    <definedName name="z_T897CE0113_MO_OS_Generalandadministrativeheadcountgrowth">Model!$248:$248</definedName>
    <definedName name="z_T897CE0113_MO_OS_GeneralandadministrativeRestructuringCharges">Model!$279:$279</definedName>
    <definedName name="z_T897CE0113_MO_OS_GrantedAverageExercisePrice">Model!$472:$472</definedName>
    <definedName name="z_T897CE0113_MO_OS_GrantedStockOptions">Model!$460:$460</definedName>
    <definedName name="z_T897CE0113_MO_OS_GrossMargin">Model!$150:$150</definedName>
    <definedName name="z_T897CE0113_MO_OS_GrossProfit">Model!$148:$148</definedName>
    <definedName name="z_T897CE0113_MO_OS_GuidanceTotalExpenses">Model!$182:$182</definedName>
    <definedName name="z_T897CE0113_MO_OS_IncomingCFOAllothercompensation">'Exec Comp'!$27:$27</definedName>
    <definedName name="z_T897CE0113_MO_OS_IncomingCFOBasePay">'Exec Comp'!$24:$24</definedName>
    <definedName name="z_T897CE0113_MO_OS_IncomingCFOBonus">'Exec Comp'!$25:$25</definedName>
    <definedName name="z_T897CE0113_MO_OS_IncomingCFOStockAwards">'Exec Comp'!$26:$26</definedName>
    <definedName name="z_T897CE0113_MO_OS_IncomingCFOTotalComp">'Exec Comp'!$28:$28</definedName>
    <definedName name="z_T897CE0113_MO_OS_IncomingCOOAllothercompensation">'Exec Comp'!$59:$59</definedName>
    <definedName name="z_T897CE0113_MO_OS_IncomingCOOBasePay">'Exec Comp'!$56:$56</definedName>
    <definedName name="z_T897CE0113_MO_OS_IncomingCOOBonus">'Exec Comp'!$57:$57</definedName>
    <definedName name="z_T897CE0113_MO_OS_IncomingCOOStockAwards">'Exec Comp'!$58:$58</definedName>
    <definedName name="z_T897CE0113_MO_OS_IncomingCOOTotalComp">'Exec Comp'!$60:$60</definedName>
    <definedName name="z_T897CE0113_MO_OS_Land">Model!$283:$283</definedName>
    <definedName name="z_T897CE0113_MO_OS_LastWorkingDay">Model!$430:$430</definedName>
    <definedName name="z_T897CE0113_MO_OS_Leaseholdimprovements">Model!$286:$286</definedName>
    <definedName name="z_T897CE0113_MO_OS_LessAccumulateddepreciation">Model!$293:$293</definedName>
    <definedName name="z_T897CE0113_MO_OS_MarketCapEoP">'Exec Comp'!$13:$13</definedName>
    <definedName name="z_T897CE0113_MO_OS_MarketCapEoP_1">'Exec Comp'!$135:$135</definedName>
    <definedName name="z_T897CE0113_MO_OS_Marketingandsalesheadcountgrowth">Model!$247:$247</definedName>
    <definedName name="z_T897CE0113_MO_OS_MarketingandsalesRestructuringCharges">Model!$276:$276</definedName>
    <definedName name="z_T897CE0113_MO_OS_monthlyactiveusergrowth">Model!$9:$9</definedName>
    <definedName name="z_T897CE0113_MO_OS_Networkequipment">Model!$289:$289</definedName>
    <definedName name="z_T897CE0113_MO_OS_NonemployeeDirectorsStockOwnershipGuidelinessharesequivalentvalue">'Exec Comp'!$140:$140</definedName>
    <definedName name="z_T897CE0113_MO_OS_NonemployeeDirectorsStockOwnershipHistoricalGuidelinessharesequivalentvalue">'Exec Comp'!$139:$139</definedName>
    <definedName name="z_T897CE0113_MO_OS_Numberofsharesrepurchased_3">Model!$503:$503</definedName>
    <definedName name="z_T897CE0113_MO_OS_Numberofsharesrepurchasedmonth1">Model!$500:$500</definedName>
    <definedName name="z_T897CE0113_MO_OS_Numberofsharesrepurchasedmonth2">Model!$501:$501</definedName>
    <definedName name="z_T897CE0113_MO_OS_Numberofsharesrepurchasedmonth3">Model!$502:$502</definedName>
    <definedName name="z_T897CE0113_MO_OS_Operatingcashflowsforfinanceleases">Model!$312:$312</definedName>
    <definedName name="z_T897CE0113_MO_OS_Operatingcashflowsforoperatingleases">Model!$311:$311</definedName>
    <definedName name="z_T897CE0113_MO_OS_Operatingincomemargin">Model!$35:$35</definedName>
    <definedName name="z_T897CE0113_MO_OS_Operatingleasecost">Model!$300:$300</definedName>
    <definedName name="z_T897CE0113_MO_OS_OperatingleaseliabilitiesarisingfromobtainingROUassets">Model!$315:$315</definedName>
    <definedName name="z_T897CE0113_MO_OS_OtherDAexpenses">Model!$195:$195</definedName>
    <definedName name="z_T897CE0113_MO_OS_OtherFamilyAVRPcalculated">"Deleted"</definedName>
    <definedName name="z_T897CE0113_MO_OS_OtherFamilyAVRPreported">'Supplemental Data'!$35:$35</definedName>
    <definedName name="z_T897CE0113_MO_OS_OtherPPEdepreciationexpense">Model!$191:$191</definedName>
    <definedName name="z_T897CE0113_MO_OS_Otherrevenue_1">Model!$82:$82</definedName>
    <definedName name="z_T897CE0113_MO_OS_Otherrevenue_3">Model!$43:$43</definedName>
    <definedName name="z_T897CE0113_MO_OS_Otherrevenuemix">Model!$88:$88</definedName>
    <definedName name="z_T897CE0113_MO_OS_OutgoingCFOAllothercompensation">'Exec Comp'!$22:$22</definedName>
    <definedName name="z_T897CE0113_MO_OS_OutgoingCFOBasePay">'Exec Comp'!$19:$19</definedName>
    <definedName name="z_T897CE0113_MO_OS_OutgoingCFOBonus">'Exec Comp'!$20:$20</definedName>
    <definedName name="z_T897CE0113_MO_OS_OutgoingCFOStockAwards">'Exec Comp'!$21:$21</definedName>
    <definedName name="z_T897CE0113_MO_OS_OutgoingCFOTotalComp">'Exec Comp'!$23:$23</definedName>
    <definedName name="z_T897CE0113_MO_OS_OutgoingCOOAllothercompensation">'Exec Comp'!$54:$54</definedName>
    <definedName name="z_T897CE0113_MO_OS_OutgoingCOOBasePay">'Exec Comp'!$51:$51</definedName>
    <definedName name="z_T897CE0113_MO_OS_OutgoingCOOBonus">'Exec Comp'!$52:$52</definedName>
    <definedName name="z_T897CE0113_MO_OS_OutgoingCOOStockAwards">'Exec Comp'!$53:$53</definedName>
    <definedName name="z_T897CE0113_MO_OS_OutgoingCOOTotalComp">'Exec Comp'!$55:$55</definedName>
    <definedName name="z_T897CE0113_MO_OS_Paymentsandotherfeesrevenue">'Supplemental Data'!$26:$26</definedName>
    <definedName name="z_T897CE0113_MO_OS_Paymentsandotherfeesrevenueexcludingforeignexchangeeffectcalculated">'Supplemental Data'!$14:$14</definedName>
    <definedName name="z_T897CE0113_MO_OS_PaymentsandOtherFeesWorldwideARPUReported">Model!$240:$240</definedName>
    <definedName name="z_T897CE0113_MO_OS_Propertyandequipmentgross">Model!$292:$292</definedName>
    <definedName name="z_T897CE0113_MO_OS_Propertyandequipmentnet">Model!$294:$294</definedName>
    <definedName name="z_T897CE0113_MO_OS_QQAdvertisingconstantcurrencyrevenueGrowth">"Deleted"</definedName>
    <definedName name="z_T897CE0113_MO_OS_QQAdvertisingconstantcurrencyrevenueGrowth_1">"Deleted"</definedName>
    <definedName name="z_T897CE0113_MO_OS_QQAdvertisingrevenuegrowth_1">Model!$39:$39</definedName>
    <definedName name="z_T897CE0113_MO_OS_QQbasicshareexpansionEoP">Model!$445:$445</definedName>
    <definedName name="z_T897CE0113_MO_OS_QQbasicshareexpansionfromdilutivesecurities">Model!$441:$441</definedName>
    <definedName name="z_T897CE0113_MO_OS_QQbasicshareexpansionfromshareissuancebuyback">Model!$443:$443</definedName>
    <definedName name="z_T897CE0113_MO_OS_QQbeatmissrevenuegrowth">Model!$537:$537</definedName>
    <definedName name="z_T897CE0113_MO_OS_QQconstantcurrencyrevenueGrowth">"Deleted"</definedName>
    <definedName name="z_T897CE0113_MO_OS_QQconstantcurrencyrevenueGrowth_1">"Deleted"</definedName>
    <definedName name="z_T897CE0113_MO_OS_QQDailyActiveUserGrowth">Model!$11:$11</definedName>
    <definedName name="z_T897CE0113_MO_OS_QQFamilyofAppsrevenuegrowth">Model!$18:$18</definedName>
    <definedName name="z_T897CE0113_MO_OS_QQFamilyofAppsrevenuegrowth_1">Model!$48:$48</definedName>
    <definedName name="z_T897CE0113_MO_OS_QQguidedrevenuegrowth">Model!$536:$536</definedName>
    <definedName name="z_T897CE0113_MO_OS_QQMonthlyActiveUserGrowth">Model!$8:$8</definedName>
    <definedName name="z_T897CE0113_MO_OS_QQOtherrevenuegrowth_1">Model!$44:$44</definedName>
    <definedName name="z_T897CE0113_MO_OS_QQPaymentsandotherfeesrevenueconstantcurrencyrevenueGrowth">"Deleted"</definedName>
    <definedName name="z_T897CE0113_MO_OS_QQPaymentsandOtherFeesrevenueconstantcurrencyrevenueGrowth_1">"Deleted"</definedName>
    <definedName name="z_T897CE0113_MO_OS_QQRealityLabsrevenuegrowth">Model!$22:$22</definedName>
    <definedName name="z_T897CE0113_MO_OS_QQRealityLabsrevenuegrowth_1">Model!$68:$68</definedName>
    <definedName name="z_T897CE0113_MO_OS_QQrevenuegrowth">Model!$538:$538</definedName>
    <definedName name="z_T897CE0113_MO_OS_QQtotalrevenuegrowth">Model!$27:$27</definedName>
    <definedName name="z_T897CE0113_MO_OS_RDExpense">Model!$164:$164</definedName>
    <definedName name="z_T897CE0113_MO_OS_RDMargin">Model!$166:$166</definedName>
    <definedName name="z_T897CE0113_MO_OS_RealityLabsemployeecompensation">Model!$205:$205</definedName>
    <definedName name="z_T897CE0113_MO_OS_RealityLabsIncomefromoperations">Model!$32:$32</definedName>
    <definedName name="z_T897CE0113_MO_OS_RealityLabsincomefromoperations_1">Model!$94:$94</definedName>
    <definedName name="z_T897CE0113_MO_OS_RealityLabsincomefromoperations_4">Model!$72:$72</definedName>
    <definedName name="z_T897CE0113_MO_OS_RealityLabsincomefromoperations_5">Model!$207:$207</definedName>
    <definedName name="z_T897CE0113_MO_OS_RealityLabsincomefromoperationsmargin">Model!$102:$102</definedName>
    <definedName name="z_T897CE0113_MO_OS_RealityLabsincomefromoperationsmix">Model!$98:$98</definedName>
    <definedName name="z_T897CE0113_MO_OS_RealityLabsoperatingexpenses">Model!$71:$71</definedName>
    <definedName name="z_T897CE0113_MO_OS_RealityLabsoperatingincomemargin">Model!$74:$74</definedName>
    <definedName name="z_T897CE0113_MO_OS_RealityLabsothercostsandexpenses">Model!$206:$206</definedName>
    <definedName name="z_T897CE0113_MO_OS_RealityLabsrevenue">Model!$21:$21</definedName>
    <definedName name="z_T897CE0113_MO_OS_RealityLabsrevenue_1">Model!$84:$84</definedName>
    <definedName name="z_T897CE0113_MO_OS_RealityLabsrevenue_3">Model!$67:$67</definedName>
    <definedName name="z_T897CE0113_MO_OS_RealityLabsrevenue_4">Model!$204:$204</definedName>
    <definedName name="z_T897CE0113_MO_OS_RealityLabsrevenuemix">Model!$90:$90</definedName>
    <definedName name="z_T897CE0113_MO_OS_RelativecapexbeatmissvsmostrecentguidanceMid">Model!$621:$621</definedName>
    <definedName name="z_T897CE0113_MO_OS_RelativeexpensesbeatmissvsmostrecentguidanceMid">Model!$577:$577</definedName>
    <definedName name="z_T897CE0113_MO_OS_RelativerevenuebeatmissvsmostrecentguidanceMid">Model!$534:$534</definedName>
    <definedName name="z_T897CE0113_MO_OS_Remainingdollarvalueunderrepurchaseprogram_3">Model!$523:$523</definedName>
    <definedName name="z_T897CE0113_MO_OS_Remainingdollarvalueunderrepurchaseprogrammonth1">Model!$520:$520</definedName>
    <definedName name="z_T897CE0113_MO_OS_Remainingdollarvalueunderrepurchaseprogrammonth2">Model!$521:$521</definedName>
    <definedName name="z_T897CE0113_MO_OS_Remainingdollarvalueunderrepurchaseprogrammonth3">Model!$522:$522</definedName>
    <definedName name="z_T897CE0113_MO_OS_Repurchasedollarvalue_3">Model!$513:$513</definedName>
    <definedName name="z_T897CE0113_MO_OS_Repurchasedollarvaluemonth1">Model!$510:$510</definedName>
    <definedName name="z_T897CE0113_MO_OS_Repurchasedollarvaluemonth2">Model!$511:$511</definedName>
    <definedName name="z_T897CE0113_MO_OS_Repurchasedollarvaluemonth3">Model!$512:$512</definedName>
    <definedName name="z_T897CE0113_MO_OS_Researchanddevelopmentheadcountgrowth">Model!$246:$246</definedName>
    <definedName name="z_T897CE0113_MO_OS_ResearchanddevelopmentRestructuringCharges">Model!$273:$273</definedName>
    <definedName name="z_T897CE0113_MO_OS_Restofworldadimpressiongrowthrate">Model!$258:$258</definedName>
    <definedName name="z_T897CE0113_MO_OS_Restofworldadvertisingrevenue">Model!$108:$108</definedName>
    <definedName name="z_T897CE0113_MO_OS_Restofworldadvertisingrevenuemix">Model!$114:$114</definedName>
    <definedName name="z_T897CE0113_MO_OS_Restofworldaveragepriceperadgrowthrate">Model!$264:$264</definedName>
    <definedName name="z_T897CE0113_MO_OS_Restofworlddailyactiveusers_1">Model!$218:$218</definedName>
    <definedName name="z_T897CE0113_MO_OS_Restofworlddailyactiveusersmix">Model!$224:$224</definedName>
    <definedName name="z_T897CE0113_MO_OS_Restofworldmonthlyactiveusers_1">Model!$230:$230</definedName>
    <definedName name="z_T897CE0113_MO_OS_Restofworldmonthlyactiveusersmix">Model!$236:$236</definedName>
    <definedName name="z_T897CE0113_MO_OS_restofworldmonthlyarpugrowth">"Deleted"</definedName>
    <definedName name="z_T897CE0113_MO_OS_Restofworldpaymentsandotherfees_1">'Supplemental Data'!$25:$25</definedName>
    <definedName name="z_T897CE0113_MO_OS_restofworldrevenue">Model!$120:$120</definedName>
    <definedName name="z_T897CE0113_MO_OS_Restofworldrevenuebasedonbillingaddress">Model!$134:$134</definedName>
    <definedName name="z_T897CE0113_MO_OS_Restofworldrevenuebasedonbillingaddressmix">Model!$142:$142</definedName>
    <definedName name="z_T897CE0113_MO_OS_Restofworldrevenuemix">Model!$126:$126</definedName>
    <definedName name="z_T897CE0113_MO_OS_Revenue_1">Model!$146:$146</definedName>
    <definedName name="z_T897CE0113_MO_OS_RevenuebeatmissvsmostrecentguidanceMid">Model!$533:$533</definedName>
    <definedName name="z_T897CE0113_MO_OS_Revenueexcludingforeignexchangeeffect">'Supplemental Data'!$19:$19</definedName>
    <definedName name="z_T897CE0113_MO_OS_Revenueguidanceinitialmidpoint">Model!$527:$527</definedName>
    <definedName name="z_T897CE0113_MO_OS_Revenueguidancemostrecentmidpoint">Model!$531:$531</definedName>
    <definedName name="z_T897CE0113_MO_OS_Revenueguidanceupdate1midpoint">Model!$528:$528</definedName>
    <definedName name="z_T897CE0113_MO_OS_Revenueguidanceupdate2midpoint">Model!$529:$529</definedName>
    <definedName name="z_T897CE0113_MO_OS_Revenueguidanceupdate3midpoint">Model!$530:$530</definedName>
    <definedName name="z_T897CE0113_MO_OS_Revenuereported">Model!$532:$532</definedName>
    <definedName name="z_T897CE0113_MO_OS_SequentialincreasedecreaseinFYcapexguidance">Model!$653:$653</definedName>
    <definedName name="z_T897CE0113_MO_OS_SequentialincreasedecreaseinFYexpensesguidance">Model!$609:$609</definedName>
    <definedName name="z_T897CE0113_MO_OS_Serverandnetworkassetsdepreciation">Model!$192:$192</definedName>
    <definedName name="z_T897CE0113_MO_OS_Serversandnetworkassets">Model!$284:$284</definedName>
    <definedName name="z_T897CE0113_MO_OS_SeveranceandOtherPersonnelCostsRestructuringChargesGA">Model!$278:$278</definedName>
    <definedName name="z_T897CE0113_MO_OS_SeveranceandOtherPersonnelCostsRestructuringChargesRD">Model!$272:$272</definedName>
    <definedName name="z_T897CE0113_MO_OS_SeveranceandOtherPersonnelCostsRestructuringChargesSM">Model!$275:$275</definedName>
    <definedName name="z_T897CE0113_MO_OS_SMExpense">Model!$159:$159</definedName>
    <definedName name="z_T897CE0113_MO_OS_SMMargin">Model!$161:$161</definedName>
    <definedName name="z_T897CE0113_MO_OS_Totaladvertisingrevenuemix">Model!$115:$115</definedName>
    <definedName name="z_T897CE0113_MO_OS_totaldailyactiveusers">Model!$10:$10</definedName>
    <definedName name="z_T897CE0113_MO_OS_TotalDailyactiveusers_1">Model!$219:$219</definedName>
    <definedName name="z_T897CE0113_MO_OS_Totaldailyactiveusersmix">Model!$225:$225</definedName>
    <definedName name="z_T897CE0113_MO_OS_Totaldirectorallothercomp">'Exec Comp'!$133:$133</definedName>
    <definedName name="z_T897CE0113_MO_OS_Totaldirectorcashcomp">'Exec Comp'!$113:$113</definedName>
    <definedName name="z_T897CE0113_MO_OS_Totaldirectorcompensation">'Exec Comp'!$134:$134</definedName>
    <definedName name="z_T897CE0113_MO_OS_Totaldirectorstockawardcomp">'Exec Comp'!$123:$123</definedName>
    <definedName name="z_T897CE0113_MO_OS_Totalemployeecompensation">Model!$210:$210</definedName>
    <definedName name="z_T897CE0113_MO_OS_TotalExpenses">Model!$181:$181</definedName>
    <definedName name="z_T897CE0113_MO_OS_TotalFinanceLeaseCost">Model!$299:$299</definedName>
    <definedName name="z_T897CE0113_MO_OS_TotalGeographyrevenuebasedonbillingaddresss">Model!$135:$135</definedName>
    <definedName name="z_T897CE0113_MO_OS_Totalheadcount">Model!$244:$244</definedName>
    <definedName name="z_T897CE0113_MO_OS_Totalheadcountgrowth">Model!$245:$245</definedName>
    <definedName name="z_T897CE0113_MO_OS_TotalIncomefromoperations">Model!$33:$33</definedName>
    <definedName name="z_T897CE0113_MO_OS_Totalincomefromoperations_1">Model!$95:$95</definedName>
    <definedName name="z_T897CE0113_MO_OS_Totalincomefromoperations_4">Model!$212:$212</definedName>
    <definedName name="z_T897CE0113_MO_OS_Totalincomefromoperationsmargin">Model!$103:$103</definedName>
    <definedName name="z_T897CE0113_MO_OS_Totalincomefromoperationsmix">Model!$99:$99</definedName>
    <definedName name="z_T897CE0113_MO_OS_TotalLeaseCost">Model!$302:$302</definedName>
    <definedName name="z_T897CE0113_MO_OS_totalmonthlyactiveusers">Model!$7:$7</definedName>
    <definedName name="z_T897CE0113_MO_OS_Totalmonthlyactiveusers_1">Model!$231:$231</definedName>
    <definedName name="z_T897CE0113_MO_OS_Totalmonthlyactiveusersmix">Model!$237:$237</definedName>
    <definedName name="z_T897CE0113_MO_OS_Totalnumberofadimpressionsgrowthrate" localSheetId="5">[1]Historicals!$291:$291</definedName>
    <definedName name="z_T897CE0113_MO_OS_Totalnumberofadimpressionsgrowthrate" localSheetId="2">[1]Historicals!$291:$291</definedName>
    <definedName name="z_T897CE0113_MO_OS_Totalnumberofadimpressionsgrowthrate" localSheetId="3">[1]Historicals!$291:$291</definedName>
    <definedName name="z_T897CE0113_MO_OS_Totalnumberofadimpressionsgrowthrate" localSheetId="7">[1]Historicals!$291:$291</definedName>
    <definedName name="z_T897CE0113_MO_OS_Totalnumberofadimpressionsgrowthrate" localSheetId="6">[1]Historicals!$291:$291</definedName>
    <definedName name="z_T897CE0113_MO_OS_Totalnumberofadimpressionsgrowthrate" localSheetId="1">[1]Historicals!$291:$291</definedName>
    <definedName name="z_T897CE0113_MO_OS_Totalnumberofadimpressionsgrowthrate" localSheetId="9">[1]Historicals!$291:$291</definedName>
    <definedName name="z_T897CE0113_MO_OS_Totalnumberofadimpressionsgrowthrate" localSheetId="4">[1]Historicals!$291:$291</definedName>
    <definedName name="z_T897CE0113_MO_OS_Totalnumberofadimpressionsgrowthrate" localSheetId="0">[1]Historicals!$291:$291</definedName>
    <definedName name="z_T897CE0113_MO_OS_Totalnumberofadimpressionsgrowthrate">Model!$259:$259</definedName>
    <definedName name="z_T897CE0113_MO_OS_Totalofcurrentdirectors">'Exec Comp'!$95:$95</definedName>
    <definedName name="z_T897CE0113_MO_OS_Totalofdirectornominees">'Exec Comp'!$99:$99</definedName>
    <definedName name="z_T897CE0113_MO_OS_Totaloffemalecurrentdirectors">'Exec Comp'!$97:$97</definedName>
    <definedName name="z_T897CE0113_MO_OS_Totaloffemaledirectornominees">'Exec Comp'!$101:$101</definedName>
    <definedName name="z_T897CE0113_MO_OS_Totalofindependentcurrentdirectors">'Exec Comp'!$96:$96</definedName>
    <definedName name="z_T897CE0113_MO_OS_Totalofindependentdirectornominees">'Exec Comp'!$100:$100</definedName>
    <definedName name="z_T897CE0113_MO_OS_Totalothercostsandexpenses">Model!$211:$211</definedName>
    <definedName name="z_T897CE0113_MO_OS_TotalRestructuringCharges">Model!$280:$280</definedName>
    <definedName name="z_T897CE0113_MO_OS_Totalrevenue_4">Model!$85:$85</definedName>
    <definedName name="z_T897CE0113_MO_OS_Totalrevenue_7">Model!$209:$209</definedName>
    <definedName name="z_T897CE0113_MO_OS_Totalrevenuebasedonbillingaddressmix">Model!$143:$143</definedName>
    <definedName name="z_T897CE0113_MO_OS_TotalRevenueGrowth">Model!$28:$28</definedName>
    <definedName name="z_T897CE0113_MO_OS_Totalrevenuemix">Model!$127:$127</definedName>
    <definedName name="z_T897CE0113_MO_OS_Totalrevenuemix_1">Model!$91:$91</definedName>
    <definedName name="z_T897CE0113_MO_OS_totalrevenues">Model!$121:$121</definedName>
    <definedName name="z_T897CE0113_MO_OS_TotalRevenues_2">Model!$25:$25</definedName>
    <definedName name="z_T897CE0113_MO_OS_TotalStockOptionsOutstanding">Model!$463:$463</definedName>
    <definedName name="z_T897CE0113_MO_OS_TotalWorldwideARPUCalculated">Model!$241:$241</definedName>
    <definedName name="z_T897CE0113_MO_OS_USCanadaadimpressiongrowthrate">Model!$255:$255</definedName>
    <definedName name="z_T897CE0113_MO_OS_USCanadaadvertisingrevenue">Model!$105:$105</definedName>
    <definedName name="z_T897CE0113_MO_OS_USCanadaadvertisingrevenuemix">Model!$111:$111</definedName>
    <definedName name="z_T897CE0113_MO_OS_USCanadaaveragepriceperadgrowthrate">Model!$261:$261</definedName>
    <definedName name="z_T897CE0113_MO_OS_USCanadadailyactiveusers_1">Model!$215:$215</definedName>
    <definedName name="z_T897CE0113_MO_OS_USCanadadailyactiveusersmix">Model!$221:$221</definedName>
    <definedName name="z_T897CE0113_MO_OS_USCanadamonthlyactiveusers_1">Model!$227:$227</definedName>
    <definedName name="z_T897CE0113_MO_OS_USCanadamonthlyactiveusersmix">Model!$233:$233</definedName>
    <definedName name="z_T897CE0113_MO_OS_uscanadamonthlyarpugrowth">"Deleted"</definedName>
    <definedName name="z_T897CE0113_MO_OS_USCanadapaymentsandotherfees_1">'Supplemental Data'!$22:$22</definedName>
    <definedName name="z_T897CE0113_MO_OS_USCanadarevenuebasedonbillingaddress">Model!$131:$131</definedName>
    <definedName name="z_T897CE0113_MO_OS_USCanadarevenuebasedonbillingaddressmix">Model!$139:$139</definedName>
    <definedName name="z_T897CE0113_MO_OS_USCanadarevenuemix">Model!$123:$123</definedName>
    <definedName name="z_T897CE0113_MO_OS_uscanadarevenuemm">Model!$117:$117</definedName>
    <definedName name="z_T897CE0113_MO_OS_USrevenuebasedonbillingaddress">Model!$129:$129</definedName>
    <definedName name="z_T897CE0113_MO_OS_USrevenuebasedonbillingaddressmix">Model!$137:$137</definedName>
    <definedName name="z_T897CE0113_MO_OS_Variableleasecostandothernet">Model!$301:$301</definedName>
    <definedName name="z_T897CE0113_MO_OS_YYAdvertisingrevenuegrowth_1">Model!$40:$40</definedName>
    <definedName name="z_T897CE0113_MO_OS_YYannualcapexgrowth">Model!$640:$640</definedName>
    <definedName name="z_T897CE0113_MO_OS_YYannualexpensesgrowth">Model!$596:$596</definedName>
    <definedName name="z_T897CE0113_MO_OS_YYannualguidancebeatmisscapexgrowth">Model!$639:$639</definedName>
    <definedName name="z_T897CE0113_MO_OS_YYannualguidancebeatmissexpensesgrowth">Model!$595:$595</definedName>
    <definedName name="z_T897CE0113_MO_OS_YYannualguidancebeatmissrevenuegrowth">Model!$556:$556</definedName>
    <definedName name="z_T897CE0113_MO_OS_YYannualrevenuegrowth">Model!$557:$557</definedName>
    <definedName name="z_T897CE0113_MO_OS_YYbasicshareexpansionEoP">Model!$446:$446</definedName>
    <definedName name="z_T897CE0113_MO_OS_YYbasicshareexpansionfromdilutivesecurities">Model!$442:$442</definedName>
    <definedName name="z_T897CE0113_MO_OS_YYbasicshareexpansionfromshareissuancebuyback">Model!$444:$444</definedName>
    <definedName name="z_T897CE0113_MO_OS_YYbeatmisscapexgrowth">Model!$624:$624</definedName>
    <definedName name="z_T897CE0113_MO_OS_YYbeatmissexpensesgrowth">Model!$580:$580</definedName>
    <definedName name="z_T897CE0113_MO_OS_YYbeatmissrevenuegrowth">Model!$540:$540</definedName>
    <definedName name="z_T897CE0113_MO_OS_YYcapexgrowth">Model!$625:$625</definedName>
    <definedName name="z_T897CE0113_MO_OS_YYconstantcurrencyrevenueGrowth">Model!$29:$29</definedName>
    <definedName name="z_T897CE0113_MO_OS_YYDailyActiveUserGrowth">Model!$12:$12</definedName>
    <definedName name="z_T897CE0113_MO_OS_YYexpensesgrowth">Model!$581:$581</definedName>
    <definedName name="z_T897CE0113_MO_OS_YYFamilyaveragerevenueperpersongrowth">Model!$58:$58</definedName>
    <definedName name="z_T897CE0113_MO_OS_YYFamilydailyactivepeopleEoPgrowth">Model!$54:$54</definedName>
    <definedName name="z_T897CE0113_MO_OS_YYFamilyofAppsincomefromoperationsgrowth">Model!$62:$62</definedName>
    <definedName name="z_T897CE0113_MO_OS_YYFamilyofAppsrevenuegrowth">Model!$19:$19</definedName>
    <definedName name="z_T897CE0113_MO_OS_YYFamilyofAppsrevenuegrowth_1">Model!$49:$49</definedName>
    <definedName name="z_T897CE0113_MO_OS_YYgrowthinadjustedEBIT">Model!$176:$176</definedName>
    <definedName name="z_T897CE0113_MO_OS_YYgrowthinAdvertisingexpenses">Model!$252:$252</definedName>
    <definedName name="z_T897CE0113_MO_OS_YYgrowthinEBIT">Model!$170:$170</definedName>
    <definedName name="z_T897CE0113_MO_OS_YYgrowthinGAexpense">Model!$155:$155</definedName>
    <definedName name="z_T897CE0113_MO_OS_YYgrowthinGrossprofit">Model!$149:$149</definedName>
    <definedName name="z_T897CE0113_MO_OS_YYgrowthinRDexpense">Model!$165:$165</definedName>
    <definedName name="z_T897CE0113_MO_OS_YYgrowthinSMexpense">Model!$160:$160</definedName>
    <definedName name="z_T897CE0113_MO_OS_YYguidedcapexgrowth">Model!$623:$623</definedName>
    <definedName name="z_T897CE0113_MO_OS_YYguidedexpensesgrowth">Model!$579:$579</definedName>
    <definedName name="z_T897CE0113_MO_OS_YYguidedrevenuegrowth">Model!$539:$539</definedName>
    <definedName name="z_T897CE0113_MO_OS_YYImpliedannualguidancecapexgrowth">Model!$638:$638</definedName>
    <definedName name="z_T897CE0113_MO_OS_YYImpliedannualguidanceexpensesgrowth">Model!$594:$594</definedName>
    <definedName name="z_T897CE0113_MO_OS_YYImpliedannualguidancerevenuegrowth">Model!$555:$555</definedName>
    <definedName name="z_T897CE0113_MO_OS_YYimprovementinadjustedEBITMargin">Model!$179:$179</definedName>
    <definedName name="z_T897CE0113_MO_OS_YYimprovementinEBITMargin">Model!$172:$172</definedName>
    <definedName name="z_T897CE0113_MO_OS_YYimprovementinFamilyofAppsoperatingincomemargin">Model!$64:$64</definedName>
    <definedName name="z_T897CE0113_MO_OS_YYimprovementinGAMargin">Model!$157:$157</definedName>
    <definedName name="z_T897CE0113_MO_OS_YYimprovementinGrossMargin">Model!$152:$152</definedName>
    <definedName name="z_T897CE0113_MO_OS_YYimprovementinRDMargin">Model!$167:$167</definedName>
    <definedName name="z_T897CE0113_MO_OS_YYimprovementinRealityLabsoperatingincomemargin">Model!$75:$75</definedName>
    <definedName name="z_T897CE0113_MO_OS_YYimprovementinSMMargin">Model!$162:$162</definedName>
    <definedName name="z_T897CE0113_MO_OS_YYOtherrevenuegrowth_1">Model!$45:$45</definedName>
    <definedName name="z_T897CE0113_MO_OS_YYPaymentsandOtherFeesrevenueconstantcurrencyrevenueGrowth_1">'Supplemental Data'!$15:$15</definedName>
    <definedName name="z_T897CE0113_MO_OS_YYPaymentsandotherfeesrevenuegrowth">'Supplemental Data'!$27:$27</definedName>
    <definedName name="z_T897CE0113_MO_OS_YYRealityLabsincomefromoperationsgrowth">Model!$73:$73</definedName>
    <definedName name="z_T897CE0113_MO_OS_YYRealityLabsrevenuegrowth">Model!$23:$23</definedName>
    <definedName name="z_T897CE0113_MO_OS_YYRealityLabsrevenuegrowth_1">Model!$69:$69</definedName>
    <definedName name="z_T897CE0113_MO_OS_YYrevenuegrowth">Model!$541:$541</definedName>
    <definedName name="z_T897CE0113_MO_RIS_AdjustedEarningsPerShareWAD">Model!$422:$422</definedName>
    <definedName name="z_T897CE0113_MO_RIS_AdjustedEBITDANoAdjustments">Model!$396:$396</definedName>
    <definedName name="z_T897CE0113_MO_RIS_AdjustedEBITNoAdjustments">Model!$389:$389</definedName>
    <definedName name="z_T897CE0113_MO_RIS_AdjustedNetIncome">Model!$415:$415</definedName>
    <definedName name="z_T897CE0113_MO_RIS_AdjustedSharesOutstandingWAD">Model!$427:$427</definedName>
    <definedName name="z_T897CE0113_MO_RIS_AdjustmentsforConvertibleSecurities">Model!$411:$411</definedName>
    <definedName name="z_T897CE0113_MO_RIS_AmortizationofIntangibles">Model!$393:$393</definedName>
    <definedName name="z_T897CE0113_MO_RIS_ClassAandBSharesOutstandingWAD">Model!$426:$426</definedName>
    <definedName name="z_T897CE0113_MO_RIS_ClassASharesOutstandingWAB">Model!$425:$425</definedName>
    <definedName name="z_T897CE0113_MO_RIS_COGS_1">Model!$382:$382</definedName>
    <definedName name="z_T897CE0113_MO_RIS_consensusestimatesadjustedearningspersharewad">Model!$423:$423</definedName>
    <definedName name="z_T897CE0113_MO_RIS_ConsensusEstimatesAdjustedEBIT_1">Model!$390:$390</definedName>
    <definedName name="z_T897CE0113_MO_RIS_consensusestimatesadjustedebitda">Model!$397:$397</definedName>
    <definedName name="z_T897CE0113_MO_RIS_consensusestimatesnetrevenue">Model!$379:$379</definedName>
    <definedName name="z_T897CE0113_MO_RIS_Currenttax">Model!$404:$404</definedName>
    <definedName name="z_T897CE0113_MO_RIS_Currenttaxrate">Model!$417:$417</definedName>
    <definedName name="z_T897CE0113_MO_RIS_DA">Model!$392:$392</definedName>
    <definedName name="z_T897CE0113_MO_RIS_Deferredtax">Model!$405:$405</definedName>
    <definedName name="z_T897CE0113_MO_RIS_Deferredtaxrate">Model!$418:$418</definedName>
    <definedName name="z_T897CE0113_MO_RIS_DilutedNetIncometoCommonShareholders">Model!$412:$412</definedName>
    <definedName name="z_T897CE0113_MO_RIS_DiscontinuedOperations">Model!$407:$407</definedName>
    <definedName name="z_T897CE0113_MO_RIS_EarningsPerShareWAB">Model!$420:$420</definedName>
    <definedName name="z_T897CE0113_MO_RIS_EarningsPerShareWAD">Model!$421:$421</definedName>
    <definedName name="z_T897CE0113_MO_RIS_EarningstoPreferredandOtherSecurities">Model!$409:$409</definedName>
    <definedName name="z_T897CE0113_MO_RIS_EBIT_2">Model!$388:$388</definedName>
    <definedName name="z_T897CE0113_MO_RIS_EBITDA_1">Model!$395:$395</definedName>
    <definedName name="z_T897CE0113_MO_RIS_EBT">Model!$402:$402</definedName>
    <definedName name="z_T897CE0113_MO_RIS_GA_1">Model!$385:$385</definedName>
    <definedName name="z_T897CE0113_MO_RIS_GrossProfit">Model!$383:$383</definedName>
    <definedName name="z_T897CE0113_MO_RIS_GuidanceNetRevenue">Model!$380:$380</definedName>
    <definedName name="z_T897CE0113_MO_RIS_Interestexpense">Model!$399:$399</definedName>
    <definedName name="z_T897CE0113_MO_RIS_NetIncomefromContinuedOperation">Model!$406:$406</definedName>
    <definedName name="z_T897CE0113_MO_RIS_NetIncometoCommonShareholders">Model!$410:$410</definedName>
    <definedName name="z_T897CE0113_MO_RIS_NetIncometoNCI">Model!$408:$408</definedName>
    <definedName name="z_T897CE0113_MO_RIS_NetRevenue">Model!$378:$378</definedName>
    <definedName name="z_T897CE0113_MO_RIS_NonGAAPAdjustments">Model!$413:$413</definedName>
    <definedName name="z_T897CE0113_MO_RIS_NonGAAPAdjustmentsforDilutiveSecurities">Model!$414:$414</definedName>
    <definedName name="z_T897CE0113_MO_RIS_Onetimeitem">Model!$401:$401</definedName>
    <definedName name="z_T897CE0113_MO_RIS_Otheritems">Model!$400:$400</definedName>
    <definedName name="z_T897CE0113_MO_RIS_RD_1">Model!$387:$387</definedName>
    <definedName name="z_T897CE0113_MO_RIS_SBC">Model!$394:$394</definedName>
    <definedName name="z_T897CE0113_MO_RIS_SM_1">Model!$386:$386</definedName>
    <definedName name="z_T897CE0113_MO_Section_AN_AdjustedNumbers">Model!$359:$359</definedName>
    <definedName name="z_T897CE0113_MO_Section_BS_BalanceSheet">Model!$901:$901</definedName>
    <definedName name="z_T897CE0113_MO_Section_BS_ModelChecks">Model!$957:$957</definedName>
    <definedName name="z_T897CE0113_MO_Section_BSS_BalanceSheetSummary">Model!$689:$689</definedName>
    <definedName name="z_T897CE0113_MO_Section_CCFS_CumulativeCashFlowStatement">Model!$732:$732</definedName>
    <definedName name="z_T897CE0113_MO_Section_CFS_CashFlowStatement">Model!$801:$801</definedName>
    <definedName name="z_T897CE0113_MO_Section_CFSum_CashFlowSummary">Model!$658:$658</definedName>
    <definedName name="z_T897CE0113_MO_Section_DAF_DAForecasting">Model!$879:$879</definedName>
    <definedName name="z_T897CE0113_MO_Section_IS_IncomeStatement">Model!$337:$337</definedName>
    <definedName name="z_T897CE0113_MO_Section_MA_MarginAnalysis">Model!$318:$318</definedName>
    <definedName name="z_T897CE0113_MO_Section_OS_BoardDiversity">'Exec Comp'!$94:$94</definedName>
    <definedName name="z_T897CE0113_MO_Section_OS_Canalyst">'Supplemental Data'!$38:$38</definedName>
    <definedName name="z_T897CE0113_MO_Section_OS_Canalyst_1">'Exec Comp'!$142:$142</definedName>
    <definedName name="z_T897CE0113_MO_Section_OS_CapexGuidanceAnalysis">Model!$613:$613</definedName>
    <definedName name="z_T897CE0113_MO_Section_OS_DirectorCompensation">'Exec Comp'!$103:$103</definedName>
    <definedName name="z_T897CE0113_MO_Section_OS_FirstSection">'Exec Comp'!$6:$6</definedName>
    <definedName name="z_T897CE0113_MO_Section_OS_GuidanceAnalysis">Model!$525:$525</definedName>
    <definedName name="z_T897CE0113_MO_Section_OS_KeyMetricsAdImpressionCC">Model!$250:$250</definedName>
    <definedName name="z_T897CE0113_MO_Section_OS_KeyMetricsConstantCurrencyRevenuePR">'Supplemental Data'!$6:$6</definedName>
    <definedName name="z_T897CE0113_MO_Section_OS_KeyMetricsHeadcountPR">Model!$243:$243</definedName>
    <definedName name="z_T897CE0113_MO_Section_OS_KeyMetricsLeasesFS">Model!$296:$296</definedName>
    <definedName name="z_T897CE0113_MO_Section_OS_KeyMetricsOperatingStatsofFamilyProductsSI">'Supplemental Data'!$29:$29</definedName>
    <definedName name="z_T897CE0113_MO_Section_OS_KeyMetricsPropertyandEquipmentBreakdownPR">Model!$282:$282</definedName>
    <definedName name="z_T897CE0113_MO_Section_OS_KeyMetricsRestructuringChargesBreakdownCCPR">Model!$267:$267</definedName>
    <definedName name="z_T897CE0113_MO_Section_OS_OperatingExpenseForecasting">Model!$145:$145</definedName>
    <definedName name="z_T897CE0113_MO_Section_OS_OtherAlignmentDataPoints">'Exec Comp'!$137:$137</definedName>
    <definedName name="z_T897CE0113_MO_Section_OS_RevenueGuidanceAnalysis">Model!$526:$526</definedName>
    <definedName name="z_T897CE0113_MO_Section_OS_SBCDABreakdownFSPR">Model!$184:$184</definedName>
    <definedName name="z_T897CE0113_MO_Section_OS_SegmentedResultsFamilyofAppsSI">Model!$37:$37</definedName>
    <definedName name="z_T897CE0113_MO_Section_OS_SegmentedResultsRealityLabsSI">Model!$66:$66</definedName>
    <definedName name="z_T897CE0113_MO_Section_OS_SegmentedResultsRevenueBreakdownSI">Model!$6:$6</definedName>
    <definedName name="z_T897CE0113_MO_Section_OS_SegmentedResultsRevenueExpensesandEBITFS">Model!$198:$198</definedName>
    <definedName name="z_T897CE0113_MO_Section_OS_SegmentSummaryHistorical">Model!$214:$214</definedName>
    <definedName name="z_T897CE0113_MO_Section_OS_SegmentSummarySI">Model!$77:$77</definedName>
    <definedName name="z_T897CE0113_MO_Section_OS_ShareCountAnalysis">Model!$429:$429</definedName>
    <definedName name="z_T897CE0113_MO_Section_OS_TotalExpensesGuidanceAnalysis">Model!$569:$569</definedName>
    <definedName name="z_T897CE0113_MO_Section_OS_WorkingCapitalForecasting">Model!$872:$872</definedName>
    <definedName name="z_T897CE0113_MO_Section_RIS_RevisedIncomeStatement">Model!$377:$377</definedName>
    <definedName name="z_T897CE0113_MO_Section_SNA_Canalyst">Model!$1125:$1125</definedName>
    <definedName name="z_T897CE0113_MO_Section_TB_Tables">Model!$980:$980</definedName>
    <definedName name="z_T897CE0113_MO_Section_VA_Valuation">Model!$708:$708</definedName>
    <definedName name="z_T897CE0113_MO_Unstructured_SNA_AdjustedEarningsPerShareWAD">Model!$999:$999</definedName>
    <definedName name="z_T897CE0113_MO_Unstructured_SNA_AdjustedEBITDANoAdjustments">Model!$997:$997</definedName>
    <definedName name="z_T897CE0113_MO_Unstructured_SNA_AdjustedEBITNoAdjustments">Model!$998:$998</definedName>
    <definedName name="z_T897CE0113_MO_Unstructured_SNA_AnnualGuidanceTable">Model!$1041:$1041</definedName>
    <definedName name="z_T897CE0113_MO_Unstructured_SNA_ApplicablePeriod">Model!$1026:$1026</definedName>
    <definedName name="z_T897CE0113_MO_Unstructured_SNA_ApplicablePeriod_1">Model!$1044:$1044</definedName>
    <definedName name="z_T897CE0113_MO_Unstructured_SNA_ApplyTradeCurrencyScaling">Model!$1112:$1112</definedName>
    <definedName name="z_T897CE0113_MO_Unstructured_SNA_Avg">Model!$992:$992</definedName>
    <definedName name="z_T897CE0113_MO_Unstructured_SNA_Bloomberg">Model!$1076:$1076</definedName>
    <definedName name="z_T897CE0113_MO_Unstructured_SNA_Bloomberg_1">Model!$1083:$1083</definedName>
    <definedName name="z_T897CE0113_MO_Unstructured_SNA_Bloomberg_2">Model!$1090:$1090</definedName>
    <definedName name="z_T897CE0113_MO_Unstructured_SNA_Bloomberg_3">Model!$1097:$1097</definedName>
    <definedName name="z_T897CE0113_MO_Unstructured_SNA_CapitalIQ">Model!$1077:$1077</definedName>
    <definedName name="z_T897CE0113_MO_Unstructured_SNA_CapitalIQ_1">Model!$1084:$1084</definedName>
    <definedName name="z_T897CE0113_MO_Unstructured_SNA_CapitalIQ_2">Model!$1091:$1091</definedName>
    <definedName name="z_T897CE0113_MO_Unstructured_SNA_CapitalIQ_3">Model!$1098:$1098</definedName>
    <definedName name="z_T897CE0113_MO_Unstructured_SNA_ConsensusEstimatesAdjustedEarningsPerShareWAD">Model!$1066:$1066</definedName>
    <definedName name="z_T897CE0113_MO_Unstructured_SNA_ConsensusEstimatesAdjustedEBIT_1">Model!$1065:$1065</definedName>
    <definedName name="z_T897CE0113_MO_Unstructured_SNA_ConsensusEstimatesAdjustedEBITDA">Model!$1064:$1064</definedName>
    <definedName name="z_T897CE0113_MO_Unstructured_SNA_ConsensusEstimatesCapex">Model!$1068:$1068</definedName>
    <definedName name="z_T897CE0113_MO_Unstructured_SNA_ConsensusEstimatesCashFlowPerDilutedShare">Model!$1067:$1067</definedName>
    <definedName name="z_T897CE0113_MO_Unstructured_SNA_ConsensusEstimatesGrossMargin">Model!$1062:$1062</definedName>
    <definedName name="z_T897CE0113_MO_Unstructured_SNA_ConsensusEstimatesNetRevenue">Model!$1063:$1063</definedName>
    <definedName name="z_T897CE0113_MO_Unstructured_SNA_ConsensusEstimateTable">Model!$1059:$1059</definedName>
    <definedName name="z_T897CE0113_MO_Unstructured_SNA_CurrentFiscalYear">Model!$1120:$1120</definedName>
    <definedName name="z_T897CE0113_MO_Unstructured_SNA_DataSourceIndex">Model!$1123:$1123</definedName>
    <definedName name="z_T897CE0113_MO_Unstructured_SNA_EoP">Model!$993:$993</definedName>
    <definedName name="z_T897CE0113_MO_Unstructured_SNA_EVEBITDAAvg">Model!$1000:$1000</definedName>
    <definedName name="z_T897CE0113_MO_Unstructured_SNA_FactSet">Model!$1078:$1078</definedName>
    <definedName name="z_T897CE0113_MO_Unstructured_SNA_FactSet_1">Model!$1085:$1085</definedName>
    <definedName name="z_T897CE0113_MO_Unstructured_SNA_FactSet_2">Model!$1092:$1092</definedName>
    <definedName name="z_T897CE0113_MO_Unstructured_SNA_FactSet_3">Model!$1099:$1099</definedName>
    <definedName name="z_T897CE0113_MO_Unstructured_SNA_FBOQ">"Deleted"</definedName>
    <definedName name="z_T897CE0113_MO_Unstructured_SNA_FBUS">"Deleted"</definedName>
    <definedName name="z_T897CE0113_MO_Unstructured_SNA_FBUS_1">"Deleted"</definedName>
    <definedName name="z_T897CE0113_MO_Unstructured_SNA_FBUS_2">"Deleted"</definedName>
    <definedName name="z_T897CE0113_MO_Unstructured_SNA_FirstForecastFiscalYear">Model!$1121:$1121</definedName>
    <definedName name="z_T897CE0113_MO_Unstructured_SNA_FiscalPeriodStartDate">Model!$1072:$1072</definedName>
    <definedName name="z_T897CE0113_MO_Unstructured_SNA_FXAverageRealTimeOffSource">Model!$1095:$1095</definedName>
    <definedName name="z_T897CE0113_MO_Unstructured_SNA_FXEoP">Model!$1104:$1104</definedName>
    <definedName name="z_T897CE0113_MO_Unstructured_SNA_FYorFQ">Model!$1060:$1060</definedName>
    <definedName name="z_T897CE0113_MO_Unstructured_SNA_GeneralTable">Model!$1107:$1107</definedName>
    <definedName name="z_T897CE0113_MO_Unstructured_SNA_High">Model!$990:$990</definedName>
    <definedName name="z_T897CE0113_MO_Unstructured_SNA_HighCapex">Model!$1037:$1037</definedName>
    <definedName name="z_T897CE0113_MO_Unstructured_SNA_HighCapex_1">Model!$1055:$1055</definedName>
    <definedName name="z_T897CE0113_MO_Unstructured_SNA_HighNetRevenue">Model!$1028:$1028</definedName>
    <definedName name="z_T897CE0113_MO_Unstructured_SNA_HighNetRevenue_1">Model!$1046:$1046</definedName>
    <definedName name="z_T897CE0113_MO_Unstructured_SNA_HighTotalExpenses">Model!$1034:$1034</definedName>
    <definedName name="z_T897CE0113_MO_Unstructured_SNA_HighTotalExpenses_1">Model!$1052:$1052</definedName>
    <definedName name="z_T897CE0113_MO_Unstructured_SNA_HighYYNetRevenueGrowth">Model!$1031:$1031</definedName>
    <definedName name="z_T897CE0113_MO_Unstructured_SNA_HighYYNetRevenueGrowth_1">Model!$1049:$1049</definedName>
    <definedName name="z_T897CE0113_MO_Unstructured_SNA_IsHistoricalPeriod">Model!$1073:$1073</definedName>
    <definedName name="z_T897CE0113_MO_Unstructured_SNA_IsLatest">Model!$1043:$1043</definedName>
    <definedName name="z_T897CE0113_MO_Unstructured_SNA_KeyOutputs">Model!$995:$995</definedName>
    <definedName name="z_T897CE0113_MO_Unstructured_SNA_KPICount">Model!$1122:$1122</definedName>
    <definedName name="z_T897CE0113_MO_Unstructured_SNA_KPIData">Model!$1004:$1004</definedName>
    <definedName name="z_T897CE0113_MO_Unstructured_SNA_LastPrice">Model!$1108:$1108</definedName>
    <definedName name="z_T897CE0113_MO_Unstructured_SNA_LastPriceDate">Model!$1109:$1109</definedName>
    <definedName name="z_T897CE0113_MO_Unstructured_SNA_LastPriceFormula">Model!$1111:$1111</definedName>
    <definedName name="z_T897CE0113_MO_Unstructured_SNA_LastWorkingDayInPeriod">Model!$1102:$1102</definedName>
    <definedName name="z_T897CE0113_MO_Unstructured_SNA_Low">Model!$991:$991</definedName>
    <definedName name="z_T897CE0113_MO_Unstructured_SNA_LowCapex">Model!$1036:$1036</definedName>
    <definedName name="z_T897CE0113_MO_Unstructured_SNA_LowCapex_1">Model!$1054:$1054</definedName>
    <definedName name="z_T897CE0113_MO_Unstructured_SNA_LowNetRevenue">Model!$1027:$1027</definedName>
    <definedName name="z_T897CE0113_MO_Unstructured_SNA_LowNetRevenue_1">Model!$1045:$1045</definedName>
    <definedName name="z_T897CE0113_MO_Unstructured_SNA_LowTotalExpenses">Model!$1033:$1033</definedName>
    <definedName name="z_T897CE0113_MO_Unstructured_SNA_LowTotalExpenses_1">Model!$1051:$1051</definedName>
    <definedName name="z_T897CE0113_MO_Unstructured_SNA_LowYYNetRevenueGrowth">Model!$1030:$1030</definedName>
    <definedName name="z_T897CE0113_MO_Unstructured_SNA_LowYYNetRevenueGrowth_1">Model!$1048:$1048</definedName>
    <definedName name="z_T897CE0113_MO_Unstructured_SNA_METAOQ">Model!$987:$987</definedName>
    <definedName name="z_T897CE0113_MO_Unstructured_SNA_METAUS">Model!$984:$984</definedName>
    <definedName name="z_T897CE0113_MO_Unstructured_SNA_METAUS_1">Model!$986:$986</definedName>
    <definedName name="z_T897CE0113_MO_Unstructured_SNA_METAUS_2">Model!$983:$983</definedName>
    <definedName name="z_T897CE0113_MO_Unstructured_SNA_MidCapex">Model!$1038:$1038</definedName>
    <definedName name="z_T897CE0113_MO_Unstructured_SNA_MidCapex_1">Model!$1056:$1056</definedName>
    <definedName name="z_T897CE0113_MO_Unstructured_SNA_MidNetRevenue">Model!$1029:$1029</definedName>
    <definedName name="z_T897CE0113_MO_Unstructured_SNA_MidNetRevenue_1">Model!$1047:$1047</definedName>
    <definedName name="z_T897CE0113_MO_Unstructured_SNA_MidTotalExpenses">Model!$1035:$1035</definedName>
    <definedName name="z_T897CE0113_MO_Unstructured_SNA_MidTotalExpenses_1">Model!$1053:$1053</definedName>
    <definedName name="z_T897CE0113_MO_Unstructured_SNA_MidYYNetRevenueGrowth">Model!$1032:$1032</definedName>
    <definedName name="z_T897CE0113_MO_Unstructured_SNA_MidYYNetRevenueGrowth_1">Model!$1050:$1050</definedName>
    <definedName name="z_T897CE0113_MO_Unstructured_SNA_MOCFSumCapex">Model!$1021:$1021</definedName>
    <definedName name="z_T897CE0113_MO_Unstructured_SNA_ModelSheetCurrencyHardcoded">Model!$1115:$1115</definedName>
    <definedName name="z_T897CE0113_MO_Unstructured_SNA_MOKPIAdvertisingExpense">Model!$1019:$1019</definedName>
    <definedName name="z_T897CE0113_MO_Unstructured_SNA_MOKPIAdvertisingExpenseGrowth">Model!$1020:$1020</definedName>
    <definedName name="z_T897CE0113_MO_Unstructured_SNA_MOKPIARPUDaily">Model!$1017:$1017</definedName>
    <definedName name="z_T897CE0113_MO_Unstructured_SNA_MOKPIARPUMonthly">"Deleted"</definedName>
    <definedName name="z_T897CE0113_MO_Unstructured_SNA_MOKPIARPUReported">"Deleted"</definedName>
    <definedName name="z_T897CE0113_MO_Unstructured_SNA_MOKPIDAU">Model!$1016:$1016</definedName>
    <definedName name="z_T897CE0113_MO_Unstructured_SNA_MOKPIREVAdvertising">Model!$1018:$1018</definedName>
    <definedName name="z_T897CE0113_MO_Unstructured_SNA_MOMAEBIT_1">Model!$1015:$1015</definedName>
    <definedName name="z_T897CE0113_MO_Unstructured_SNA_MOMAEBITDAAdj">Model!$1009:$1009</definedName>
    <definedName name="z_T897CE0113_MO_Unstructured_SNA_MOMAGA">Model!$1013:$1013</definedName>
    <definedName name="z_T897CE0113_MO_Unstructured_SNA_MOMAGM">Model!$1011:$1011</definedName>
    <definedName name="z_T897CE0113_MO_Unstructured_SNA_MOMARD">Model!$1014:$1014</definedName>
    <definedName name="z_T897CE0113_MO_Unstructured_SNA_MOMASM">Model!$1012:$1012</definedName>
    <definedName name="z_T897CE0113_MO_Unstructured_SNA_MOOSEmployeeCount">Model!$1010:$1010</definedName>
    <definedName name="z_T897CE0113_MO_Unstructured_SNA_MORISEBITDAAdj">Model!$1008:$1008</definedName>
    <definedName name="z_T897CE0113_MO_Unstructured_SNA_MORISEPSWADAdj">Model!$1007:$1007</definedName>
    <definedName name="z_T897CE0113_MO_Unstructured_SNA_MORISNINONGAAPDiluted">Model!$1006:$1006</definedName>
    <definedName name="z_T897CE0113_MO_Unstructured_SNA_MORISREV">Model!$1005:$1005</definedName>
    <definedName name="z_T897CE0113_MO_Unstructured_SNA_MostRecentFiscalPeriodMRFP">Model!$1119:$1119</definedName>
    <definedName name="z_T897CE0113_MO_Unstructured_SNA_MostRecentFX">Model!$1116:$1116</definedName>
    <definedName name="z_T897CE0113_MO_Unstructured_SNA_MostRecentFXHardcoded">Model!$1117:$1117</definedName>
    <definedName name="z_T897CE0113_MO_Unstructured_SNA_MRFPColumnNumber">Model!$1118:$1118</definedName>
    <definedName name="z_T897CE0113_MO_Unstructured_SNA_NASDAQFB">"Deleted"</definedName>
    <definedName name="z_T897CE0113_MO_Unstructured_SNA_NASDAQMETA">Model!$985:$985</definedName>
    <definedName name="z_T897CE0113_MO_Unstructured_SNA_NetRevenue">Model!$996:$996</definedName>
    <definedName name="z_T897CE0113_MO_Unstructured_SNA_PEAvg">Model!$1001:$1001</definedName>
    <definedName name="z_T897CE0113_MO_Unstructured_SNA_Period">Model!$1061:$1061</definedName>
    <definedName name="z_T897CE0113_MO_Unstructured_SNA_QuarterlyGuidanceTable">Model!$1024:$1024</definedName>
    <definedName name="z_T897CE0113_MO_Unstructured_SNA_RealTimeOffSource">Model!$1075:$1075</definedName>
    <definedName name="z_T897CE0113_MO_Unstructured_SNA_RealTimeOffSource_1">Model!$1082:$1082</definedName>
    <definedName name="z_T897CE0113_MO_Unstructured_SNA_RealTimeOffSource_2">Model!$1089:$1089</definedName>
    <definedName name="z_T897CE0113_MO_Unstructured_SNA_RealTimeOffSource_3">Model!$1096:$1096</definedName>
    <definedName name="z_T897CE0113_MO_Unstructured_SNA_RealTimeStockPrice">Model!$1110:$1110</definedName>
    <definedName name="z_T897CE0113_MO_Unstructured_SNA_Refinitiv">Model!$1079:$1079</definedName>
    <definedName name="z_T897CE0113_MO_Unstructured_SNA_Refinitiv_1">Model!$1086:$1086</definedName>
    <definedName name="z_T897CE0113_MO_Unstructured_SNA_Refinitiv_2">Model!$1093:$1093</definedName>
    <definedName name="z_T897CE0113_MO_Unstructured_SNA_Refinitiv_3">Model!$1100:$1100</definedName>
    <definedName name="z_T897CE0113_MO_Unstructured_SNA_ReportingDate">Model!$1025:$1025</definedName>
    <definedName name="z_T897CE0113_MO_Unstructured_SNA_ReportingDate_1">Model!$1042:$1042</definedName>
    <definedName name="z_T897CE0113_MO_Unstructured_SNA_StockAverageRealTimeOffSource">Model!$1088:$1088</definedName>
    <definedName name="z_T897CE0113_MO_Unstructured_SNA_StockHighRealTimeOffSource">Model!$1074:$1074</definedName>
    <definedName name="z_T897CE0113_MO_Unstructured_SNA_StockLowRealTimeOffSource">Model!$1081:$1081</definedName>
    <definedName name="z_T897CE0113_MO_Unstructured_SNA_StockPriceEoP">Model!$1103:$1103</definedName>
    <definedName name="z_T897CE0113_MO_Unstructured_SNA_StockPriceTable">Model!$1071:$1071</definedName>
    <definedName name="z_T897CE0113_MO_Unstructured_SNA_TickerSymbol">Model!$982:$982</definedName>
    <definedName name="z_T897CE0113_MO_Unstructured_SNA_TradeCurrency">Model!$1113:$1113</definedName>
    <definedName name="z_T897CE0113_MO_Unstructured_SNA_TradeCurrencyHardcoded">Model!$1114:$1114</definedName>
    <definedName name="z_T897CE0113_MO_Unstructured_SNA_ValuationToggleTable">Model!$989:$989</definedName>
    <definedName name="z_T897CE0113_MO_VA_EnterpriseValueAverage">Model!$711:$711</definedName>
    <definedName name="z_T897CE0113_MO_VA_EnterpriseValueAvg">"Deleted"</definedName>
    <definedName name="z_T897CE0113_MO_VA_enterprisevaluecomponents">Model!$727:$727</definedName>
    <definedName name="z_T897CE0113_MO_VA_EnterpriseValueHigh">"Deleted"</definedName>
    <definedName name="z_T897CE0113_MO_VA_EnterpriseValueLow">"Deleted"</definedName>
    <definedName name="z_T897CE0113_MO_VA_EVEBITDAAverage">Model!$714:$714</definedName>
    <definedName name="z_T897CE0113_MO_VA_FCFYieldtoAverageEnterpriseValue">Model!$717:$717</definedName>
    <definedName name="z_T897CE0113_MO_VA_FCFYieldtoAverageMarketCap">Model!$716:$716</definedName>
    <definedName name="z_T897CE0113_MO_VA_MarketCapAverage">Model!$710:$710</definedName>
    <definedName name="z_T897CE0113_MO_VA_MarketCapAvg">"Deleted"</definedName>
    <definedName name="z_T897CE0113_MO_VA_MarketCapHigh">"Deleted"</definedName>
    <definedName name="z_T897CE0113_MO_VA_MarketCapLow">"Deleted"</definedName>
    <definedName name="z_T897CE0113_MO_VA_NoncontrollingInterest">Model!$728:$728</definedName>
    <definedName name="z_T897CE0113_MO_VA_OtherEVComponents">Model!$730:$730</definedName>
    <definedName name="z_T897CE0113_MO_VA_PCFAverage">Model!$715:$715</definedName>
    <definedName name="z_T897CE0113_MO_VA_PEAverage">Model!$713:$713</definedName>
    <definedName name="z_T897CE0113_MO_VA_PreferredShares">Model!$729:$729</definedName>
    <definedName name="z_T897CE0113_MO_VA_StockAvg">Model!$721:$721</definedName>
    <definedName name="z_T897CE0113_MO_VA_StockHigh">Model!$719:$719</definedName>
    <definedName name="z_T897CE0113_MO_VA_StockLow">Model!$720:$720</definedName>
    <definedName name="z_T897CE0113_MO_VA_StockPriceAverage">Model!$709:$709</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0" i="22" l="1"/>
  <c r="T11" i="22"/>
  <c r="T12" i="22"/>
  <c r="T13" i="22"/>
  <c r="D17" i="22"/>
  <c r="E18" i="22" s="1"/>
  <c r="E17" i="22"/>
  <c r="F17" i="22"/>
  <c r="F18" i="22" s="1"/>
  <c r="D18" i="22"/>
  <c r="D20" i="22"/>
  <c r="E20" i="22"/>
  <c r="E21" i="22" s="1"/>
  <c r="F20" i="22"/>
  <c r="D21" i="22"/>
  <c r="D23" i="22"/>
  <c r="D24" i="22"/>
  <c r="D26" i="22"/>
  <c r="E26" i="22"/>
  <c r="F26" i="22"/>
  <c r="D27" i="22"/>
  <c r="E27" i="22"/>
  <c r="F27" i="22"/>
  <c r="D28" i="22"/>
  <c r="D31" i="22" s="1"/>
  <c r="E28" i="22"/>
  <c r="E29" i="22" s="1"/>
  <c r="F28" i="22"/>
  <c r="D29" i="22"/>
  <c r="D35" i="22"/>
  <c r="E35" i="22"/>
  <c r="F35" i="22"/>
  <c r="D36" i="22"/>
  <c r="E36" i="22"/>
  <c r="F36" i="22"/>
  <c r="D38" i="22"/>
  <c r="E38" i="22"/>
  <c r="F38" i="22"/>
  <c r="E39" i="22"/>
  <c r="D40" i="22"/>
  <c r="E40" i="22"/>
  <c r="F40" i="22"/>
  <c r="D41" i="22"/>
  <c r="E41" i="22"/>
  <c r="F41" i="22"/>
  <c r="D42" i="22"/>
  <c r="E42" i="22"/>
  <c r="D44" i="22"/>
  <c r="D45" i="22" s="1"/>
  <c r="E44" i="22"/>
  <c r="E45" i="22" s="1"/>
  <c r="F44" i="22"/>
  <c r="F45" i="22" s="1"/>
  <c r="D48" i="22"/>
  <c r="E48" i="22"/>
  <c r="E50" i="22" s="1"/>
  <c r="F48" i="22"/>
  <c r="F49" i="22" s="1"/>
  <c r="D49" i="22"/>
  <c r="E49" i="22"/>
  <c r="D50" i="22"/>
  <c r="D56" i="22"/>
  <c r="D59" i="22" s="1"/>
  <c r="E56" i="22"/>
  <c r="F56" i="22"/>
  <c r="D57" i="22"/>
  <c r="E57" i="22"/>
  <c r="F57" i="22"/>
  <c r="D61" i="22"/>
  <c r="E61" i="22"/>
  <c r="F61" i="22"/>
  <c r="F62" i="22" s="1"/>
  <c r="D62" i="22"/>
  <c r="E62" i="22"/>
  <c r="D63" i="22"/>
  <c r="E63" i="22"/>
  <c r="F63" i="22"/>
  <c r="C68" i="22"/>
  <c r="C79" i="22"/>
  <c r="C80" i="22"/>
  <c r="C81" i="22"/>
  <c r="C82" i="22"/>
  <c r="D86" i="22"/>
  <c r="D87" i="22" s="1"/>
  <c r="E86" i="22"/>
  <c r="E87" i="22" s="1"/>
  <c r="F86" i="22"/>
  <c r="F87" i="22" s="1"/>
  <c r="H93" i="22" a="1"/>
  <c r="H93" i="22" s="1"/>
  <c r="H95" i="22" s="1"/>
  <c r="H94" i="22"/>
  <c r="H96" i="22"/>
  <c r="H97" i="22"/>
  <c r="D100" i="22"/>
  <c r="E100" i="22"/>
  <c r="F100" i="22"/>
  <c r="D109" i="22"/>
  <c r="E109" i="22"/>
  <c r="F109" i="22"/>
  <c r="D110" i="22"/>
  <c r="E110" i="22"/>
  <c r="F110" i="22"/>
  <c r="D111" i="22"/>
  <c r="E111" i="22"/>
  <c r="F111" i="22"/>
  <c r="D112" i="22"/>
  <c r="E112" i="22"/>
  <c r="E113" i="22" s="1"/>
  <c r="F112" i="22"/>
  <c r="C115" i="22"/>
  <c r="C116" i="22"/>
  <c r="C117" i="22"/>
  <c r="C118" i="22"/>
  <c r="C136" i="22" a="1"/>
  <c r="C136" i="22" s="1"/>
  <c r="C137" i="22" a="1"/>
  <c r="C137" i="22" s="1"/>
  <c r="E3" i="21"/>
  <c r="B12" i="21" s="1"/>
  <c r="O8" i="21" s="1"/>
  <c r="P4" i="21" a="1"/>
  <c r="P4" i="21" s="1"/>
  <c r="R4" i="21" a="1"/>
  <c r="R4" i="21" s="1"/>
  <c r="T4" i="21" a="1"/>
  <c r="T4" i="21" s="1"/>
  <c r="V4" i="21" a="1"/>
  <c r="V4" i="21" s="1"/>
  <c r="X4" i="21" a="1"/>
  <c r="X4" i="21" s="1"/>
  <c r="Z4" i="21" a="1"/>
  <c r="Z4" i="21" s="1"/>
  <c r="AB4" i="21" a="1"/>
  <c r="AB4" i="21" s="1"/>
  <c r="P5" i="21" a="1"/>
  <c r="P5" i="21" s="1"/>
  <c r="D7" i="21" a="1"/>
  <c r="D7" i="21" s="1"/>
  <c r="E7" i="21" a="1"/>
  <c r="E7" i="21" s="1"/>
  <c r="F7" i="21" a="1"/>
  <c r="F7" i="21" s="1"/>
  <c r="G7" i="21" a="1"/>
  <c r="G7" i="21" s="1"/>
  <c r="H7" i="21" a="1"/>
  <c r="H7" i="21" s="1"/>
  <c r="D8" i="21" a="1"/>
  <c r="D8" i="21" s="1"/>
  <c r="E8" i="21" a="1"/>
  <c r="E8" i="21" s="1"/>
  <c r="F8" i="21" a="1"/>
  <c r="F8" i="21" s="1"/>
  <c r="G8" i="21" a="1"/>
  <c r="G8" i="21" s="1"/>
  <c r="H8" i="21" a="1"/>
  <c r="H8" i="21" s="1"/>
  <c r="Q11" i="21"/>
  <c r="S11" i="21" s="1"/>
  <c r="O13" i="21"/>
  <c r="O2" i="21" s="1"/>
  <c r="Q13" i="21"/>
  <c r="Q2" i="21" s="1"/>
  <c r="S13" i="21"/>
  <c r="S2" i="21" s="1"/>
  <c r="U13" i="21"/>
  <c r="U2" i="21" s="1"/>
  <c r="W13" i="21"/>
  <c r="W2" i="21" s="1"/>
  <c r="Y13" i="21"/>
  <c r="Y2" i="21" s="1"/>
  <c r="AA13" i="21"/>
  <c r="AA2" i="21" s="1"/>
  <c r="A14" i="21"/>
  <c r="O14" i="21" a="1"/>
  <c r="F59" i="22" l="1"/>
  <c r="H98" i="22"/>
  <c r="F42" i="22"/>
  <c r="D113" i="22"/>
  <c r="D116" i="22" s="1"/>
  <c r="F29" i="22"/>
  <c r="D52" i="22"/>
  <c r="D53" i="22" s="1"/>
  <c r="F21" i="22"/>
  <c r="D115" i="22"/>
  <c r="F46" i="22"/>
  <c r="D118" i="22"/>
  <c r="D39" i="22"/>
  <c r="F23" i="22"/>
  <c r="F31" i="22" s="1"/>
  <c r="F113" i="22"/>
  <c r="F116" i="22" s="1"/>
  <c r="F39" i="22"/>
  <c r="E59" i="22"/>
  <c r="E52" i="22"/>
  <c r="E53" i="22" s="1"/>
  <c r="E117" i="22"/>
  <c r="E116" i="22"/>
  <c r="E115" i="22"/>
  <c r="E118" i="22"/>
  <c r="F52" i="22"/>
  <c r="F53" i="22" s="1"/>
  <c r="E46" i="22"/>
  <c r="E23" i="22"/>
  <c r="D46" i="22"/>
  <c r="F117" i="22"/>
  <c r="F50" i="22"/>
  <c r="B14" i="21"/>
  <c r="O10" i="21" s="1"/>
  <c r="Q10" i="21" s="1"/>
  <c r="B10" i="21"/>
  <c r="O6" i="21" s="1"/>
  <c r="Q6" i="21" s="1"/>
  <c r="B13" i="21"/>
  <c r="O9" i="21" s="1"/>
  <c r="P9" i="21" s="1"/>
  <c r="D13" i="21" s="1"/>
  <c r="B11" i="21"/>
  <c r="O7" i="21" s="1"/>
  <c r="P7" i="21" s="1"/>
  <c r="D11" i="21" s="1"/>
  <c r="P11" i="21"/>
  <c r="W11" i="21"/>
  <c r="Y11" i="21"/>
  <c r="P8" i="21"/>
  <c r="D12" i="21" s="1"/>
  <c r="Q8" i="21"/>
  <c r="U11" i="21"/>
  <c r="AA11" i="21" s="1"/>
  <c r="O14" i="21"/>
  <c r="Q14" i="21" a="1"/>
  <c r="D117" i="22" l="1"/>
  <c r="F115" i="22"/>
  <c r="F118" i="22"/>
  <c r="P10" i="21"/>
  <c r="D14" i="21" s="1"/>
  <c r="P6" i="21"/>
  <c r="D10" i="21" s="1"/>
  <c r="E31" i="22"/>
  <c r="F24" i="22"/>
  <c r="E24" i="22"/>
  <c r="Q9" i="21"/>
  <c r="S9" i="21" s="1"/>
  <c r="Q7" i="21"/>
  <c r="R7" i="21" s="1"/>
  <c r="E11" i="21" s="1"/>
  <c r="R11" i="21"/>
  <c r="R10" i="21"/>
  <c r="E14" i="21" s="1"/>
  <c r="S10" i="21"/>
  <c r="U10" i="21"/>
  <c r="R6" i="21"/>
  <c r="E10" i="21" s="1"/>
  <c r="S6" i="21"/>
  <c r="U6" i="21"/>
  <c r="R8" i="21"/>
  <c r="E12" i="21" s="1"/>
  <c r="S8" i="21"/>
  <c r="U8" i="21"/>
  <c r="Q14" i="21"/>
  <c r="S14" i="21" a="1"/>
  <c r="U9" i="21" l="1"/>
  <c r="AA9" i="21" s="1"/>
  <c r="R9" i="21"/>
  <c r="E13" i="21" s="1"/>
  <c r="U7" i="21"/>
  <c r="AA7" i="21" s="1"/>
  <c r="S7" i="21"/>
  <c r="T7" i="21" s="1"/>
  <c r="F11" i="21" s="1"/>
  <c r="T11" i="21"/>
  <c r="W8" i="21"/>
  <c r="Y8" i="21"/>
  <c r="T8" i="21"/>
  <c r="F12" i="21" s="1"/>
  <c r="AA6" i="21"/>
  <c r="T6" i="21"/>
  <c r="F10" i="21" s="1"/>
  <c r="W6" i="21"/>
  <c r="Y6" i="21"/>
  <c r="AA10" i="21"/>
  <c r="W10" i="21"/>
  <c r="T10" i="21"/>
  <c r="F14" i="21" s="1"/>
  <c r="Y10" i="21"/>
  <c r="AA8" i="21"/>
  <c r="Y9" i="21"/>
  <c r="W9" i="21"/>
  <c r="T9" i="21"/>
  <c r="F13" i="21" s="1"/>
  <c r="S14" i="21"/>
  <c r="U14" i="21" a="1"/>
  <c r="Y7" i="21" l="1"/>
  <c r="W7" i="21"/>
  <c r="V11" i="21"/>
  <c r="V9" i="21"/>
  <c r="G13" i="21" s="1"/>
  <c r="V6" i="21"/>
  <c r="G10" i="21" s="1"/>
  <c r="V7" i="21"/>
  <c r="G11" i="21" s="1"/>
  <c r="V8" i="21"/>
  <c r="G12" i="21" s="1"/>
  <c r="V10" i="21"/>
  <c r="G14" i="21" s="1"/>
  <c r="U14" i="21"/>
  <c r="W14" i="21" a="1"/>
  <c r="X11" i="21" l="1"/>
  <c r="X6" i="21"/>
  <c r="H10" i="21" s="1"/>
  <c r="X8" i="21"/>
  <c r="H12" i="21" s="1"/>
  <c r="X9" i="21"/>
  <c r="H13" i="21" s="1"/>
  <c r="X10" i="21"/>
  <c r="H14" i="21" s="1"/>
  <c r="X7" i="21"/>
  <c r="H11" i="21" s="1"/>
  <c r="W14" i="21"/>
  <c r="Y14" i="21" a="1"/>
  <c r="Z11" i="21" l="1"/>
  <c r="Z8" i="21"/>
  <c r="K12" i="21" s="1"/>
  <c r="Z7" i="21"/>
  <c r="K11" i="21" s="1"/>
  <c r="Z9" i="21"/>
  <c r="K13" i="21" s="1"/>
  <c r="Z10" i="21"/>
  <c r="K14" i="21" s="1"/>
  <c r="Z6" i="21"/>
  <c r="K10" i="21" s="1"/>
  <c r="Y14" i="21"/>
  <c r="AA14" i="21" a="1"/>
  <c r="AB11" i="21" l="1"/>
  <c r="L15" i="21" s="1"/>
  <c r="AB8" i="21"/>
  <c r="L12" i="21" s="1"/>
  <c r="AB6" i="21"/>
  <c r="L10" i="21" s="1"/>
  <c r="AB10" i="21"/>
  <c r="L14" i="21" s="1"/>
  <c r="AB7" i="21"/>
  <c r="L11" i="21" s="1"/>
  <c r="AB9" i="21"/>
  <c r="L13" i="21" s="1"/>
  <c r="AA14" i="21"/>
  <c r="D15" i="21"/>
  <c r="E15" i="21"/>
  <c r="F15" i="21"/>
  <c r="G15" i="21"/>
  <c r="H15" i="21"/>
  <c r="K15" i="21"/>
  <c r="C17" i="21"/>
  <c r="D17" i="21"/>
  <c r="E17" i="21"/>
  <c r="F17" i="21"/>
  <c r="G17" i="21"/>
  <c r="H17" i="21"/>
  <c r="K17" i="21"/>
  <c r="L17" i="21"/>
  <c r="D18" i="21" a="1"/>
  <c r="D18" i="21" s="1"/>
  <c r="E18" i="21" a="1"/>
  <c r="E18" i="21" s="1"/>
  <c r="F18" i="21" a="1"/>
  <c r="F18" i="21" s="1"/>
  <c r="G18" i="21" a="1"/>
  <c r="G18" i="21" s="1"/>
  <c r="H18" i="21" a="1"/>
  <c r="H18" i="21" s="1"/>
  <c r="K18" i="21" a="1"/>
  <c r="K18" i="21" s="1"/>
  <c r="L18" i="21" a="1"/>
  <c r="L18" i="21" s="1"/>
  <c r="D19" i="21" a="1"/>
  <c r="D19" i="21" s="1"/>
  <c r="E19" i="21" a="1"/>
  <c r="E19" i="21" s="1"/>
  <c r="F19" i="21" a="1"/>
  <c r="F19" i="21" s="1"/>
  <c r="G19" i="21" a="1"/>
  <c r="G19" i="21" s="1"/>
  <c r="H19" i="21" a="1"/>
  <c r="H19" i="21" s="1"/>
  <c r="K19" i="21" a="1"/>
  <c r="K19" i="21" s="1"/>
  <c r="L19" i="21" a="1"/>
  <c r="L19" i="21" s="1"/>
  <c r="K21" i="21" a="1"/>
  <c r="K21" i="21" s="1"/>
  <c r="D23" i="21" a="1"/>
  <c r="D23" i="21" s="1"/>
  <c r="E23" i="21" a="1"/>
  <c r="E23" i="21" s="1"/>
  <c r="F23" i="21" a="1"/>
  <c r="F23" i="21" s="1"/>
  <c r="G23" i="21" a="1"/>
  <c r="G23" i="21" s="1"/>
  <c r="H23" i="21" a="1"/>
  <c r="H23" i="21" s="1"/>
  <c r="K23" i="21" a="1"/>
  <c r="K23" i="21" s="1"/>
  <c r="L23" i="21" a="1"/>
  <c r="L23" i="21" s="1"/>
  <c r="D26" i="21" a="1"/>
  <c r="D26" i="21" s="1"/>
  <c r="E26" i="21" a="1"/>
  <c r="E26" i="21" s="1"/>
  <c r="F26" i="21" a="1"/>
  <c r="F26" i="21" s="1"/>
  <c r="G26" i="21" a="1"/>
  <c r="G26" i="21" s="1"/>
  <c r="H26" i="21" a="1"/>
  <c r="H26" i="21" s="1"/>
  <c r="K26" i="21" a="1"/>
  <c r="K26" i="21" s="1"/>
  <c r="L26" i="21" a="1"/>
  <c r="L26" i="21" s="1"/>
  <c r="K29" i="21" a="1"/>
  <c r="K29" i="21" s="1"/>
  <c r="D30" i="21" a="1"/>
  <c r="D30" i="21" s="1"/>
  <c r="D31" i="21" s="1"/>
  <c r="E30" i="21" a="1"/>
  <c r="E30" i="21" s="1"/>
  <c r="E31" i="21" s="1"/>
  <c r="F30" i="21" a="1"/>
  <c r="F30" i="21" s="1"/>
  <c r="F31" i="21" s="1"/>
  <c r="G30" i="21" a="1"/>
  <c r="G30" i="21" s="1"/>
  <c r="G31" i="21" s="1"/>
  <c r="H30" i="21" a="1"/>
  <c r="H30" i="21" s="1"/>
  <c r="H31" i="21" s="1"/>
  <c r="K30" i="21" a="1"/>
  <c r="K30" i="21" s="1"/>
  <c r="D8" i="20"/>
  <c r="D9" i="20" s="1"/>
  <c r="D10" i="20" s="1"/>
  <c r="D11" i="20" s="1"/>
  <c r="D12" i="20" s="1"/>
  <c r="D13" i="20" s="1"/>
  <c r="D14" i="20" s="1"/>
  <c r="D15" i="20" s="1"/>
  <c r="D16" i="20" s="1"/>
  <c r="D17" i="20" s="1"/>
  <c r="D18" i="20" s="1"/>
  <c r="D19" i="20" s="1"/>
  <c r="D20" i="20" s="1"/>
  <c r="D21" i="20" s="1"/>
  <c r="D22" i="20" s="1"/>
  <c r="D23" i="20" s="1"/>
  <c r="D24" i="20" s="1"/>
  <c r="D25" i="20" s="1"/>
  <c r="D29" i="20"/>
  <c r="D30" i="20"/>
  <c r="D31" i="20"/>
  <c r="D32" i="20" s="1"/>
  <c r="D33" i="20" s="1"/>
  <c r="D34" i="20" s="1"/>
  <c r="D7" i="19"/>
  <c r="D8" i="19"/>
  <c r="D9" i="19" s="1"/>
  <c r="D10" i="19" s="1"/>
  <c r="D8" i="18"/>
  <c r="D9" i="18"/>
  <c r="D10" i="18" s="1"/>
  <c r="D11" i="18" s="1"/>
  <c r="D12" i="18" s="1"/>
  <c r="D13" i="18" s="1"/>
  <c r="D14" i="18" s="1"/>
  <c r="D15" i="18" s="1"/>
  <c r="D16" i="18" s="1"/>
  <c r="D17" i="18" s="1"/>
  <c r="D18" i="18" s="1"/>
  <c r="D9" i="17"/>
  <c r="D10" i="17" s="1"/>
  <c r="D11" i="17" s="1"/>
  <c r="D12" i="17" s="1"/>
  <c r="D13" i="17" s="1"/>
  <c r="D14" i="17" s="1"/>
  <c r="D15" i="17" s="1"/>
  <c r="D16" i="17" s="1"/>
  <c r="D17" i="17" s="1"/>
  <c r="D18" i="17" s="1"/>
  <c r="D19" i="17" s="1"/>
  <c r="D20" i="17" s="1"/>
  <c r="D21" i="17" s="1"/>
  <c r="D22" i="17" s="1"/>
  <c r="D23" i="17" s="1"/>
  <c r="D24" i="17" s="1"/>
  <c r="D25" i="17" s="1"/>
  <c r="D26" i="17" s="1"/>
  <c r="D34" i="17"/>
  <c r="D35" i="17" s="1"/>
  <c r="D36" i="17" s="1"/>
  <c r="D37" i="17" s="1"/>
  <c r="D38" i="17" s="1"/>
  <c r="D39" i="17" s="1"/>
  <c r="D40" i="17" s="1"/>
  <c r="D41" i="17" s="1"/>
  <c r="D42" i="17" s="1"/>
  <c r="D43" i="17" s="1"/>
  <c r="D44" i="17" s="1"/>
  <c r="D45" i="17" s="1"/>
  <c r="D46" i="17" s="1"/>
  <c r="D47" i="17" s="1"/>
  <c r="D48" i="17" s="1"/>
  <c r="D49" i="17" s="1"/>
  <c r="D50" i="17" s="1"/>
  <c r="D51" i="17" s="1"/>
  <c r="D60" i="17"/>
  <c r="D61" i="17" s="1"/>
  <c r="D62" i="17" s="1"/>
  <c r="D63" i="17" s="1"/>
  <c r="D64" i="17" s="1"/>
  <c r="D65" i="17" s="1"/>
  <c r="D66" i="17" s="1"/>
  <c r="D67" i="17" s="1"/>
  <c r="D68" i="17" s="1"/>
  <c r="D69" i="17" s="1"/>
  <c r="D70" i="17" s="1"/>
  <c r="D71" i="17" s="1"/>
  <c r="D72" i="17" s="1"/>
  <c r="D73" i="17" s="1"/>
  <c r="D74" i="17" s="1"/>
  <c r="D75" i="17" s="1"/>
  <c r="D76" i="17" s="1"/>
  <c r="D77" i="17" s="1"/>
  <c r="D113" i="17"/>
  <c r="D114" i="17" s="1"/>
  <c r="D115" i="17" s="1"/>
  <c r="D116" i="17" s="1"/>
  <c r="D117" i="17" s="1"/>
  <c r="D118" i="17" s="1"/>
  <c r="D119" i="17" s="1"/>
  <c r="D120" i="17" s="1"/>
  <c r="D121" i="17" s="1"/>
  <c r="D122" i="17" s="1"/>
  <c r="D123" i="17" s="1"/>
  <c r="D124" i="17" s="1"/>
  <c r="D125" i="17" s="1"/>
  <c r="D126" i="17" s="1"/>
  <c r="D127" i="17" s="1"/>
  <c r="D128" i="17" s="1"/>
  <c r="D129" i="17" s="1"/>
  <c r="D130" i="17" s="1"/>
  <c r="D138" i="17"/>
  <c r="D139" i="17" s="1"/>
  <c r="D140" i="17" s="1"/>
  <c r="D141" i="17" s="1"/>
  <c r="D142" i="17" s="1"/>
  <c r="D143" i="17" s="1"/>
  <c r="D144" i="17" s="1"/>
  <c r="D145" i="17" s="1"/>
  <c r="D146" i="17" s="1"/>
  <c r="D147" i="17" s="1"/>
  <c r="D148" i="17" s="1"/>
  <c r="D149" i="17" s="1"/>
  <c r="D150" i="17" s="1"/>
  <c r="D151" i="17" s="1"/>
  <c r="D152" i="17" s="1"/>
  <c r="D153" i="17" s="1"/>
  <c r="D154" i="17" s="1"/>
  <c r="D155" i="17" s="1"/>
  <c r="C3" i="15"/>
  <c r="F3" i="15"/>
  <c r="F4" i="15" s="1"/>
  <c r="H3" i="15"/>
  <c r="C4" i="15"/>
  <c r="H4" i="15"/>
  <c r="F5" i="15"/>
  <c r="H5" i="15"/>
  <c r="C6" i="15"/>
  <c r="F6" i="15"/>
  <c r="H7" i="15"/>
  <c r="C8" i="15"/>
  <c r="F10" i="15"/>
  <c r="F11" i="15"/>
  <c r="F12" i="15"/>
  <c r="F13" i="15"/>
  <c r="AE32" i="15"/>
  <c r="M43" i="15"/>
  <c r="M44" i="15" s="1"/>
  <c r="N43" i="15"/>
  <c r="N44" i="15" s="1"/>
  <c r="O43" i="15"/>
  <c r="O44" i="15" s="1"/>
  <c r="P43" i="15"/>
  <c r="P45" i="15" s="1"/>
  <c r="P47" i="15" s="1"/>
  <c r="P49" i="15"/>
  <c r="P50" i="15"/>
  <c r="M57" i="15"/>
  <c r="T57" i="15" s="1"/>
  <c r="N57" i="15"/>
  <c r="O58" i="15" s="1"/>
  <c r="O57" i="15"/>
  <c r="P57" i="15"/>
  <c r="P58" i="15"/>
  <c r="M60" i="15"/>
  <c r="N60" i="15"/>
  <c r="O60" i="15"/>
  <c r="O61" i="15" s="1"/>
  <c r="P60" i="15"/>
  <c r="T60" i="15" s="1"/>
  <c r="N62" i="15"/>
  <c r="O62" i="15"/>
  <c r="P62" i="15"/>
  <c r="M64" i="15"/>
  <c r="N64" i="15"/>
  <c r="O64" i="15"/>
  <c r="O66" i="15" s="1"/>
  <c r="P64" i="15"/>
  <c r="T64" i="15" s="1"/>
  <c r="N66" i="15"/>
  <c r="P66" i="15"/>
  <c r="M68" i="15"/>
  <c r="M69" i="15" s="1"/>
  <c r="N68" i="15"/>
  <c r="N69" i="15" s="1"/>
  <c r="O68" i="15"/>
  <c r="O69" i="15" s="1"/>
  <c r="P68" i="15"/>
  <c r="P70" i="15" s="1"/>
  <c r="M66" i="15" l="1"/>
  <c r="T66" i="15" s="1"/>
  <c r="O70" i="15"/>
  <c r="K27" i="21"/>
  <c r="K31" i="21"/>
  <c r="M70" i="15"/>
  <c r="N70" i="15"/>
  <c r="P44" i="15"/>
  <c r="F7" i="15"/>
  <c r="F8" i="15" s="1"/>
  <c r="P51" i="15"/>
  <c r="C5" i="15"/>
  <c r="C9" i="15" s="1"/>
  <c r="R68" i="15" s="1"/>
  <c r="O45" i="15"/>
  <c r="N45" i="15"/>
  <c r="M45" i="15"/>
  <c r="H6" i="15"/>
  <c r="H8" i="15" s="1"/>
  <c r="E27" i="21"/>
  <c r="E24" i="21"/>
  <c r="L24" i="21"/>
  <c r="L27" i="21"/>
  <c r="H24" i="21"/>
  <c r="H27" i="21"/>
  <c r="D27" i="21"/>
  <c r="D24" i="21"/>
  <c r="G24" i="21"/>
  <c r="G27" i="21"/>
  <c r="F24" i="21"/>
  <c r="F27" i="21"/>
  <c r="K24" i="21"/>
  <c r="M62" i="15"/>
  <c r="T62" i="15" s="1"/>
  <c r="P69" i="15"/>
  <c r="O65" i="15"/>
  <c r="P46" i="15"/>
  <c r="P65" i="15"/>
  <c r="P61" i="15"/>
  <c r="S43" i="15" l="1"/>
  <c r="Q43" i="15"/>
  <c r="R43" i="15"/>
  <c r="Q68" i="15"/>
  <c r="S68" i="15"/>
  <c r="S57" i="15" a="1"/>
  <c r="S57" i="15" s="1"/>
  <c r="Q64" i="15" a="1"/>
  <c r="Q64" i="15" s="1"/>
  <c r="R64" i="15" a="1"/>
  <c r="R64" i="15" s="1"/>
  <c r="S60" i="15" a="1"/>
  <c r="S60" i="15" s="1"/>
  <c r="Q60" i="15" a="1"/>
  <c r="Q60" i="15" s="1"/>
  <c r="S64" i="15" a="1"/>
  <c r="S64" i="15" s="1"/>
  <c r="R60" i="15" a="1"/>
  <c r="R60" i="15" s="1"/>
  <c r="Q57" i="15" a="1"/>
  <c r="Q57" i="15" s="1"/>
  <c r="Q58" i="15" s="1"/>
  <c r="R57" i="15" a="1"/>
  <c r="R57" i="15" s="1"/>
  <c r="Q44" i="15"/>
  <c r="R58" i="15" l="1"/>
  <c r="S45" i="15"/>
  <c r="R44" i="15"/>
  <c r="S44" i="15"/>
  <c r="R62" i="15"/>
  <c r="R61" i="15"/>
  <c r="R70" i="15"/>
  <c r="S65" i="15"/>
  <c r="S66" i="15"/>
  <c r="U66" i="15" s="1"/>
  <c r="U64" i="15"/>
  <c r="S69" i="15"/>
  <c r="Q62" i="15"/>
  <c r="Q61" i="15"/>
  <c r="Q70" i="15"/>
  <c r="U60" i="15"/>
  <c r="S62" i="15"/>
  <c r="U62" i="15" s="1"/>
  <c r="S61" i="15"/>
  <c r="S70" i="15"/>
  <c r="R66" i="15"/>
  <c r="R65" i="15"/>
  <c r="R69" i="15"/>
  <c r="Q66" i="15"/>
  <c r="Q65" i="15"/>
  <c r="Q69" i="15"/>
  <c r="Q45" i="15"/>
  <c r="U57" i="15"/>
  <c r="S58" i="15"/>
  <c r="R45" i="15"/>
  <c r="H48" i="22"/>
  <c r="H28" i="22"/>
  <c r="H29" i="22" s="1"/>
  <c r="H17" i="22"/>
  <c r="H18" i="22" s="1"/>
  <c r="H44" i="22"/>
  <c r="H40" i="22" l="1"/>
  <c r="H51" i="22"/>
  <c r="H49" i="22"/>
  <c r="H45" i="22"/>
  <c r="H47" i="22"/>
  <c r="K40" i="22"/>
  <c r="K28" i="22"/>
  <c r="K29" i="22" s="1"/>
  <c r="K17" i="22"/>
  <c r="N40" i="22"/>
  <c r="K44" i="22"/>
  <c r="N48" i="22" l="1"/>
  <c r="K48" i="22"/>
  <c r="K43" i="22"/>
  <c r="K41" i="22"/>
  <c r="K19" i="22"/>
  <c r="K18" i="22"/>
  <c r="K47" i="22"/>
  <c r="K45" i="22"/>
  <c r="N43" i="22"/>
  <c r="N41" i="22"/>
  <c r="H41" i="22"/>
  <c r="H43" i="22"/>
  <c r="N28" i="22"/>
  <c r="N29" i="22" s="1"/>
  <c r="N17" i="22"/>
  <c r="N44" i="22"/>
  <c r="N47" i="22" l="1"/>
  <c r="N45" i="22"/>
  <c r="N18" i="22"/>
  <c r="N19" i="22"/>
  <c r="K49" i="22"/>
  <c r="K51" i="22"/>
  <c r="N49" i="22"/>
  <c r="N51" i="22"/>
  <c r="H20" i="22"/>
  <c r="H21" i="22" s="1"/>
  <c r="K20" i="22" l="1"/>
  <c r="H23" i="22"/>
  <c r="H24" i="22" l="1"/>
  <c r="H31" i="22"/>
  <c r="K22" i="22"/>
  <c r="K21" i="22"/>
  <c r="K23" i="22"/>
  <c r="N20" i="22"/>
  <c r="K24" i="22" l="1"/>
  <c r="K31" i="22"/>
  <c r="K25" i="22"/>
  <c r="H35" i="22"/>
  <c r="N22" i="22"/>
  <c r="N23" i="22"/>
  <c r="N21" i="22"/>
  <c r="H38" i="22"/>
  <c r="N24" i="22" l="1"/>
  <c r="N31" i="22"/>
  <c r="N25" i="22"/>
  <c r="H87" i="22"/>
  <c r="H36" i="22"/>
  <c r="H62" i="22"/>
  <c r="H50" i="22"/>
  <c r="H46" i="22"/>
  <c r="H42" i="22"/>
  <c r="H39" i="22"/>
  <c r="K35" i="22"/>
  <c r="H52" i="22"/>
  <c r="H53" i="22" s="1"/>
  <c r="H54" i="22" s="1"/>
  <c r="K38" i="22"/>
  <c r="K39" i="22" l="1"/>
  <c r="K62" i="22"/>
  <c r="K87" i="22"/>
  <c r="K37" i="22"/>
  <c r="K36" i="22"/>
  <c r="K42" i="22"/>
  <c r="K46" i="22"/>
  <c r="K50" i="22"/>
  <c r="N35" i="22"/>
  <c r="K52" i="22"/>
  <c r="K53" i="22" s="1"/>
  <c r="K54" i="22" s="1"/>
  <c r="N38" i="22"/>
  <c r="N39" i="22" l="1"/>
  <c r="N36" i="22"/>
  <c r="N62" i="22"/>
  <c r="N87" i="22"/>
  <c r="N37" i="22"/>
  <c r="N42" i="22"/>
  <c r="N46" i="22"/>
  <c r="N50" i="22"/>
  <c r="N52" i="22"/>
  <c r="N53" i="22" s="1"/>
  <c r="N54" i="22" s="1"/>
  <c r="AB63" i="14" l="1"/>
  <c r="AB57" i="14"/>
  <c r="AB55" i="14"/>
  <c r="AB54" i="14"/>
  <c r="AB53" i="14"/>
  <c r="AB52" i="14"/>
  <c r="AB47" i="14"/>
  <c r="AB46" i="14"/>
  <c r="AB48" i="14" s="1"/>
  <c r="AB38" i="14"/>
  <c r="AB35" i="14"/>
  <c r="AB28" i="14"/>
  <c r="AB25" i="14"/>
  <c r="AB18" i="14"/>
  <c r="AB12" i="14"/>
  <c r="AB14" i="14"/>
  <c r="AB15" i="14"/>
  <c r="AB16" i="14"/>
  <c r="AB13" i="14"/>
  <c r="AB7" i="14"/>
  <c r="AB9" i="14"/>
  <c r="AB10" i="14"/>
  <c r="AB11" i="14"/>
  <c r="AB8" i="14"/>
  <c r="L7" i="14"/>
  <c r="M7" i="14"/>
  <c r="N7" i="14"/>
  <c r="O7" i="14"/>
  <c r="P7" i="14"/>
  <c r="Q7" i="14"/>
  <c r="R7" i="14"/>
  <c r="S7" i="14"/>
  <c r="T7" i="14"/>
  <c r="U7" i="14"/>
  <c r="V7" i="14"/>
  <c r="W7" i="14"/>
  <c r="X7" i="14"/>
  <c r="Y7" i="14"/>
  <c r="Z7" i="14"/>
  <c r="AA7" i="14"/>
  <c r="L8" i="14"/>
  <c r="M8" i="14"/>
  <c r="N8" i="14"/>
  <c r="O8" i="14"/>
  <c r="P8" i="14"/>
  <c r="Q8" i="14"/>
  <c r="R8" i="14"/>
  <c r="S8" i="14"/>
  <c r="T8" i="14"/>
  <c r="U8" i="14"/>
  <c r="V8" i="14"/>
  <c r="W8" i="14"/>
  <c r="X8" i="14"/>
  <c r="Y8" i="14"/>
  <c r="Z8" i="14"/>
  <c r="AA8" i="14"/>
  <c r="L9" i="14"/>
  <c r="M9" i="14"/>
  <c r="N9" i="14"/>
  <c r="O9" i="14"/>
  <c r="P9" i="14"/>
  <c r="Q9" i="14"/>
  <c r="R9" i="14"/>
  <c r="S9" i="14"/>
  <c r="T9" i="14"/>
  <c r="U9" i="14"/>
  <c r="V9" i="14"/>
  <c r="W9" i="14"/>
  <c r="X9" i="14"/>
  <c r="Y9" i="14"/>
  <c r="Z9" i="14"/>
  <c r="AA9" i="14"/>
  <c r="L10" i="14"/>
  <c r="M10" i="14"/>
  <c r="N10" i="14"/>
  <c r="O10" i="14"/>
  <c r="P10" i="14"/>
  <c r="Q10" i="14"/>
  <c r="R10" i="14"/>
  <c r="S10" i="14"/>
  <c r="T10" i="14"/>
  <c r="U10" i="14"/>
  <c r="V10" i="14"/>
  <c r="W10" i="14"/>
  <c r="X10" i="14"/>
  <c r="Y10" i="14"/>
  <c r="Z10" i="14"/>
  <c r="AA10" i="14"/>
  <c r="L11" i="14"/>
  <c r="M11" i="14"/>
  <c r="N11" i="14"/>
  <c r="O11" i="14"/>
  <c r="P11" i="14"/>
  <c r="Q11" i="14"/>
  <c r="R11" i="14"/>
  <c r="S11" i="14"/>
  <c r="T11" i="14"/>
  <c r="U11" i="14"/>
  <c r="V11" i="14"/>
  <c r="W11" i="14"/>
  <c r="X11" i="14"/>
  <c r="Y11" i="14"/>
  <c r="Z11" i="14"/>
  <c r="AA11" i="14"/>
  <c r="L12" i="14"/>
  <c r="M12" i="14"/>
  <c r="N12" i="14"/>
  <c r="O12" i="14"/>
  <c r="P12" i="14"/>
  <c r="Q12" i="14"/>
  <c r="R12" i="14"/>
  <c r="S12" i="14"/>
  <c r="T12" i="14"/>
  <c r="U12" i="14"/>
  <c r="V12" i="14"/>
  <c r="W12" i="14"/>
  <c r="X12" i="14"/>
  <c r="Y12" i="14"/>
  <c r="Z12" i="14"/>
  <c r="AA12" i="14"/>
  <c r="L13" i="14"/>
  <c r="M13" i="14"/>
  <c r="N13" i="14"/>
  <c r="O13" i="14"/>
  <c r="P13" i="14"/>
  <c r="Q13" i="14"/>
  <c r="R13" i="14"/>
  <c r="S13" i="14"/>
  <c r="T13" i="14"/>
  <c r="U13" i="14"/>
  <c r="V13" i="14"/>
  <c r="W13" i="14"/>
  <c r="X13" i="14"/>
  <c r="Y13" i="14"/>
  <c r="Z13" i="14"/>
  <c r="AA13" i="14"/>
  <c r="L14" i="14"/>
  <c r="M14" i="14"/>
  <c r="N14" i="14"/>
  <c r="O14" i="14"/>
  <c r="P14" i="14"/>
  <c r="Q14" i="14"/>
  <c r="R14" i="14"/>
  <c r="S14" i="14"/>
  <c r="T14" i="14"/>
  <c r="U14" i="14"/>
  <c r="V14" i="14"/>
  <c r="W14" i="14"/>
  <c r="X14" i="14"/>
  <c r="Y14" i="14"/>
  <c r="Z14" i="14"/>
  <c r="AA14" i="14"/>
  <c r="L15" i="14"/>
  <c r="M15" i="14"/>
  <c r="N15" i="14"/>
  <c r="O15" i="14"/>
  <c r="P15" i="14"/>
  <c r="Q15" i="14"/>
  <c r="R15" i="14"/>
  <c r="S15" i="14"/>
  <c r="T15" i="14"/>
  <c r="U15" i="14"/>
  <c r="V15" i="14"/>
  <c r="W15" i="14"/>
  <c r="X15" i="14"/>
  <c r="Y15" i="14"/>
  <c r="Z15" i="14"/>
  <c r="AA15" i="14"/>
  <c r="L16" i="14"/>
  <c r="M16" i="14"/>
  <c r="N16" i="14"/>
  <c r="O16" i="14"/>
  <c r="P16" i="14"/>
  <c r="Q16" i="14"/>
  <c r="R16" i="14"/>
  <c r="S16" i="14"/>
  <c r="T16" i="14"/>
  <c r="U16" i="14"/>
  <c r="V16" i="14"/>
  <c r="W16" i="14"/>
  <c r="X16" i="14"/>
  <c r="Y16" i="14"/>
  <c r="Z16" i="14"/>
  <c r="AA16" i="14"/>
  <c r="D18" i="14"/>
  <c r="D20" i="14" s="1"/>
  <c r="E18" i="14"/>
  <c r="E20" i="14" s="1"/>
  <c r="F18" i="14"/>
  <c r="G18" i="14"/>
  <c r="G20" i="14" s="1"/>
  <c r="H18" i="14"/>
  <c r="I18" i="14"/>
  <c r="J18" i="14"/>
  <c r="K18" i="14"/>
  <c r="K19" i="14" s="1"/>
  <c r="L18" i="14"/>
  <c r="M18" i="14"/>
  <c r="N18" i="14"/>
  <c r="O18" i="14"/>
  <c r="P18" i="14"/>
  <c r="Q18" i="14"/>
  <c r="R18" i="14"/>
  <c r="S18" i="14"/>
  <c r="T18" i="14"/>
  <c r="U18" i="14"/>
  <c r="V18" i="14"/>
  <c r="Z19" i="14" s="1"/>
  <c r="Z161" i="14" s="1"/>
  <c r="W18" i="14"/>
  <c r="X18" i="14"/>
  <c r="AB19" i="14" s="1"/>
  <c r="Y18" i="14"/>
  <c r="Z18" i="14"/>
  <c r="AA18" i="14"/>
  <c r="AB20" i="14" s="1"/>
  <c r="F20" i="14"/>
  <c r="H23" i="14"/>
  <c r="I23" i="14"/>
  <c r="J23" i="14"/>
  <c r="K23" i="14"/>
  <c r="L23" i="14"/>
  <c r="M23" i="14"/>
  <c r="N23" i="14"/>
  <c r="O23" i="14"/>
  <c r="P23" i="14"/>
  <c r="Q23" i="14"/>
  <c r="R23" i="14"/>
  <c r="S23" i="14"/>
  <c r="T23" i="14"/>
  <c r="U23" i="14"/>
  <c r="V23" i="14"/>
  <c r="W23" i="14"/>
  <c r="X23" i="14"/>
  <c r="Y23" i="14"/>
  <c r="Z23" i="14"/>
  <c r="AA23" i="14"/>
  <c r="AB23" i="14"/>
  <c r="H24" i="14"/>
  <c r="I24" i="14"/>
  <c r="J24" i="14"/>
  <c r="K24" i="14"/>
  <c r="L24" i="14"/>
  <c r="M24" i="14"/>
  <c r="N24" i="14"/>
  <c r="O24" i="14"/>
  <c r="P24" i="14"/>
  <c r="Q24" i="14"/>
  <c r="R24" i="14"/>
  <c r="S24" i="14"/>
  <c r="T24" i="14"/>
  <c r="U24" i="14"/>
  <c r="V24" i="14"/>
  <c r="W24" i="14"/>
  <c r="X24" i="14"/>
  <c r="Y24" i="14"/>
  <c r="Z24" i="14"/>
  <c r="AA24" i="14"/>
  <c r="AB24" i="14"/>
  <c r="H25" i="14"/>
  <c r="H20" i="14" s="1"/>
  <c r="I25" i="14"/>
  <c r="I26" i="14" s="1"/>
  <c r="J25" i="14"/>
  <c r="J26" i="14" s="1"/>
  <c r="K25" i="14"/>
  <c r="K26" i="14" s="1"/>
  <c r="L25" i="14"/>
  <c r="M25" i="14"/>
  <c r="N25" i="14"/>
  <c r="O25" i="14"/>
  <c r="P25" i="14"/>
  <c r="Q25" i="14"/>
  <c r="R25" i="14"/>
  <c r="R20" i="14" s="1"/>
  <c r="S25" i="14"/>
  <c r="T25" i="14"/>
  <c r="T27" i="14" s="1"/>
  <c r="U25" i="14"/>
  <c r="U20" i="14" s="1"/>
  <c r="V25" i="14"/>
  <c r="W25" i="14"/>
  <c r="X25" i="14"/>
  <c r="Y25" i="14"/>
  <c r="Z25" i="14"/>
  <c r="AA25" i="14"/>
  <c r="AB26" i="14"/>
  <c r="AA27" i="14"/>
  <c r="L28" i="14"/>
  <c r="L31" i="14" s="1"/>
  <c r="L222" i="14" s="1"/>
  <c r="M28" i="14"/>
  <c r="U30" i="14" s="1"/>
  <c r="N28" i="14"/>
  <c r="O28" i="14"/>
  <c r="P28" i="14"/>
  <c r="P29" i="14" s="1"/>
  <c r="Q28" i="14"/>
  <c r="R28" i="14"/>
  <c r="S28" i="14"/>
  <c r="T28" i="14"/>
  <c r="AB30" i="14" s="1"/>
  <c r="U28" i="14"/>
  <c r="V28" i="14"/>
  <c r="W28" i="14"/>
  <c r="X28" i="14"/>
  <c r="Y28" i="14"/>
  <c r="Z28" i="14"/>
  <c r="AA28" i="14"/>
  <c r="H29" i="14"/>
  <c r="I29" i="14"/>
  <c r="J29" i="14"/>
  <c r="K29" i="14"/>
  <c r="T30" i="14"/>
  <c r="X31" i="14"/>
  <c r="AB31" i="14"/>
  <c r="H32" i="14"/>
  <c r="I32" i="14"/>
  <c r="J32" i="14"/>
  <c r="K32" i="14"/>
  <c r="AB36" i="14"/>
  <c r="L37" i="14"/>
  <c r="L35" i="14" s="1"/>
  <c r="M37" i="14"/>
  <c r="M35" i="14" s="1"/>
  <c r="M36" i="14" s="1"/>
  <c r="N37" i="14"/>
  <c r="O37" i="14"/>
  <c r="P37" i="14"/>
  <c r="Q37" i="14"/>
  <c r="R37" i="14"/>
  <c r="S37" i="14"/>
  <c r="T37" i="14"/>
  <c r="U37" i="14"/>
  <c r="V37" i="14"/>
  <c r="W37" i="14"/>
  <c r="X37" i="14"/>
  <c r="X35" i="14" s="1"/>
  <c r="Y37" i="14"/>
  <c r="Y35" i="14" s="1"/>
  <c r="Y36" i="14" s="1"/>
  <c r="Z37" i="14"/>
  <c r="AA37" i="14"/>
  <c r="AB37" i="14"/>
  <c r="AB39" i="14"/>
  <c r="L40" i="14"/>
  <c r="L38" i="14" s="1"/>
  <c r="L39" i="14" s="1"/>
  <c r="M40" i="14"/>
  <c r="N40" i="14"/>
  <c r="N38" i="14" s="1"/>
  <c r="N39" i="14" s="1"/>
  <c r="O40" i="14"/>
  <c r="P40" i="14"/>
  <c r="Q40" i="14"/>
  <c r="R40" i="14"/>
  <c r="S40" i="14"/>
  <c r="S38" i="14" s="1"/>
  <c r="S39" i="14" s="1"/>
  <c r="T40" i="14"/>
  <c r="U40" i="14"/>
  <c r="V40" i="14"/>
  <c r="W40" i="14"/>
  <c r="X40" i="14"/>
  <c r="X38" i="14" s="1"/>
  <c r="X39" i="14" s="1"/>
  <c r="Y40" i="14"/>
  <c r="Z40" i="14"/>
  <c r="Z38" i="14" s="1"/>
  <c r="Z39" i="14" s="1"/>
  <c r="AA40" i="14"/>
  <c r="AB40" i="14"/>
  <c r="AC40" i="14"/>
  <c r="AB41" i="14"/>
  <c r="L44" i="14"/>
  <c r="M44" i="14"/>
  <c r="N44" i="14"/>
  <c r="O44" i="14"/>
  <c r="P44" i="14"/>
  <c r="Q44" i="14"/>
  <c r="R44" i="14"/>
  <c r="S44" i="14"/>
  <c r="T44" i="14"/>
  <c r="U44" i="14"/>
  <c r="V44" i="14"/>
  <c r="W44" i="14"/>
  <c r="X44" i="14"/>
  <c r="Y44" i="14"/>
  <c r="Z44" i="14"/>
  <c r="AA44" i="14"/>
  <c r="L45" i="14"/>
  <c r="M45" i="14"/>
  <c r="N45" i="14"/>
  <c r="O45" i="14"/>
  <c r="P45" i="14"/>
  <c r="Q45" i="14"/>
  <c r="R45" i="14"/>
  <c r="S45" i="14"/>
  <c r="T45" i="14"/>
  <c r="U45" i="14"/>
  <c r="V45" i="14"/>
  <c r="W45" i="14"/>
  <c r="X45" i="14"/>
  <c r="Y45" i="14"/>
  <c r="Z45" i="14"/>
  <c r="AA45" i="14"/>
  <c r="L47" i="14"/>
  <c r="M47" i="14"/>
  <c r="N47" i="14"/>
  <c r="O47" i="14"/>
  <c r="P47" i="14"/>
  <c r="Q47" i="14"/>
  <c r="R47" i="14"/>
  <c r="S47" i="14"/>
  <c r="T47" i="14"/>
  <c r="U47" i="14"/>
  <c r="V47" i="14"/>
  <c r="W47" i="14"/>
  <c r="X47" i="14"/>
  <c r="Y47" i="14"/>
  <c r="Z47" i="14"/>
  <c r="AA47" i="14"/>
  <c r="H50" i="14"/>
  <c r="I50" i="14"/>
  <c r="J50" i="14"/>
  <c r="K50" i="14"/>
  <c r="D52" i="14"/>
  <c r="E52" i="14"/>
  <c r="F52" i="14"/>
  <c r="G52" i="14"/>
  <c r="H52" i="14"/>
  <c r="I52" i="14"/>
  <c r="J52" i="14"/>
  <c r="K52" i="14"/>
  <c r="L52" i="14"/>
  <c r="M52" i="14"/>
  <c r="N52" i="14"/>
  <c r="O52" i="14"/>
  <c r="P52" i="14"/>
  <c r="Q52" i="14"/>
  <c r="R52" i="14"/>
  <c r="S52" i="14"/>
  <c r="T52" i="14"/>
  <c r="U52" i="14"/>
  <c r="V52" i="14"/>
  <c r="W52" i="14"/>
  <c r="X52" i="14"/>
  <c r="Y52" i="14"/>
  <c r="Z52" i="14"/>
  <c r="AA52" i="14"/>
  <c r="D53" i="14"/>
  <c r="E53" i="14"/>
  <c r="F53" i="14"/>
  <c r="G53" i="14"/>
  <c r="H53" i="14"/>
  <c r="I53" i="14"/>
  <c r="J53" i="14"/>
  <c r="K53" i="14"/>
  <c r="L53" i="14"/>
  <c r="M53" i="14"/>
  <c r="N53" i="14"/>
  <c r="O53" i="14"/>
  <c r="P53" i="14"/>
  <c r="Q53" i="14"/>
  <c r="R53" i="14"/>
  <c r="S53" i="14"/>
  <c r="T53" i="14"/>
  <c r="U53" i="14"/>
  <c r="V53" i="14"/>
  <c r="W53" i="14"/>
  <c r="X53" i="14"/>
  <c r="Y53" i="14"/>
  <c r="Z53" i="14"/>
  <c r="AA53" i="14"/>
  <c r="D54" i="14"/>
  <c r="E54" i="14"/>
  <c r="F54" i="14"/>
  <c r="G54" i="14"/>
  <c r="H54" i="14"/>
  <c r="I54" i="14"/>
  <c r="J54" i="14"/>
  <c r="K54" i="14"/>
  <c r="L54" i="14"/>
  <c r="M54" i="14"/>
  <c r="N54" i="14"/>
  <c r="O54" i="14"/>
  <c r="P54" i="14"/>
  <c r="Q54" i="14"/>
  <c r="R54" i="14"/>
  <c r="S54" i="14"/>
  <c r="T54" i="14"/>
  <c r="U54" i="14"/>
  <c r="V54" i="14"/>
  <c r="W54" i="14"/>
  <c r="X54" i="14"/>
  <c r="Y54" i="14"/>
  <c r="Z54" i="14"/>
  <c r="AA54" i="14"/>
  <c r="D55" i="14"/>
  <c r="E55" i="14"/>
  <c r="F55" i="14"/>
  <c r="G55" i="14"/>
  <c r="H55" i="14"/>
  <c r="I55" i="14"/>
  <c r="J55" i="14"/>
  <c r="K55" i="14"/>
  <c r="L55" i="14"/>
  <c r="M55" i="14"/>
  <c r="N55" i="14"/>
  <c r="O55" i="14"/>
  <c r="P55" i="14"/>
  <c r="Q55" i="14"/>
  <c r="R55" i="14"/>
  <c r="S55" i="14"/>
  <c r="T55" i="14"/>
  <c r="U55" i="14"/>
  <c r="V55" i="14"/>
  <c r="W55" i="14"/>
  <c r="X55" i="14"/>
  <c r="Y55" i="14"/>
  <c r="Z55" i="14"/>
  <c r="AA55" i="14"/>
  <c r="D56" i="14"/>
  <c r="E56" i="14"/>
  <c r="F56" i="14"/>
  <c r="G56" i="14"/>
  <c r="H56" i="14"/>
  <c r="H58" i="14" s="1"/>
  <c r="I56" i="14"/>
  <c r="J56" i="14"/>
  <c r="D57" i="14"/>
  <c r="D63" i="14" s="1"/>
  <c r="E57" i="14"/>
  <c r="F57" i="14"/>
  <c r="F63" i="14" s="1"/>
  <c r="G57" i="14"/>
  <c r="H57" i="14"/>
  <c r="I57" i="14"/>
  <c r="I63" i="14" s="1"/>
  <c r="J57" i="14"/>
  <c r="J63" i="14" s="1"/>
  <c r="K57" i="14"/>
  <c r="K63" i="14" s="1"/>
  <c r="L57" i="14"/>
  <c r="M214" i="14" s="1"/>
  <c r="M57" i="14"/>
  <c r="M63" i="14" s="1"/>
  <c r="N57" i="14"/>
  <c r="N63" i="14" s="1"/>
  <c r="O57" i="14"/>
  <c r="O63" i="14" s="1"/>
  <c r="P57" i="14"/>
  <c r="P63" i="14" s="1"/>
  <c r="Q57" i="14"/>
  <c r="R57" i="14"/>
  <c r="R63" i="14" s="1"/>
  <c r="S57" i="14"/>
  <c r="S63" i="14" s="1"/>
  <c r="T57" i="14"/>
  <c r="T63" i="14" s="1"/>
  <c r="U57" i="14"/>
  <c r="U63" i="14" s="1"/>
  <c r="V57" i="14"/>
  <c r="W57" i="14"/>
  <c r="X57" i="14"/>
  <c r="X63" i="14" s="1"/>
  <c r="Y57" i="14"/>
  <c r="Y63" i="14" s="1"/>
  <c r="Z57" i="14"/>
  <c r="Z63" i="14" s="1"/>
  <c r="AA57" i="14"/>
  <c r="AA63" i="14" s="1"/>
  <c r="C63" i="14"/>
  <c r="H63" i="14"/>
  <c r="V63" i="14"/>
  <c r="W63" i="14"/>
  <c r="L67" i="14"/>
  <c r="M67" i="14"/>
  <c r="Q68" i="14" s="1"/>
  <c r="N67" i="14"/>
  <c r="N99" i="14" s="1"/>
  <c r="O67" i="14"/>
  <c r="P67" i="14"/>
  <c r="Q67" i="14"/>
  <c r="R67" i="14"/>
  <c r="S67" i="14"/>
  <c r="T67" i="14"/>
  <c r="X99" i="14" s="1"/>
  <c r="U67" i="14"/>
  <c r="U99" i="14" s="1"/>
  <c r="V67" i="14"/>
  <c r="W67" i="14"/>
  <c r="L68" i="14"/>
  <c r="M68" i="14"/>
  <c r="N68" i="14"/>
  <c r="O68" i="14"/>
  <c r="L70" i="14"/>
  <c r="L71" i="14"/>
  <c r="M71" i="14"/>
  <c r="N71" i="14"/>
  <c r="O71" i="14"/>
  <c r="P71" i="14"/>
  <c r="Q71" i="14"/>
  <c r="R71" i="14"/>
  <c r="S71" i="14"/>
  <c r="T71" i="14"/>
  <c r="U71" i="14"/>
  <c r="V71" i="14"/>
  <c r="W71" i="14"/>
  <c r="L72" i="14"/>
  <c r="M72" i="14"/>
  <c r="N72" i="14"/>
  <c r="O72" i="14"/>
  <c r="L74" i="14"/>
  <c r="M74" i="14"/>
  <c r="N74" i="14"/>
  <c r="O74" i="14"/>
  <c r="P74" i="14"/>
  <c r="Q74" i="14"/>
  <c r="R74" i="14"/>
  <c r="S74" i="14"/>
  <c r="T74" i="14"/>
  <c r="U74" i="14"/>
  <c r="V74" i="14"/>
  <c r="W74" i="14"/>
  <c r="L75" i="14"/>
  <c r="M75" i="14"/>
  <c r="N75" i="14"/>
  <c r="O75" i="14"/>
  <c r="L77" i="14"/>
  <c r="L78" i="14"/>
  <c r="M78" i="14"/>
  <c r="N78" i="14"/>
  <c r="N76" i="14" s="1"/>
  <c r="N77" i="14" s="1"/>
  <c r="O78" i="14"/>
  <c r="P78" i="14"/>
  <c r="Q78" i="14"/>
  <c r="R78" i="14"/>
  <c r="S78" i="14"/>
  <c r="T78" i="14"/>
  <c r="U78" i="14"/>
  <c r="V78" i="14"/>
  <c r="W78" i="14"/>
  <c r="L79" i="14"/>
  <c r="M79" i="14"/>
  <c r="N79" i="14"/>
  <c r="O79" i="14"/>
  <c r="L81" i="14"/>
  <c r="P82" i="14" s="1"/>
  <c r="M81" i="14"/>
  <c r="N81" i="14"/>
  <c r="O81" i="14"/>
  <c r="P81" i="14"/>
  <c r="Q81" i="14"/>
  <c r="R81" i="14"/>
  <c r="S81" i="14"/>
  <c r="T81" i="14"/>
  <c r="T82" i="14" s="1"/>
  <c r="U81" i="14"/>
  <c r="U82" i="14" s="1"/>
  <c r="V81" i="14"/>
  <c r="V82" i="14" s="1"/>
  <c r="W81" i="14"/>
  <c r="L82" i="14"/>
  <c r="M82" i="14"/>
  <c r="N82" i="14"/>
  <c r="O82" i="14"/>
  <c r="L84" i="14"/>
  <c r="L85" i="14"/>
  <c r="M85" i="14"/>
  <c r="N85" i="14"/>
  <c r="O85" i="14"/>
  <c r="P85" i="14"/>
  <c r="Q85" i="14"/>
  <c r="R85" i="14"/>
  <c r="S85" i="14"/>
  <c r="T85" i="14"/>
  <c r="U85" i="14"/>
  <c r="V85" i="14"/>
  <c r="W85" i="14"/>
  <c r="L86" i="14"/>
  <c r="M86" i="14"/>
  <c r="N86" i="14"/>
  <c r="O86" i="14"/>
  <c r="L88" i="14"/>
  <c r="M88" i="14"/>
  <c r="N88" i="14"/>
  <c r="O88" i="14"/>
  <c r="P88" i="14"/>
  <c r="Q88" i="14"/>
  <c r="R88" i="14"/>
  <c r="S88" i="14"/>
  <c r="T88" i="14"/>
  <c r="U88" i="14"/>
  <c r="V88" i="14"/>
  <c r="W88" i="14"/>
  <c r="L89" i="14"/>
  <c r="M89" i="14"/>
  <c r="N89" i="14"/>
  <c r="O89" i="14"/>
  <c r="L91" i="14"/>
  <c r="L92" i="14"/>
  <c r="M92" i="14"/>
  <c r="N92" i="14"/>
  <c r="O92" i="14"/>
  <c r="P92" i="14"/>
  <c r="Q92" i="14"/>
  <c r="R92" i="14"/>
  <c r="S92" i="14"/>
  <c r="T92" i="14"/>
  <c r="T90" i="14" s="1"/>
  <c r="U92" i="14"/>
  <c r="U90" i="14" s="1"/>
  <c r="V92" i="14"/>
  <c r="W92" i="14"/>
  <c r="L93" i="14"/>
  <c r="M93" i="14"/>
  <c r="N93" i="14"/>
  <c r="O93" i="14"/>
  <c r="M99" i="14"/>
  <c r="Z99" i="14"/>
  <c r="X106" i="14"/>
  <c r="Y106" i="14"/>
  <c r="Z106" i="14"/>
  <c r="AA106" i="14"/>
  <c r="D116" i="14"/>
  <c r="E116" i="14"/>
  <c r="F116" i="14"/>
  <c r="G116" i="14"/>
  <c r="H116" i="14"/>
  <c r="I116" i="14"/>
  <c r="J116" i="14"/>
  <c r="K116" i="14"/>
  <c r="L116" i="14"/>
  <c r="M116" i="14"/>
  <c r="N116" i="14"/>
  <c r="O116" i="14"/>
  <c r="P116" i="14"/>
  <c r="Q116" i="14"/>
  <c r="R116" i="14"/>
  <c r="R117" i="14" s="1"/>
  <c r="S116" i="14"/>
  <c r="T116" i="14"/>
  <c r="U116" i="14"/>
  <c r="Y116" i="14" s="1"/>
  <c r="V116" i="14"/>
  <c r="Z116" i="14" s="1"/>
  <c r="W116" i="14"/>
  <c r="AA116" i="14" s="1"/>
  <c r="D119" i="14"/>
  <c r="E119" i="14"/>
  <c r="F119" i="14"/>
  <c r="G119" i="14"/>
  <c r="H119" i="14"/>
  <c r="I119" i="14"/>
  <c r="I120" i="14" s="1"/>
  <c r="J119" i="14"/>
  <c r="J120" i="14" s="1"/>
  <c r="K119" i="14"/>
  <c r="L119" i="14"/>
  <c r="M119" i="14"/>
  <c r="N119" i="14"/>
  <c r="O119" i="14"/>
  <c r="O120" i="14" s="1"/>
  <c r="P119" i="14"/>
  <c r="Q119" i="14"/>
  <c r="R119" i="14"/>
  <c r="R120" i="14" s="1"/>
  <c r="S119" i="14"/>
  <c r="T119" i="14"/>
  <c r="X119" i="14" s="1"/>
  <c r="U119" i="14"/>
  <c r="U120" i="14" s="1"/>
  <c r="V119" i="14"/>
  <c r="V120" i="14" s="1"/>
  <c r="W119" i="14"/>
  <c r="AA119" i="14"/>
  <c r="D122" i="14"/>
  <c r="E122" i="14"/>
  <c r="E141" i="14" s="1"/>
  <c r="F122" i="14"/>
  <c r="G122" i="14"/>
  <c r="H122" i="14"/>
  <c r="I122" i="14"/>
  <c r="J122" i="14"/>
  <c r="K122" i="14"/>
  <c r="L122" i="14"/>
  <c r="P123" i="14" s="1"/>
  <c r="M122" i="14"/>
  <c r="N122" i="14"/>
  <c r="N123" i="14" s="1"/>
  <c r="O122" i="14"/>
  <c r="P122" i="14"/>
  <c r="Q122" i="14"/>
  <c r="Q141" i="14" s="1"/>
  <c r="R122" i="14"/>
  <c r="R141" i="14" s="1"/>
  <c r="S122" i="14"/>
  <c r="T122" i="14"/>
  <c r="T123" i="14" s="1"/>
  <c r="U122" i="14"/>
  <c r="V122" i="14"/>
  <c r="Z122" i="14" s="1"/>
  <c r="W122" i="14"/>
  <c r="H123" i="14"/>
  <c r="D125" i="14"/>
  <c r="E125" i="14"/>
  <c r="F125" i="14"/>
  <c r="G125" i="14"/>
  <c r="H125" i="14"/>
  <c r="I125" i="14"/>
  <c r="I126" i="14" s="1"/>
  <c r="J125" i="14"/>
  <c r="K125" i="14"/>
  <c r="L125" i="14"/>
  <c r="M125" i="14"/>
  <c r="N125" i="14"/>
  <c r="O125" i="14"/>
  <c r="P125" i="14"/>
  <c r="Q125" i="14"/>
  <c r="R125" i="14"/>
  <c r="S125" i="14"/>
  <c r="T125" i="14"/>
  <c r="U125" i="14"/>
  <c r="Y125" i="14" s="1"/>
  <c r="V125" i="14"/>
  <c r="Z125" i="14" s="1"/>
  <c r="W125" i="14"/>
  <c r="AA125" i="14" s="1"/>
  <c r="D131" i="14"/>
  <c r="E131" i="14"/>
  <c r="F131" i="14"/>
  <c r="G131" i="14"/>
  <c r="H131" i="14"/>
  <c r="I131" i="14"/>
  <c r="J131" i="14"/>
  <c r="N132" i="14" s="1"/>
  <c r="K131" i="14"/>
  <c r="L131" i="14"/>
  <c r="M131" i="14"/>
  <c r="N131" i="14"/>
  <c r="O131" i="14"/>
  <c r="O132" i="14" s="1"/>
  <c r="P131" i="14"/>
  <c r="Q131" i="14"/>
  <c r="R131" i="14"/>
  <c r="S131" i="14"/>
  <c r="W132" i="14" s="1"/>
  <c r="T131" i="14"/>
  <c r="U131" i="14"/>
  <c r="V131" i="14"/>
  <c r="W131" i="14"/>
  <c r="X131" i="14"/>
  <c r="Y131" i="14"/>
  <c r="Z131" i="14"/>
  <c r="AA131" i="14"/>
  <c r="AA132" i="14" s="1"/>
  <c r="N133" i="14"/>
  <c r="O133" i="14"/>
  <c r="D135" i="14"/>
  <c r="E135" i="14"/>
  <c r="E137" i="14" s="1"/>
  <c r="F135" i="14"/>
  <c r="G135" i="14"/>
  <c r="H135" i="14"/>
  <c r="L136" i="14" s="1"/>
  <c r="I135" i="14"/>
  <c r="J135" i="14"/>
  <c r="K135" i="14"/>
  <c r="L135" i="14"/>
  <c r="L137" i="14" s="1"/>
  <c r="M135" i="14"/>
  <c r="N135" i="14"/>
  <c r="R136" i="14" s="1"/>
  <c r="O135" i="14"/>
  <c r="S136" i="14" s="1"/>
  <c r="P135" i="14"/>
  <c r="Q135" i="14"/>
  <c r="Q137" i="14" s="1"/>
  <c r="R135" i="14"/>
  <c r="R137" i="14" s="1"/>
  <c r="S135" i="14"/>
  <c r="T135" i="14"/>
  <c r="X136" i="14" s="1"/>
  <c r="U135" i="14"/>
  <c r="V135" i="14"/>
  <c r="W135" i="14"/>
  <c r="X135" i="14"/>
  <c r="Y135" i="14"/>
  <c r="Z135" i="14"/>
  <c r="AA135" i="14"/>
  <c r="F137" i="14"/>
  <c r="D139" i="14"/>
  <c r="D141" i="14" s="1"/>
  <c r="E139" i="14"/>
  <c r="F139" i="14"/>
  <c r="G139" i="14"/>
  <c r="H139" i="14"/>
  <c r="I139" i="14"/>
  <c r="I140" i="14" s="1"/>
  <c r="J139" i="14"/>
  <c r="K139" i="14"/>
  <c r="L139" i="14"/>
  <c r="M139" i="14"/>
  <c r="N139" i="14"/>
  <c r="R140" i="14" s="1"/>
  <c r="O139" i="14"/>
  <c r="P139" i="14"/>
  <c r="P141" i="14" s="1"/>
  <c r="Q139" i="14"/>
  <c r="R139" i="14"/>
  <c r="S139" i="14"/>
  <c r="T139" i="14"/>
  <c r="U139" i="14"/>
  <c r="U140" i="14" s="1"/>
  <c r="V139" i="14"/>
  <c r="W139" i="14"/>
  <c r="W140" i="14" s="1"/>
  <c r="X139" i="14"/>
  <c r="Y139" i="14"/>
  <c r="Z139" i="14"/>
  <c r="AA139" i="14"/>
  <c r="Q140" i="14"/>
  <c r="S141" i="14"/>
  <c r="D143" i="14"/>
  <c r="E143" i="14"/>
  <c r="E145" i="14" s="1"/>
  <c r="F143" i="14"/>
  <c r="G143" i="14"/>
  <c r="H143" i="14"/>
  <c r="H144" i="14" s="1"/>
  <c r="I143" i="14"/>
  <c r="J143" i="14"/>
  <c r="K143" i="14"/>
  <c r="L143" i="14"/>
  <c r="M143" i="14"/>
  <c r="N143" i="14"/>
  <c r="O143" i="14"/>
  <c r="O144" i="14" s="1"/>
  <c r="P143" i="14"/>
  <c r="Q143" i="14"/>
  <c r="R143" i="14"/>
  <c r="S143" i="14"/>
  <c r="T143" i="14"/>
  <c r="T144" i="14" s="1"/>
  <c r="U143" i="14"/>
  <c r="V143" i="14"/>
  <c r="W143" i="14"/>
  <c r="X143" i="14"/>
  <c r="Y143" i="14"/>
  <c r="Z143" i="14"/>
  <c r="AA143" i="14"/>
  <c r="AA144" i="14" s="1"/>
  <c r="K145" i="14"/>
  <c r="L162" i="14"/>
  <c r="M162" i="14"/>
  <c r="N162" i="14"/>
  <c r="L163" i="14"/>
  <c r="M163" i="14"/>
  <c r="N163" i="14"/>
  <c r="C173" i="14"/>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P192" i="14"/>
  <c r="AQ192" i="14"/>
  <c r="AR192" i="14"/>
  <c r="AS192" i="14"/>
  <c r="AT192" i="14"/>
  <c r="AU192" i="14"/>
  <c r="AV192" i="14"/>
  <c r="AW192" i="14"/>
  <c r="D193" i="14"/>
  <c r="E193" i="14"/>
  <c r="F193" i="14"/>
  <c r="G193" i="14"/>
  <c r="H193" i="14"/>
  <c r="I193" i="14"/>
  <c r="J193" i="14"/>
  <c r="K193" i="14"/>
  <c r="L193" i="14"/>
  <c r="M193" i="14"/>
  <c r="N193" i="14"/>
  <c r="O193" i="14"/>
  <c r="P193" i="14"/>
  <c r="Q193" i="14"/>
  <c r="R193" i="14"/>
  <c r="S193" i="14"/>
  <c r="T193" i="14"/>
  <c r="AP193" i="14" s="1"/>
  <c r="U193" i="14"/>
  <c r="V193" i="14"/>
  <c r="W193" i="14"/>
  <c r="X193" i="14"/>
  <c r="AT193" i="14" s="1"/>
  <c r="Y193" i="14"/>
  <c r="AU193" i="14" s="1"/>
  <c r="Z193" i="14"/>
  <c r="AV193" i="14" s="1"/>
  <c r="AA193" i="14"/>
  <c r="AW193" i="14" s="1"/>
  <c r="AO193" i="14"/>
  <c r="AR193" i="14"/>
  <c r="AS193" i="14"/>
  <c r="D194" i="14"/>
  <c r="E194" i="14"/>
  <c r="F194" i="14"/>
  <c r="G194" i="14"/>
  <c r="H194" i="14"/>
  <c r="I194" i="14"/>
  <c r="J194" i="14"/>
  <c r="K194" i="14"/>
  <c r="L194" i="14"/>
  <c r="M194" i="14"/>
  <c r="N194" i="14"/>
  <c r="O194" i="14"/>
  <c r="P194" i="14"/>
  <c r="Q194" i="14"/>
  <c r="R194" i="14"/>
  <c r="S194" i="14"/>
  <c r="T194" i="14"/>
  <c r="AP194" i="14" s="1"/>
  <c r="U194" i="14"/>
  <c r="AQ194" i="14" s="1"/>
  <c r="V194" i="14"/>
  <c r="AR194" i="14" s="1"/>
  <c r="W194" i="14"/>
  <c r="AS194" i="14" s="1"/>
  <c r="X194" i="14"/>
  <c r="Y194" i="14"/>
  <c r="AU194" i="14" s="1"/>
  <c r="Z194" i="14"/>
  <c r="AV194" i="14" s="1"/>
  <c r="AA194" i="14"/>
  <c r="AW194" i="14" s="1"/>
  <c r="AO194" i="14"/>
  <c r="D195" i="14"/>
  <c r="E195" i="14"/>
  <c r="F195" i="14"/>
  <c r="G195" i="14"/>
  <c r="H195" i="14"/>
  <c r="I195" i="14"/>
  <c r="J195" i="14"/>
  <c r="K195" i="14"/>
  <c r="L195" i="14"/>
  <c r="M195" i="14"/>
  <c r="N195" i="14"/>
  <c r="O195" i="14"/>
  <c r="P195" i="14"/>
  <c r="Q195" i="14"/>
  <c r="R195" i="14"/>
  <c r="S195" i="14"/>
  <c r="T195" i="14"/>
  <c r="AP195" i="14" s="1"/>
  <c r="U195" i="14"/>
  <c r="AQ195" i="14" s="1"/>
  <c r="V195" i="14"/>
  <c r="AR195" i="14" s="1"/>
  <c r="W195" i="14"/>
  <c r="AS195" i="14" s="1"/>
  <c r="X195" i="14"/>
  <c r="AT195" i="14" s="1"/>
  <c r="Y195" i="14"/>
  <c r="AU195" i="14" s="1"/>
  <c r="Z195" i="14"/>
  <c r="AV195" i="14" s="1"/>
  <c r="AA195" i="14"/>
  <c r="AW195" i="14" s="1"/>
  <c r="AO195" i="14"/>
  <c r="D196" i="14"/>
  <c r="E196" i="14"/>
  <c r="F196" i="14"/>
  <c r="G196" i="14"/>
  <c r="H196" i="14"/>
  <c r="I196" i="14"/>
  <c r="J196" i="14"/>
  <c r="K196" i="14"/>
  <c r="L196" i="14"/>
  <c r="M196" i="14"/>
  <c r="N196" i="14"/>
  <c r="O196" i="14"/>
  <c r="P196" i="14"/>
  <c r="Q196" i="14"/>
  <c r="R196" i="14"/>
  <c r="S196" i="14"/>
  <c r="T196" i="14"/>
  <c r="AP196" i="14" s="1"/>
  <c r="U196" i="14"/>
  <c r="AQ196" i="14" s="1"/>
  <c r="V196" i="14"/>
  <c r="AR196" i="14" s="1"/>
  <c r="W196" i="14"/>
  <c r="AS196" i="14" s="1"/>
  <c r="X196" i="14"/>
  <c r="AT196" i="14" s="1"/>
  <c r="Y196" i="14"/>
  <c r="AU196" i="14" s="1"/>
  <c r="Z196" i="14"/>
  <c r="AV196" i="14" s="1"/>
  <c r="AA196" i="14"/>
  <c r="AW196" i="14" s="1"/>
  <c r="AO196" i="14"/>
  <c r="D197" i="14"/>
  <c r="E197" i="14"/>
  <c r="F197" i="14"/>
  <c r="G197" i="14"/>
  <c r="H197" i="14"/>
  <c r="I197" i="14"/>
  <c r="J197" i="14"/>
  <c r="K197" i="14"/>
  <c r="L197" i="14"/>
  <c r="M197" i="14"/>
  <c r="N197" i="14"/>
  <c r="O197" i="14"/>
  <c r="P197" i="14"/>
  <c r="Q197" i="14"/>
  <c r="R197" i="14"/>
  <c r="S197" i="14"/>
  <c r="T197" i="14"/>
  <c r="AP197" i="14" s="1"/>
  <c r="U197" i="14"/>
  <c r="V197" i="14"/>
  <c r="W197" i="14"/>
  <c r="AS197" i="14" s="1"/>
  <c r="X197" i="14"/>
  <c r="AT197" i="14" s="1"/>
  <c r="Y197" i="14"/>
  <c r="AU197" i="14" s="1"/>
  <c r="Z197" i="14"/>
  <c r="AA197" i="14"/>
  <c r="AW197" i="14" s="1"/>
  <c r="AO197" i="14"/>
  <c r="AP199" i="14"/>
  <c r="AQ199" i="14"/>
  <c r="AR199" i="14"/>
  <c r="AS199" i="14"/>
  <c r="AT199" i="14"/>
  <c r="AU199" i="14"/>
  <c r="AV199" i="14"/>
  <c r="AW199" i="14"/>
  <c r="D200" i="14"/>
  <c r="E200" i="14"/>
  <c r="F200" i="14"/>
  <c r="G200" i="14"/>
  <c r="H200" i="14"/>
  <c r="I200" i="14"/>
  <c r="J200" i="14"/>
  <c r="K200" i="14"/>
  <c r="L200" i="14"/>
  <c r="M200" i="14"/>
  <c r="N200" i="14"/>
  <c r="O200" i="14"/>
  <c r="P200" i="14"/>
  <c r="Q200" i="14"/>
  <c r="R200" i="14"/>
  <c r="S200" i="14"/>
  <c r="T200" i="14"/>
  <c r="AP200" i="14" s="1"/>
  <c r="U200" i="14"/>
  <c r="AQ200" i="14" s="1"/>
  <c r="V200" i="14"/>
  <c r="AR200" i="14" s="1"/>
  <c r="W200" i="14"/>
  <c r="AS200" i="14" s="1"/>
  <c r="X200" i="14"/>
  <c r="AT200" i="14" s="1"/>
  <c r="Y200" i="14"/>
  <c r="Z200" i="14"/>
  <c r="AA200" i="14"/>
  <c r="AW200" i="14" s="1"/>
  <c r="AO200" i="14"/>
  <c r="AU200" i="14"/>
  <c r="D201" i="14"/>
  <c r="E201" i="14"/>
  <c r="F201" i="14"/>
  <c r="G201" i="14"/>
  <c r="H201" i="14"/>
  <c r="I201" i="14"/>
  <c r="J201" i="14"/>
  <c r="K201" i="14"/>
  <c r="L201" i="14"/>
  <c r="M201" i="14"/>
  <c r="N201" i="14"/>
  <c r="O201" i="14"/>
  <c r="P201" i="14"/>
  <c r="Q201" i="14"/>
  <c r="R201" i="14"/>
  <c r="S201" i="14"/>
  <c r="T201" i="14"/>
  <c r="AP201" i="14" s="1"/>
  <c r="U201" i="14"/>
  <c r="V201" i="14"/>
  <c r="AR201" i="14" s="1"/>
  <c r="W201" i="14"/>
  <c r="AS201" i="14" s="1"/>
  <c r="X201" i="14"/>
  <c r="AT201" i="14" s="1"/>
  <c r="Y201" i="14"/>
  <c r="AU201" i="14" s="1"/>
  <c r="Z201" i="14"/>
  <c r="AV201" i="14" s="1"/>
  <c r="AA201" i="14"/>
  <c r="AW201" i="14" s="1"/>
  <c r="AO201" i="14"/>
  <c r="D202" i="14"/>
  <c r="E202" i="14"/>
  <c r="F202" i="14"/>
  <c r="G202" i="14"/>
  <c r="H202" i="14"/>
  <c r="I202" i="14"/>
  <c r="J202" i="14"/>
  <c r="K202" i="14"/>
  <c r="L202" i="14"/>
  <c r="M202" i="14"/>
  <c r="N202" i="14"/>
  <c r="O202" i="14"/>
  <c r="P202" i="14"/>
  <c r="Q202" i="14"/>
  <c r="R202" i="14"/>
  <c r="S202" i="14"/>
  <c r="T202" i="14"/>
  <c r="AP202" i="14" s="1"/>
  <c r="U202" i="14"/>
  <c r="AQ202" i="14" s="1"/>
  <c r="V202" i="14"/>
  <c r="W202" i="14"/>
  <c r="AS202" i="14" s="1"/>
  <c r="X202" i="14"/>
  <c r="Y202" i="14"/>
  <c r="AU202" i="14" s="1"/>
  <c r="Z202" i="14"/>
  <c r="AV202" i="14" s="1"/>
  <c r="AA202" i="14"/>
  <c r="AO202" i="14"/>
  <c r="AW202" i="14"/>
  <c r="D203" i="14"/>
  <c r="E203" i="14"/>
  <c r="F203" i="14"/>
  <c r="G203" i="14"/>
  <c r="H203" i="14"/>
  <c r="I203" i="14"/>
  <c r="J203" i="14"/>
  <c r="K203" i="14"/>
  <c r="L203" i="14"/>
  <c r="M203" i="14"/>
  <c r="N203" i="14"/>
  <c r="O203" i="14"/>
  <c r="P203" i="14"/>
  <c r="Q203" i="14"/>
  <c r="R203" i="14"/>
  <c r="S203" i="14"/>
  <c r="T203" i="14"/>
  <c r="AP203" i="14" s="1"/>
  <c r="U203" i="14"/>
  <c r="AQ203" i="14" s="1"/>
  <c r="V203" i="14"/>
  <c r="W203" i="14"/>
  <c r="X203" i="14"/>
  <c r="AT203" i="14" s="1"/>
  <c r="Y203" i="14"/>
  <c r="Z203" i="14"/>
  <c r="AV203" i="14" s="1"/>
  <c r="AA203" i="14"/>
  <c r="AA210" i="14" s="1"/>
  <c r="AO203" i="14"/>
  <c r="AS203" i="14"/>
  <c r="D204" i="14"/>
  <c r="E204" i="14"/>
  <c r="F204" i="14"/>
  <c r="G204" i="14"/>
  <c r="H204" i="14"/>
  <c r="I204" i="14"/>
  <c r="J204" i="14"/>
  <c r="K204" i="14"/>
  <c r="L204" i="14"/>
  <c r="M204" i="14"/>
  <c r="N204" i="14"/>
  <c r="O204" i="14"/>
  <c r="P204" i="14"/>
  <c r="Q204" i="14"/>
  <c r="R204" i="14"/>
  <c r="S204" i="14"/>
  <c r="T204" i="14"/>
  <c r="AP204" i="14" s="1"/>
  <c r="U204" i="14"/>
  <c r="AQ204" i="14" s="1"/>
  <c r="V204" i="14"/>
  <c r="AR204" i="14" s="1"/>
  <c r="W204" i="14"/>
  <c r="AS204" i="14" s="1"/>
  <c r="X204" i="14"/>
  <c r="Y204" i="14"/>
  <c r="Z204" i="14"/>
  <c r="AV204" i="14" s="1"/>
  <c r="AA204" i="14"/>
  <c r="AW204" i="14" s="1"/>
  <c r="AO204" i="14"/>
  <c r="C207" i="14"/>
  <c r="C208" i="14"/>
  <c r="C209" i="14"/>
  <c r="C210" i="14"/>
  <c r="W210" i="14"/>
  <c r="C211" i="14"/>
  <c r="K214" i="14"/>
  <c r="L214" i="14"/>
  <c r="W214" i="14"/>
  <c r="Z214" i="14"/>
  <c r="AA214" i="14"/>
  <c r="AA215" i="14" s="1"/>
  <c r="D221" i="14"/>
  <c r="E221" i="14"/>
  <c r="F221" i="14"/>
  <c r="G221" i="14"/>
  <c r="H221" i="14"/>
  <c r="I221" i="14"/>
  <c r="J221" i="14"/>
  <c r="K221" i="14"/>
  <c r="L221" i="14"/>
  <c r="M221" i="14"/>
  <c r="N221" i="14"/>
  <c r="O221" i="14"/>
  <c r="P221" i="14"/>
  <c r="Q221" i="14"/>
  <c r="R221" i="14"/>
  <c r="S221" i="14"/>
  <c r="L224" i="14"/>
  <c r="M224" i="14"/>
  <c r="N224" i="14"/>
  <c r="O224" i="14"/>
  <c r="P224" i="14"/>
  <c r="Q224" i="14"/>
  <c r="R224" i="14"/>
  <c r="S224" i="14"/>
  <c r="T224" i="14"/>
  <c r="U224" i="14"/>
  <c r="V224" i="14"/>
  <c r="W224" i="14"/>
  <c r="X224" i="14"/>
  <c r="Y224" i="14"/>
  <c r="Z224" i="14"/>
  <c r="AA224" i="14"/>
  <c r="L225" i="14"/>
  <c r="M225" i="14"/>
  <c r="N225" i="14"/>
  <c r="O225" i="14"/>
  <c r="P225" i="14"/>
  <c r="Q225" i="14"/>
  <c r="R225" i="14"/>
  <c r="S225" i="14"/>
  <c r="T225" i="14"/>
  <c r="U225" i="14"/>
  <c r="V225" i="14"/>
  <c r="W225" i="14"/>
  <c r="X225" i="14"/>
  <c r="Y225" i="14"/>
  <c r="Z225" i="14"/>
  <c r="AA225" i="14"/>
  <c r="L226" i="14"/>
  <c r="M226" i="14"/>
  <c r="N226" i="14"/>
  <c r="O226" i="14"/>
  <c r="P226" i="14"/>
  <c r="Q226" i="14"/>
  <c r="R226" i="14"/>
  <c r="S226" i="14"/>
  <c r="T226" i="14"/>
  <c r="U226" i="14"/>
  <c r="V226" i="14"/>
  <c r="W226" i="14"/>
  <c r="X226" i="14"/>
  <c r="Y226" i="14"/>
  <c r="Z226" i="14"/>
  <c r="AA226" i="14"/>
  <c r="L227" i="14"/>
  <c r="M227" i="14"/>
  <c r="N227" i="14"/>
  <c r="O227" i="14"/>
  <c r="P227" i="14"/>
  <c r="Q227" i="14"/>
  <c r="R227" i="14"/>
  <c r="S227" i="14"/>
  <c r="T227" i="14"/>
  <c r="U227" i="14"/>
  <c r="V227" i="14"/>
  <c r="W227" i="14"/>
  <c r="X227" i="14"/>
  <c r="Y227" i="14"/>
  <c r="Z227" i="14"/>
  <c r="AA227" i="14"/>
  <c r="D237" i="14"/>
  <c r="E237" i="14"/>
  <c r="F237" i="14"/>
  <c r="G237" i="14"/>
  <c r="H237" i="14"/>
  <c r="I237" i="14"/>
  <c r="J237" i="14"/>
  <c r="K237" i="14"/>
  <c r="L237" i="14"/>
  <c r="M237" i="14"/>
  <c r="M251" i="14" s="1"/>
  <c r="N237" i="14"/>
  <c r="O237" i="14"/>
  <c r="O244" i="14" s="1"/>
  <c r="P237" i="14"/>
  <c r="Q237" i="14"/>
  <c r="R237" i="14"/>
  <c r="R244" i="14" s="1"/>
  <c r="S237" i="14"/>
  <c r="T237" i="14"/>
  <c r="U237" i="14"/>
  <c r="V237" i="14"/>
  <c r="W237" i="14"/>
  <c r="X237" i="14"/>
  <c r="Y237" i="14"/>
  <c r="Y241" i="14" s="1"/>
  <c r="Y255" i="14" s="1"/>
  <c r="Y262" i="14" s="1"/>
  <c r="Z237" i="14"/>
  <c r="AA237" i="14"/>
  <c r="D238" i="14"/>
  <c r="E238" i="14"/>
  <c r="F238" i="14"/>
  <c r="G238" i="14"/>
  <c r="H238" i="14"/>
  <c r="I238" i="14"/>
  <c r="J238" i="14"/>
  <c r="N252" i="14" s="1"/>
  <c r="K238" i="14"/>
  <c r="L238" i="14"/>
  <c r="M238" i="14"/>
  <c r="M252" i="14" s="1"/>
  <c r="N238" i="14"/>
  <c r="O238" i="14"/>
  <c r="P238" i="14"/>
  <c r="Q238" i="14"/>
  <c r="R238" i="14"/>
  <c r="R252" i="14" s="1"/>
  <c r="S238" i="14"/>
  <c r="W252" i="14" s="1"/>
  <c r="T238" i="14"/>
  <c r="U238" i="14"/>
  <c r="V238" i="14"/>
  <c r="Z252" i="14" s="1"/>
  <c r="W238" i="14"/>
  <c r="X238" i="14"/>
  <c r="Y238" i="14"/>
  <c r="Y252" i="14" s="1"/>
  <c r="Z238" i="14"/>
  <c r="AA238" i="14"/>
  <c r="D239" i="14"/>
  <c r="E239" i="14"/>
  <c r="F239" i="14"/>
  <c r="G239" i="14"/>
  <c r="H239" i="14"/>
  <c r="I239" i="14"/>
  <c r="J239" i="14"/>
  <c r="K239" i="14"/>
  <c r="L239" i="14"/>
  <c r="M239" i="14"/>
  <c r="N239" i="14"/>
  <c r="O239" i="14"/>
  <c r="P239" i="14"/>
  <c r="Q239" i="14"/>
  <c r="R239" i="14"/>
  <c r="R253" i="14" s="1"/>
  <c r="S239" i="14"/>
  <c r="T239" i="14"/>
  <c r="U239" i="14"/>
  <c r="V239" i="14"/>
  <c r="W239" i="14"/>
  <c r="X239" i="14"/>
  <c r="Y239" i="14"/>
  <c r="Y246" i="14" s="1"/>
  <c r="Z239" i="14"/>
  <c r="AA239" i="14"/>
  <c r="D240" i="14"/>
  <c r="E240" i="14"/>
  <c r="I247" i="14" s="1"/>
  <c r="F240" i="14"/>
  <c r="J254" i="14" s="1"/>
  <c r="G240" i="14"/>
  <c r="H240" i="14"/>
  <c r="I240" i="14"/>
  <c r="J240" i="14"/>
  <c r="N254" i="14" s="1"/>
  <c r="K240" i="14"/>
  <c r="L240" i="14"/>
  <c r="M240" i="14"/>
  <c r="M247" i="14" s="1"/>
  <c r="N240" i="14"/>
  <c r="O240" i="14"/>
  <c r="P240" i="14"/>
  <c r="Q240" i="14"/>
  <c r="R240" i="14"/>
  <c r="R247" i="14" s="1"/>
  <c r="S240" i="14"/>
  <c r="T240" i="14"/>
  <c r="T241" i="14" s="1"/>
  <c r="U240" i="14"/>
  <c r="V240" i="14"/>
  <c r="W240" i="14"/>
  <c r="X240" i="14"/>
  <c r="X241" i="14" s="1"/>
  <c r="Y240" i="14"/>
  <c r="Y254" i="14" s="1"/>
  <c r="Z240" i="14"/>
  <c r="AA240" i="14"/>
  <c r="D241" i="14"/>
  <c r="E241" i="14"/>
  <c r="F241" i="14"/>
  <c r="G241" i="14"/>
  <c r="H241" i="14"/>
  <c r="I241" i="14"/>
  <c r="J241" i="14"/>
  <c r="U241" i="14"/>
  <c r="W241" i="14"/>
  <c r="Z241" i="14"/>
  <c r="D243" i="14"/>
  <c r="E243" i="14"/>
  <c r="F243" i="14"/>
  <c r="G243" i="14"/>
  <c r="H243" i="14"/>
  <c r="I243" i="14"/>
  <c r="J243" i="14"/>
  <c r="K243" i="14"/>
  <c r="L243" i="14"/>
  <c r="M243" i="14"/>
  <c r="N243" i="14"/>
  <c r="O243" i="14"/>
  <c r="P243" i="14"/>
  <c r="Q243" i="14"/>
  <c r="R243" i="14"/>
  <c r="S243" i="14"/>
  <c r="C246" i="14"/>
  <c r="M246" i="14"/>
  <c r="C251" i="14"/>
  <c r="C258" i="14" s="1"/>
  <c r="C266" i="14" s="1"/>
  <c r="C273" i="14" s="1"/>
  <c r="R251" i="14"/>
  <c r="Y251" i="14"/>
  <c r="C252" i="14"/>
  <c r="C245" i="14" s="1"/>
  <c r="C253" i="14"/>
  <c r="M253" i="14"/>
  <c r="Y253" i="14"/>
  <c r="C254" i="14"/>
  <c r="C261" i="14" s="1"/>
  <c r="C269" i="14" s="1"/>
  <c r="C276" i="14" s="1"/>
  <c r="C255" i="14"/>
  <c r="C248" i="14" s="1"/>
  <c r="C260" i="14"/>
  <c r="C268" i="14" s="1"/>
  <c r="C275" i="14" s="1"/>
  <c r="T265" i="14"/>
  <c r="U265" i="14"/>
  <c r="V265" i="14"/>
  <c r="W265" i="14"/>
  <c r="T266" i="14"/>
  <c r="U266" i="14"/>
  <c r="V266" i="14"/>
  <c r="W266" i="14"/>
  <c r="T267" i="14"/>
  <c r="U267" i="14"/>
  <c r="V267" i="14"/>
  <c r="W267" i="14"/>
  <c r="T268" i="14"/>
  <c r="U268" i="14"/>
  <c r="V268" i="14"/>
  <c r="W268" i="14"/>
  <c r="T269" i="14"/>
  <c r="U269" i="14"/>
  <c r="V269" i="14"/>
  <c r="W269" i="14"/>
  <c r="AG4" i="13"/>
  <c r="J7" i="13"/>
  <c r="L7" i="13"/>
  <c r="E11" i="13"/>
  <c r="F11" i="13"/>
  <c r="G11" i="13"/>
  <c r="H11" i="13"/>
  <c r="I11" i="13"/>
  <c r="J11" i="13"/>
  <c r="K12" i="13" s="1"/>
  <c r="L12" i="13"/>
  <c r="M12" i="13"/>
  <c r="N12" i="13"/>
  <c r="O12" i="13"/>
  <c r="P12" i="13"/>
  <c r="Q12" i="13"/>
  <c r="R12" i="13"/>
  <c r="S12" i="13"/>
  <c r="T12" i="13"/>
  <c r="E19" i="13"/>
  <c r="F19" i="13"/>
  <c r="G19" i="13"/>
  <c r="H19" i="13"/>
  <c r="I19" i="13"/>
  <c r="J19" i="13"/>
  <c r="E20" i="13"/>
  <c r="F20" i="13"/>
  <c r="G20" i="13"/>
  <c r="H20" i="13"/>
  <c r="I20" i="13"/>
  <c r="J20" i="13"/>
  <c r="E22" i="13"/>
  <c r="F22" i="13"/>
  <c r="G22" i="13"/>
  <c r="H22" i="13"/>
  <c r="I22" i="13"/>
  <c r="J22" i="13"/>
  <c r="L23" i="13"/>
  <c r="M23" i="13"/>
  <c r="N23" i="13"/>
  <c r="O23" i="13"/>
  <c r="P23" i="13"/>
  <c r="Q23" i="13"/>
  <c r="R23" i="13"/>
  <c r="S23" i="13"/>
  <c r="T23" i="13"/>
  <c r="E24" i="13"/>
  <c r="F24" i="13"/>
  <c r="G24" i="13"/>
  <c r="H24" i="13"/>
  <c r="I24" i="13"/>
  <c r="J24" i="13"/>
  <c r="L25" i="13"/>
  <c r="M25" i="13"/>
  <c r="N25" i="13"/>
  <c r="O25" i="13"/>
  <c r="P25" i="13"/>
  <c r="Q25" i="13"/>
  <c r="R25" i="13"/>
  <c r="S25" i="13"/>
  <c r="T25" i="13"/>
  <c r="K30" i="13"/>
  <c r="K31" i="13" s="1"/>
  <c r="J33" i="13"/>
  <c r="K33" i="13" s="1"/>
  <c r="K38" i="13"/>
  <c r="L38" i="13" s="1"/>
  <c r="M38" i="13" s="1"/>
  <c r="J40" i="13"/>
  <c r="J42" i="13"/>
  <c r="K42" i="13"/>
  <c r="H48" i="13"/>
  <c r="I48" i="13" s="1"/>
  <c r="J48" i="13" s="1"/>
  <c r="K48" i="13" s="1"/>
  <c r="L48" i="13" s="1"/>
  <c r="M48" i="13" s="1"/>
  <c r="K50" i="13"/>
  <c r="L50" i="13" s="1"/>
  <c r="M50" i="13" s="1"/>
  <c r="E59" i="13"/>
  <c r="F59" i="13"/>
  <c r="G59" i="13"/>
  <c r="H59" i="13"/>
  <c r="I59" i="13"/>
  <c r="J59" i="13"/>
  <c r="W59" i="13" s="1"/>
  <c r="R60" i="13"/>
  <c r="S60" i="13"/>
  <c r="T60" i="13"/>
  <c r="D61" i="13"/>
  <c r="E61" i="13"/>
  <c r="F61" i="13"/>
  <c r="G61" i="13"/>
  <c r="H61" i="13"/>
  <c r="I61" i="13"/>
  <c r="J61" i="13"/>
  <c r="X61" i="13" s="1"/>
  <c r="R62" i="13"/>
  <c r="S62" i="13"/>
  <c r="T62" i="13"/>
  <c r="E63" i="13"/>
  <c r="E65" i="13"/>
  <c r="F65" i="13"/>
  <c r="G65" i="13"/>
  <c r="H65" i="13"/>
  <c r="I65" i="13"/>
  <c r="J65" i="13"/>
  <c r="E71" i="13"/>
  <c r="F71" i="13"/>
  <c r="G71" i="13"/>
  <c r="H71" i="13"/>
  <c r="I71" i="13"/>
  <c r="J71" i="13"/>
  <c r="D74" i="13"/>
  <c r="E74" i="13"/>
  <c r="F74" i="13"/>
  <c r="G74" i="13"/>
  <c r="H74" i="13"/>
  <c r="I74" i="13"/>
  <c r="J74" i="13"/>
  <c r="D75" i="13"/>
  <c r="E75" i="13"/>
  <c r="F75" i="13"/>
  <c r="G75" i="13"/>
  <c r="H75" i="13"/>
  <c r="I75" i="13"/>
  <c r="J75" i="13"/>
  <c r="D76" i="13"/>
  <c r="D77" i="13"/>
  <c r="E77" i="13"/>
  <c r="F77" i="13"/>
  <c r="G77" i="13"/>
  <c r="H77" i="13"/>
  <c r="I77" i="13"/>
  <c r="J77" i="13"/>
  <c r="D78" i="13"/>
  <c r="E78" i="13"/>
  <c r="F78" i="13"/>
  <c r="G78" i="13"/>
  <c r="H78" i="13"/>
  <c r="I78" i="13"/>
  <c r="J78" i="13"/>
  <c r="D79" i="13"/>
  <c r="F79" i="13"/>
  <c r="G79" i="13"/>
  <c r="H79" i="13"/>
  <c r="I79" i="13"/>
  <c r="J79" i="13"/>
  <c r="D80" i="13"/>
  <c r="E80" i="13"/>
  <c r="F80" i="13"/>
  <c r="G80" i="13"/>
  <c r="H80" i="13"/>
  <c r="I80" i="13"/>
  <c r="J80" i="13"/>
  <c r="D81" i="13"/>
  <c r="E81" i="13"/>
  <c r="F81" i="13"/>
  <c r="G81" i="13"/>
  <c r="H81" i="13"/>
  <c r="I81" i="13"/>
  <c r="J81" i="13"/>
  <c r="D82" i="13"/>
  <c r="F82" i="13"/>
  <c r="G82" i="13"/>
  <c r="H82" i="13"/>
  <c r="I82" i="13"/>
  <c r="J82" i="13"/>
  <c r="D83" i="13"/>
  <c r="E83" i="13"/>
  <c r="F83" i="13"/>
  <c r="G83" i="13"/>
  <c r="H83" i="13"/>
  <c r="I83" i="13"/>
  <c r="J83" i="13"/>
  <c r="D84" i="13"/>
  <c r="E84" i="13"/>
  <c r="F84" i="13"/>
  <c r="G84" i="13"/>
  <c r="H84" i="13"/>
  <c r="I84" i="13"/>
  <c r="J84" i="13"/>
  <c r="E86" i="13"/>
  <c r="F86" i="13"/>
  <c r="G86" i="13"/>
  <c r="H86" i="13"/>
  <c r="I86" i="13"/>
  <c r="J86" i="13"/>
  <c r="E88" i="13"/>
  <c r="F88" i="13"/>
  <c r="G88" i="13"/>
  <c r="H88" i="13"/>
  <c r="I88" i="13"/>
  <c r="J88" i="13"/>
  <c r="E89" i="13"/>
  <c r="F89" i="13"/>
  <c r="G89" i="13"/>
  <c r="H89" i="13"/>
  <c r="I89" i="13"/>
  <c r="J89" i="13"/>
  <c r="E92" i="13"/>
  <c r="F92" i="13"/>
  <c r="G92" i="13"/>
  <c r="H92" i="13"/>
  <c r="I92" i="13"/>
  <c r="I107" i="13" s="1"/>
  <c r="J92" i="13"/>
  <c r="E94" i="13"/>
  <c r="F94" i="13"/>
  <c r="G94" i="13"/>
  <c r="H94" i="13"/>
  <c r="I94" i="13"/>
  <c r="J94" i="13"/>
  <c r="D96" i="13"/>
  <c r="E96" i="13"/>
  <c r="F96" i="13"/>
  <c r="G96" i="13"/>
  <c r="H96" i="13"/>
  <c r="I96" i="13"/>
  <c r="J96" i="13"/>
  <c r="D98" i="13"/>
  <c r="E98" i="13"/>
  <c r="F98" i="13"/>
  <c r="G98" i="13"/>
  <c r="H98" i="13"/>
  <c r="I98" i="13"/>
  <c r="J98" i="13"/>
  <c r="E102" i="13"/>
  <c r="F102" i="13"/>
  <c r="F103" i="13" s="1"/>
  <c r="G102" i="13"/>
  <c r="H102" i="13"/>
  <c r="I102" i="13"/>
  <c r="J102" i="13"/>
  <c r="J103" i="13" s="1"/>
  <c r="E115" i="13"/>
  <c r="E116" i="13" a="1"/>
  <c r="E116" i="13" s="1"/>
  <c r="E118" i="13"/>
  <c r="E119" i="13"/>
  <c r="E145" i="13"/>
  <c r="F147" i="13" s="1"/>
  <c r="F145" i="13"/>
  <c r="G145" i="13"/>
  <c r="H145" i="13"/>
  <c r="I145" i="13"/>
  <c r="J145" i="13"/>
  <c r="J34" i="13" s="1"/>
  <c r="L146" i="13"/>
  <c r="M146" i="13"/>
  <c r="N146" i="13"/>
  <c r="O146" i="13"/>
  <c r="P146" i="13"/>
  <c r="Q146" i="13"/>
  <c r="R146" i="13"/>
  <c r="S146" i="13"/>
  <c r="T146" i="13"/>
  <c r="T147" i="13" s="1"/>
  <c r="L147" i="13"/>
  <c r="M147" i="13"/>
  <c r="N147" i="13"/>
  <c r="O147" i="13"/>
  <c r="P147" i="13"/>
  <c r="E149" i="13"/>
  <c r="F149" i="13"/>
  <c r="F150" i="13" s="1"/>
  <c r="G149" i="13"/>
  <c r="H149" i="13"/>
  <c r="I149" i="13"/>
  <c r="J149" i="13"/>
  <c r="K150" i="13" s="1"/>
  <c r="L150" i="13"/>
  <c r="M150" i="13"/>
  <c r="N150" i="13"/>
  <c r="O150" i="13"/>
  <c r="P150" i="13"/>
  <c r="Q150" i="13"/>
  <c r="Q151" i="13" s="1"/>
  <c r="R150" i="13"/>
  <c r="S150" i="13"/>
  <c r="S151" i="13" s="1"/>
  <c r="T150" i="13"/>
  <c r="L151" i="13"/>
  <c r="M151" i="13"/>
  <c r="N151" i="13"/>
  <c r="O151" i="13"/>
  <c r="P151" i="13"/>
  <c r="E153" i="13"/>
  <c r="F153" i="13"/>
  <c r="G153" i="13"/>
  <c r="H153" i="13"/>
  <c r="I153" i="13"/>
  <c r="J153" i="13"/>
  <c r="L154" i="13"/>
  <c r="M154" i="13"/>
  <c r="N154" i="13"/>
  <c r="O154" i="13"/>
  <c r="P154" i="13"/>
  <c r="Q154" i="13"/>
  <c r="R154" i="13"/>
  <c r="S154" i="13"/>
  <c r="T154" i="13"/>
  <c r="L155" i="13"/>
  <c r="M155" i="13"/>
  <c r="N155" i="13"/>
  <c r="N166" i="13" s="1"/>
  <c r="O155" i="13"/>
  <c r="P155" i="13"/>
  <c r="E157" i="13"/>
  <c r="F157" i="13"/>
  <c r="G157" i="13"/>
  <c r="G159" i="13" s="1"/>
  <c r="H157" i="13"/>
  <c r="I157" i="13"/>
  <c r="J157" i="13"/>
  <c r="K157" i="13"/>
  <c r="L157" i="13"/>
  <c r="M157" i="13"/>
  <c r="N157" i="13"/>
  <c r="O157" i="13"/>
  <c r="Q158" i="13"/>
  <c r="R158" i="13"/>
  <c r="S158" i="13"/>
  <c r="T158" i="13"/>
  <c r="T159" i="13" s="1"/>
  <c r="L162" i="13"/>
  <c r="M162" i="13"/>
  <c r="N162" i="13"/>
  <c r="O162" i="13"/>
  <c r="P162" i="13"/>
  <c r="Q162" i="13"/>
  <c r="R162" i="13"/>
  <c r="S163" i="13" s="1"/>
  <c r="S162" i="13"/>
  <c r="T163" i="13" s="1"/>
  <c r="T162" i="13"/>
  <c r="L163" i="13"/>
  <c r="M163" i="13"/>
  <c r="M166" i="13" s="1"/>
  <c r="N163" i="13"/>
  <c r="O163" i="13"/>
  <c r="O164" i="13" s="1"/>
  <c r="P163" i="13"/>
  <c r="L164" i="13"/>
  <c r="D175" i="13"/>
  <c r="E175" i="13"/>
  <c r="F175" i="13"/>
  <c r="G175" i="13"/>
  <c r="H175" i="13"/>
  <c r="I175" i="13"/>
  <c r="J175" i="13"/>
  <c r="D176" i="13"/>
  <c r="D177" i="13"/>
  <c r="D178" i="13"/>
  <c r="D179" i="13"/>
  <c r="D180" i="13"/>
  <c r="D181" i="13"/>
  <c r="D182" i="13"/>
  <c r="D183" i="13"/>
  <c r="D184" i="13"/>
  <c r="D185" i="13"/>
  <c r="D186" i="13"/>
  <c r="D187" i="13"/>
  <c r="E194" i="13" a="1"/>
  <c r="E194" i="13" s="1"/>
  <c r="E196" i="13"/>
  <c r="F196" i="13" s="1"/>
  <c r="G196" i="13" s="1"/>
  <c r="E199" i="13"/>
  <c r="F199" i="13" s="1"/>
  <c r="G199" i="13" s="1"/>
  <c r="E210" i="13"/>
  <c r="F210" i="13" a="1"/>
  <c r="F210" i="13" s="1"/>
  <c r="G210" i="13" s="1"/>
  <c r="H210" i="13" s="1"/>
  <c r="E215" i="13"/>
  <c r="F215" i="13"/>
  <c r="G215" i="13"/>
  <c r="H215" i="13"/>
  <c r="I215" i="13"/>
  <c r="J215" i="13"/>
  <c r="E218" i="13"/>
  <c r="F218" i="13"/>
  <c r="G218" i="13"/>
  <c r="H218" i="13"/>
  <c r="I218" i="13"/>
  <c r="J218" i="13"/>
  <c r="A1" i="11"/>
  <c r="H8" i="8"/>
  <c r="H7" i="8"/>
  <c r="A124" i="9"/>
  <c r="A123" i="9"/>
  <c r="A122" i="9"/>
  <c r="A121" i="9"/>
  <c r="A120" i="9"/>
  <c r="A119" i="9"/>
  <c r="E108" i="9"/>
  <c r="D108" i="9"/>
  <c r="C108" i="9"/>
  <c r="E102" i="9"/>
  <c r="D102" i="9"/>
  <c r="C102" i="9"/>
  <c r="CB78" i="9"/>
  <c r="CA78" i="9"/>
  <c r="BZ78" i="9"/>
  <c r="BK78" i="9"/>
  <c r="BF78" i="9"/>
  <c r="BE78" i="9"/>
  <c r="BD78" i="9"/>
  <c r="BC78" i="9"/>
  <c r="BB78" i="9"/>
  <c r="BA78" i="9"/>
  <c r="AZ78" i="9"/>
  <c r="AY78" i="9"/>
  <c r="AX78" i="9"/>
  <c r="AW78" i="9"/>
  <c r="AV78" i="9"/>
  <c r="AU78" i="9"/>
  <c r="AT78" i="9"/>
  <c r="AS78" i="9"/>
  <c r="AR78" i="9"/>
  <c r="AQ78" i="9"/>
  <c r="AP78" i="9"/>
  <c r="AO78" i="9"/>
  <c r="AN78" i="9"/>
  <c r="AM78" i="9"/>
  <c r="AL78" i="9"/>
  <c r="AK78" i="9"/>
  <c r="AJ78" i="9"/>
  <c r="AI78" i="9"/>
  <c r="AH78" i="9"/>
  <c r="AG78" i="9"/>
  <c r="AF78" i="9"/>
  <c r="AE78" i="9"/>
  <c r="AD78" i="9"/>
  <c r="AC78" i="9"/>
  <c r="AB78" i="9"/>
  <c r="AA78" i="9"/>
  <c r="Z78" i="9"/>
  <c r="Y78" i="9"/>
  <c r="X78" i="9"/>
  <c r="W78" i="9"/>
  <c r="V78" i="9"/>
  <c r="U78" i="9"/>
  <c r="T78" i="9"/>
  <c r="S78" i="9"/>
  <c r="R78" i="9"/>
  <c r="Q78" i="9"/>
  <c r="P78" i="9"/>
  <c r="O78" i="9"/>
  <c r="N78" i="9"/>
  <c r="M78" i="9"/>
  <c r="L78" i="9"/>
  <c r="K78" i="9"/>
  <c r="J78" i="9"/>
  <c r="I78" i="9"/>
  <c r="H78" i="9"/>
  <c r="G78" i="9"/>
  <c r="F78" i="9"/>
  <c r="E78" i="9"/>
  <c r="D78" i="9"/>
  <c r="C78" i="9"/>
  <c r="CB73" i="9"/>
  <c r="CA73" i="9"/>
  <c r="BZ73" i="9"/>
  <c r="BF73" i="9"/>
  <c r="BE73" i="9"/>
  <c r="BD73" i="9"/>
  <c r="BC73" i="9"/>
  <c r="BB73" i="9"/>
  <c r="BA73" i="9"/>
  <c r="AZ73" i="9"/>
  <c r="CB72" i="9"/>
  <c r="CA72" i="9"/>
  <c r="BZ72" i="9"/>
  <c r="BF72" i="9"/>
  <c r="BE72" i="9"/>
  <c r="BD72" i="9"/>
  <c r="BC72" i="9"/>
  <c r="BB72" i="9"/>
  <c r="BA72" i="9"/>
  <c r="AZ72" i="9"/>
  <c r="CB71" i="9"/>
  <c r="CA71" i="9"/>
  <c r="BZ71" i="9"/>
  <c r="BF71" i="9"/>
  <c r="BE71" i="9"/>
  <c r="BD71" i="9"/>
  <c r="BC71" i="9"/>
  <c r="BB71" i="9"/>
  <c r="BA71" i="9"/>
  <c r="AZ71" i="9"/>
  <c r="CB70" i="9"/>
  <c r="CA70" i="9"/>
  <c r="BZ70" i="9"/>
  <c r="BF70" i="9"/>
  <c r="BE70" i="9"/>
  <c r="BD70" i="9"/>
  <c r="BC70" i="9"/>
  <c r="BB70" i="9"/>
  <c r="BA70" i="9"/>
  <c r="AZ70" i="9"/>
  <c r="A70" i="9"/>
  <c r="CB69" i="9"/>
  <c r="CA69" i="9"/>
  <c r="BZ69" i="9"/>
  <c r="BF69" i="9"/>
  <c r="BE69" i="9"/>
  <c r="BD69" i="9"/>
  <c r="BC69" i="9"/>
  <c r="BB69" i="9"/>
  <c r="BA69" i="9"/>
  <c r="AZ69" i="9"/>
  <c r="A69" i="9"/>
  <c r="A67" i="9"/>
  <c r="CB65" i="9"/>
  <c r="CA65" i="9"/>
  <c r="BZ65" i="9"/>
  <c r="BF65" i="9"/>
  <c r="BE65" i="9"/>
  <c r="BD65" i="9"/>
  <c r="BC65" i="9"/>
  <c r="BB65" i="9"/>
  <c r="BA65" i="9"/>
  <c r="AZ65" i="9"/>
  <c r="A65" i="9"/>
  <c r="A62" i="9"/>
  <c r="A59" i="9"/>
  <c r="A58" i="9"/>
  <c r="A57" i="9"/>
  <c r="A56" i="9"/>
  <c r="A55" i="9"/>
  <c r="A54" i="9"/>
  <c r="A53" i="9"/>
  <c r="A52" i="9"/>
  <c r="BH49" i="9"/>
  <c r="A49" i="9"/>
  <c r="A48" i="9"/>
  <c r="BN43" i="9"/>
  <c r="BM43" i="9"/>
  <c r="BL43" i="9"/>
  <c r="BK43" i="9"/>
  <c r="R43" i="9"/>
  <c r="Q43" i="9"/>
  <c r="P43" i="9"/>
  <c r="O43" i="9"/>
  <c r="N43" i="9"/>
  <c r="M43" i="9"/>
  <c r="L43" i="9"/>
  <c r="K43" i="9"/>
  <c r="J43" i="9"/>
  <c r="I43" i="9"/>
  <c r="H43" i="9"/>
  <c r="G43" i="9"/>
  <c r="F43" i="9"/>
  <c r="E43" i="9"/>
  <c r="D43" i="9"/>
  <c r="C43" i="9"/>
  <c r="A43" i="9"/>
  <c r="BH42" i="9"/>
  <c r="A42" i="9"/>
  <c r="A41" i="9"/>
  <c r="CB40" i="9"/>
  <c r="CA40" i="9"/>
  <c r="BZ40" i="9"/>
  <c r="BF40" i="9"/>
  <c r="BE40" i="9"/>
  <c r="BD40" i="9"/>
  <c r="BC40" i="9"/>
  <c r="BB40" i="9"/>
  <c r="BA40" i="9"/>
  <c r="AZ40" i="9"/>
  <c r="A40" i="9"/>
  <c r="CB39" i="9"/>
  <c r="CA39" i="9"/>
  <c r="BZ39" i="9"/>
  <c r="BW39" i="9"/>
  <c r="BV39" i="9"/>
  <c r="BU39" i="9"/>
  <c r="BT39" i="9"/>
  <c r="BS39" i="9"/>
  <c r="BR39" i="9"/>
  <c r="BQ39" i="9"/>
  <c r="BP39" i="9"/>
  <c r="BO39" i="9"/>
  <c r="BN39" i="9"/>
  <c r="BM39" i="9"/>
  <c r="BL39" i="9"/>
  <c r="BK39" i="9"/>
  <c r="BJ39" i="9"/>
  <c r="BI39" i="9"/>
  <c r="BH39" i="9"/>
  <c r="BF39" i="9"/>
  <c r="BE39" i="9"/>
  <c r="BD39" i="9"/>
  <c r="BC39" i="9"/>
  <c r="BB39" i="9"/>
  <c r="BA39" i="9"/>
  <c r="AZ39" i="9"/>
  <c r="AY39" i="9"/>
  <c r="AX39" i="9"/>
  <c r="AW39" i="9"/>
  <c r="AV39" i="9"/>
  <c r="AU39" i="9"/>
  <c r="AT39" i="9"/>
  <c r="AS39" i="9"/>
  <c r="AR39" i="9"/>
  <c r="AQ39" i="9"/>
  <c r="AP39" i="9"/>
  <c r="AO39" i="9"/>
  <c r="AN39" i="9"/>
  <c r="AM39" i="9"/>
  <c r="AL39" i="9"/>
  <c r="AK39" i="9"/>
  <c r="AJ39" i="9"/>
  <c r="AI39" i="9"/>
  <c r="AH39" i="9"/>
  <c r="AG39" i="9"/>
  <c r="AF39" i="9"/>
  <c r="AE39" i="9"/>
  <c r="AD39" i="9"/>
  <c r="AC39" i="9"/>
  <c r="AB39" i="9"/>
  <c r="AA39" i="9"/>
  <c r="Z39" i="9"/>
  <c r="Y39" i="9"/>
  <c r="X39" i="9"/>
  <c r="W39" i="9"/>
  <c r="V39" i="9"/>
  <c r="U39" i="9"/>
  <c r="T39" i="9"/>
  <c r="S39" i="9"/>
  <c r="R39" i="9"/>
  <c r="Q39" i="9"/>
  <c r="P39" i="9"/>
  <c r="O39" i="9"/>
  <c r="N39" i="9"/>
  <c r="M39" i="9"/>
  <c r="L39" i="9"/>
  <c r="K39" i="9"/>
  <c r="J39" i="9"/>
  <c r="I39" i="9"/>
  <c r="H39" i="9"/>
  <c r="G39" i="9"/>
  <c r="F39" i="9"/>
  <c r="E39" i="9"/>
  <c r="D39" i="9"/>
  <c r="C39" i="9"/>
  <c r="A39" i="9"/>
  <c r="CB38" i="9"/>
  <c r="CA38" i="9"/>
  <c r="BZ38" i="9"/>
  <c r="BW38" i="9"/>
  <c r="BV38" i="9"/>
  <c r="BU38" i="9"/>
  <c r="BT38" i="9"/>
  <c r="BS38" i="9"/>
  <c r="BR38" i="9"/>
  <c r="BQ38" i="9"/>
  <c r="BP38" i="9"/>
  <c r="BO38" i="9"/>
  <c r="BN38" i="9"/>
  <c r="BM38" i="9"/>
  <c r="BK38" i="9"/>
  <c r="BJ38" i="9"/>
  <c r="BI38" i="9"/>
  <c r="BH38" i="9"/>
  <c r="BF38" i="9"/>
  <c r="BE38" i="9"/>
  <c r="BD38" i="9"/>
  <c r="BC38" i="9"/>
  <c r="BB38" i="9"/>
  <c r="BA38" i="9"/>
  <c r="AZ38" i="9"/>
  <c r="AY38" i="9"/>
  <c r="AX38" i="9"/>
  <c r="AW38" i="9"/>
  <c r="AV38" i="9"/>
  <c r="AU38" i="9"/>
  <c r="AT38" i="9"/>
  <c r="AS38" i="9"/>
  <c r="AR38" i="9"/>
  <c r="AQ38" i="9"/>
  <c r="AP38" i="9"/>
  <c r="AO38" i="9"/>
  <c r="AN38" i="9"/>
  <c r="AM38" i="9"/>
  <c r="AL38" i="9"/>
  <c r="AK38" i="9"/>
  <c r="AJ38" i="9"/>
  <c r="AI38" i="9"/>
  <c r="AH38" i="9"/>
  <c r="AG38" i="9"/>
  <c r="AF38" i="9"/>
  <c r="AE38" i="9"/>
  <c r="AD38" i="9"/>
  <c r="AC38" i="9"/>
  <c r="AB38" i="9"/>
  <c r="AA38" i="9"/>
  <c r="Z38" i="9"/>
  <c r="Y38" i="9"/>
  <c r="X38" i="9"/>
  <c r="W38" i="9"/>
  <c r="V38" i="9"/>
  <c r="U38" i="9"/>
  <c r="T38" i="9"/>
  <c r="S38" i="9"/>
  <c r="R38" i="9"/>
  <c r="Q38" i="9"/>
  <c r="P38" i="9"/>
  <c r="O38" i="9"/>
  <c r="N38" i="9"/>
  <c r="M38" i="9"/>
  <c r="L38" i="9"/>
  <c r="K38" i="9"/>
  <c r="J38" i="9"/>
  <c r="I38" i="9"/>
  <c r="H38" i="9"/>
  <c r="G38" i="9"/>
  <c r="F38" i="9"/>
  <c r="E38" i="9"/>
  <c r="D38" i="9"/>
  <c r="C38" i="9"/>
  <c r="A38" i="9"/>
  <c r="A36" i="9"/>
  <c r="CB35" i="9"/>
  <c r="CA35" i="9"/>
  <c r="BZ35" i="9"/>
  <c r="BF35" i="9"/>
  <c r="BE35" i="9"/>
  <c r="BD35" i="9"/>
  <c r="BC35" i="9"/>
  <c r="BB35" i="9"/>
  <c r="BA35" i="9"/>
  <c r="AZ35" i="9"/>
  <c r="A34" i="9"/>
  <c r="A33" i="9"/>
  <c r="A32" i="9"/>
  <c r="A31" i="9"/>
  <c r="A30" i="9"/>
  <c r="A29" i="9"/>
  <c r="A28" i="9"/>
  <c r="CB25" i="9"/>
  <c r="CA25" i="9"/>
  <c r="BZ25" i="9"/>
  <c r="BF25" i="9"/>
  <c r="BE25" i="9"/>
  <c r="BD25" i="9"/>
  <c r="BC25" i="9"/>
  <c r="BB25" i="9"/>
  <c r="BA25" i="9"/>
  <c r="AZ25" i="9"/>
  <c r="A25" i="9"/>
  <c r="AY24" i="9"/>
  <c r="AX24" i="9"/>
  <c r="AW24" i="9"/>
  <c r="AV24" i="9"/>
  <c r="AU24" i="9"/>
  <c r="AT24" i="9"/>
  <c r="AS24" i="9"/>
  <c r="AR24" i="9"/>
  <c r="AQ24" i="9"/>
  <c r="AP24" i="9"/>
  <c r="AO24" i="9"/>
  <c r="AN24" i="9"/>
  <c r="AM24" i="9"/>
  <c r="A24" i="9"/>
  <c r="A23" i="9"/>
  <c r="BW22" i="9"/>
  <c r="BV22" i="9"/>
  <c r="BU22" i="9"/>
  <c r="BT22" i="9"/>
  <c r="BS22" i="9"/>
  <c r="BR22" i="9"/>
  <c r="BQ22" i="9"/>
  <c r="AY22" i="9"/>
  <c r="AW22" i="9"/>
  <c r="AV22" i="9"/>
  <c r="AU22" i="9"/>
  <c r="AS22" i="9"/>
  <c r="AR22" i="9"/>
  <c r="AQ22" i="9"/>
  <c r="AO22" i="9"/>
  <c r="AN22" i="9"/>
  <c r="AM22" i="9"/>
  <c r="AK22" i="9"/>
  <c r="AJ22" i="9"/>
  <c r="AI22" i="9"/>
  <c r="AG22" i="9"/>
  <c r="AF22" i="9"/>
  <c r="AE22" i="9"/>
  <c r="AC22" i="9"/>
  <c r="AB22" i="9"/>
  <c r="AA22" i="9"/>
  <c r="A22" i="9"/>
  <c r="A19" i="9"/>
  <c r="A18" i="9"/>
  <c r="A17" i="9"/>
  <c r="A16" i="9"/>
  <c r="A15" i="9"/>
  <c r="A14" i="9"/>
  <c r="A11" i="9"/>
  <c r="A8" i="9"/>
  <c r="A7" i="9"/>
  <c r="A6" i="9"/>
  <c r="A5" i="9"/>
  <c r="A4" i="9"/>
  <c r="BH1" i="9"/>
  <c r="A1" i="9"/>
  <c r="K160" i="10"/>
  <c r="K158" i="10"/>
  <c r="K157" i="10"/>
  <c r="K156" i="10"/>
  <c r="K154" i="10"/>
  <c r="K153" i="10"/>
  <c r="K151" i="10"/>
  <c r="K150" i="10"/>
  <c r="K148" i="10"/>
  <c r="K147" i="10"/>
  <c r="K146" i="10"/>
  <c r="K144" i="10"/>
  <c r="K143" i="10"/>
  <c r="K141" i="10"/>
  <c r="K140" i="10"/>
  <c r="K138" i="10"/>
  <c r="K137" i="10"/>
  <c r="K136" i="10"/>
  <c r="K134" i="10"/>
  <c r="K132" i="10"/>
  <c r="K131" i="10"/>
  <c r="K130" i="10"/>
  <c r="K128" i="10"/>
  <c r="K126" i="10"/>
  <c r="K125" i="10"/>
  <c r="K123" i="10"/>
  <c r="K122" i="10"/>
  <c r="K121" i="10"/>
  <c r="K119" i="10"/>
  <c r="K118" i="10"/>
  <c r="K117" i="10"/>
  <c r="K115" i="10"/>
  <c r="K114" i="10"/>
  <c r="K113" i="10"/>
  <c r="K111" i="10"/>
  <c r="K110" i="10"/>
  <c r="K109" i="10"/>
  <c r="K107" i="10"/>
  <c r="K106" i="10"/>
  <c r="K104" i="10"/>
  <c r="K103" i="10"/>
  <c r="K101" i="10"/>
  <c r="K100" i="10"/>
  <c r="K99" i="10"/>
  <c r="K97" i="10"/>
  <c r="K96" i="10"/>
  <c r="K94" i="10"/>
  <c r="K93" i="10"/>
  <c r="K92" i="10"/>
  <c r="K90" i="10"/>
  <c r="K88" i="10"/>
  <c r="K87" i="10"/>
  <c r="K86" i="10"/>
  <c r="K84" i="10"/>
  <c r="K83" i="10"/>
  <c r="K81" i="10"/>
  <c r="K80" i="10"/>
  <c r="K79" i="10"/>
  <c r="K77" i="10"/>
  <c r="K75" i="10"/>
  <c r="K74" i="10"/>
  <c r="K72" i="10"/>
  <c r="K71" i="10"/>
  <c r="K69" i="10"/>
  <c r="K67" i="10"/>
  <c r="K66" i="10"/>
  <c r="K65" i="10"/>
  <c r="K63" i="10"/>
  <c r="K61" i="10"/>
  <c r="K60" i="10"/>
  <c r="K59" i="10"/>
  <c r="K57" i="10"/>
  <c r="K55" i="10"/>
  <c r="K54" i="10"/>
  <c r="K53" i="10"/>
  <c r="K51" i="10"/>
  <c r="K50" i="10"/>
  <c r="K48" i="10"/>
  <c r="K47" i="10"/>
  <c r="K45" i="10"/>
  <c r="K44" i="10"/>
  <c r="K43" i="10"/>
  <c r="K41" i="10"/>
  <c r="K39" i="10"/>
  <c r="K38" i="10"/>
  <c r="K37" i="10"/>
  <c r="K35" i="10"/>
  <c r="K33" i="10"/>
  <c r="K32" i="10"/>
  <c r="K31" i="10"/>
  <c r="K29" i="10"/>
  <c r="K27" i="10"/>
  <c r="K26" i="10"/>
  <c r="K25" i="10"/>
  <c r="K23" i="10"/>
  <c r="K22" i="10"/>
  <c r="K20" i="10"/>
  <c r="K19" i="10"/>
  <c r="K17" i="10"/>
  <c r="K16" i="10"/>
  <c r="K14" i="10"/>
  <c r="K13" i="10"/>
  <c r="K12" i="10"/>
  <c r="K10" i="10"/>
  <c r="K8" i="10"/>
  <c r="K7" i="10"/>
  <c r="K6" i="10"/>
  <c r="F2" i="10"/>
  <c r="B1" i="10"/>
  <c r="BV133" i="12"/>
  <c r="BU133" i="12"/>
  <c r="BT133" i="12"/>
  <c r="BS133" i="12"/>
  <c r="BV123" i="12"/>
  <c r="BU123" i="12"/>
  <c r="BT123" i="12"/>
  <c r="BS123" i="12"/>
  <c r="BV113" i="12"/>
  <c r="BV134" i="12" s="1"/>
  <c r="BU113" i="12"/>
  <c r="BU134" i="12" s="1"/>
  <c r="BT113" i="12"/>
  <c r="BT134" i="12" s="1"/>
  <c r="BS113" i="12"/>
  <c r="BS134" i="12" s="1"/>
  <c r="BT92" i="12"/>
  <c r="BT87" i="12"/>
  <c r="BT88" i="12" s="1"/>
  <c r="BV81" i="12"/>
  <c r="BU81" i="12"/>
  <c r="BS81" i="12"/>
  <c r="BV77" i="12"/>
  <c r="BV76" i="12"/>
  <c r="BU76" i="12"/>
  <c r="BU77" i="12" s="1"/>
  <c r="BS76" i="12"/>
  <c r="BS77" i="12" s="1"/>
  <c r="BV70" i="12"/>
  <c r="BU70" i="12"/>
  <c r="BT70" i="12"/>
  <c r="BS70" i="12"/>
  <c r="BV66" i="12"/>
  <c r="BV65" i="12"/>
  <c r="BT65" i="12"/>
  <c r="BT66" i="12" s="1"/>
  <c r="BS65" i="12"/>
  <c r="BS66" i="12" s="1"/>
  <c r="BU64" i="12"/>
  <c r="BU63" i="12"/>
  <c r="BU62" i="12"/>
  <c r="BU61" i="12"/>
  <c r="BU65" i="12" s="1"/>
  <c r="BU66" i="12" s="1"/>
  <c r="BU60" i="12"/>
  <c r="BU55" i="12"/>
  <c r="BV49" i="12"/>
  <c r="BU49" i="12"/>
  <c r="BT49" i="12"/>
  <c r="BS49" i="12"/>
  <c r="BV45" i="12"/>
  <c r="BU45" i="12"/>
  <c r="BV44" i="12"/>
  <c r="BU44" i="12"/>
  <c r="BT44" i="12"/>
  <c r="BT45" i="12" s="1"/>
  <c r="BS44" i="12"/>
  <c r="BS45" i="12" s="1"/>
  <c r="BV38" i="12"/>
  <c r="BU38" i="12"/>
  <c r="BT38" i="12"/>
  <c r="BS38" i="12"/>
  <c r="BV34" i="12"/>
  <c r="BU34" i="12"/>
  <c r="BV33" i="12"/>
  <c r="BT33" i="12"/>
  <c r="BT34" i="12" s="1"/>
  <c r="BS33" i="12"/>
  <c r="BS34" i="12" s="1"/>
  <c r="BU32" i="12"/>
  <c r="BU31" i="12"/>
  <c r="BU30" i="12"/>
  <c r="BU29" i="12"/>
  <c r="BU33" i="12" s="1"/>
  <c r="BU28" i="12"/>
  <c r="BU23" i="12"/>
  <c r="BV17" i="12"/>
  <c r="BU17" i="12"/>
  <c r="BT17" i="12"/>
  <c r="BS17" i="12"/>
  <c r="BJ13" i="12"/>
  <c r="BJ135" i="12" s="1"/>
  <c r="BI13" i="12"/>
  <c r="BI135" i="12" s="1"/>
  <c r="BH13" i="12"/>
  <c r="BH135" i="12" s="1"/>
  <c r="BU12" i="12"/>
  <c r="BT12" i="12"/>
  <c r="BV11" i="12"/>
  <c r="BV12" i="12" s="1"/>
  <c r="BU11" i="12"/>
  <c r="BT11" i="12"/>
  <c r="BS11" i="12"/>
  <c r="BS12" i="12" s="1"/>
  <c r="CB5" i="12"/>
  <c r="BY5" i="12"/>
  <c r="BC5" i="12"/>
  <c r="CB2" i="12"/>
  <c r="CA2" i="12"/>
  <c r="BZ2" i="12"/>
  <c r="BY2" i="12"/>
  <c r="BX2" i="12"/>
  <c r="BW2" i="12"/>
  <c r="BV2" i="12"/>
  <c r="BU2" i="12"/>
  <c r="BT2" i="12"/>
  <c r="BS2" i="12"/>
  <c r="BR2" i="12"/>
  <c r="BQ2" i="12"/>
  <c r="BP2" i="12"/>
  <c r="BO2" i="12"/>
  <c r="BN2" i="12"/>
  <c r="BM2" i="12"/>
  <c r="BL2" i="12"/>
  <c r="BK2" i="12"/>
  <c r="BJ2" i="12"/>
  <c r="BI2" i="12"/>
  <c r="BF2" i="12"/>
  <c r="BE2" i="12"/>
  <c r="BD2" i="12"/>
  <c r="BC2" i="12"/>
  <c r="BB2" i="12"/>
  <c r="BA2" i="12"/>
  <c r="AZ2" i="12"/>
  <c r="AY2" i="12"/>
  <c r="AX2" i="12"/>
  <c r="AW2" i="12"/>
  <c r="AV2" i="12"/>
  <c r="AU2" i="12"/>
  <c r="AT2" i="12"/>
  <c r="AS2" i="12"/>
  <c r="AR2" i="12"/>
  <c r="AQ2" i="12"/>
  <c r="AP2" i="12"/>
  <c r="AO2" i="12"/>
  <c r="AN2" i="12"/>
  <c r="AM2" i="12"/>
  <c r="AL2" i="12"/>
  <c r="AK2" i="12"/>
  <c r="AJ2" i="12"/>
  <c r="AI2" i="12"/>
  <c r="AH2"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A1" i="12"/>
  <c r="BV36" i="11"/>
  <c r="BU36" i="11"/>
  <c r="BT36" i="11"/>
  <c r="AK36" i="11"/>
  <c r="AJ36" i="11"/>
  <c r="AI36" i="11"/>
  <c r="AH36" i="11"/>
  <c r="AG36" i="11"/>
  <c r="AF36" i="11"/>
  <c r="AE36" i="11"/>
  <c r="AD36" i="11"/>
  <c r="AC36" i="11"/>
  <c r="AB36" i="11"/>
  <c r="AA36" i="11"/>
  <c r="BR36" i="11" s="1"/>
  <c r="Z36" i="11"/>
  <c r="BS35" i="11"/>
  <c r="BR35" i="11"/>
  <c r="BS34" i="11"/>
  <c r="BR34" i="11"/>
  <c r="BR32" i="11"/>
  <c r="BQ32" i="11"/>
  <c r="AP32" i="11"/>
  <c r="AO32" i="11"/>
  <c r="AN32" i="11"/>
  <c r="AM32" i="11"/>
  <c r="AL32" i="11"/>
  <c r="AK32" i="11"/>
  <c r="AJ32" i="11"/>
  <c r="AI32" i="11"/>
  <c r="AH32" i="11"/>
  <c r="AG32" i="11"/>
  <c r="AF32" i="11"/>
  <c r="AE32" i="11"/>
  <c r="AD32" i="11"/>
  <c r="AC32" i="11"/>
  <c r="AB32" i="11"/>
  <c r="AA32" i="11"/>
  <c r="Z32" i="11"/>
  <c r="BV31" i="11"/>
  <c r="BU31" i="11"/>
  <c r="BT31" i="11"/>
  <c r="BS31" i="11"/>
  <c r="BR31" i="11"/>
  <c r="BQ31" i="11"/>
  <c r="BW30" i="11"/>
  <c r="BV30" i="11"/>
  <c r="BV32" i="11" s="1"/>
  <c r="BU30" i="11"/>
  <c r="BT30" i="11"/>
  <c r="BS30" i="11"/>
  <c r="BS32" i="11" s="1"/>
  <c r="BR30" i="11"/>
  <c r="BQ30" i="11"/>
  <c r="AY30" i="11"/>
  <c r="AW30" i="11"/>
  <c r="AV30" i="11"/>
  <c r="AU30" i="11"/>
  <c r="AS30" i="11"/>
  <c r="AS32" i="11" s="1"/>
  <c r="AR30" i="11"/>
  <c r="AR32" i="11" s="1"/>
  <c r="AQ30" i="11"/>
  <c r="AQ32" i="11" s="1"/>
  <c r="BM27" i="11"/>
  <c r="AK27" i="11"/>
  <c r="AJ27" i="11"/>
  <c r="AE27" i="11"/>
  <c r="Y27" i="11"/>
  <c r="S27" i="11"/>
  <c r="R27" i="11"/>
  <c r="M27" i="11"/>
  <c r="G27" i="11"/>
  <c r="BR26" i="11"/>
  <c r="BQ26" i="11"/>
  <c r="BL26" i="11"/>
  <c r="AL26" i="11"/>
  <c r="AL27" i="11" s="1"/>
  <c r="AK26" i="11"/>
  <c r="AJ26" i="11"/>
  <c r="AJ12" i="11" s="1"/>
  <c r="AI26" i="11"/>
  <c r="AH26" i="11"/>
  <c r="AH27" i="11" s="1"/>
  <c r="AG26" i="11"/>
  <c r="AF26" i="11"/>
  <c r="AF27" i="11" s="1"/>
  <c r="AE26" i="11"/>
  <c r="AD26" i="11"/>
  <c r="AD12" i="11" s="1"/>
  <c r="AC26" i="11"/>
  <c r="AB26" i="11"/>
  <c r="AA26" i="11"/>
  <c r="Z26" i="11"/>
  <c r="Z27" i="11" s="1"/>
  <c r="Y26" i="11"/>
  <c r="X26" i="11"/>
  <c r="X12" i="11" s="1"/>
  <c r="W26" i="11"/>
  <c r="V26" i="11"/>
  <c r="V27" i="11" s="1"/>
  <c r="U26" i="11"/>
  <c r="T26" i="11"/>
  <c r="T27" i="11" s="1"/>
  <c r="S26" i="11"/>
  <c r="R26" i="11"/>
  <c r="R12" i="11" s="1"/>
  <c r="Q26" i="11"/>
  <c r="P26" i="11"/>
  <c r="O26" i="11"/>
  <c r="N26" i="11"/>
  <c r="N27" i="11" s="1"/>
  <c r="M26" i="11"/>
  <c r="L26" i="11"/>
  <c r="L12" i="11" s="1"/>
  <c r="K26" i="11"/>
  <c r="J26" i="11"/>
  <c r="J27" i="11" s="1"/>
  <c r="I26" i="11"/>
  <c r="H26" i="11"/>
  <c r="H27" i="11" s="1"/>
  <c r="G26" i="11"/>
  <c r="F26" i="11"/>
  <c r="F12" i="11" s="1"/>
  <c r="E26" i="11"/>
  <c r="D26" i="11"/>
  <c r="C26" i="11"/>
  <c r="BT25" i="11"/>
  <c r="BS25" i="11"/>
  <c r="BR25" i="11"/>
  <c r="BQ25" i="11"/>
  <c r="BP25" i="11"/>
  <c r="BO25" i="11"/>
  <c r="BN25" i="11"/>
  <c r="BM25" i="11"/>
  <c r="BL25" i="11"/>
  <c r="BK25" i="11"/>
  <c r="BJ25" i="11"/>
  <c r="AL25" i="11"/>
  <c r="BT24" i="11"/>
  <c r="BS24" i="11"/>
  <c r="BR24" i="11"/>
  <c r="BQ24" i="11"/>
  <c r="BP24" i="11"/>
  <c r="BO24" i="11"/>
  <c r="BN24" i="11"/>
  <c r="BM24" i="11"/>
  <c r="BL24" i="11"/>
  <c r="BK24" i="11"/>
  <c r="BJ24" i="11"/>
  <c r="AL24" i="11"/>
  <c r="BT23" i="11"/>
  <c r="BS23" i="11"/>
  <c r="BR23" i="11"/>
  <c r="BQ23" i="11"/>
  <c r="BP23" i="11"/>
  <c r="BO23" i="11"/>
  <c r="BN23" i="11"/>
  <c r="BM23" i="11"/>
  <c r="BL23" i="11"/>
  <c r="BK23" i="11"/>
  <c r="BJ23" i="11"/>
  <c r="AL23" i="11"/>
  <c r="BT22" i="11"/>
  <c r="BT26" i="11" s="1"/>
  <c r="BT12" i="11" s="1"/>
  <c r="BS22" i="11"/>
  <c r="BS26" i="11" s="1"/>
  <c r="BS12" i="11" s="1"/>
  <c r="BR22" i="11"/>
  <c r="BQ22" i="11"/>
  <c r="BP22" i="11"/>
  <c r="BP26" i="11" s="1"/>
  <c r="BO22" i="11"/>
  <c r="BO26" i="11" s="1"/>
  <c r="BN22" i="11"/>
  <c r="BN26" i="11" s="1"/>
  <c r="BN12" i="11" s="1"/>
  <c r="BN14" i="11" s="1"/>
  <c r="BN15" i="11" s="1"/>
  <c r="BM22" i="11"/>
  <c r="BM26" i="11" s="1"/>
  <c r="BM12" i="11" s="1"/>
  <c r="BL22" i="11"/>
  <c r="BK22" i="11"/>
  <c r="BK26" i="11" s="1"/>
  <c r="BJ22" i="11"/>
  <c r="BJ26" i="11" s="1"/>
  <c r="AL22" i="11"/>
  <c r="AD18" i="11"/>
  <c r="Z18" i="11"/>
  <c r="AB15" i="11"/>
  <c r="V15" i="11"/>
  <c r="D15" i="11"/>
  <c r="C15" i="11"/>
  <c r="BS14" i="11"/>
  <c r="BM14" i="11"/>
  <c r="AJ14" i="11"/>
  <c r="AJ15" i="11" s="1"/>
  <c r="X14" i="11"/>
  <c r="X15" i="11" s="1"/>
  <c r="R14" i="11"/>
  <c r="R15" i="11" s="1"/>
  <c r="L14" i="11"/>
  <c r="L15" i="11" s="1"/>
  <c r="F14" i="11"/>
  <c r="F15" i="11" s="1"/>
  <c r="BW13" i="11"/>
  <c r="BV13" i="11"/>
  <c r="BU13" i="11"/>
  <c r="BT13" i="11"/>
  <c r="BS13" i="11"/>
  <c r="BR13" i="11"/>
  <c r="BQ13" i="11"/>
  <c r="BP13" i="11"/>
  <c r="BO13" i="11"/>
  <c r="BN13" i="11"/>
  <c r="BM13" i="11"/>
  <c r="BL13" i="11"/>
  <c r="BK13" i="11"/>
  <c r="AY13" i="11"/>
  <c r="AX13" i="11"/>
  <c r="AW13" i="11"/>
  <c r="AV13" i="11"/>
  <c r="AU13" i="11"/>
  <c r="AT13" i="11"/>
  <c r="AS13" i="11"/>
  <c r="AR13" i="11"/>
  <c r="AQ13" i="11"/>
  <c r="AP13" i="11"/>
  <c r="AO13" i="11"/>
  <c r="AN13" i="11"/>
  <c r="AM13" i="11"/>
  <c r="AL13" i="11"/>
  <c r="AL14" i="11" s="1"/>
  <c r="AK13" i="11"/>
  <c r="AJ13" i="11"/>
  <c r="AI13" i="11"/>
  <c r="AH13" i="11"/>
  <c r="AG13" i="11"/>
  <c r="AF13" i="11"/>
  <c r="AE13" i="11"/>
  <c r="AC13" i="11"/>
  <c r="AB13" i="11"/>
  <c r="AA13" i="11"/>
  <c r="Z13" i="11"/>
  <c r="Z14" i="11" s="1"/>
  <c r="Z15" i="11" s="1"/>
  <c r="Y13" i="11"/>
  <c r="X13" i="11"/>
  <c r="W13" i="11"/>
  <c r="V13" i="11"/>
  <c r="U13" i="11"/>
  <c r="T13" i="11"/>
  <c r="S13" i="11"/>
  <c r="R13" i="11"/>
  <c r="Q13" i="11"/>
  <c r="P13" i="11"/>
  <c r="O13" i="11"/>
  <c r="N13" i="11"/>
  <c r="N14" i="11" s="1"/>
  <c r="M13" i="11"/>
  <c r="L13" i="11"/>
  <c r="K13" i="11"/>
  <c r="J13" i="11"/>
  <c r="I13" i="11"/>
  <c r="H13" i="11"/>
  <c r="G13" i="11"/>
  <c r="F13" i="11"/>
  <c r="E13" i="11"/>
  <c r="D13" i="11"/>
  <c r="C13" i="11"/>
  <c r="AL12" i="11"/>
  <c r="AK12" i="11"/>
  <c r="AH12" i="11"/>
  <c r="AH14" i="11" s="1"/>
  <c r="AH15" i="11" s="1"/>
  <c r="AG12" i="11"/>
  <c r="AG14" i="11" s="1"/>
  <c r="AF12" i="11"/>
  <c r="AF14" i="11" s="1"/>
  <c r="AE12" i="11"/>
  <c r="AE14" i="11" s="1"/>
  <c r="AB12" i="11"/>
  <c r="AB14" i="11" s="1"/>
  <c r="AA12" i="11"/>
  <c r="AA14" i="11" s="1"/>
  <c r="Z12" i="11"/>
  <c r="Y12" i="11"/>
  <c r="Y14" i="11" s="1"/>
  <c r="Y15" i="11" s="1"/>
  <c r="V12" i="11"/>
  <c r="V14" i="11" s="1"/>
  <c r="U12" i="11"/>
  <c r="U14" i="11" s="1"/>
  <c r="T12" i="11"/>
  <c r="S12" i="11"/>
  <c r="P12" i="11"/>
  <c r="P14" i="11" s="1"/>
  <c r="P15" i="11" s="1"/>
  <c r="O12" i="11"/>
  <c r="O14" i="11" s="1"/>
  <c r="N12" i="11"/>
  <c r="M12" i="11"/>
  <c r="M14" i="11" s="1"/>
  <c r="J12" i="11"/>
  <c r="J14" i="11" s="1"/>
  <c r="J15" i="11" s="1"/>
  <c r="I12" i="11"/>
  <c r="I14" i="11" s="1"/>
  <c r="H12" i="11"/>
  <c r="H14" i="11" s="1"/>
  <c r="H15" i="11" s="1"/>
  <c r="G12" i="11"/>
  <c r="G14" i="11" s="1"/>
  <c r="G15" i="11" s="1"/>
  <c r="D12" i="11"/>
  <c r="D14" i="11" s="1"/>
  <c r="C12" i="11"/>
  <c r="C14" i="11" s="1"/>
  <c r="BQ9" i="11"/>
  <c r="AD8" i="11"/>
  <c r="AD13" i="11" s="1"/>
  <c r="AD14" i="11" s="1"/>
  <c r="AD15" i="11" s="1"/>
  <c r="CB5" i="11"/>
  <c r="BY5" i="11"/>
  <c r="BC5" i="11"/>
  <c r="CB2" i="11"/>
  <c r="CA2" i="11"/>
  <c r="BZ2" i="11"/>
  <c r="BY2" i="11"/>
  <c r="BX2" i="11"/>
  <c r="BW2" i="11"/>
  <c r="BV2" i="11"/>
  <c r="BU2" i="11"/>
  <c r="BT2" i="11"/>
  <c r="BS2" i="11"/>
  <c r="BR2" i="11"/>
  <c r="BQ2" i="11"/>
  <c r="BP2" i="11"/>
  <c r="BO2" i="11"/>
  <c r="BN2" i="11"/>
  <c r="BM2" i="11"/>
  <c r="BL2" i="11"/>
  <c r="BK2" i="11"/>
  <c r="BJ2" i="11"/>
  <c r="BI2" i="11"/>
  <c r="BF2" i="11"/>
  <c r="BE2" i="11"/>
  <c r="BD2" i="11"/>
  <c r="BC2" i="11"/>
  <c r="BB2" i="11"/>
  <c r="BA2" i="11"/>
  <c r="AZ2" i="11"/>
  <c r="AY2" i="11"/>
  <c r="AX2" i="11"/>
  <c r="AW2" i="11"/>
  <c r="AV2" i="11"/>
  <c r="AU2" i="11"/>
  <c r="AT2" i="11"/>
  <c r="AS2" i="11"/>
  <c r="AR2" i="11"/>
  <c r="AQ2" i="11"/>
  <c r="AP2" i="11"/>
  <c r="AO2" i="11"/>
  <c r="AN2" i="11"/>
  <c r="AM2" i="11"/>
  <c r="AL2" i="11"/>
  <c r="AK2" i="11"/>
  <c r="AJ2" i="11"/>
  <c r="AI2" i="11"/>
  <c r="AH2"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1122" i="1"/>
  <c r="B1121" i="1"/>
  <c r="B1120" i="1"/>
  <c r="B1112" i="1"/>
  <c r="B1110" i="1"/>
  <c r="B1109" i="1"/>
  <c r="B1108" i="1"/>
  <c r="BH1102" i="1"/>
  <c r="CB1100" i="1"/>
  <c r="CA1100" i="1"/>
  <c r="BZ1100" i="1"/>
  <c r="BY1100" i="1"/>
  <c r="BX1100" i="1"/>
  <c r="BW1100" i="1"/>
  <c r="BV1100" i="1"/>
  <c r="BU1100" i="1"/>
  <c r="BT1100" i="1"/>
  <c r="BS1100" i="1"/>
  <c r="BR1100" i="1"/>
  <c r="BQ1100" i="1"/>
  <c r="BP1100" i="1"/>
  <c r="BO1100" i="1"/>
  <c r="BN1100" i="1"/>
  <c r="BM1100" i="1"/>
  <c r="BL1100" i="1"/>
  <c r="BK1100" i="1"/>
  <c r="BJ1100" i="1"/>
  <c r="BI1100" i="1"/>
  <c r="BH1100" i="1"/>
  <c r="BF1100" i="1"/>
  <c r="BE1100" i="1"/>
  <c r="BD1100" i="1"/>
  <c r="BC1100" i="1"/>
  <c r="BB1100" i="1"/>
  <c r="BA1100" i="1"/>
  <c r="AZ1100" i="1"/>
  <c r="AY1100" i="1"/>
  <c r="AX1100" i="1"/>
  <c r="AW1100" i="1"/>
  <c r="AV1100" i="1"/>
  <c r="AU1100" i="1"/>
  <c r="AT1100" i="1"/>
  <c r="AS1100" i="1"/>
  <c r="AR1100" i="1"/>
  <c r="AQ1100" i="1"/>
  <c r="AP1100" i="1"/>
  <c r="AO1100" i="1"/>
  <c r="AN1100" i="1"/>
  <c r="AM1100" i="1"/>
  <c r="AL1100" i="1"/>
  <c r="AK1100" i="1"/>
  <c r="AJ1100" i="1"/>
  <c r="AI1100" i="1"/>
  <c r="AH1100" i="1"/>
  <c r="AG1100" i="1"/>
  <c r="AF1100" i="1"/>
  <c r="AE1100" i="1"/>
  <c r="AD1100" i="1"/>
  <c r="AC1100" i="1"/>
  <c r="AB1100" i="1"/>
  <c r="AA1100" i="1"/>
  <c r="Z1100" i="1"/>
  <c r="Y1100" i="1"/>
  <c r="X1100" i="1"/>
  <c r="W1100" i="1"/>
  <c r="V1100" i="1"/>
  <c r="U1100" i="1"/>
  <c r="T1100" i="1"/>
  <c r="S1100" i="1"/>
  <c r="R1100" i="1"/>
  <c r="Q1100" i="1"/>
  <c r="P1100" i="1"/>
  <c r="O1100" i="1"/>
  <c r="N1100" i="1"/>
  <c r="M1100" i="1"/>
  <c r="L1100" i="1"/>
  <c r="K1100" i="1"/>
  <c r="J1100" i="1"/>
  <c r="I1100" i="1"/>
  <c r="H1100" i="1"/>
  <c r="G1100" i="1"/>
  <c r="F1100" i="1"/>
  <c r="E1100" i="1"/>
  <c r="D1100" i="1"/>
  <c r="C1100" i="1"/>
  <c r="CB1096" i="1"/>
  <c r="CA1096" i="1"/>
  <c r="BZ1096" i="1"/>
  <c r="BY1096" i="1"/>
  <c r="BX1096" i="1"/>
  <c r="BF1096" i="1"/>
  <c r="BE1096" i="1"/>
  <c r="BD1096" i="1"/>
  <c r="BC1096" i="1"/>
  <c r="BB1096" i="1"/>
  <c r="BA1096" i="1"/>
  <c r="AZ1096" i="1"/>
  <c r="CB1093" i="1"/>
  <c r="CA1093" i="1"/>
  <c r="BZ1093" i="1"/>
  <c r="BY1093" i="1"/>
  <c r="BX1093" i="1"/>
  <c r="BW1093" i="1"/>
  <c r="BV1093" i="1"/>
  <c r="BU1093" i="1"/>
  <c r="BT1093" i="1"/>
  <c r="BS1093" i="1"/>
  <c r="BR1093" i="1"/>
  <c r="BQ1093" i="1"/>
  <c r="BP1093" i="1"/>
  <c r="BO1093" i="1"/>
  <c r="BN1093" i="1"/>
  <c r="BM1093" i="1"/>
  <c r="BL1093" i="1"/>
  <c r="BK1093" i="1"/>
  <c r="BJ1093" i="1"/>
  <c r="BI1093" i="1"/>
  <c r="BH1093" i="1"/>
  <c r="BF1093" i="1"/>
  <c r="BE1093" i="1"/>
  <c r="BD1093" i="1"/>
  <c r="BC1093" i="1"/>
  <c r="BB1093" i="1"/>
  <c r="BA1093" i="1"/>
  <c r="AZ1093" i="1"/>
  <c r="AY1093" i="1"/>
  <c r="AX1093" i="1"/>
  <c r="AW1093" i="1"/>
  <c r="AV1093" i="1"/>
  <c r="AU1093" i="1"/>
  <c r="AT1093" i="1"/>
  <c r="AS1093" i="1"/>
  <c r="AR1093" i="1"/>
  <c r="AQ1093" i="1"/>
  <c r="AP1093" i="1"/>
  <c r="AO1093" i="1"/>
  <c r="AN1093" i="1"/>
  <c r="AM1093" i="1"/>
  <c r="AL1093" i="1"/>
  <c r="AK1093" i="1"/>
  <c r="AJ1093" i="1"/>
  <c r="AI1093" i="1"/>
  <c r="AH1093" i="1"/>
  <c r="AG1093" i="1"/>
  <c r="AF1093" i="1"/>
  <c r="AE1093" i="1"/>
  <c r="AD1093" i="1"/>
  <c r="AC1093" i="1"/>
  <c r="AB1093" i="1"/>
  <c r="AA1093" i="1"/>
  <c r="Z1093" i="1"/>
  <c r="Y1093" i="1"/>
  <c r="X1093" i="1"/>
  <c r="W1093" i="1"/>
  <c r="V1093" i="1"/>
  <c r="U1093" i="1"/>
  <c r="T1093" i="1"/>
  <c r="S1093" i="1"/>
  <c r="R1093" i="1"/>
  <c r="Q1093" i="1"/>
  <c r="P1093" i="1"/>
  <c r="O1093" i="1"/>
  <c r="N1093" i="1"/>
  <c r="M1093" i="1"/>
  <c r="L1093" i="1"/>
  <c r="K1093" i="1"/>
  <c r="J1093" i="1"/>
  <c r="I1093" i="1"/>
  <c r="H1093" i="1"/>
  <c r="G1093" i="1"/>
  <c r="F1093" i="1"/>
  <c r="E1093" i="1"/>
  <c r="D1093" i="1"/>
  <c r="C1093" i="1"/>
  <c r="CB1091" i="1"/>
  <c r="CA1091" i="1"/>
  <c r="BZ1091" i="1"/>
  <c r="BY1091" i="1"/>
  <c r="BX1091" i="1"/>
  <c r="BW1091" i="1"/>
  <c r="BV1091" i="1"/>
  <c r="BU1091" i="1"/>
  <c r="BT1091" i="1"/>
  <c r="BS1091" i="1"/>
  <c r="BR1091" i="1"/>
  <c r="BQ1091" i="1"/>
  <c r="BP1091" i="1"/>
  <c r="BO1091" i="1"/>
  <c r="BN1091" i="1"/>
  <c r="BM1091" i="1"/>
  <c r="BL1091" i="1"/>
  <c r="BK1091" i="1"/>
  <c r="BJ1091" i="1"/>
  <c r="BI1091" i="1"/>
  <c r="BH1091" i="1"/>
  <c r="BF1091" i="1"/>
  <c r="BE1091" i="1"/>
  <c r="BD1091" i="1"/>
  <c r="BC1091" i="1"/>
  <c r="BB1091" i="1"/>
  <c r="BA1091" i="1"/>
  <c r="AZ1091" i="1"/>
  <c r="AY1091" i="1"/>
  <c r="AX1091" i="1"/>
  <c r="AW1091" i="1"/>
  <c r="AV1091" i="1"/>
  <c r="AU1091" i="1"/>
  <c r="AT1091" i="1"/>
  <c r="AS1091" i="1"/>
  <c r="AR1091" i="1"/>
  <c r="AQ1091" i="1"/>
  <c r="AP1091" i="1"/>
  <c r="AO1091" i="1"/>
  <c r="AN1091" i="1"/>
  <c r="AM1091" i="1"/>
  <c r="AL1091" i="1"/>
  <c r="AK1091" i="1"/>
  <c r="AJ1091" i="1"/>
  <c r="AI1091" i="1"/>
  <c r="AH1091" i="1"/>
  <c r="AG1091" i="1"/>
  <c r="AF1091" i="1"/>
  <c r="AE1091" i="1"/>
  <c r="AD1091" i="1"/>
  <c r="AC1091" i="1"/>
  <c r="AB1091" i="1"/>
  <c r="AA1091" i="1"/>
  <c r="Z1091" i="1"/>
  <c r="Y1091" i="1"/>
  <c r="X1091" i="1"/>
  <c r="W1091" i="1"/>
  <c r="V1091" i="1"/>
  <c r="U1091" i="1"/>
  <c r="T1091" i="1"/>
  <c r="S1091" i="1"/>
  <c r="R1091" i="1"/>
  <c r="Q1091" i="1"/>
  <c r="P1091" i="1"/>
  <c r="O1091" i="1"/>
  <c r="N1091" i="1"/>
  <c r="M1091" i="1"/>
  <c r="L1091" i="1"/>
  <c r="K1091" i="1"/>
  <c r="J1091" i="1"/>
  <c r="I1091" i="1"/>
  <c r="H1091" i="1"/>
  <c r="G1091" i="1"/>
  <c r="F1091" i="1"/>
  <c r="E1091" i="1"/>
  <c r="D1091" i="1"/>
  <c r="C1091" i="1"/>
  <c r="CB1086" i="1"/>
  <c r="CA1086" i="1"/>
  <c r="BZ1086" i="1"/>
  <c r="BY1086" i="1"/>
  <c r="BX1086" i="1"/>
  <c r="BW1086" i="1"/>
  <c r="BV1086" i="1"/>
  <c r="BU1086" i="1"/>
  <c r="BT1086" i="1"/>
  <c r="BS1086" i="1"/>
  <c r="BR1086" i="1"/>
  <c r="BQ1086" i="1"/>
  <c r="BP1086" i="1"/>
  <c r="BO1086" i="1"/>
  <c r="BN1086" i="1"/>
  <c r="BM1086" i="1"/>
  <c r="BL1086" i="1"/>
  <c r="BK1086" i="1"/>
  <c r="BJ1086" i="1"/>
  <c r="BI1086" i="1"/>
  <c r="BH1086" i="1"/>
  <c r="BF1086" i="1"/>
  <c r="BE1086" i="1"/>
  <c r="BD1086" i="1"/>
  <c r="BC1086" i="1"/>
  <c r="BB1086" i="1"/>
  <c r="BA1086" i="1"/>
  <c r="AZ1086" i="1"/>
  <c r="AY1086" i="1"/>
  <c r="AX1086" i="1"/>
  <c r="AW1086" i="1"/>
  <c r="AV1086" i="1"/>
  <c r="AU1086" i="1"/>
  <c r="AT1086" i="1"/>
  <c r="AS1086" i="1"/>
  <c r="AR1086" i="1"/>
  <c r="AQ1086" i="1"/>
  <c r="AP1086" i="1"/>
  <c r="AO1086" i="1"/>
  <c r="AN1086" i="1"/>
  <c r="AM1086" i="1"/>
  <c r="AL1086" i="1"/>
  <c r="AK1086" i="1"/>
  <c r="AJ1086" i="1"/>
  <c r="AI1086" i="1"/>
  <c r="AH1086" i="1"/>
  <c r="AG1086" i="1"/>
  <c r="AF1086" i="1"/>
  <c r="AE1086" i="1"/>
  <c r="AD1086" i="1"/>
  <c r="AC1086" i="1"/>
  <c r="AB1086" i="1"/>
  <c r="AA1086" i="1"/>
  <c r="Z1086" i="1"/>
  <c r="Y1086" i="1"/>
  <c r="X1086" i="1"/>
  <c r="W1086" i="1"/>
  <c r="V1086" i="1"/>
  <c r="U1086" i="1"/>
  <c r="T1086" i="1"/>
  <c r="S1086" i="1"/>
  <c r="R1086" i="1"/>
  <c r="Q1086" i="1"/>
  <c r="P1086" i="1"/>
  <c r="O1086" i="1"/>
  <c r="N1086" i="1"/>
  <c r="M1086" i="1"/>
  <c r="L1086" i="1"/>
  <c r="K1086" i="1"/>
  <c r="J1086" i="1"/>
  <c r="I1086" i="1"/>
  <c r="H1086" i="1"/>
  <c r="G1086" i="1"/>
  <c r="F1086" i="1"/>
  <c r="E1086" i="1"/>
  <c r="D1086" i="1"/>
  <c r="C1086" i="1"/>
  <c r="CB1084" i="1"/>
  <c r="CA1084" i="1"/>
  <c r="BZ1084" i="1"/>
  <c r="BY1084" i="1"/>
  <c r="BX1084" i="1"/>
  <c r="BW1084" i="1"/>
  <c r="BV1084" i="1"/>
  <c r="BU1084" i="1"/>
  <c r="BT1084" i="1"/>
  <c r="BS1084" i="1"/>
  <c r="BR1084" i="1"/>
  <c r="BQ1084" i="1"/>
  <c r="BP1084" i="1"/>
  <c r="BO1084" i="1"/>
  <c r="BN1084" i="1"/>
  <c r="BM1084" i="1"/>
  <c r="BL1084" i="1"/>
  <c r="BK1084" i="1"/>
  <c r="BJ1084" i="1"/>
  <c r="BI1084" i="1"/>
  <c r="BH1084" i="1"/>
  <c r="BF1084" i="1"/>
  <c r="BE1084" i="1"/>
  <c r="BD1084" i="1"/>
  <c r="BC1084" i="1"/>
  <c r="BB1084" i="1"/>
  <c r="BA1084" i="1"/>
  <c r="AZ1084" i="1"/>
  <c r="AY1084" i="1"/>
  <c r="AX1084" i="1"/>
  <c r="AW1084" i="1"/>
  <c r="AV1084" i="1"/>
  <c r="AU1084" i="1"/>
  <c r="AT1084" i="1"/>
  <c r="AS1084" i="1"/>
  <c r="AR1084" i="1"/>
  <c r="AQ1084" i="1"/>
  <c r="AP1084" i="1"/>
  <c r="AO1084" i="1"/>
  <c r="AN1084" i="1"/>
  <c r="AM1084" i="1"/>
  <c r="AL1084" i="1"/>
  <c r="AK1084" i="1"/>
  <c r="AJ1084" i="1"/>
  <c r="AI1084" i="1"/>
  <c r="AH1084" i="1"/>
  <c r="AG1084" i="1"/>
  <c r="AF1084" i="1"/>
  <c r="AE1084" i="1"/>
  <c r="AD1084" i="1"/>
  <c r="AC1084" i="1"/>
  <c r="AB1084" i="1"/>
  <c r="AA1084" i="1"/>
  <c r="Z1084" i="1"/>
  <c r="Y1084" i="1"/>
  <c r="X1084" i="1"/>
  <c r="W1084" i="1"/>
  <c r="V1084" i="1"/>
  <c r="U1084" i="1"/>
  <c r="T1084" i="1"/>
  <c r="S1084" i="1"/>
  <c r="R1084" i="1"/>
  <c r="Q1084" i="1"/>
  <c r="P1084" i="1"/>
  <c r="O1084" i="1"/>
  <c r="N1084" i="1"/>
  <c r="M1084" i="1"/>
  <c r="L1084" i="1"/>
  <c r="K1084" i="1"/>
  <c r="J1084" i="1"/>
  <c r="I1084" i="1"/>
  <c r="H1084" i="1"/>
  <c r="G1084" i="1"/>
  <c r="F1084" i="1"/>
  <c r="E1084" i="1"/>
  <c r="D1084" i="1"/>
  <c r="C1084" i="1"/>
  <c r="CB1079" i="1"/>
  <c r="CA1079" i="1"/>
  <c r="BZ1079" i="1"/>
  <c r="BY1079" i="1"/>
  <c r="BX1079" i="1"/>
  <c r="BW1079" i="1"/>
  <c r="BV1079" i="1"/>
  <c r="BU1079" i="1"/>
  <c r="BT1079" i="1"/>
  <c r="BS1079" i="1"/>
  <c r="BR1079" i="1"/>
  <c r="BQ1079" i="1"/>
  <c r="BP1079" i="1"/>
  <c r="BO1079" i="1"/>
  <c r="BN1079" i="1"/>
  <c r="BM1079" i="1"/>
  <c r="BL1079" i="1"/>
  <c r="BK1079" i="1"/>
  <c r="BJ1079" i="1"/>
  <c r="BI1079" i="1"/>
  <c r="BH1079" i="1"/>
  <c r="BF1079" i="1"/>
  <c r="BE1079" i="1"/>
  <c r="BD1079" i="1"/>
  <c r="BC1079" i="1"/>
  <c r="BB1079" i="1"/>
  <c r="BA1079" i="1"/>
  <c r="AZ1079" i="1"/>
  <c r="AY1079" i="1"/>
  <c r="AX1079" i="1"/>
  <c r="AW1079" i="1"/>
  <c r="AV1079" i="1"/>
  <c r="AU1079" i="1"/>
  <c r="AT1079" i="1"/>
  <c r="AS1079" i="1"/>
  <c r="AR1079" i="1"/>
  <c r="AQ1079" i="1"/>
  <c r="AP1079" i="1"/>
  <c r="AO1079" i="1"/>
  <c r="AN1079" i="1"/>
  <c r="AM1079" i="1"/>
  <c r="AL1079" i="1"/>
  <c r="AK1079" i="1"/>
  <c r="AJ1079" i="1"/>
  <c r="AI1079" i="1"/>
  <c r="AH1079" i="1"/>
  <c r="AG1079" i="1"/>
  <c r="AF1079" i="1"/>
  <c r="AE1079" i="1"/>
  <c r="AD1079" i="1"/>
  <c r="AC1079" i="1"/>
  <c r="AB1079" i="1"/>
  <c r="AA1079" i="1"/>
  <c r="Z1079" i="1"/>
  <c r="Y1079" i="1"/>
  <c r="X1079" i="1"/>
  <c r="W1079" i="1"/>
  <c r="V1079" i="1"/>
  <c r="U1079" i="1"/>
  <c r="T1079" i="1"/>
  <c r="S1079" i="1"/>
  <c r="R1079" i="1"/>
  <c r="Q1079" i="1"/>
  <c r="P1079" i="1"/>
  <c r="O1079" i="1"/>
  <c r="N1079" i="1"/>
  <c r="M1079" i="1"/>
  <c r="L1079" i="1"/>
  <c r="K1079" i="1"/>
  <c r="J1079" i="1"/>
  <c r="I1079" i="1"/>
  <c r="H1079" i="1"/>
  <c r="G1079" i="1"/>
  <c r="F1079" i="1"/>
  <c r="E1079" i="1"/>
  <c r="D1079" i="1"/>
  <c r="C1079" i="1"/>
  <c r="CB1077" i="1"/>
  <c r="CA1077" i="1"/>
  <c r="BZ1077" i="1"/>
  <c r="BY1077" i="1"/>
  <c r="BX1077" i="1"/>
  <c r="BW1077" i="1"/>
  <c r="BV1077" i="1"/>
  <c r="BU1077" i="1"/>
  <c r="BT1077" i="1"/>
  <c r="BS1077" i="1"/>
  <c r="BR1077" i="1"/>
  <c r="BQ1077" i="1"/>
  <c r="BP1077" i="1"/>
  <c r="BO1077" i="1"/>
  <c r="BN1077" i="1"/>
  <c r="BM1077" i="1"/>
  <c r="BL1077" i="1"/>
  <c r="BK1077" i="1"/>
  <c r="BJ1077" i="1"/>
  <c r="BI1077" i="1"/>
  <c r="BH1077" i="1"/>
  <c r="BF1077" i="1"/>
  <c r="BE1077" i="1"/>
  <c r="BD1077" i="1"/>
  <c r="BC1077" i="1"/>
  <c r="BB1077" i="1"/>
  <c r="BA1077" i="1"/>
  <c r="AZ1077" i="1"/>
  <c r="AY1077" i="1"/>
  <c r="AX1077" i="1"/>
  <c r="AW1077" i="1"/>
  <c r="AV1077" i="1"/>
  <c r="AU1077" i="1"/>
  <c r="AT1077" i="1"/>
  <c r="AS1077" i="1"/>
  <c r="AR1077" i="1"/>
  <c r="AQ1077" i="1"/>
  <c r="AP1077" i="1"/>
  <c r="AO1077" i="1"/>
  <c r="AN1077" i="1"/>
  <c r="AM1077" i="1"/>
  <c r="AL1077" i="1"/>
  <c r="AK1077" i="1"/>
  <c r="AJ1077" i="1"/>
  <c r="AI1077" i="1"/>
  <c r="AH1077" i="1"/>
  <c r="AG1077" i="1"/>
  <c r="AF1077" i="1"/>
  <c r="AE1077" i="1"/>
  <c r="AD1077" i="1"/>
  <c r="AC1077" i="1"/>
  <c r="AB1077" i="1"/>
  <c r="AA1077" i="1"/>
  <c r="Z1077" i="1"/>
  <c r="Y1077" i="1"/>
  <c r="X1077" i="1"/>
  <c r="W1077" i="1"/>
  <c r="V1077" i="1"/>
  <c r="U1077" i="1"/>
  <c r="T1077" i="1"/>
  <c r="S1077" i="1"/>
  <c r="R1077" i="1"/>
  <c r="Q1077" i="1"/>
  <c r="P1077" i="1"/>
  <c r="O1077" i="1"/>
  <c r="N1077" i="1"/>
  <c r="M1077" i="1"/>
  <c r="L1077" i="1"/>
  <c r="K1077" i="1"/>
  <c r="J1077" i="1"/>
  <c r="I1077" i="1"/>
  <c r="H1077" i="1"/>
  <c r="G1077" i="1"/>
  <c r="F1077" i="1"/>
  <c r="E1077" i="1"/>
  <c r="D1077" i="1"/>
  <c r="C1077" i="1"/>
  <c r="CB1073" i="1"/>
  <c r="CA1073" i="1"/>
  <c r="BZ1073" i="1"/>
  <c r="BY1073" i="1"/>
  <c r="BX1073" i="1"/>
  <c r="BW1073" i="1"/>
  <c r="BW4" i="9" s="1"/>
  <c r="BV1073" i="1"/>
  <c r="BV4" i="9" s="1"/>
  <c r="BU1073" i="1"/>
  <c r="BU4" i="9" s="1"/>
  <c r="BT1073" i="1"/>
  <c r="BT4" i="9" s="1"/>
  <c r="BS1073" i="1"/>
  <c r="BS4" i="9" s="1"/>
  <c r="BR1073" i="1"/>
  <c r="BR4" i="9" s="1"/>
  <c r="BQ1073" i="1"/>
  <c r="BQ4" i="9" s="1"/>
  <c r="BP1073" i="1"/>
  <c r="BP4" i="9" s="1"/>
  <c r="BO1073" i="1"/>
  <c r="BO4" i="9" s="1"/>
  <c r="BN1073" i="1"/>
  <c r="BN4" i="9" s="1"/>
  <c r="BM1073" i="1"/>
  <c r="BM4" i="9" s="1"/>
  <c r="BL1073" i="1"/>
  <c r="BL4" i="9" s="1"/>
  <c r="BK1073" i="1"/>
  <c r="BK4" i="9" s="1"/>
  <c r="BJ1073" i="1"/>
  <c r="BI1073" i="1"/>
  <c r="BH1073" i="1"/>
  <c r="BF1073" i="1"/>
  <c r="BE1073" i="1"/>
  <c r="BD1073" i="1"/>
  <c r="BC1073" i="1"/>
  <c r="BB1073" i="1"/>
  <c r="BA1073" i="1"/>
  <c r="AZ1073" i="1"/>
  <c r="AY1073" i="1"/>
  <c r="AY4" i="9" s="1"/>
  <c r="AX1073" i="1"/>
  <c r="AX4" i="9" s="1"/>
  <c r="AW1073" i="1"/>
  <c r="AW4" i="9" s="1"/>
  <c r="AV1073" i="1"/>
  <c r="AV4" i="9" s="1"/>
  <c r="AU1073" i="1"/>
  <c r="AU4" i="9" s="1"/>
  <c r="AT1073" i="1"/>
  <c r="AT4" i="9" s="1"/>
  <c r="AS1073" i="1"/>
  <c r="AS4" i="9" s="1"/>
  <c r="AR1073" i="1"/>
  <c r="AR4" i="9" s="1"/>
  <c r="AQ1073" i="1"/>
  <c r="AQ4" i="9" s="1"/>
  <c r="AP1073" i="1"/>
  <c r="AP4" i="9" s="1"/>
  <c r="AO1073" i="1"/>
  <c r="AO4" i="9" s="1"/>
  <c r="AN1073" i="1"/>
  <c r="AN4" i="9" s="1"/>
  <c r="AM1073" i="1"/>
  <c r="AM4" i="9" s="1"/>
  <c r="AL1073" i="1"/>
  <c r="AL4" i="9" s="1"/>
  <c r="AK1073" i="1"/>
  <c r="AK4" i="9" s="1"/>
  <c r="AJ1073" i="1"/>
  <c r="AJ4" i="9" s="1"/>
  <c r="AI1073" i="1"/>
  <c r="AI4" i="9" s="1"/>
  <c r="AH1073" i="1"/>
  <c r="AH4" i="9" s="1"/>
  <c r="AG1073" i="1"/>
  <c r="AG4" i="9" s="1"/>
  <c r="AF1073" i="1"/>
  <c r="AF4" i="9" s="1"/>
  <c r="AE1073" i="1"/>
  <c r="AE4" i="9" s="1"/>
  <c r="AD1073" i="1"/>
  <c r="AD4" i="9" s="1"/>
  <c r="AC1073" i="1"/>
  <c r="AC4" i="9" s="1"/>
  <c r="AB1073" i="1"/>
  <c r="AB4" i="9" s="1"/>
  <c r="AA1073" i="1"/>
  <c r="AA4" i="9" s="1"/>
  <c r="Z1073" i="1"/>
  <c r="Z4" i="9" s="1"/>
  <c r="Y1073" i="1"/>
  <c r="Y4" i="9" s="1"/>
  <c r="X1073" i="1"/>
  <c r="X4" i="9" s="1"/>
  <c r="W1073" i="1"/>
  <c r="W4" i="9" s="1"/>
  <c r="V1073" i="1"/>
  <c r="V4" i="9" s="1"/>
  <c r="U1073" i="1"/>
  <c r="U4" i="9" s="1"/>
  <c r="T1073" i="1"/>
  <c r="T4" i="9" s="1"/>
  <c r="S1073" i="1"/>
  <c r="S4" i="9" s="1"/>
  <c r="R1073" i="1"/>
  <c r="R4" i="9" s="1"/>
  <c r="Q1073" i="1"/>
  <c r="Q4" i="9" s="1"/>
  <c r="P1073" i="1"/>
  <c r="P4" i="9" s="1"/>
  <c r="O1073" i="1"/>
  <c r="O4" i="9" s="1"/>
  <c r="N1073" i="1"/>
  <c r="N4" i="9" s="1"/>
  <c r="M1073" i="1"/>
  <c r="M4" i="9" s="1"/>
  <c r="L1073" i="1"/>
  <c r="L4" i="9" s="1"/>
  <c r="K1073" i="1"/>
  <c r="K4" i="9" s="1"/>
  <c r="J1073" i="1"/>
  <c r="J4" i="9" s="1"/>
  <c r="I1073" i="1"/>
  <c r="I4" i="9" s="1"/>
  <c r="H1073" i="1"/>
  <c r="H4" i="9" s="1"/>
  <c r="G1073" i="1"/>
  <c r="G4" i="9" s="1"/>
  <c r="F1073" i="1"/>
  <c r="F4" i="9" s="1"/>
  <c r="E1073" i="1"/>
  <c r="E4" i="9" s="1"/>
  <c r="D1073" i="1"/>
  <c r="D4" i="9" s="1"/>
  <c r="C1073" i="1"/>
  <c r="C4" i="9" s="1"/>
  <c r="A1067" i="1"/>
  <c r="A1065" i="1"/>
  <c r="A1062" i="1"/>
  <c r="CA1059" i="1"/>
  <c r="BZ1059" i="1"/>
  <c r="BX1059" i="1"/>
  <c r="BB1059" i="1"/>
  <c r="BA1059" i="1"/>
  <c r="AZ1059" i="1"/>
  <c r="CB1056" i="1"/>
  <c r="CA1056" i="1"/>
  <c r="BZ1056" i="1"/>
  <c r="BY1056" i="1"/>
  <c r="BX1056" i="1"/>
  <c r="BF1056" i="1"/>
  <c r="BE1056" i="1"/>
  <c r="BD1056" i="1"/>
  <c r="BC1056" i="1"/>
  <c r="BB1056" i="1"/>
  <c r="BA1056" i="1"/>
  <c r="AZ1056" i="1"/>
  <c r="CB1055" i="1"/>
  <c r="CA1055" i="1"/>
  <c r="BZ1055" i="1"/>
  <c r="BY1055" i="1"/>
  <c r="BX1055" i="1"/>
  <c r="BF1055" i="1"/>
  <c r="BE1055" i="1"/>
  <c r="BD1055" i="1"/>
  <c r="BC1055" i="1"/>
  <c r="BB1055" i="1"/>
  <c r="BA1055" i="1"/>
  <c r="AZ1055" i="1"/>
  <c r="AL1055" i="1"/>
  <c r="CB1054" i="1"/>
  <c r="CA1054" i="1"/>
  <c r="BZ1054" i="1"/>
  <c r="BY1054" i="1"/>
  <c r="BX1054" i="1"/>
  <c r="BF1054" i="1"/>
  <c r="BE1054" i="1"/>
  <c r="BD1054" i="1"/>
  <c r="BC1054" i="1"/>
  <c r="BB1054" i="1"/>
  <c r="BA1054" i="1"/>
  <c r="AZ1054" i="1"/>
  <c r="CB1053" i="1"/>
  <c r="CA1053" i="1"/>
  <c r="BZ1053" i="1"/>
  <c r="BY1053" i="1"/>
  <c r="BX1053" i="1"/>
  <c r="BF1053" i="1"/>
  <c r="BE1053" i="1"/>
  <c r="BD1053" i="1"/>
  <c r="BC1053" i="1"/>
  <c r="BB1053" i="1"/>
  <c r="BA1053" i="1"/>
  <c r="AZ1053" i="1"/>
  <c r="AX1053" i="1"/>
  <c r="AL1053" i="1"/>
  <c r="CB1052" i="1"/>
  <c r="CA1052" i="1"/>
  <c r="BZ1052" i="1"/>
  <c r="BY1052" i="1"/>
  <c r="BX1052" i="1"/>
  <c r="BF1052" i="1"/>
  <c r="BE1052" i="1"/>
  <c r="BD1052" i="1"/>
  <c r="BC1052" i="1"/>
  <c r="BB1052" i="1"/>
  <c r="BA1052" i="1"/>
  <c r="AZ1052" i="1"/>
  <c r="CB1051" i="1"/>
  <c r="CA1051" i="1"/>
  <c r="BZ1051" i="1"/>
  <c r="BY1051" i="1"/>
  <c r="BX1051" i="1"/>
  <c r="BF1051" i="1"/>
  <c r="BE1051" i="1"/>
  <c r="BD1051" i="1"/>
  <c r="BC1051" i="1"/>
  <c r="BB1051" i="1"/>
  <c r="BA1051" i="1"/>
  <c r="AZ1051" i="1"/>
  <c r="AX1051" i="1"/>
  <c r="AL1051" i="1"/>
  <c r="CB1050" i="1"/>
  <c r="CA1050" i="1"/>
  <c r="BZ1050" i="1"/>
  <c r="BY1050" i="1"/>
  <c r="BX1050" i="1"/>
  <c r="BF1050" i="1"/>
  <c r="BE1050" i="1"/>
  <c r="BD1050" i="1"/>
  <c r="BC1050" i="1"/>
  <c r="BB1050" i="1"/>
  <c r="BA1050" i="1"/>
  <c r="AZ1050" i="1"/>
  <c r="CB1049" i="1"/>
  <c r="CA1049" i="1"/>
  <c r="BZ1049" i="1"/>
  <c r="BY1049" i="1"/>
  <c r="BX1049" i="1"/>
  <c r="BF1049" i="1"/>
  <c r="BE1049" i="1"/>
  <c r="BD1049" i="1"/>
  <c r="BC1049" i="1"/>
  <c r="BB1049" i="1"/>
  <c r="BA1049" i="1"/>
  <c r="AZ1049" i="1"/>
  <c r="AX1049" i="1"/>
  <c r="AL1049" i="1"/>
  <c r="CB1048" i="1"/>
  <c r="CA1048" i="1"/>
  <c r="BZ1048" i="1"/>
  <c r="BY1048" i="1"/>
  <c r="BX1048" i="1"/>
  <c r="BF1048" i="1"/>
  <c r="BE1048" i="1"/>
  <c r="BD1048" i="1"/>
  <c r="BC1048" i="1"/>
  <c r="BB1048" i="1"/>
  <c r="BA1048" i="1"/>
  <c r="AZ1048" i="1"/>
  <c r="AX1048" i="1"/>
  <c r="AL1048" i="1"/>
  <c r="CB1047" i="1"/>
  <c r="CA1047" i="1"/>
  <c r="BZ1047" i="1"/>
  <c r="BY1047" i="1"/>
  <c r="BX1047" i="1"/>
  <c r="BF1047" i="1"/>
  <c r="BE1047" i="1"/>
  <c r="BD1047" i="1"/>
  <c r="BC1047" i="1"/>
  <c r="BB1047" i="1"/>
  <c r="BA1047" i="1"/>
  <c r="AZ1047" i="1"/>
  <c r="AX1047" i="1"/>
  <c r="AL1047" i="1"/>
  <c r="CB1046" i="1"/>
  <c r="CA1046" i="1"/>
  <c r="BZ1046" i="1"/>
  <c r="BY1046" i="1"/>
  <c r="BX1046" i="1"/>
  <c r="BF1046" i="1"/>
  <c r="BE1046" i="1"/>
  <c r="BD1046" i="1"/>
  <c r="BC1046" i="1"/>
  <c r="BB1046" i="1"/>
  <c r="BA1046" i="1"/>
  <c r="AZ1046" i="1"/>
  <c r="AX1046" i="1"/>
  <c r="AL1046" i="1"/>
  <c r="CB1045" i="1"/>
  <c r="CA1045" i="1"/>
  <c r="BZ1045" i="1"/>
  <c r="BY1045" i="1"/>
  <c r="BX1045" i="1"/>
  <c r="BF1045" i="1"/>
  <c r="BE1045" i="1"/>
  <c r="BD1045" i="1"/>
  <c r="BC1045" i="1"/>
  <c r="BB1045" i="1"/>
  <c r="BA1045" i="1"/>
  <c r="AZ1045" i="1"/>
  <c r="AX1045" i="1"/>
  <c r="AW1045" i="1"/>
  <c r="AL1045" i="1"/>
  <c r="BW1044" i="1"/>
  <c r="BW1049" i="1" s="1"/>
  <c r="BV1044" i="1"/>
  <c r="BV1047" i="1" s="1"/>
  <c r="BU1044" i="1"/>
  <c r="BU1051" i="1" s="1"/>
  <c r="BT1044" i="1"/>
  <c r="BS1044" i="1"/>
  <c r="BR1044" i="1"/>
  <c r="AY1044" i="1"/>
  <c r="AX1044" i="1"/>
  <c r="AW1044" i="1"/>
  <c r="AV1044" i="1"/>
  <c r="AV1054" i="1" s="1"/>
  <c r="AU1044" i="1"/>
  <c r="AT1044" i="1"/>
  <c r="AS1044" i="1"/>
  <c r="AR1044" i="1"/>
  <c r="AR1046" i="1" s="1"/>
  <c r="AQ1044" i="1"/>
  <c r="AQ1050" i="1" s="1"/>
  <c r="AP1044" i="1"/>
  <c r="AO1044" i="1"/>
  <c r="AN1044" i="1"/>
  <c r="AM1044" i="1"/>
  <c r="AL1044" i="1"/>
  <c r="AK1044" i="1"/>
  <c r="AJ1044" i="1"/>
  <c r="AI1044" i="1"/>
  <c r="AH1044" i="1"/>
  <c r="AG1044" i="1"/>
  <c r="AG1043" i="1" s="1"/>
  <c r="AF1044" i="1"/>
  <c r="AF1048" i="1" s="1"/>
  <c r="AE1044" i="1"/>
  <c r="AE1047" i="1" s="1"/>
  <c r="AD1044" i="1"/>
  <c r="AC1044" i="1"/>
  <c r="AB1044" i="1"/>
  <c r="BW1043" i="1"/>
  <c r="BU1043" i="1"/>
  <c r="AY1043" i="1"/>
  <c r="AX1043" i="1"/>
  <c r="AM1043" i="1"/>
  <c r="AK1043" i="1"/>
  <c r="AJ1043" i="1"/>
  <c r="AB1043" i="1"/>
  <c r="BW1042" i="1"/>
  <c r="BV1042" i="1"/>
  <c r="BU1042" i="1"/>
  <c r="BT1042" i="1"/>
  <c r="BS1042" i="1"/>
  <c r="BR1042" i="1"/>
  <c r="AY1042" i="1"/>
  <c r="AX1042" i="1"/>
  <c r="AW1042" i="1"/>
  <c r="AV1042" i="1"/>
  <c r="AV1051" i="1" s="1"/>
  <c r="AU1042" i="1"/>
  <c r="AT1042" i="1"/>
  <c r="AS1042" i="1"/>
  <c r="AR1042" i="1"/>
  <c r="AQ1042" i="1"/>
  <c r="AP1042" i="1"/>
  <c r="AO1042" i="1"/>
  <c r="AN1042" i="1"/>
  <c r="AN1047" i="1" s="1"/>
  <c r="AM1042" i="1"/>
  <c r="AL1042" i="1"/>
  <c r="AK1042" i="1"/>
  <c r="AJ1042" i="1"/>
  <c r="AJ1045" i="1" s="1"/>
  <c r="AI1042" i="1"/>
  <c r="AI1045" i="1" s="1"/>
  <c r="AH1042" i="1"/>
  <c r="AH1046" i="1" s="1"/>
  <c r="AG1042" i="1"/>
  <c r="AG1046" i="1" s="1"/>
  <c r="AF1042" i="1"/>
  <c r="AE1042" i="1"/>
  <c r="AD1042" i="1"/>
  <c r="AC1042" i="1"/>
  <c r="AB1042" i="1"/>
  <c r="AB1053" i="1" s="1"/>
  <c r="CB1038" i="1"/>
  <c r="CA1038" i="1"/>
  <c r="BZ1038" i="1"/>
  <c r="BY1038" i="1"/>
  <c r="BX1038" i="1"/>
  <c r="BS1038" i="1"/>
  <c r="BF1038" i="1"/>
  <c r="BE1038" i="1"/>
  <c r="BD1038" i="1"/>
  <c r="BC1038" i="1"/>
  <c r="BB1038" i="1"/>
  <c r="BA1038" i="1"/>
  <c r="AZ1038" i="1"/>
  <c r="CB1037" i="1"/>
  <c r="CA1037" i="1"/>
  <c r="BZ1037" i="1"/>
  <c r="BY1037" i="1"/>
  <c r="BX1037" i="1"/>
  <c r="BS1037" i="1"/>
  <c r="BF1037" i="1"/>
  <c r="BE1037" i="1"/>
  <c r="BD1037" i="1"/>
  <c r="BC1037" i="1"/>
  <c r="BB1037" i="1"/>
  <c r="BA1037" i="1"/>
  <c r="AZ1037" i="1"/>
  <c r="AV1037" i="1"/>
  <c r="AO1037" i="1"/>
  <c r="CB1036" i="1"/>
  <c r="CA1036" i="1"/>
  <c r="BZ1036" i="1"/>
  <c r="BY1036" i="1"/>
  <c r="BX1036" i="1"/>
  <c r="BS1036" i="1"/>
  <c r="BF1036" i="1"/>
  <c r="BE1036" i="1"/>
  <c r="BD1036" i="1"/>
  <c r="BC1036" i="1"/>
  <c r="BB1036" i="1"/>
  <c r="BA1036" i="1"/>
  <c r="AZ1036" i="1"/>
  <c r="AV1036" i="1"/>
  <c r="CB1035" i="1"/>
  <c r="CA1035" i="1"/>
  <c r="BZ1035" i="1"/>
  <c r="BY1035" i="1"/>
  <c r="BX1035" i="1"/>
  <c r="BS1035" i="1"/>
  <c r="BF1035" i="1"/>
  <c r="BE1035" i="1"/>
  <c r="BD1035" i="1"/>
  <c r="BC1035" i="1"/>
  <c r="BB1035" i="1"/>
  <c r="BA1035" i="1"/>
  <c r="AZ1035" i="1"/>
  <c r="AV1035" i="1"/>
  <c r="AO1035" i="1"/>
  <c r="CB1034" i="1"/>
  <c r="CA1034" i="1"/>
  <c r="BZ1034" i="1"/>
  <c r="BY1034" i="1"/>
  <c r="BX1034" i="1"/>
  <c r="BS1034" i="1"/>
  <c r="BF1034" i="1"/>
  <c r="BE1034" i="1"/>
  <c r="BD1034" i="1"/>
  <c r="BC1034" i="1"/>
  <c r="BB1034" i="1"/>
  <c r="BA1034" i="1"/>
  <c r="AZ1034" i="1"/>
  <c r="CB1033" i="1"/>
  <c r="CA1033" i="1"/>
  <c r="BZ1033" i="1"/>
  <c r="BY1033" i="1"/>
  <c r="BX1033" i="1"/>
  <c r="BS1033" i="1"/>
  <c r="BF1033" i="1"/>
  <c r="BE1033" i="1"/>
  <c r="BD1033" i="1"/>
  <c r="BC1033" i="1"/>
  <c r="BB1033" i="1"/>
  <c r="BA1033" i="1"/>
  <c r="AZ1033" i="1"/>
  <c r="AV1033" i="1"/>
  <c r="AO1033" i="1"/>
  <c r="CB1032" i="1"/>
  <c r="CA1032" i="1"/>
  <c r="BZ1032" i="1"/>
  <c r="BY1032" i="1"/>
  <c r="BX1032" i="1"/>
  <c r="BS1032" i="1"/>
  <c r="BF1032" i="1"/>
  <c r="BE1032" i="1"/>
  <c r="BD1032" i="1"/>
  <c r="BC1032" i="1"/>
  <c r="BB1032" i="1"/>
  <c r="BA1032" i="1"/>
  <c r="AZ1032" i="1"/>
  <c r="AV1032" i="1"/>
  <c r="CB1031" i="1"/>
  <c r="CA1031" i="1"/>
  <c r="BZ1031" i="1"/>
  <c r="BY1031" i="1"/>
  <c r="BX1031" i="1"/>
  <c r="BS1031" i="1"/>
  <c r="BF1031" i="1"/>
  <c r="BE1031" i="1"/>
  <c r="BD1031" i="1"/>
  <c r="BC1031" i="1"/>
  <c r="BB1031" i="1"/>
  <c r="BA1031" i="1"/>
  <c r="AZ1031" i="1"/>
  <c r="AV1031" i="1"/>
  <c r="AO1031" i="1"/>
  <c r="CB1030" i="1"/>
  <c r="CA1030" i="1"/>
  <c r="BZ1030" i="1"/>
  <c r="BY1030" i="1"/>
  <c r="BX1030" i="1"/>
  <c r="BS1030" i="1"/>
  <c r="BF1030" i="1"/>
  <c r="BE1030" i="1"/>
  <c r="BD1030" i="1"/>
  <c r="BC1030" i="1"/>
  <c r="BB1030" i="1"/>
  <c r="BA1030" i="1"/>
  <c r="AZ1030" i="1"/>
  <c r="AV1030" i="1"/>
  <c r="CB1029" i="1"/>
  <c r="CA1029" i="1"/>
  <c r="BZ1029" i="1"/>
  <c r="BY1029" i="1"/>
  <c r="BX1029" i="1"/>
  <c r="BS1029" i="1"/>
  <c r="BF1029" i="1"/>
  <c r="BE1029" i="1"/>
  <c r="BD1029" i="1"/>
  <c r="BC1029" i="1"/>
  <c r="BB1029" i="1"/>
  <c r="BA1029" i="1"/>
  <c r="AZ1029" i="1"/>
  <c r="AV1029" i="1"/>
  <c r="AO1029" i="1"/>
  <c r="AN1029" i="1"/>
  <c r="AG1029" i="1"/>
  <c r="CB1028" i="1"/>
  <c r="CA1028" i="1"/>
  <c r="BZ1028" i="1"/>
  <c r="BY1028" i="1"/>
  <c r="BX1028" i="1"/>
  <c r="BU1028" i="1"/>
  <c r="BU546" i="1" s="1"/>
  <c r="BS1028" i="1"/>
  <c r="BR1028" i="1"/>
  <c r="BF1028" i="1"/>
  <c r="BE1028" i="1"/>
  <c r="BD1028" i="1"/>
  <c r="BC1028" i="1"/>
  <c r="BB1028" i="1"/>
  <c r="BA1028" i="1"/>
  <c r="AZ1028" i="1"/>
  <c r="AV1028" i="1"/>
  <c r="AV546" i="1" s="1"/>
  <c r="AB1028" i="1"/>
  <c r="CB1027" i="1"/>
  <c r="CA1027" i="1"/>
  <c r="BZ1027" i="1"/>
  <c r="BY1027" i="1"/>
  <c r="BX1027" i="1"/>
  <c r="BS1027" i="1"/>
  <c r="BF1027" i="1"/>
  <c r="BE1027" i="1"/>
  <c r="BD1027" i="1"/>
  <c r="BC1027" i="1"/>
  <c r="BB1027" i="1"/>
  <c r="BA1027" i="1"/>
  <c r="AZ1027" i="1"/>
  <c r="AY1027" i="1"/>
  <c r="AY545" i="1" s="1"/>
  <c r="AV1027" i="1"/>
  <c r="AV545" i="1" s="1"/>
  <c r="AO1027" i="1"/>
  <c r="AO545" i="1" s="1"/>
  <c r="AN1027" i="1"/>
  <c r="AG1027" i="1"/>
  <c r="AE1027" i="1"/>
  <c r="AC1027" i="1"/>
  <c r="AB1027" i="1"/>
  <c r="BW1026" i="1"/>
  <c r="BV1026" i="1"/>
  <c r="BU1026" i="1"/>
  <c r="BT1026" i="1"/>
  <c r="BS1026" i="1"/>
  <c r="BR1026" i="1"/>
  <c r="BR1030" i="1" s="1"/>
  <c r="AY1026" i="1"/>
  <c r="AY1032" i="1" s="1"/>
  <c r="AX1026" i="1"/>
  <c r="AW1026" i="1"/>
  <c r="AW1028" i="1" s="1"/>
  <c r="AW546" i="1" s="1"/>
  <c r="AV1026" i="1"/>
  <c r="AV1034" i="1" s="1"/>
  <c r="AU1026" i="1"/>
  <c r="AT1026" i="1"/>
  <c r="AS1026" i="1"/>
  <c r="AS1028" i="1" s="1"/>
  <c r="AS546" i="1" s="1"/>
  <c r="AR1026" i="1"/>
  <c r="AR1027" i="1" s="1"/>
  <c r="AR545" i="1" s="1"/>
  <c r="AQ1026" i="1"/>
  <c r="AQ1027" i="1" s="1"/>
  <c r="AQ545" i="1" s="1"/>
  <c r="AP1026" i="1"/>
  <c r="AO1026" i="1"/>
  <c r="AO1038" i="1" s="1"/>
  <c r="AN1026" i="1"/>
  <c r="AN1028" i="1" s="1"/>
  <c r="AN546" i="1" s="1"/>
  <c r="AM1026" i="1"/>
  <c r="AM1030" i="1" s="1"/>
  <c r="AL1026" i="1"/>
  <c r="AK1026" i="1"/>
  <c r="AJ1026" i="1"/>
  <c r="AI1026" i="1"/>
  <c r="AH1026" i="1"/>
  <c r="AG1026" i="1"/>
  <c r="AF1026" i="1"/>
  <c r="AE1026" i="1"/>
  <c r="AD1026" i="1"/>
  <c r="AC1026" i="1"/>
  <c r="AB1026" i="1"/>
  <c r="A999" i="1"/>
  <c r="A996" i="1"/>
  <c r="BY970" i="1"/>
  <c r="BX970" i="1"/>
  <c r="BW970" i="1"/>
  <c r="BV970" i="1"/>
  <c r="BU970" i="1"/>
  <c r="BT970" i="1"/>
  <c r="BS970" i="1"/>
  <c r="BR970" i="1"/>
  <c r="BQ970" i="1"/>
  <c r="BP970" i="1"/>
  <c r="CB969" i="1"/>
  <c r="CA969" i="1"/>
  <c r="BZ969" i="1"/>
  <c r="BY969" i="1"/>
  <c r="BX969" i="1"/>
  <c r="BF969" i="1"/>
  <c r="BE969" i="1"/>
  <c r="BD969" i="1"/>
  <c r="BC969" i="1"/>
  <c r="BB969" i="1"/>
  <c r="BA969" i="1"/>
  <c r="AZ969" i="1"/>
  <c r="CB967" i="1"/>
  <c r="CA967" i="1"/>
  <c r="BZ967" i="1"/>
  <c r="BY967" i="1"/>
  <c r="BX967" i="1"/>
  <c r="BF967" i="1"/>
  <c r="BE967" i="1"/>
  <c r="BD967" i="1"/>
  <c r="BC967" i="1"/>
  <c r="BB967" i="1"/>
  <c r="BA967" i="1"/>
  <c r="AZ967" i="1"/>
  <c r="BQ963" i="1"/>
  <c r="BP963" i="1"/>
  <c r="BO963" i="1"/>
  <c r="BN963" i="1"/>
  <c r="BM963" i="1"/>
  <c r="BL963" i="1"/>
  <c r="BK963" i="1"/>
  <c r="AG963" i="1"/>
  <c r="AF963" i="1"/>
  <c r="AE963" i="1"/>
  <c r="AD963" i="1"/>
  <c r="AC963" i="1"/>
  <c r="AB963" i="1"/>
  <c r="AA963" i="1"/>
  <c r="Z963" i="1"/>
  <c r="Y963" i="1"/>
  <c r="X963" i="1"/>
  <c r="W963" i="1"/>
  <c r="V963" i="1"/>
  <c r="U963" i="1"/>
  <c r="T963" i="1"/>
  <c r="S963" i="1"/>
  <c r="R963" i="1"/>
  <c r="Q963" i="1"/>
  <c r="P963" i="1"/>
  <c r="O963" i="1"/>
  <c r="N963" i="1"/>
  <c r="M963" i="1"/>
  <c r="L963" i="1"/>
  <c r="K963" i="1"/>
  <c r="J963" i="1"/>
  <c r="I963" i="1"/>
  <c r="H963" i="1"/>
  <c r="G963" i="1"/>
  <c r="F963" i="1"/>
  <c r="E963" i="1"/>
  <c r="D963" i="1"/>
  <c r="C963" i="1"/>
  <c r="AJ961" i="1"/>
  <c r="AB960" i="1"/>
  <c r="CB959" i="1"/>
  <c r="CA959" i="1"/>
  <c r="BZ959" i="1"/>
  <c r="BY959" i="1"/>
  <c r="BX959" i="1"/>
  <c r="BF959" i="1"/>
  <c r="BE959" i="1"/>
  <c r="BD959" i="1"/>
  <c r="BC959" i="1"/>
  <c r="BB959" i="1"/>
  <c r="BA959" i="1"/>
  <c r="AZ959" i="1"/>
  <c r="CB958" i="1"/>
  <c r="CA958" i="1"/>
  <c r="BZ958" i="1"/>
  <c r="BY958" i="1"/>
  <c r="BX958" i="1"/>
  <c r="BF958" i="1"/>
  <c r="BE958" i="1"/>
  <c r="BD958" i="1"/>
  <c r="BC958" i="1"/>
  <c r="BB958" i="1"/>
  <c r="BA958" i="1"/>
  <c r="AZ958" i="1"/>
  <c r="AZ952" i="1"/>
  <c r="BA952" i="1" s="1"/>
  <c r="BW951" i="1"/>
  <c r="BV951" i="1"/>
  <c r="BV92" i="9" s="1"/>
  <c r="BU951" i="1"/>
  <c r="BU92" i="9" s="1"/>
  <c r="BT951" i="1"/>
  <c r="BS951" i="1"/>
  <c r="BS92" i="9" s="1"/>
  <c r="BR951" i="1"/>
  <c r="BQ951" i="1"/>
  <c r="BQ92" i="9" s="1"/>
  <c r="BP951" i="1"/>
  <c r="BP92" i="9" s="1"/>
  <c r="BO951" i="1"/>
  <c r="BO92" i="9" s="1"/>
  <c r="BN951" i="1"/>
  <c r="BN92" i="9" s="1"/>
  <c r="BM951" i="1"/>
  <c r="BM92" i="9" s="1"/>
  <c r="BL951" i="1"/>
  <c r="BK951" i="1"/>
  <c r="BJ951" i="1"/>
  <c r="BI951" i="1"/>
  <c r="BH951" i="1"/>
  <c r="AY951" i="1"/>
  <c r="AY92" i="9" s="1"/>
  <c r="AW951" i="1"/>
  <c r="AW92" i="9" s="1"/>
  <c r="AV951" i="1"/>
  <c r="AU951" i="1"/>
  <c r="AS951" i="1"/>
  <c r="AS92" i="9" s="1"/>
  <c r="AR951" i="1"/>
  <c r="AQ951" i="1"/>
  <c r="AQ92" i="9" s="1"/>
  <c r="AO951" i="1"/>
  <c r="AO92" i="9" s="1"/>
  <c r="AN951" i="1"/>
  <c r="AN92" i="9" s="1"/>
  <c r="AM951" i="1"/>
  <c r="AM92" i="9" s="1"/>
  <c r="AK951" i="1"/>
  <c r="AK92" i="9" s="1"/>
  <c r="AJ951" i="1"/>
  <c r="AI951" i="1"/>
  <c r="AG951" i="1"/>
  <c r="AG92" i="9" s="1"/>
  <c r="AF951" i="1"/>
  <c r="AE951" i="1"/>
  <c r="AE92" i="9" s="1"/>
  <c r="AC951" i="1"/>
  <c r="AC92" i="9" s="1"/>
  <c r="AB951" i="1"/>
  <c r="AB92" i="9" s="1"/>
  <c r="AA951" i="1"/>
  <c r="AA92" i="9" s="1"/>
  <c r="Z951" i="1"/>
  <c r="Y951" i="1"/>
  <c r="Y92" i="9" s="1"/>
  <c r="X951" i="1"/>
  <c r="W951" i="1"/>
  <c r="U951" i="1"/>
  <c r="U92" i="9" s="1"/>
  <c r="T951" i="1"/>
  <c r="S951" i="1"/>
  <c r="S92" i="9" s="1"/>
  <c r="Q951" i="1"/>
  <c r="Q92" i="9" s="1"/>
  <c r="O951" i="1"/>
  <c r="N951" i="1"/>
  <c r="M951" i="1"/>
  <c r="L951" i="1"/>
  <c r="L92" i="9" s="1"/>
  <c r="K951" i="1"/>
  <c r="J951" i="1"/>
  <c r="J92" i="9" s="1"/>
  <c r="I951" i="1"/>
  <c r="H951" i="1"/>
  <c r="H92" i="9" s="1"/>
  <c r="G951" i="1"/>
  <c r="G92" i="9" s="1"/>
  <c r="F951" i="1"/>
  <c r="F92" i="9" s="1"/>
  <c r="E951" i="1"/>
  <c r="D951" i="1"/>
  <c r="D92" i="9" s="1"/>
  <c r="C951" i="1"/>
  <c r="AX950" i="1"/>
  <c r="AX951" i="1" s="1"/>
  <c r="AT950" i="1"/>
  <c r="AT951" i="1" s="1"/>
  <c r="AP950" i="1"/>
  <c r="AL950" i="1"/>
  <c r="AH950" i="1"/>
  <c r="AD950" i="1"/>
  <c r="Z950" i="1"/>
  <c r="V950" i="1"/>
  <c r="R950" i="1"/>
  <c r="AZ949" i="1"/>
  <c r="BA949" i="1" s="1"/>
  <c r="BB949" i="1" s="1"/>
  <c r="BX949" i="1" s="1"/>
  <c r="BC949" i="1" s="1"/>
  <c r="BD949" i="1" s="1"/>
  <c r="BE949" i="1" s="1"/>
  <c r="BF949" i="1" s="1"/>
  <c r="BY949" i="1" s="1"/>
  <c r="BZ949" i="1" s="1"/>
  <c r="CA949" i="1" s="1"/>
  <c r="CB949" i="1" s="1"/>
  <c r="AX949" i="1"/>
  <c r="AT949" i="1"/>
  <c r="AP949" i="1"/>
  <c r="AL949" i="1"/>
  <c r="AH949" i="1"/>
  <c r="AD949" i="1"/>
  <c r="Z949" i="1"/>
  <c r="V949" i="1"/>
  <c r="R949" i="1"/>
  <c r="AX948" i="1"/>
  <c r="AT948" i="1"/>
  <c r="AP948" i="1"/>
  <c r="AL948" i="1"/>
  <c r="AH948" i="1"/>
  <c r="AD948" i="1"/>
  <c r="Z948" i="1"/>
  <c r="V948" i="1"/>
  <c r="R948" i="1"/>
  <c r="R951" i="1" s="1"/>
  <c r="BA947" i="1"/>
  <c r="BB947" i="1" s="1"/>
  <c r="AZ947" i="1"/>
  <c r="AH947" i="1"/>
  <c r="AD947" i="1"/>
  <c r="Z947" i="1"/>
  <c r="Z729" i="1" s="1"/>
  <c r="V947" i="1"/>
  <c r="R947" i="1"/>
  <c r="P947" i="1"/>
  <c r="P951" i="1" s="1"/>
  <c r="P92" i="9" s="1"/>
  <c r="BW944" i="1"/>
  <c r="AU944" i="1"/>
  <c r="AA944" i="1"/>
  <c r="AA953" i="1" s="1"/>
  <c r="BW943" i="1"/>
  <c r="BV943" i="1"/>
  <c r="BU943" i="1"/>
  <c r="BT943" i="1"/>
  <c r="BS943" i="1"/>
  <c r="BR943" i="1"/>
  <c r="BQ943" i="1"/>
  <c r="BP943" i="1"/>
  <c r="BO943" i="1"/>
  <c r="BN943" i="1"/>
  <c r="BM943" i="1"/>
  <c r="BL943" i="1"/>
  <c r="BK943" i="1"/>
  <c r="BJ943" i="1"/>
  <c r="BI943" i="1"/>
  <c r="BH943" i="1"/>
  <c r="AY943" i="1"/>
  <c r="AW943" i="1"/>
  <c r="AV943" i="1"/>
  <c r="AU943" i="1"/>
  <c r="AS943" i="1"/>
  <c r="AR943" i="1"/>
  <c r="AQ943" i="1"/>
  <c r="AO943" i="1"/>
  <c r="AO944" i="1" s="1"/>
  <c r="AN943" i="1"/>
  <c r="AM943" i="1"/>
  <c r="AK943" i="1"/>
  <c r="AJ943" i="1"/>
  <c r="AJ944" i="1" s="1"/>
  <c r="AI943" i="1"/>
  <c r="AI944" i="1" s="1"/>
  <c r="AG943" i="1"/>
  <c r="AF943" i="1"/>
  <c r="AE943" i="1"/>
  <c r="AC943" i="1"/>
  <c r="AB943" i="1"/>
  <c r="AA943" i="1"/>
  <c r="Y943" i="1"/>
  <c r="X943" i="1"/>
  <c r="W943" i="1"/>
  <c r="W944" i="1" s="1"/>
  <c r="U943" i="1"/>
  <c r="T943" i="1"/>
  <c r="S943" i="1"/>
  <c r="Q943" i="1"/>
  <c r="O943" i="1"/>
  <c r="N943" i="1"/>
  <c r="M943" i="1"/>
  <c r="L943" i="1"/>
  <c r="K943" i="1"/>
  <c r="K944" i="1" s="1"/>
  <c r="J943" i="1"/>
  <c r="I943" i="1"/>
  <c r="H943" i="1"/>
  <c r="H944" i="1" s="1"/>
  <c r="H953" i="1" s="1"/>
  <c r="G943" i="1"/>
  <c r="F943" i="1"/>
  <c r="E943" i="1"/>
  <c r="E944" i="1" s="1"/>
  <c r="D943" i="1"/>
  <c r="C943" i="1"/>
  <c r="C944" i="1" s="1"/>
  <c r="BA942" i="1"/>
  <c r="BB942" i="1" s="1"/>
  <c r="BX942" i="1" s="1"/>
  <c r="BC942" i="1" s="1"/>
  <c r="BD942" i="1" s="1"/>
  <c r="BE942" i="1" s="1"/>
  <c r="BF942" i="1" s="1"/>
  <c r="BY942" i="1" s="1"/>
  <c r="BZ942" i="1" s="1"/>
  <c r="CA942" i="1" s="1"/>
  <c r="CB942" i="1" s="1"/>
  <c r="AZ942" i="1"/>
  <c r="AX942" i="1"/>
  <c r="AT942" i="1"/>
  <c r="AP942" i="1"/>
  <c r="AL942" i="1"/>
  <c r="AH942" i="1"/>
  <c r="AD942" i="1"/>
  <c r="Z942" i="1"/>
  <c r="V942" i="1"/>
  <c r="R942" i="1"/>
  <c r="AX941" i="1"/>
  <c r="AX940" i="1"/>
  <c r="AT940" i="1"/>
  <c r="AP940" i="1"/>
  <c r="AD940" i="1"/>
  <c r="Z940" i="1"/>
  <c r="V940" i="1"/>
  <c r="R940" i="1"/>
  <c r="P940" i="1"/>
  <c r="BX939" i="1"/>
  <c r="BA939" i="1"/>
  <c r="BB939" i="1" s="1"/>
  <c r="AZ939" i="1"/>
  <c r="AX939" i="1"/>
  <c r="AT939" i="1"/>
  <c r="AP939" i="1"/>
  <c r="AL939" i="1"/>
  <c r="AH939" i="1"/>
  <c r="AD939" i="1"/>
  <c r="AD938" i="1"/>
  <c r="AD693" i="1" s="1"/>
  <c r="Z938" i="1"/>
  <c r="V938" i="1"/>
  <c r="R938" i="1"/>
  <c r="BW935" i="1"/>
  <c r="BW106" i="9" s="1"/>
  <c r="BV935" i="1"/>
  <c r="BU935" i="1"/>
  <c r="BO935" i="1"/>
  <c r="BL935" i="1"/>
  <c r="BI935" i="1"/>
  <c r="BH935" i="1"/>
  <c r="AY935" i="1"/>
  <c r="AX935" i="1"/>
  <c r="AW935" i="1"/>
  <c r="AW106" i="9" s="1"/>
  <c r="AO935" i="1"/>
  <c r="AO106" i="9" s="1"/>
  <c r="AN935" i="1"/>
  <c r="AM935" i="1"/>
  <c r="AM106" i="9" s="1"/>
  <c r="AK935" i="1"/>
  <c r="AJ935" i="1"/>
  <c r="AJ106" i="9" s="1"/>
  <c r="AI935" i="1"/>
  <c r="AI106" i="9" s="1"/>
  <c r="AG935" i="1"/>
  <c r="AF935" i="1"/>
  <c r="AE935" i="1"/>
  <c r="AC935" i="1"/>
  <c r="AB935" i="1"/>
  <c r="AA935" i="1"/>
  <c r="AA106" i="9" s="1"/>
  <c r="Y935" i="1"/>
  <c r="Y106" i="9" s="1"/>
  <c r="X935" i="1"/>
  <c r="W935" i="1"/>
  <c r="W106" i="9" s="1"/>
  <c r="U935" i="1"/>
  <c r="T935" i="1"/>
  <c r="S935" i="1"/>
  <c r="Q935" i="1"/>
  <c r="Q106" i="9" s="1"/>
  <c r="P935" i="1"/>
  <c r="O935" i="1"/>
  <c r="O106" i="9" s="1"/>
  <c r="M935" i="1"/>
  <c r="L935" i="1"/>
  <c r="L106" i="9" s="1"/>
  <c r="K935" i="1"/>
  <c r="K106" i="9" s="1"/>
  <c r="I935" i="1"/>
  <c r="H935" i="1"/>
  <c r="H106" i="9" s="1"/>
  <c r="G935" i="1"/>
  <c r="E935" i="1"/>
  <c r="E106" i="9" s="1"/>
  <c r="D935" i="1"/>
  <c r="C935" i="1"/>
  <c r="C106" i="9" s="1"/>
  <c r="AX934" i="1"/>
  <c r="AX691" i="1" s="1"/>
  <c r="AT934" i="1"/>
  <c r="AT691" i="1" s="1"/>
  <c r="AP934" i="1"/>
  <c r="AP693" i="1" s="1"/>
  <c r="AL934" i="1"/>
  <c r="AL691" i="1" s="1"/>
  <c r="AH934" i="1"/>
  <c r="AD934" i="1"/>
  <c r="Z934" i="1"/>
  <c r="Z691" i="1" s="1"/>
  <c r="V934" i="1"/>
  <c r="R934" i="1"/>
  <c r="BD933" i="1"/>
  <c r="BE933" i="1" s="1"/>
  <c r="BF933" i="1" s="1"/>
  <c r="BY933" i="1" s="1"/>
  <c r="BZ933" i="1" s="1"/>
  <c r="CA933" i="1" s="1"/>
  <c r="CB933" i="1" s="1"/>
  <c r="AZ933" i="1"/>
  <c r="BA933" i="1" s="1"/>
  <c r="BB933" i="1" s="1"/>
  <c r="BX933" i="1" s="1"/>
  <c r="BC933" i="1" s="1"/>
  <c r="AX933" i="1"/>
  <c r="BA932" i="1"/>
  <c r="BB932" i="1" s="1"/>
  <c r="BX932" i="1" s="1"/>
  <c r="BC932" i="1" s="1"/>
  <c r="BD932" i="1" s="1"/>
  <c r="BE932" i="1" s="1"/>
  <c r="BF932" i="1" s="1"/>
  <c r="BY932" i="1" s="1"/>
  <c r="BZ932" i="1" s="1"/>
  <c r="CA932" i="1" s="1"/>
  <c r="CB932" i="1" s="1"/>
  <c r="AZ932" i="1"/>
  <c r="AX932" i="1"/>
  <c r="AT932" i="1"/>
  <c r="AP932" i="1"/>
  <c r="AL932" i="1"/>
  <c r="AH932" i="1"/>
  <c r="AD932" i="1"/>
  <c r="Z932" i="1"/>
  <c r="V932" i="1"/>
  <c r="R932" i="1"/>
  <c r="N932" i="1"/>
  <c r="J932" i="1"/>
  <c r="F932" i="1"/>
  <c r="BW931" i="1"/>
  <c r="AX931" i="1" s="1"/>
  <c r="BV931" i="1"/>
  <c r="BU931" i="1"/>
  <c r="BT931" i="1"/>
  <c r="BT935" i="1" s="1"/>
  <c r="BS931" i="1"/>
  <c r="BS935" i="1" s="1"/>
  <c r="BS106" i="9" s="1"/>
  <c r="BR931" i="1"/>
  <c r="BQ931" i="1"/>
  <c r="BP931" i="1"/>
  <c r="BP935" i="1" s="1"/>
  <c r="BN931" i="1"/>
  <c r="BM931" i="1"/>
  <c r="BL931" i="1"/>
  <c r="BK931" i="1"/>
  <c r="BK935" i="1" s="1"/>
  <c r="BJ931" i="1"/>
  <c r="AW931" i="1"/>
  <c r="AV931" i="1"/>
  <c r="AV935" i="1" s="1"/>
  <c r="AU931" i="1"/>
  <c r="AU935" i="1" s="1"/>
  <c r="AU106" i="9" s="1"/>
  <c r="AS931" i="1"/>
  <c r="AS935" i="1" s="1"/>
  <c r="AR931" i="1"/>
  <c r="AR935" i="1" s="1"/>
  <c r="AR106" i="9" s="1"/>
  <c r="AQ931" i="1"/>
  <c r="AQ935" i="1" s="1"/>
  <c r="AP931" i="1"/>
  <c r="AL931" i="1"/>
  <c r="V931" i="1"/>
  <c r="BQ930" i="1"/>
  <c r="BO930" i="1"/>
  <c r="BO931" i="1" s="1"/>
  <c r="BN930" i="1"/>
  <c r="AX930" i="1"/>
  <c r="AT930" i="1"/>
  <c r="AX929" i="1"/>
  <c r="AT929" i="1"/>
  <c r="AX928" i="1"/>
  <c r="AT928" i="1"/>
  <c r="AX927" i="1"/>
  <c r="AT927" i="1"/>
  <c r="AX926" i="1"/>
  <c r="AT926" i="1"/>
  <c r="AZ925" i="1"/>
  <c r="BA925" i="1" s="1"/>
  <c r="BB925" i="1" s="1"/>
  <c r="BX925" i="1" s="1"/>
  <c r="BC925" i="1" s="1"/>
  <c r="BD925" i="1" s="1"/>
  <c r="BE925" i="1" s="1"/>
  <c r="BF925" i="1" s="1"/>
  <c r="BY925" i="1" s="1"/>
  <c r="BZ925" i="1" s="1"/>
  <c r="CA925" i="1" s="1"/>
  <c r="CB925" i="1" s="1"/>
  <c r="AX925" i="1"/>
  <c r="AT925" i="1"/>
  <c r="AP925" i="1"/>
  <c r="AL925" i="1"/>
  <c r="AH925" i="1"/>
  <c r="AD925" i="1"/>
  <c r="AZ924" i="1"/>
  <c r="BA924" i="1" s="1"/>
  <c r="BB924" i="1" s="1"/>
  <c r="BX924" i="1" s="1"/>
  <c r="BC924" i="1" s="1"/>
  <c r="BD924" i="1" s="1"/>
  <c r="BE924" i="1" s="1"/>
  <c r="BF924" i="1" s="1"/>
  <c r="BY924" i="1" s="1"/>
  <c r="BZ924" i="1" s="1"/>
  <c r="CA924" i="1" s="1"/>
  <c r="CB924" i="1" s="1"/>
  <c r="AX924" i="1"/>
  <c r="AT924" i="1"/>
  <c r="AP924" i="1"/>
  <c r="AL924" i="1"/>
  <c r="AH924" i="1"/>
  <c r="AD924" i="1"/>
  <c r="Z924" i="1"/>
  <c r="V924" i="1"/>
  <c r="R924" i="1"/>
  <c r="AZ923" i="1"/>
  <c r="AX923" i="1"/>
  <c r="AT923" i="1"/>
  <c r="AP923" i="1"/>
  <c r="AL923" i="1"/>
  <c r="AH923" i="1"/>
  <c r="AD923" i="1"/>
  <c r="Z923" i="1"/>
  <c r="V923" i="1"/>
  <c r="R923" i="1"/>
  <c r="BR920" i="1"/>
  <c r="AM920" i="1"/>
  <c r="AK920" i="1"/>
  <c r="M920" i="1"/>
  <c r="G920" i="1"/>
  <c r="G97" i="9" s="1"/>
  <c r="F920" i="1"/>
  <c r="BW919" i="1"/>
  <c r="BT919" i="1"/>
  <c r="BR919" i="1"/>
  <c r="BQ919" i="1"/>
  <c r="BP919" i="1"/>
  <c r="BO919" i="1"/>
  <c r="BO920" i="1" s="1"/>
  <c r="BN919" i="1"/>
  <c r="BN920" i="1" s="1"/>
  <c r="BM919" i="1"/>
  <c r="BL919" i="1"/>
  <c r="BK919" i="1"/>
  <c r="BJ919" i="1"/>
  <c r="BI919" i="1"/>
  <c r="BH919" i="1"/>
  <c r="AM919" i="1"/>
  <c r="AG919" i="1"/>
  <c r="AE919" i="1"/>
  <c r="X919" i="1"/>
  <c r="W919" i="1"/>
  <c r="U919" i="1"/>
  <c r="T919" i="1"/>
  <c r="S919" i="1"/>
  <c r="Q919" i="1"/>
  <c r="Q920" i="1" s="1"/>
  <c r="P919" i="1"/>
  <c r="O919" i="1"/>
  <c r="N919" i="1"/>
  <c r="N920" i="1" s="1"/>
  <c r="M919" i="1"/>
  <c r="L919" i="1"/>
  <c r="K919" i="1"/>
  <c r="J919" i="1"/>
  <c r="J920" i="1" s="1"/>
  <c r="I919" i="1"/>
  <c r="H919" i="1"/>
  <c r="G919" i="1"/>
  <c r="F919" i="1"/>
  <c r="E919" i="1"/>
  <c r="E920" i="1" s="1"/>
  <c r="D919" i="1"/>
  <c r="C919" i="1"/>
  <c r="BW918" i="1"/>
  <c r="AX918" i="1" s="1"/>
  <c r="BV918" i="1"/>
  <c r="BU918" i="1"/>
  <c r="BT918" i="1"/>
  <c r="AL918" i="1" s="1"/>
  <c r="BS918" i="1"/>
  <c r="AH918" i="1" s="1"/>
  <c r="BR918" i="1"/>
  <c r="BQ918" i="1"/>
  <c r="Z918" i="1" s="1"/>
  <c r="AY918" i="1"/>
  <c r="AW918" i="1"/>
  <c r="AW919" i="1" s="1"/>
  <c r="AV918" i="1"/>
  <c r="AV919" i="1" s="1"/>
  <c r="AU918" i="1"/>
  <c r="AU919" i="1" s="1"/>
  <c r="AS918" i="1"/>
  <c r="AS919" i="1" s="1"/>
  <c r="AR918" i="1"/>
  <c r="AR919" i="1" s="1"/>
  <c r="AQ918" i="1"/>
  <c r="AQ919" i="1" s="1"/>
  <c r="AO918" i="1"/>
  <c r="AO919" i="1" s="1"/>
  <c r="AN918" i="1"/>
  <c r="AN919" i="1" s="1"/>
  <c r="AM918" i="1"/>
  <c r="AK918" i="1"/>
  <c r="AK919" i="1" s="1"/>
  <c r="AJ918" i="1"/>
  <c r="AJ919" i="1" s="1"/>
  <c r="AI918" i="1"/>
  <c r="AI919" i="1" s="1"/>
  <c r="AG918" i="1"/>
  <c r="AF918" i="1"/>
  <c r="AF919" i="1" s="1"/>
  <c r="AE918" i="1"/>
  <c r="AD918" i="1"/>
  <c r="AC918" i="1"/>
  <c r="AC919" i="1" s="1"/>
  <c r="AB918" i="1"/>
  <c r="AB919" i="1" s="1"/>
  <c r="AA918" i="1"/>
  <c r="AA919" i="1" s="1"/>
  <c r="Y918" i="1"/>
  <c r="Y919" i="1" s="1"/>
  <c r="X918" i="1"/>
  <c r="W918" i="1"/>
  <c r="V918" i="1"/>
  <c r="R918" i="1"/>
  <c r="BA917" i="1"/>
  <c r="BB917" i="1" s="1"/>
  <c r="BX917" i="1" s="1"/>
  <c r="BC917" i="1" s="1"/>
  <c r="BD917" i="1" s="1"/>
  <c r="BE917" i="1" s="1"/>
  <c r="BF917" i="1" s="1"/>
  <c r="BY917" i="1" s="1"/>
  <c r="BZ917" i="1" s="1"/>
  <c r="CA917" i="1" s="1"/>
  <c r="CB917" i="1" s="1"/>
  <c r="AZ917" i="1"/>
  <c r="AX917" i="1"/>
  <c r="AT917" i="1"/>
  <c r="AP917" i="1"/>
  <c r="AL917" i="1"/>
  <c r="AL690" i="1" s="1"/>
  <c r="AH917" i="1"/>
  <c r="AD917" i="1"/>
  <c r="Z917" i="1"/>
  <c r="AZ916" i="1"/>
  <c r="BA916" i="1" s="1"/>
  <c r="BB916" i="1" s="1"/>
  <c r="BX916" i="1" s="1"/>
  <c r="BC916" i="1" s="1"/>
  <c r="BD916" i="1" s="1"/>
  <c r="BE916" i="1" s="1"/>
  <c r="BF916" i="1" s="1"/>
  <c r="BY916" i="1" s="1"/>
  <c r="BZ916" i="1" s="1"/>
  <c r="CA916" i="1" s="1"/>
  <c r="CB916" i="1" s="1"/>
  <c r="AX916" i="1"/>
  <c r="AT916" i="1"/>
  <c r="AP916" i="1"/>
  <c r="AL916" i="1"/>
  <c r="AH916" i="1"/>
  <c r="AD916" i="1"/>
  <c r="Z916" i="1"/>
  <c r="V916" i="1"/>
  <c r="R916" i="1"/>
  <c r="AX915" i="1"/>
  <c r="AT915" i="1"/>
  <c r="AP915" i="1"/>
  <c r="AL915" i="1"/>
  <c r="AH915" i="1"/>
  <c r="AD915" i="1"/>
  <c r="AD890" i="1" s="1"/>
  <c r="Z915" i="1"/>
  <c r="V915" i="1"/>
  <c r="R915" i="1"/>
  <c r="R890" i="1" s="1"/>
  <c r="AZ914" i="1"/>
  <c r="BA914" i="1" s="1"/>
  <c r="BB914" i="1" s="1"/>
  <c r="BX914" i="1" s="1"/>
  <c r="BC914" i="1" s="1"/>
  <c r="BD914" i="1" s="1"/>
  <c r="BE914" i="1" s="1"/>
  <c r="BF914" i="1" s="1"/>
  <c r="BY914" i="1" s="1"/>
  <c r="BZ914" i="1" s="1"/>
  <c r="CA914" i="1" s="1"/>
  <c r="CB914" i="1" s="1"/>
  <c r="AX914" i="1"/>
  <c r="AT914" i="1"/>
  <c r="AP914" i="1"/>
  <c r="AL914" i="1"/>
  <c r="AH914" i="1"/>
  <c r="AD914" i="1"/>
  <c r="AX913" i="1"/>
  <c r="AX884" i="1" s="1"/>
  <c r="AT913" i="1"/>
  <c r="AT884" i="1" s="1"/>
  <c r="AP913" i="1"/>
  <c r="AL913" i="1"/>
  <c r="AL884" i="1" s="1"/>
  <c r="AH913" i="1"/>
  <c r="AH884" i="1" s="1"/>
  <c r="AD913" i="1"/>
  <c r="AD884" i="1" s="1"/>
  <c r="Z913" i="1"/>
  <c r="V913" i="1"/>
  <c r="V884" i="1" s="1"/>
  <c r="R913" i="1"/>
  <c r="BB912" i="1"/>
  <c r="BX912" i="1" s="1"/>
  <c r="BC912" i="1" s="1"/>
  <c r="BA912" i="1"/>
  <c r="AZ912" i="1"/>
  <c r="AX912" i="1"/>
  <c r="AX919" i="1" s="1"/>
  <c r="AT912" i="1"/>
  <c r="AP912" i="1"/>
  <c r="AL912" i="1"/>
  <c r="AH912" i="1"/>
  <c r="BW909" i="1"/>
  <c r="BW920" i="1" s="1"/>
  <c r="BV909" i="1"/>
  <c r="BS909" i="1"/>
  <c r="BR909" i="1"/>
  <c r="BP909" i="1"/>
  <c r="BP920" i="1" s="1"/>
  <c r="BO909" i="1"/>
  <c r="BN909" i="1"/>
  <c r="BM909" i="1"/>
  <c r="BL909" i="1"/>
  <c r="BK909" i="1"/>
  <c r="BJ909" i="1"/>
  <c r="BJ920" i="1" s="1"/>
  <c r="BI909" i="1"/>
  <c r="BH909" i="1"/>
  <c r="AY909" i="1"/>
  <c r="AU909" i="1"/>
  <c r="AQ909" i="1"/>
  <c r="AN909" i="1"/>
  <c r="AN920" i="1" s="1"/>
  <c r="AM909" i="1"/>
  <c r="AK909" i="1"/>
  <c r="AG909" i="1"/>
  <c r="AB909" i="1"/>
  <c r="AA909" i="1"/>
  <c r="Y909" i="1"/>
  <c r="Y920" i="1" s="1"/>
  <c r="W909" i="1"/>
  <c r="U909" i="1"/>
  <c r="U920" i="1" s="1"/>
  <c r="T909" i="1"/>
  <c r="S909" i="1"/>
  <c r="Q909" i="1"/>
  <c r="P909" i="1"/>
  <c r="P920" i="1" s="1"/>
  <c r="O909" i="1"/>
  <c r="O920" i="1" s="1"/>
  <c r="N909" i="1"/>
  <c r="M909" i="1"/>
  <c r="L909" i="1"/>
  <c r="L920" i="1" s="1"/>
  <c r="K909" i="1"/>
  <c r="J909" i="1"/>
  <c r="I909" i="1"/>
  <c r="H909" i="1"/>
  <c r="G909" i="1"/>
  <c r="F909" i="1"/>
  <c r="E909" i="1"/>
  <c r="D909" i="1"/>
  <c r="D920" i="1" s="1"/>
  <c r="D97" i="9" s="1"/>
  <c r="C909" i="1"/>
  <c r="C920" i="1" s="1"/>
  <c r="BW908" i="1"/>
  <c r="BV908" i="1"/>
  <c r="BU908" i="1"/>
  <c r="BT908" i="1"/>
  <c r="BS908" i="1"/>
  <c r="BR908" i="1"/>
  <c r="BQ908" i="1"/>
  <c r="BA908" i="1"/>
  <c r="BB908" i="1" s="1"/>
  <c r="BX908" i="1" s="1"/>
  <c r="BC908" i="1" s="1"/>
  <c r="BD908" i="1" s="1"/>
  <c r="BE908" i="1" s="1"/>
  <c r="BF908" i="1" s="1"/>
  <c r="BY908" i="1" s="1"/>
  <c r="BZ908" i="1" s="1"/>
  <c r="CA908" i="1" s="1"/>
  <c r="CB908" i="1" s="1"/>
  <c r="AY908" i="1"/>
  <c r="AZ908" i="1" s="1"/>
  <c r="AX908" i="1"/>
  <c r="AW908" i="1"/>
  <c r="AW909" i="1" s="1"/>
  <c r="AV908" i="1"/>
  <c r="AV909" i="1" s="1"/>
  <c r="AU908" i="1"/>
  <c r="AT908" i="1"/>
  <c r="AS908" i="1"/>
  <c r="AS909" i="1" s="1"/>
  <c r="AS920" i="1" s="1"/>
  <c r="AR908" i="1"/>
  <c r="AR909" i="1" s="1"/>
  <c r="AQ908" i="1"/>
  <c r="AO908" i="1"/>
  <c r="AO909" i="1" s="1"/>
  <c r="AN908" i="1"/>
  <c r="AM908" i="1"/>
  <c r="AK908" i="1"/>
  <c r="AJ908" i="1"/>
  <c r="AJ909" i="1" s="1"/>
  <c r="AI908" i="1"/>
  <c r="AI909" i="1" s="1"/>
  <c r="AH908" i="1"/>
  <c r="AG908" i="1"/>
  <c r="AF908" i="1"/>
  <c r="AF909" i="1" s="1"/>
  <c r="AF920" i="1" s="1"/>
  <c r="AE908" i="1"/>
  <c r="AE909" i="1" s="1"/>
  <c r="AD908" i="1"/>
  <c r="AC908" i="1"/>
  <c r="AC909" i="1" s="1"/>
  <c r="AC920" i="1" s="1"/>
  <c r="AC97" i="9" s="1"/>
  <c r="AB908" i="1"/>
  <c r="AA908" i="1"/>
  <c r="Y908" i="1"/>
  <c r="X908" i="1"/>
  <c r="X909" i="1" s="1"/>
  <c r="W908" i="1"/>
  <c r="V908" i="1"/>
  <c r="R908" i="1"/>
  <c r="BB907" i="1"/>
  <c r="BX907" i="1" s="1"/>
  <c r="BC907" i="1" s="1"/>
  <c r="BD907" i="1" s="1"/>
  <c r="BE907" i="1" s="1"/>
  <c r="BF907" i="1" s="1"/>
  <c r="BY907" i="1" s="1"/>
  <c r="BZ907" i="1" s="1"/>
  <c r="CA907" i="1" s="1"/>
  <c r="CB907" i="1" s="1"/>
  <c r="AZ907" i="1"/>
  <c r="BA907" i="1" s="1"/>
  <c r="AX907" i="1"/>
  <c r="AT907" i="1"/>
  <c r="AP907" i="1"/>
  <c r="AL907" i="1"/>
  <c r="AH907" i="1"/>
  <c r="AD907" i="1"/>
  <c r="Z907" i="1"/>
  <c r="AD906" i="1"/>
  <c r="Z906" i="1"/>
  <c r="V906" i="1"/>
  <c r="R906" i="1"/>
  <c r="R909" i="1" s="1"/>
  <c r="AX905" i="1"/>
  <c r="AT905" i="1"/>
  <c r="AP905" i="1"/>
  <c r="AL905" i="1"/>
  <c r="AH905" i="1"/>
  <c r="AD905" i="1"/>
  <c r="Z905" i="1"/>
  <c r="V905" i="1"/>
  <c r="R905" i="1"/>
  <c r="AZ904" i="1"/>
  <c r="BA904" i="1" s="1"/>
  <c r="BB904" i="1" s="1"/>
  <c r="BX904" i="1" s="1"/>
  <c r="BC904" i="1" s="1"/>
  <c r="BD904" i="1" s="1"/>
  <c r="BE904" i="1" s="1"/>
  <c r="BF904" i="1" s="1"/>
  <c r="BY904" i="1" s="1"/>
  <c r="BZ904" i="1" s="1"/>
  <c r="CA904" i="1" s="1"/>
  <c r="CB904" i="1" s="1"/>
  <c r="AX904" i="1"/>
  <c r="AT904" i="1"/>
  <c r="AP904" i="1"/>
  <c r="AL904" i="1"/>
  <c r="AH904" i="1"/>
  <c r="AD904" i="1"/>
  <c r="Z904" i="1"/>
  <c r="V904" i="1"/>
  <c r="V690" i="1" s="1"/>
  <c r="R904" i="1"/>
  <c r="AX903" i="1"/>
  <c r="AT903" i="1"/>
  <c r="AP903" i="1"/>
  <c r="AL903" i="1"/>
  <c r="AH903" i="1"/>
  <c r="AD903" i="1"/>
  <c r="AD690" i="1" s="1"/>
  <c r="Z903" i="1"/>
  <c r="BY899" i="1"/>
  <c r="BX899" i="1"/>
  <c r="CB898" i="1"/>
  <c r="CB882" i="1" s="1"/>
  <c r="CA898" i="1"/>
  <c r="BZ898" i="1"/>
  <c r="BF898" i="1"/>
  <c r="BE898" i="1"/>
  <c r="BE888" i="1" s="1"/>
  <c r="BD898" i="1"/>
  <c r="BC898" i="1"/>
  <c r="BC888" i="1" s="1"/>
  <c r="BB898" i="1"/>
  <c r="BA898" i="1"/>
  <c r="BA882" i="1" s="1"/>
  <c r="AZ898" i="1"/>
  <c r="BJ897" i="1"/>
  <c r="BI894" i="1"/>
  <c r="BY893" i="1"/>
  <c r="BI893" i="1"/>
  <c r="BY892" i="1"/>
  <c r="BW890" i="1"/>
  <c r="BV890" i="1"/>
  <c r="BU890" i="1"/>
  <c r="BT890" i="1"/>
  <c r="BS890" i="1"/>
  <c r="BR890" i="1"/>
  <c r="AE886" i="1" s="1"/>
  <c r="BQ890" i="1"/>
  <c r="BP890" i="1"/>
  <c r="BQ886" i="1" s="1"/>
  <c r="BO890" i="1"/>
  <c r="BN890" i="1"/>
  <c r="BM890" i="1"/>
  <c r="BN886" i="1" s="1"/>
  <c r="BN895" i="1" s="1"/>
  <c r="BL890" i="1"/>
  <c r="BM886" i="1" s="1"/>
  <c r="BK890" i="1"/>
  <c r="BJ890" i="1"/>
  <c r="BI890" i="1"/>
  <c r="BJ886" i="1" s="1"/>
  <c r="AY890" i="1"/>
  <c r="AZ886" i="1" s="1"/>
  <c r="AX890" i="1"/>
  <c r="AW890" i="1"/>
  <c r="AV890" i="1"/>
  <c r="AU890" i="1"/>
  <c r="AT890" i="1"/>
  <c r="AS890" i="1"/>
  <c r="AR890" i="1"/>
  <c r="AQ890" i="1"/>
  <c r="AP890" i="1"/>
  <c r="AO890" i="1"/>
  <c r="AN890" i="1"/>
  <c r="AM890" i="1"/>
  <c r="AL890" i="1"/>
  <c r="AK890" i="1"/>
  <c r="AJ890" i="1"/>
  <c r="AI890" i="1"/>
  <c r="AH890" i="1"/>
  <c r="AG890" i="1"/>
  <c r="AH886" i="1" s="1"/>
  <c r="AF890" i="1"/>
  <c r="AE890" i="1"/>
  <c r="AC890" i="1"/>
  <c r="AD886" i="1" s="1"/>
  <c r="AB890" i="1"/>
  <c r="AC886" i="1" s="1"/>
  <c r="AA890" i="1"/>
  <c r="Z890" i="1"/>
  <c r="Y890" i="1"/>
  <c r="X890" i="1"/>
  <c r="W890" i="1"/>
  <c r="V890" i="1"/>
  <c r="U890" i="1"/>
  <c r="T890" i="1"/>
  <c r="S890" i="1"/>
  <c r="Q890" i="1"/>
  <c r="R886" i="1" s="1"/>
  <c r="P890" i="1"/>
  <c r="O890" i="1"/>
  <c r="P886" i="1" s="1"/>
  <c r="N890" i="1"/>
  <c r="M890" i="1"/>
  <c r="L890" i="1"/>
  <c r="M886" i="1" s="1"/>
  <c r="K890" i="1"/>
  <c r="L886" i="1" s="1"/>
  <c r="L889" i="1" s="1"/>
  <c r="J890" i="1"/>
  <c r="I890" i="1"/>
  <c r="H890" i="1"/>
  <c r="I886" i="1" s="1"/>
  <c r="G890" i="1"/>
  <c r="H886" i="1" s="1"/>
  <c r="H889" i="1" s="1"/>
  <c r="F890" i="1"/>
  <c r="E890" i="1"/>
  <c r="F886" i="1" s="1"/>
  <c r="D890" i="1"/>
  <c r="E886" i="1" s="1"/>
  <c r="C890" i="1"/>
  <c r="BP889" i="1"/>
  <c r="CB888" i="1"/>
  <c r="BZ888" i="1"/>
  <c r="BB888" i="1"/>
  <c r="BA888" i="1"/>
  <c r="AZ888" i="1"/>
  <c r="BW887" i="1"/>
  <c r="BV887" i="1"/>
  <c r="BU887" i="1"/>
  <c r="BU897" i="1" s="1"/>
  <c r="BT887" i="1"/>
  <c r="BS887" i="1"/>
  <c r="BR887" i="1"/>
  <c r="BQ887" i="1"/>
  <c r="BQ893" i="1" s="1"/>
  <c r="BP887" i="1"/>
  <c r="BP897" i="1" s="1"/>
  <c r="BO887" i="1"/>
  <c r="BN887" i="1"/>
  <c r="BM887" i="1"/>
  <c r="BL887" i="1"/>
  <c r="BK887" i="1"/>
  <c r="BJ887" i="1"/>
  <c r="BI887" i="1"/>
  <c r="AS887" i="1"/>
  <c r="AR887" i="1"/>
  <c r="AQ887" i="1"/>
  <c r="AO887" i="1"/>
  <c r="AN887" i="1"/>
  <c r="AM887" i="1"/>
  <c r="AK887" i="1"/>
  <c r="AJ887" i="1"/>
  <c r="AI887" i="1"/>
  <c r="AI897" i="1" s="1"/>
  <c r="AG887" i="1"/>
  <c r="AF887" i="1"/>
  <c r="AE887" i="1"/>
  <c r="AC887" i="1"/>
  <c r="AB887" i="1"/>
  <c r="AA887" i="1"/>
  <c r="Y887" i="1"/>
  <c r="X887" i="1"/>
  <c r="W887" i="1"/>
  <c r="U887" i="1"/>
  <c r="T887" i="1"/>
  <c r="S887" i="1"/>
  <c r="Q887" i="1"/>
  <c r="P887" i="1"/>
  <c r="O887" i="1"/>
  <c r="M887" i="1"/>
  <c r="L887" i="1"/>
  <c r="K887" i="1"/>
  <c r="I887" i="1"/>
  <c r="H887" i="1"/>
  <c r="G887" i="1"/>
  <c r="E887" i="1"/>
  <c r="D887" i="1"/>
  <c r="C887" i="1"/>
  <c r="BS886" i="1"/>
  <c r="BR886" i="1"/>
  <c r="BP886" i="1"/>
  <c r="BO886" i="1"/>
  <c r="AX886" i="1"/>
  <c r="AW886" i="1"/>
  <c r="AV886" i="1"/>
  <c r="AT886" i="1"/>
  <c r="AS886" i="1"/>
  <c r="AP886" i="1"/>
  <c r="AO886" i="1"/>
  <c r="AL886" i="1"/>
  <c r="AK886" i="1"/>
  <c r="AI886" i="1"/>
  <c r="AG886" i="1"/>
  <c r="AG889" i="1" s="1"/>
  <c r="Y886" i="1"/>
  <c r="W886" i="1"/>
  <c r="V886" i="1"/>
  <c r="U886" i="1"/>
  <c r="T886" i="1"/>
  <c r="S886" i="1"/>
  <c r="Q886" i="1"/>
  <c r="Q889" i="1" s="1"/>
  <c r="K886" i="1"/>
  <c r="G886" i="1"/>
  <c r="G889" i="1" s="1"/>
  <c r="D886" i="1"/>
  <c r="BW884" i="1"/>
  <c r="BV884" i="1"/>
  <c r="BU884" i="1"/>
  <c r="BT884" i="1"/>
  <c r="BS884" i="1"/>
  <c r="BR884" i="1"/>
  <c r="AE880" i="1" s="1"/>
  <c r="BQ884" i="1"/>
  <c r="BP884" i="1"/>
  <c r="BO884" i="1"/>
  <c r="S880" i="1" s="1"/>
  <c r="BN884" i="1"/>
  <c r="BM884" i="1"/>
  <c r="BL884" i="1"/>
  <c r="BK884" i="1"/>
  <c r="BJ884" i="1"/>
  <c r="BK880" i="1" s="1"/>
  <c r="BI884" i="1"/>
  <c r="BJ880" i="1" s="1"/>
  <c r="AY884" i="1"/>
  <c r="AZ880" i="1" s="1"/>
  <c r="AW884" i="1"/>
  <c r="AX880" i="1" s="1"/>
  <c r="AV884" i="1"/>
  <c r="AW880" i="1" s="1"/>
  <c r="AU884" i="1"/>
  <c r="AV880" i="1" s="1"/>
  <c r="AS884" i="1"/>
  <c r="AT880" i="1" s="1"/>
  <c r="AR884" i="1"/>
  <c r="AQ884" i="1"/>
  <c r="AP884" i="1"/>
  <c r="AO884" i="1"/>
  <c r="AP880" i="1" s="1"/>
  <c r="AN884" i="1"/>
  <c r="AM884" i="1"/>
  <c r="AK884" i="1"/>
  <c r="AL880" i="1" s="1"/>
  <c r="AJ884" i="1"/>
  <c r="AK880" i="1" s="1"/>
  <c r="AI884" i="1"/>
  <c r="AG884" i="1"/>
  <c r="AF884" i="1"/>
  <c r="AE884" i="1"/>
  <c r="AC884" i="1"/>
  <c r="AD880" i="1" s="1"/>
  <c r="AB884" i="1"/>
  <c r="AA884" i="1"/>
  <c r="Y884" i="1"/>
  <c r="X884" i="1"/>
  <c r="Y880" i="1" s="1"/>
  <c r="W884" i="1"/>
  <c r="X880" i="1" s="1"/>
  <c r="U884" i="1"/>
  <c r="T884" i="1"/>
  <c r="S884" i="1"/>
  <c r="R884" i="1"/>
  <c r="Q884" i="1"/>
  <c r="R880" i="1" s="1"/>
  <c r="P884" i="1"/>
  <c r="O884" i="1"/>
  <c r="N884" i="1"/>
  <c r="M884" i="1"/>
  <c r="L884" i="1"/>
  <c r="M880" i="1" s="1"/>
  <c r="K884" i="1"/>
  <c r="L880" i="1" s="1"/>
  <c r="J884" i="1"/>
  <c r="I884" i="1"/>
  <c r="J880" i="1" s="1"/>
  <c r="H884" i="1"/>
  <c r="G884" i="1"/>
  <c r="F884" i="1"/>
  <c r="E884" i="1"/>
  <c r="D884" i="1"/>
  <c r="E880" i="1" s="1"/>
  <c r="C884" i="1"/>
  <c r="D880" i="1" s="1"/>
  <c r="BZ882" i="1"/>
  <c r="BE882" i="1"/>
  <c r="BC882" i="1"/>
  <c r="BB882" i="1"/>
  <c r="AZ882" i="1"/>
  <c r="BW881" i="1"/>
  <c r="BW897" i="1" s="1"/>
  <c r="BV881" i="1"/>
  <c r="BV897" i="1" s="1"/>
  <c r="BU881" i="1"/>
  <c r="BT881" i="1"/>
  <c r="BS881" i="1"/>
  <c r="BS892" i="1" s="1"/>
  <c r="BR881" i="1"/>
  <c r="BQ881" i="1"/>
  <c r="BP881" i="1"/>
  <c r="BO881" i="1"/>
  <c r="BN881" i="1"/>
  <c r="BM881" i="1"/>
  <c r="BL881" i="1"/>
  <c r="BK881" i="1"/>
  <c r="BK897" i="1" s="1"/>
  <c r="BJ881" i="1"/>
  <c r="BI881" i="1"/>
  <c r="BI892" i="1" s="1"/>
  <c r="AY881" i="1"/>
  <c r="AW881" i="1"/>
  <c r="AV881" i="1"/>
  <c r="AU881" i="1"/>
  <c r="AS881" i="1"/>
  <c r="AR881" i="1"/>
  <c r="AR897" i="1" s="1"/>
  <c r="AQ881" i="1"/>
  <c r="AQ897" i="1" s="1"/>
  <c r="AO881" i="1"/>
  <c r="AO897" i="1" s="1"/>
  <c r="AN881" i="1"/>
  <c r="AM881" i="1"/>
  <c r="AK881" i="1"/>
  <c r="AJ881" i="1"/>
  <c r="AI881" i="1"/>
  <c r="AG881" i="1"/>
  <c r="AF881" i="1"/>
  <c r="AF897" i="1" s="1"/>
  <c r="AE881" i="1"/>
  <c r="AC881" i="1"/>
  <c r="AB881" i="1"/>
  <c r="AA881" i="1"/>
  <c r="BX880" i="1"/>
  <c r="BS880" i="1"/>
  <c r="BS894" i="1" s="1"/>
  <c r="BQ880" i="1"/>
  <c r="BO880" i="1"/>
  <c r="BN880" i="1"/>
  <c r="BM880" i="1"/>
  <c r="AR880" i="1"/>
  <c r="AO880" i="1"/>
  <c r="AF880" i="1"/>
  <c r="AC880" i="1"/>
  <c r="W880" i="1"/>
  <c r="T880" i="1"/>
  <c r="Q880" i="1"/>
  <c r="P880" i="1"/>
  <c r="O880" i="1"/>
  <c r="N880" i="1"/>
  <c r="K880" i="1"/>
  <c r="H880" i="1"/>
  <c r="BW868" i="1"/>
  <c r="BV868" i="1"/>
  <c r="BU868" i="1"/>
  <c r="BT868" i="1"/>
  <c r="BS868" i="1"/>
  <c r="BR868" i="1"/>
  <c r="BQ868" i="1"/>
  <c r="BP868" i="1"/>
  <c r="BO868" i="1"/>
  <c r="BJ868" i="1"/>
  <c r="BI868" i="1"/>
  <c r="BH868" i="1"/>
  <c r="AY868" i="1"/>
  <c r="AW868" i="1"/>
  <c r="AV868" i="1"/>
  <c r="AU868" i="1"/>
  <c r="AS868" i="1"/>
  <c r="AR868" i="1"/>
  <c r="AQ868" i="1"/>
  <c r="AO868" i="1"/>
  <c r="AN868" i="1"/>
  <c r="AM868" i="1"/>
  <c r="AK868" i="1"/>
  <c r="AJ868" i="1"/>
  <c r="AI868" i="1"/>
  <c r="AG868" i="1"/>
  <c r="AF868" i="1"/>
  <c r="AE868" i="1"/>
  <c r="AD868" i="1"/>
  <c r="AC868" i="1"/>
  <c r="AB868" i="1"/>
  <c r="AA868" i="1"/>
  <c r="Z868" i="1"/>
  <c r="Y868" i="1"/>
  <c r="X868" i="1"/>
  <c r="W868" i="1"/>
  <c r="U868" i="1"/>
  <c r="T868" i="1"/>
  <c r="S868" i="1"/>
  <c r="Q868" i="1"/>
  <c r="P868" i="1"/>
  <c r="O868" i="1"/>
  <c r="M868" i="1"/>
  <c r="L868" i="1"/>
  <c r="K868" i="1"/>
  <c r="I868" i="1"/>
  <c r="H868" i="1"/>
  <c r="G868" i="1"/>
  <c r="C868" i="1"/>
  <c r="A868" i="1"/>
  <c r="BN867" i="1"/>
  <c r="BM867" i="1"/>
  <c r="BL867" i="1"/>
  <c r="BK867" i="1"/>
  <c r="E867" i="1"/>
  <c r="E868" i="1" s="1"/>
  <c r="D867" i="1"/>
  <c r="C867" i="1"/>
  <c r="A867" i="1"/>
  <c r="BN866" i="1"/>
  <c r="BM866" i="1"/>
  <c r="BM868" i="1" s="1"/>
  <c r="BL866" i="1"/>
  <c r="BK866" i="1"/>
  <c r="BK868" i="1" s="1"/>
  <c r="E866" i="1"/>
  <c r="D866" i="1"/>
  <c r="D868" i="1" s="1"/>
  <c r="C866" i="1"/>
  <c r="A866" i="1"/>
  <c r="BW865" i="1"/>
  <c r="BV865" i="1"/>
  <c r="BU865" i="1"/>
  <c r="BQ865" i="1"/>
  <c r="BP865" i="1"/>
  <c r="BO865" i="1"/>
  <c r="BN865" i="1"/>
  <c r="BM865" i="1"/>
  <c r="BL865" i="1"/>
  <c r="BK865" i="1"/>
  <c r="BJ865" i="1"/>
  <c r="BI865" i="1"/>
  <c r="BH865" i="1"/>
  <c r="AY865" i="1"/>
  <c r="AW865" i="1"/>
  <c r="AV865" i="1"/>
  <c r="AU865" i="1"/>
  <c r="AS865" i="1"/>
  <c r="AR865" i="1"/>
  <c r="AQ865" i="1"/>
  <c r="AP865" i="1"/>
  <c r="AO865" i="1"/>
  <c r="AN865" i="1"/>
  <c r="AM865" i="1"/>
  <c r="AC865" i="1"/>
  <c r="AB865" i="1"/>
  <c r="AA865" i="1"/>
  <c r="U865" i="1"/>
  <c r="T865" i="1"/>
  <c r="S865" i="1"/>
  <c r="R865" i="1"/>
  <c r="Q865" i="1"/>
  <c r="P865" i="1"/>
  <c r="O865" i="1"/>
  <c r="M865" i="1"/>
  <c r="L865" i="1"/>
  <c r="K865" i="1"/>
  <c r="I865" i="1"/>
  <c r="H865" i="1"/>
  <c r="G865" i="1"/>
  <c r="E865" i="1"/>
  <c r="D865" i="1"/>
  <c r="C865" i="1"/>
  <c r="A865" i="1"/>
  <c r="A863" i="1"/>
  <c r="W862" i="1"/>
  <c r="A862" i="1"/>
  <c r="A860" i="1"/>
  <c r="BY859" i="1"/>
  <c r="BW859" i="1"/>
  <c r="BV859" i="1"/>
  <c r="BU859" i="1"/>
  <c r="BT859" i="1"/>
  <c r="BS859" i="1"/>
  <c r="BR859" i="1"/>
  <c r="BQ859" i="1"/>
  <c r="BP859" i="1"/>
  <c r="BO859" i="1"/>
  <c r="BN859" i="1"/>
  <c r="BM859" i="1"/>
  <c r="BL859" i="1"/>
  <c r="BK859" i="1"/>
  <c r="BJ859" i="1"/>
  <c r="BI859" i="1"/>
  <c r="BH859" i="1"/>
  <c r="AY859" i="1"/>
  <c r="BX859" i="1" s="1"/>
  <c r="AW859" i="1"/>
  <c r="AV859" i="1"/>
  <c r="AU859" i="1"/>
  <c r="AS859" i="1"/>
  <c r="AR859" i="1"/>
  <c r="AQ859" i="1"/>
  <c r="AO859" i="1"/>
  <c r="AN859" i="1"/>
  <c r="AM859" i="1"/>
  <c r="AK859" i="1"/>
  <c r="AJ859" i="1"/>
  <c r="AI859" i="1"/>
  <c r="AG859" i="1"/>
  <c r="AF859" i="1"/>
  <c r="AE859" i="1"/>
  <c r="AD859" i="1"/>
  <c r="AC859" i="1"/>
  <c r="AB859" i="1"/>
  <c r="AA859" i="1"/>
  <c r="Y859" i="1"/>
  <c r="X859" i="1"/>
  <c r="W859" i="1"/>
  <c r="U859" i="1"/>
  <c r="T859" i="1"/>
  <c r="S859" i="1"/>
  <c r="Q859" i="1"/>
  <c r="P859" i="1"/>
  <c r="O859" i="1"/>
  <c r="M859" i="1"/>
  <c r="L859" i="1"/>
  <c r="K859" i="1"/>
  <c r="I859" i="1"/>
  <c r="H859" i="1"/>
  <c r="G859" i="1"/>
  <c r="E859" i="1"/>
  <c r="D859" i="1"/>
  <c r="C859" i="1"/>
  <c r="A859" i="1"/>
  <c r="A857" i="1"/>
  <c r="BY856" i="1"/>
  <c r="BW856" i="1"/>
  <c r="BV856" i="1"/>
  <c r="BU856" i="1"/>
  <c r="BT856" i="1"/>
  <c r="BS856" i="1"/>
  <c r="BR856" i="1"/>
  <c r="BQ856" i="1"/>
  <c r="BP856" i="1"/>
  <c r="BO856" i="1"/>
  <c r="BN856" i="1"/>
  <c r="BM856" i="1"/>
  <c r="BL856" i="1"/>
  <c r="BK856" i="1"/>
  <c r="BJ856" i="1"/>
  <c r="BI856" i="1"/>
  <c r="BH856" i="1"/>
  <c r="AY856" i="1"/>
  <c r="BX856" i="1" s="1"/>
  <c r="AW856" i="1"/>
  <c r="AV856" i="1"/>
  <c r="AU856" i="1"/>
  <c r="AS856" i="1"/>
  <c r="AR856" i="1"/>
  <c r="AQ856" i="1"/>
  <c r="AO856" i="1"/>
  <c r="AN856" i="1"/>
  <c r="AM856" i="1"/>
  <c r="AL856" i="1"/>
  <c r="AK856" i="1"/>
  <c r="AJ856" i="1"/>
  <c r="AI856" i="1"/>
  <c r="AH856" i="1"/>
  <c r="AG856" i="1"/>
  <c r="AF856" i="1"/>
  <c r="AE856" i="1"/>
  <c r="AC856" i="1"/>
  <c r="AB856" i="1"/>
  <c r="AA856" i="1"/>
  <c r="Y856" i="1"/>
  <c r="X856" i="1"/>
  <c r="W856" i="1"/>
  <c r="U856" i="1"/>
  <c r="T856" i="1"/>
  <c r="S856" i="1"/>
  <c r="Q856" i="1"/>
  <c r="P856" i="1"/>
  <c r="O856" i="1"/>
  <c r="M856" i="1"/>
  <c r="L856" i="1"/>
  <c r="K856" i="1"/>
  <c r="I856" i="1"/>
  <c r="H856" i="1"/>
  <c r="G856" i="1"/>
  <c r="E856" i="1"/>
  <c r="D856" i="1"/>
  <c r="C856" i="1"/>
  <c r="A856" i="1"/>
  <c r="BW855" i="1"/>
  <c r="BV855" i="1"/>
  <c r="BU855" i="1"/>
  <c r="BT855" i="1"/>
  <c r="BS855" i="1"/>
  <c r="BS670" i="1" s="1"/>
  <c r="BS67" i="9" s="1"/>
  <c r="BR855" i="1"/>
  <c r="BQ855" i="1"/>
  <c r="BP855" i="1"/>
  <c r="BP670" i="1" s="1"/>
  <c r="BP67" i="9" s="1"/>
  <c r="BO855" i="1"/>
  <c r="BN855" i="1"/>
  <c r="BM855" i="1"/>
  <c r="BL855" i="1"/>
  <c r="BK855" i="1"/>
  <c r="BJ855" i="1"/>
  <c r="BI855" i="1"/>
  <c r="BH855" i="1"/>
  <c r="AY855" i="1"/>
  <c r="AX855" i="1"/>
  <c r="AX670" i="1" s="1"/>
  <c r="AX67" i="9" s="1"/>
  <c r="AW855" i="1"/>
  <c r="AV855" i="1"/>
  <c r="AU855" i="1"/>
  <c r="AS855" i="1"/>
  <c r="AR855" i="1"/>
  <c r="AQ855" i="1"/>
  <c r="AQ670" i="1" s="1"/>
  <c r="AQ67" i="9" s="1"/>
  <c r="AO855" i="1"/>
  <c r="AN855" i="1"/>
  <c r="AM855" i="1"/>
  <c r="AK855" i="1"/>
  <c r="AJ855" i="1"/>
  <c r="AI855" i="1"/>
  <c r="AI670" i="1" s="1"/>
  <c r="AI67" i="9" s="1"/>
  <c r="AH855" i="1"/>
  <c r="AG855" i="1"/>
  <c r="AF855" i="1"/>
  <c r="AE855" i="1"/>
  <c r="AE670" i="1" s="1"/>
  <c r="AE67" i="9" s="1"/>
  <c r="AC855" i="1"/>
  <c r="AB855" i="1"/>
  <c r="AA855" i="1"/>
  <c r="Y855" i="1"/>
  <c r="X855" i="1"/>
  <c r="W855" i="1"/>
  <c r="U855" i="1"/>
  <c r="T855" i="1"/>
  <c r="S855" i="1"/>
  <c r="S670" i="1" s="1"/>
  <c r="S67" i="9" s="1"/>
  <c r="Q855" i="1"/>
  <c r="Q670" i="1" s="1"/>
  <c r="Q67" i="9" s="1"/>
  <c r="P855" i="1"/>
  <c r="O855" i="1"/>
  <c r="N855" i="1"/>
  <c r="M855" i="1"/>
  <c r="L855" i="1"/>
  <c r="K855" i="1"/>
  <c r="K670" i="1" s="1"/>
  <c r="K67" i="9" s="1"/>
  <c r="J855" i="1"/>
  <c r="I855" i="1"/>
  <c r="H855" i="1"/>
  <c r="G855" i="1"/>
  <c r="G670" i="1" s="1"/>
  <c r="G67" i="9" s="1"/>
  <c r="F855" i="1"/>
  <c r="E855" i="1"/>
  <c r="E670" i="1" s="1"/>
  <c r="E67" i="9" s="1"/>
  <c r="D855" i="1"/>
  <c r="C855" i="1"/>
  <c r="C670" i="1" s="1"/>
  <c r="C67" i="9" s="1"/>
  <c r="A855" i="1"/>
  <c r="BY854" i="1"/>
  <c r="BW854" i="1"/>
  <c r="BV854" i="1"/>
  <c r="BU854" i="1"/>
  <c r="BT854" i="1"/>
  <c r="BS854" i="1"/>
  <c r="BR854" i="1"/>
  <c r="BQ854" i="1"/>
  <c r="BP854" i="1"/>
  <c r="BO854" i="1"/>
  <c r="BN854" i="1"/>
  <c r="BM854" i="1"/>
  <c r="BL854" i="1"/>
  <c r="BK854" i="1"/>
  <c r="BJ854" i="1"/>
  <c r="BI854" i="1"/>
  <c r="BH854" i="1"/>
  <c r="AY854" i="1"/>
  <c r="BX854" i="1" s="1"/>
  <c r="AW854" i="1"/>
  <c r="AV854" i="1"/>
  <c r="AU854" i="1"/>
  <c r="AS854" i="1"/>
  <c r="AR854" i="1"/>
  <c r="AQ854" i="1"/>
  <c r="AO854" i="1"/>
  <c r="AN854" i="1"/>
  <c r="AM854" i="1"/>
  <c r="AK854" i="1"/>
  <c r="AJ854" i="1"/>
  <c r="AI854" i="1"/>
  <c r="AG854" i="1"/>
  <c r="AF854" i="1"/>
  <c r="AE854" i="1"/>
  <c r="AC854" i="1"/>
  <c r="AB854" i="1"/>
  <c r="AA854" i="1"/>
  <c r="Y854" i="1"/>
  <c r="X854" i="1"/>
  <c r="W854" i="1"/>
  <c r="V854" i="1"/>
  <c r="U854" i="1"/>
  <c r="T854" i="1"/>
  <c r="S854" i="1"/>
  <c r="R854" i="1"/>
  <c r="Q854" i="1"/>
  <c r="P854" i="1"/>
  <c r="O854" i="1"/>
  <c r="N854" i="1"/>
  <c r="M854" i="1"/>
  <c r="L854" i="1"/>
  <c r="K854" i="1"/>
  <c r="J854" i="1"/>
  <c r="I854" i="1"/>
  <c r="H854" i="1"/>
  <c r="G854" i="1"/>
  <c r="F854" i="1"/>
  <c r="E854" i="1"/>
  <c r="D854" i="1"/>
  <c r="C854" i="1"/>
  <c r="A854" i="1"/>
  <c r="CB853" i="1"/>
  <c r="CA853" i="1"/>
  <c r="BZ853" i="1"/>
  <c r="BW853" i="1"/>
  <c r="BV853" i="1"/>
  <c r="BU853" i="1"/>
  <c r="BT853" i="1"/>
  <c r="BS853" i="1"/>
  <c r="BR853" i="1"/>
  <c r="BR674" i="1" s="1"/>
  <c r="BR71" i="9" s="1"/>
  <c r="BQ853" i="1"/>
  <c r="BP853" i="1"/>
  <c r="BO853" i="1"/>
  <c r="BN853" i="1"/>
  <c r="BM853" i="1"/>
  <c r="BL853" i="1"/>
  <c r="BK853" i="1"/>
  <c r="BJ853" i="1"/>
  <c r="BI853" i="1"/>
  <c r="BH853" i="1"/>
  <c r="BF853" i="1"/>
  <c r="BY853" i="1" s="1"/>
  <c r="BE853" i="1"/>
  <c r="BD853" i="1"/>
  <c r="BC853" i="1"/>
  <c r="BB853" i="1"/>
  <c r="BA853" i="1"/>
  <c r="AZ853" i="1"/>
  <c r="AY853" i="1"/>
  <c r="AW853" i="1"/>
  <c r="AV853" i="1"/>
  <c r="AU853" i="1"/>
  <c r="AS853" i="1"/>
  <c r="AR853" i="1"/>
  <c r="AR674" i="1" s="1"/>
  <c r="AR71" i="9" s="1"/>
  <c r="AQ853" i="1"/>
  <c r="AO853" i="1"/>
  <c r="AN853" i="1"/>
  <c r="AM853" i="1"/>
  <c r="AK853" i="1"/>
  <c r="AJ853" i="1"/>
  <c r="AI853" i="1"/>
  <c r="AG853" i="1"/>
  <c r="AF853" i="1"/>
  <c r="AE853" i="1"/>
  <c r="AC853" i="1"/>
  <c r="AB853" i="1"/>
  <c r="AA853" i="1"/>
  <c r="Y853" i="1"/>
  <c r="X853" i="1"/>
  <c r="W853" i="1"/>
  <c r="U853" i="1"/>
  <c r="T853" i="1"/>
  <c r="S853" i="1"/>
  <c r="R853" i="1"/>
  <c r="Q853" i="1"/>
  <c r="P853" i="1"/>
  <c r="O853" i="1"/>
  <c r="N853" i="1"/>
  <c r="M853" i="1"/>
  <c r="M674" i="1" s="1"/>
  <c r="M71" i="9" s="1"/>
  <c r="L853" i="1"/>
  <c r="K853" i="1"/>
  <c r="J853" i="1"/>
  <c r="I853" i="1"/>
  <c r="H853" i="1"/>
  <c r="G853" i="1"/>
  <c r="F853" i="1"/>
  <c r="E853" i="1"/>
  <c r="D853" i="1"/>
  <c r="C853" i="1"/>
  <c r="A853" i="1"/>
  <c r="BY852" i="1"/>
  <c r="BX852" i="1"/>
  <c r="BW852" i="1"/>
  <c r="BV852" i="1"/>
  <c r="BU852" i="1"/>
  <c r="BT852" i="1"/>
  <c r="BS852" i="1"/>
  <c r="BR852" i="1"/>
  <c r="BQ852" i="1"/>
  <c r="BP852" i="1"/>
  <c r="BO852" i="1"/>
  <c r="BN852" i="1"/>
  <c r="BM852" i="1"/>
  <c r="BL852" i="1"/>
  <c r="BK852" i="1"/>
  <c r="BJ852" i="1"/>
  <c r="BI852" i="1"/>
  <c r="BH852" i="1"/>
  <c r="AY852" i="1"/>
  <c r="AW852" i="1"/>
  <c r="AV852" i="1"/>
  <c r="AU852" i="1"/>
  <c r="AS852" i="1"/>
  <c r="AR852" i="1"/>
  <c r="AQ852" i="1"/>
  <c r="AO852" i="1"/>
  <c r="AN852" i="1"/>
  <c r="AM852" i="1"/>
  <c r="AK852" i="1"/>
  <c r="AJ852" i="1"/>
  <c r="AI852" i="1"/>
  <c r="AG852" i="1"/>
  <c r="AF852" i="1"/>
  <c r="AE852" i="1"/>
  <c r="AC852" i="1"/>
  <c r="AB852" i="1"/>
  <c r="AA852" i="1"/>
  <c r="Y852" i="1"/>
  <c r="X852" i="1"/>
  <c r="W852" i="1"/>
  <c r="U852" i="1"/>
  <c r="T852" i="1"/>
  <c r="S852" i="1"/>
  <c r="Q852" i="1"/>
  <c r="P852" i="1"/>
  <c r="O852" i="1"/>
  <c r="M852" i="1"/>
  <c r="L852" i="1"/>
  <c r="K852" i="1"/>
  <c r="I852" i="1"/>
  <c r="H852" i="1"/>
  <c r="G852" i="1"/>
  <c r="E852" i="1"/>
  <c r="D852" i="1"/>
  <c r="C852" i="1"/>
  <c r="A852" i="1"/>
  <c r="BY851" i="1"/>
  <c r="BX851" i="1"/>
  <c r="BW851" i="1"/>
  <c r="BW374" i="1" s="1"/>
  <c r="BV851" i="1"/>
  <c r="BV374" i="1" s="1"/>
  <c r="BU851" i="1"/>
  <c r="BT851" i="1"/>
  <c r="BS851" i="1"/>
  <c r="BR851" i="1"/>
  <c r="BQ851" i="1"/>
  <c r="BP851" i="1"/>
  <c r="BO851" i="1"/>
  <c r="BN851" i="1"/>
  <c r="BM851" i="1"/>
  <c r="BL851" i="1"/>
  <c r="BK851" i="1"/>
  <c r="BJ851" i="1"/>
  <c r="BI851" i="1"/>
  <c r="BH851" i="1"/>
  <c r="AY851" i="1"/>
  <c r="AW851" i="1"/>
  <c r="AV851" i="1"/>
  <c r="AU851" i="1"/>
  <c r="AS851" i="1"/>
  <c r="AR851" i="1"/>
  <c r="AQ851" i="1"/>
  <c r="AO851" i="1"/>
  <c r="AO374" i="1" s="1"/>
  <c r="AO375" i="1" s="1"/>
  <c r="AN851" i="1"/>
  <c r="AN665" i="1" s="1"/>
  <c r="AM851" i="1"/>
  <c r="AM665" i="1" s="1"/>
  <c r="AK851" i="1"/>
  <c r="AJ851" i="1"/>
  <c r="AI851" i="1"/>
  <c r="AH851" i="1"/>
  <c r="AG851" i="1"/>
  <c r="AF851" i="1"/>
  <c r="AE851" i="1"/>
  <c r="AC851" i="1"/>
  <c r="AB851" i="1"/>
  <c r="AA851" i="1"/>
  <c r="Y851" i="1"/>
  <c r="X851" i="1"/>
  <c r="W851" i="1"/>
  <c r="U851" i="1"/>
  <c r="T851" i="1"/>
  <c r="S851" i="1"/>
  <c r="Q851" i="1"/>
  <c r="P851" i="1"/>
  <c r="O851" i="1"/>
  <c r="M851" i="1"/>
  <c r="L851" i="1"/>
  <c r="K851" i="1"/>
  <c r="I851" i="1"/>
  <c r="H851" i="1"/>
  <c r="G851" i="1"/>
  <c r="E851" i="1"/>
  <c r="D851" i="1"/>
  <c r="C851" i="1"/>
  <c r="A851" i="1"/>
  <c r="BY850" i="1"/>
  <c r="BW850" i="1"/>
  <c r="BV850" i="1"/>
  <c r="BU850" i="1"/>
  <c r="BT850" i="1"/>
  <c r="BS850" i="1"/>
  <c r="BR850" i="1"/>
  <c r="BQ850" i="1"/>
  <c r="BP850" i="1"/>
  <c r="BO850" i="1"/>
  <c r="BN850" i="1"/>
  <c r="BM850" i="1"/>
  <c r="BL850" i="1"/>
  <c r="BK850" i="1"/>
  <c r="BJ850" i="1"/>
  <c r="BI850" i="1"/>
  <c r="BH850" i="1"/>
  <c r="AY850" i="1"/>
  <c r="BX850" i="1" s="1"/>
  <c r="AW850" i="1"/>
  <c r="AV850" i="1"/>
  <c r="AU850" i="1"/>
  <c r="AS850" i="1"/>
  <c r="AR850" i="1"/>
  <c r="AQ850" i="1"/>
  <c r="AO850" i="1"/>
  <c r="AN850" i="1"/>
  <c r="AM850" i="1"/>
  <c r="AK850" i="1"/>
  <c r="AJ850" i="1"/>
  <c r="AI850" i="1"/>
  <c r="AH850" i="1"/>
  <c r="AG850" i="1"/>
  <c r="AF850" i="1"/>
  <c r="AE850" i="1"/>
  <c r="AC850" i="1"/>
  <c r="AB850" i="1"/>
  <c r="AA850" i="1"/>
  <c r="Y850" i="1"/>
  <c r="X850" i="1"/>
  <c r="W850" i="1"/>
  <c r="U850" i="1"/>
  <c r="T850" i="1"/>
  <c r="S850" i="1"/>
  <c r="Q850" i="1"/>
  <c r="P850" i="1"/>
  <c r="O850" i="1"/>
  <c r="M850" i="1"/>
  <c r="L850" i="1"/>
  <c r="K850" i="1"/>
  <c r="I850" i="1"/>
  <c r="H850" i="1"/>
  <c r="G850" i="1"/>
  <c r="E850" i="1"/>
  <c r="D850" i="1"/>
  <c r="C850" i="1"/>
  <c r="A850" i="1"/>
  <c r="BY849" i="1"/>
  <c r="BW849" i="1"/>
  <c r="BV849" i="1"/>
  <c r="BU849" i="1"/>
  <c r="BT849" i="1"/>
  <c r="BS849" i="1"/>
  <c r="BS673" i="1" s="1"/>
  <c r="BS72" i="9" s="1"/>
  <c r="BR849" i="1"/>
  <c r="BQ849" i="1"/>
  <c r="BP849" i="1"/>
  <c r="BO849" i="1"/>
  <c r="BN849" i="1"/>
  <c r="BM849" i="1"/>
  <c r="BL849" i="1"/>
  <c r="BK849" i="1"/>
  <c r="BJ849" i="1"/>
  <c r="BI849" i="1"/>
  <c r="BH849" i="1"/>
  <c r="BH673" i="1" s="1"/>
  <c r="BH72" i="9" s="1"/>
  <c r="AY849" i="1"/>
  <c r="BX849" i="1" s="1"/>
  <c r="AW849" i="1"/>
  <c r="AV849" i="1"/>
  <c r="AU849" i="1"/>
  <c r="AU673" i="1" s="1"/>
  <c r="AU72" i="9" s="1"/>
  <c r="AS849" i="1"/>
  <c r="AR849" i="1"/>
  <c r="AQ849" i="1"/>
  <c r="AO849" i="1"/>
  <c r="AN849" i="1"/>
  <c r="AM849" i="1"/>
  <c r="AK849" i="1"/>
  <c r="AJ849" i="1"/>
  <c r="AI849" i="1"/>
  <c r="AI673" i="1" s="1"/>
  <c r="AI72" i="9" s="1"/>
  <c r="AG849" i="1"/>
  <c r="AG673" i="1" s="1"/>
  <c r="AG72" i="9" s="1"/>
  <c r="AF849" i="1"/>
  <c r="AE849" i="1"/>
  <c r="AE673" i="1" s="1"/>
  <c r="AE72" i="9" s="1"/>
  <c r="AC849" i="1"/>
  <c r="AB849" i="1"/>
  <c r="AA849" i="1"/>
  <c r="Y849" i="1"/>
  <c r="X849" i="1"/>
  <c r="W849" i="1"/>
  <c r="U849" i="1"/>
  <c r="U673" i="1" s="1"/>
  <c r="U72" i="9" s="1"/>
  <c r="T849" i="1"/>
  <c r="S849" i="1"/>
  <c r="Q849" i="1"/>
  <c r="Q673" i="1" s="1"/>
  <c r="Q72" i="9" s="1"/>
  <c r="P849" i="1"/>
  <c r="P673" i="1" s="1"/>
  <c r="P72" i="9" s="1"/>
  <c r="O849" i="1"/>
  <c r="M849" i="1"/>
  <c r="L849" i="1"/>
  <c r="K849" i="1"/>
  <c r="I849" i="1"/>
  <c r="H849" i="1"/>
  <c r="G849" i="1"/>
  <c r="E849" i="1"/>
  <c r="D849" i="1"/>
  <c r="C849" i="1"/>
  <c r="A849" i="1"/>
  <c r="CB848" i="1"/>
  <c r="CA848" i="1"/>
  <c r="BZ848" i="1"/>
  <c r="BW848" i="1"/>
  <c r="BV848" i="1"/>
  <c r="BU848" i="1"/>
  <c r="BT848" i="1"/>
  <c r="BS848" i="1"/>
  <c r="BR848" i="1"/>
  <c r="BQ848" i="1"/>
  <c r="BP848" i="1"/>
  <c r="BO848" i="1"/>
  <c r="BO673" i="1" s="1"/>
  <c r="BO72" i="9" s="1"/>
  <c r="BN848" i="1"/>
  <c r="BM848" i="1"/>
  <c r="BL848" i="1"/>
  <c r="BK848" i="1"/>
  <c r="BJ848" i="1"/>
  <c r="BI848" i="1"/>
  <c r="BH848" i="1"/>
  <c r="BF848" i="1"/>
  <c r="BE848" i="1"/>
  <c r="BD848" i="1"/>
  <c r="BC848" i="1"/>
  <c r="BB848" i="1"/>
  <c r="BA848" i="1"/>
  <c r="AZ848" i="1"/>
  <c r="AY848" i="1"/>
  <c r="AX848" i="1"/>
  <c r="AX673" i="1" s="1"/>
  <c r="AX72" i="9" s="1"/>
  <c r="AW848" i="1"/>
  <c r="AV848" i="1"/>
  <c r="AU848" i="1"/>
  <c r="AS848" i="1"/>
  <c r="AR848" i="1"/>
  <c r="AQ848" i="1"/>
  <c r="AO848" i="1"/>
  <c r="AN848" i="1"/>
  <c r="AN673" i="1" s="1"/>
  <c r="AN72" i="9" s="1"/>
  <c r="AM848" i="1"/>
  <c r="AK848" i="1"/>
  <c r="AK673" i="1" s="1"/>
  <c r="AK72" i="9" s="1"/>
  <c r="AJ848" i="1"/>
  <c r="AI848" i="1"/>
  <c r="AH848" i="1"/>
  <c r="AG848" i="1"/>
  <c r="AF848" i="1"/>
  <c r="AE848" i="1"/>
  <c r="AC848" i="1"/>
  <c r="AB848" i="1"/>
  <c r="AA848" i="1"/>
  <c r="Y848" i="1"/>
  <c r="Y673" i="1" s="1"/>
  <c r="Y72" i="9" s="1"/>
  <c r="X848" i="1"/>
  <c r="X673" i="1" s="1"/>
  <c r="X72" i="9" s="1"/>
  <c r="W848" i="1"/>
  <c r="U848" i="1"/>
  <c r="T848" i="1"/>
  <c r="S848" i="1"/>
  <c r="S673" i="1" s="1"/>
  <c r="S72" i="9" s="1"/>
  <c r="Q848" i="1"/>
  <c r="P848" i="1"/>
  <c r="O848" i="1"/>
  <c r="M848" i="1"/>
  <c r="L848" i="1"/>
  <c r="L673" i="1" s="1"/>
  <c r="L72" i="9" s="1"/>
  <c r="K848" i="1"/>
  <c r="K673" i="1" s="1"/>
  <c r="K72" i="9" s="1"/>
  <c r="I848" i="1"/>
  <c r="I673" i="1" s="1"/>
  <c r="I72" i="9" s="1"/>
  <c r="H848" i="1"/>
  <c r="H673" i="1" s="1"/>
  <c r="H72" i="9" s="1"/>
  <c r="G848" i="1"/>
  <c r="E848" i="1"/>
  <c r="D848" i="1"/>
  <c r="C848" i="1"/>
  <c r="A848" i="1"/>
  <c r="BY847" i="1"/>
  <c r="BW847" i="1"/>
  <c r="BV847" i="1"/>
  <c r="BU847" i="1"/>
  <c r="BT847" i="1"/>
  <c r="BS847" i="1"/>
  <c r="BS674" i="1" s="1"/>
  <c r="BS71" i="9" s="1"/>
  <c r="BR847" i="1"/>
  <c r="BQ847" i="1"/>
  <c r="BP847" i="1"/>
  <c r="BO847" i="1"/>
  <c r="BN847" i="1"/>
  <c r="BM847" i="1"/>
  <c r="BL847" i="1"/>
  <c r="BK847" i="1"/>
  <c r="BJ847" i="1"/>
  <c r="BI847" i="1"/>
  <c r="BH847" i="1"/>
  <c r="BH674" i="1" s="1"/>
  <c r="BH71" i="9" s="1"/>
  <c r="AY847" i="1"/>
  <c r="AW847" i="1"/>
  <c r="AV847" i="1"/>
  <c r="AU847" i="1"/>
  <c r="AS847" i="1"/>
  <c r="AR847" i="1"/>
  <c r="AQ847" i="1"/>
  <c r="AO847" i="1"/>
  <c r="AN847" i="1"/>
  <c r="AM847" i="1"/>
  <c r="AM674" i="1" s="1"/>
  <c r="AM71" i="9" s="1"/>
  <c r="AK847" i="1"/>
  <c r="AK674" i="1" s="1"/>
  <c r="AK71" i="9" s="1"/>
  <c r="AJ847" i="1"/>
  <c r="AJ674" i="1" s="1"/>
  <c r="AJ71" i="9" s="1"/>
  <c r="AI847" i="1"/>
  <c r="AH847" i="1"/>
  <c r="AG847" i="1"/>
  <c r="AF847" i="1"/>
  <c r="AE847" i="1"/>
  <c r="AC847" i="1"/>
  <c r="AB847" i="1"/>
  <c r="AA847" i="1"/>
  <c r="Y847" i="1"/>
  <c r="Y674" i="1" s="1"/>
  <c r="Y71" i="9" s="1"/>
  <c r="X847" i="1"/>
  <c r="W847" i="1"/>
  <c r="W674" i="1" s="1"/>
  <c r="W71" i="9" s="1"/>
  <c r="U847" i="1"/>
  <c r="U674" i="1" s="1"/>
  <c r="U71" i="9" s="1"/>
  <c r="T847" i="1"/>
  <c r="S847" i="1"/>
  <c r="Q847" i="1"/>
  <c r="P847" i="1"/>
  <c r="O847" i="1"/>
  <c r="M847" i="1"/>
  <c r="L847" i="1"/>
  <c r="K847" i="1"/>
  <c r="I847" i="1"/>
  <c r="H847" i="1"/>
  <c r="G847" i="1"/>
  <c r="G674" i="1" s="1"/>
  <c r="G71" i="9" s="1"/>
  <c r="E847" i="1"/>
  <c r="D847" i="1"/>
  <c r="D674" i="1" s="1"/>
  <c r="D71" i="9" s="1"/>
  <c r="C847" i="1"/>
  <c r="A847" i="1"/>
  <c r="BY846" i="1"/>
  <c r="BW846" i="1"/>
  <c r="BV846" i="1"/>
  <c r="BU846" i="1"/>
  <c r="BT846" i="1"/>
  <c r="BS846" i="1"/>
  <c r="BR846" i="1"/>
  <c r="BQ846" i="1"/>
  <c r="BP846" i="1"/>
  <c r="BO846" i="1"/>
  <c r="BN846" i="1"/>
  <c r="BM846" i="1"/>
  <c r="BL846" i="1"/>
  <c r="BK846" i="1"/>
  <c r="BJ846" i="1"/>
  <c r="BI846" i="1"/>
  <c r="BH846" i="1"/>
  <c r="AY846" i="1"/>
  <c r="BX846" i="1" s="1"/>
  <c r="AX846" i="1"/>
  <c r="AW846" i="1"/>
  <c r="AV846" i="1"/>
  <c r="AU846" i="1"/>
  <c r="AS846" i="1"/>
  <c r="AR846" i="1"/>
  <c r="AQ846" i="1"/>
  <c r="AO846" i="1"/>
  <c r="AN846" i="1"/>
  <c r="AM846" i="1"/>
  <c r="AK846" i="1"/>
  <c r="AJ846" i="1"/>
  <c r="AI846" i="1"/>
  <c r="AH846" i="1"/>
  <c r="AG846" i="1"/>
  <c r="AF846" i="1"/>
  <c r="AE846" i="1"/>
  <c r="AC846" i="1"/>
  <c r="AB846" i="1"/>
  <c r="AA846" i="1"/>
  <c r="Y846" i="1"/>
  <c r="X846" i="1"/>
  <c r="W846" i="1"/>
  <c r="U846" i="1"/>
  <c r="T846" i="1"/>
  <c r="S846" i="1"/>
  <c r="Q846" i="1"/>
  <c r="P846" i="1"/>
  <c r="O846" i="1"/>
  <c r="M846" i="1"/>
  <c r="L846" i="1"/>
  <c r="K846" i="1"/>
  <c r="I846" i="1"/>
  <c r="H846" i="1"/>
  <c r="G846" i="1"/>
  <c r="E846" i="1"/>
  <c r="D846" i="1"/>
  <c r="C846" i="1"/>
  <c r="A846" i="1"/>
  <c r="BY845" i="1"/>
  <c r="BW845" i="1"/>
  <c r="BV845" i="1"/>
  <c r="BU845" i="1"/>
  <c r="BT845" i="1"/>
  <c r="BS845" i="1"/>
  <c r="BR845" i="1"/>
  <c r="BQ845" i="1"/>
  <c r="BP845" i="1"/>
  <c r="BO845" i="1"/>
  <c r="BN845" i="1"/>
  <c r="BM845" i="1"/>
  <c r="BL845" i="1"/>
  <c r="BK845" i="1"/>
  <c r="BJ845" i="1"/>
  <c r="BI845" i="1"/>
  <c r="BH845" i="1"/>
  <c r="AY845" i="1"/>
  <c r="BX845" i="1" s="1"/>
  <c r="AW845" i="1"/>
  <c r="AV845" i="1"/>
  <c r="AU845" i="1"/>
  <c r="AT845" i="1"/>
  <c r="AS845" i="1"/>
  <c r="AR845" i="1"/>
  <c r="AQ845" i="1"/>
  <c r="AP845" i="1"/>
  <c r="AO845" i="1"/>
  <c r="AN845" i="1"/>
  <c r="AM845" i="1"/>
  <c r="AL845" i="1"/>
  <c r="AK845" i="1"/>
  <c r="AJ845" i="1"/>
  <c r="AI845" i="1"/>
  <c r="AG845" i="1"/>
  <c r="AF845" i="1"/>
  <c r="AE845" i="1"/>
  <c r="AC845" i="1"/>
  <c r="AB845" i="1"/>
  <c r="AA845" i="1"/>
  <c r="Y845" i="1"/>
  <c r="X845" i="1"/>
  <c r="W845" i="1"/>
  <c r="V845" i="1"/>
  <c r="U845" i="1"/>
  <c r="T845" i="1"/>
  <c r="S845" i="1"/>
  <c r="Q845" i="1"/>
  <c r="P845" i="1"/>
  <c r="O845" i="1"/>
  <c r="N845" i="1"/>
  <c r="M845" i="1"/>
  <c r="L845" i="1"/>
  <c r="K845" i="1"/>
  <c r="J845" i="1"/>
  <c r="I845" i="1"/>
  <c r="H845" i="1"/>
  <c r="G845" i="1"/>
  <c r="F845" i="1"/>
  <c r="E845" i="1"/>
  <c r="D845" i="1"/>
  <c r="C845" i="1"/>
  <c r="A845" i="1"/>
  <c r="BY844" i="1"/>
  <c r="BW844" i="1"/>
  <c r="BV844" i="1"/>
  <c r="BU844" i="1"/>
  <c r="BT844" i="1"/>
  <c r="BS844" i="1"/>
  <c r="BR844" i="1"/>
  <c r="BQ844" i="1"/>
  <c r="BP844" i="1"/>
  <c r="BP674" i="1" s="1"/>
  <c r="BP71" i="9" s="1"/>
  <c r="BO844" i="1"/>
  <c r="BN844" i="1"/>
  <c r="BN674" i="1" s="1"/>
  <c r="BN71" i="9" s="1"/>
  <c r="BM844" i="1"/>
  <c r="BL844" i="1"/>
  <c r="BK844" i="1"/>
  <c r="BJ844" i="1"/>
  <c r="BI844" i="1"/>
  <c r="BH844" i="1"/>
  <c r="AY844" i="1"/>
  <c r="BX844" i="1" s="1"/>
  <c r="AW844" i="1"/>
  <c r="AV844" i="1"/>
  <c r="AU844" i="1"/>
  <c r="AT844" i="1"/>
  <c r="AS844" i="1"/>
  <c r="AR844" i="1"/>
  <c r="AQ844" i="1"/>
  <c r="AP844" i="1"/>
  <c r="AO844" i="1"/>
  <c r="AN844" i="1"/>
  <c r="AM844" i="1"/>
  <c r="AL844" i="1"/>
  <c r="AK844" i="1"/>
  <c r="AJ844" i="1"/>
  <c r="AI844" i="1"/>
  <c r="AG844" i="1"/>
  <c r="AF844" i="1"/>
  <c r="AE844" i="1"/>
  <c r="AC844" i="1"/>
  <c r="AB844" i="1"/>
  <c r="AA844" i="1"/>
  <c r="Y844" i="1"/>
  <c r="X844" i="1"/>
  <c r="W844" i="1"/>
  <c r="U844" i="1"/>
  <c r="T844" i="1"/>
  <c r="S844" i="1"/>
  <c r="Q844" i="1"/>
  <c r="P844" i="1"/>
  <c r="P674" i="1" s="1"/>
  <c r="P71" i="9" s="1"/>
  <c r="O844" i="1"/>
  <c r="M844" i="1"/>
  <c r="L844" i="1"/>
  <c r="K844" i="1"/>
  <c r="I844" i="1"/>
  <c r="H844" i="1"/>
  <c r="G844" i="1"/>
  <c r="E844" i="1"/>
  <c r="D844" i="1"/>
  <c r="C844" i="1"/>
  <c r="A844" i="1"/>
  <c r="A843" i="1"/>
  <c r="BD841" i="1"/>
  <c r="A841" i="1"/>
  <c r="BY840" i="1"/>
  <c r="BW840" i="1"/>
  <c r="BV840" i="1"/>
  <c r="BU840" i="1"/>
  <c r="BT840" i="1"/>
  <c r="BS840" i="1"/>
  <c r="BR840" i="1"/>
  <c r="BQ840" i="1"/>
  <c r="BP840" i="1"/>
  <c r="BO840" i="1"/>
  <c r="BN840" i="1"/>
  <c r="BM840" i="1"/>
  <c r="BL840" i="1"/>
  <c r="BK840" i="1"/>
  <c r="BJ840" i="1"/>
  <c r="BI840" i="1"/>
  <c r="BH840" i="1"/>
  <c r="AY840" i="1"/>
  <c r="BX840" i="1" s="1"/>
  <c r="AW840" i="1"/>
  <c r="AV840" i="1"/>
  <c r="AU840" i="1"/>
  <c r="AS840" i="1"/>
  <c r="AR840" i="1"/>
  <c r="AQ840" i="1"/>
  <c r="AO840" i="1"/>
  <c r="AN840" i="1"/>
  <c r="AM840" i="1"/>
  <c r="AK840" i="1"/>
  <c r="AJ840" i="1"/>
  <c r="AI840" i="1"/>
  <c r="AH840" i="1"/>
  <c r="AG840" i="1"/>
  <c r="AF840" i="1"/>
  <c r="AE840" i="1"/>
  <c r="AC840" i="1"/>
  <c r="AB840" i="1"/>
  <c r="AA840" i="1"/>
  <c r="Y840" i="1"/>
  <c r="X840" i="1"/>
  <c r="W840" i="1"/>
  <c r="U840" i="1"/>
  <c r="T840" i="1"/>
  <c r="S840" i="1"/>
  <c r="Q840" i="1"/>
  <c r="P840" i="1"/>
  <c r="O840" i="1"/>
  <c r="M840" i="1"/>
  <c r="L840" i="1"/>
  <c r="K840" i="1"/>
  <c r="I840" i="1"/>
  <c r="H840" i="1"/>
  <c r="G840" i="1"/>
  <c r="E840" i="1"/>
  <c r="D840" i="1"/>
  <c r="C840" i="1"/>
  <c r="A840" i="1"/>
  <c r="CB839" i="1"/>
  <c r="CA839" i="1"/>
  <c r="BZ839" i="1"/>
  <c r="BW839" i="1"/>
  <c r="BV839" i="1"/>
  <c r="BU839" i="1"/>
  <c r="BT839" i="1"/>
  <c r="BT669" i="1" s="1"/>
  <c r="BT70" i="9" s="1"/>
  <c r="BS839" i="1"/>
  <c r="BS669" i="1" s="1"/>
  <c r="BS70" i="9" s="1"/>
  <c r="BR839" i="1"/>
  <c r="BQ839" i="1"/>
  <c r="BP839" i="1"/>
  <c r="BO839" i="1"/>
  <c r="BN839" i="1"/>
  <c r="BM839" i="1"/>
  <c r="BL839" i="1"/>
  <c r="BK839" i="1"/>
  <c r="BJ839" i="1"/>
  <c r="BI839" i="1"/>
  <c r="BH839" i="1"/>
  <c r="BH669" i="1" s="1"/>
  <c r="BH70" i="9" s="1"/>
  <c r="BF839" i="1"/>
  <c r="BF841" i="1" s="1"/>
  <c r="BE839" i="1"/>
  <c r="BD839" i="1"/>
  <c r="BC839" i="1"/>
  <c r="BB839" i="1"/>
  <c r="BA839" i="1"/>
  <c r="AZ839" i="1"/>
  <c r="AY839" i="1"/>
  <c r="AW839" i="1"/>
  <c r="AV839" i="1"/>
  <c r="AU839" i="1"/>
  <c r="AU669" i="1" s="1"/>
  <c r="AU70" i="9" s="1"/>
  <c r="AT839" i="1"/>
  <c r="AS839" i="1"/>
  <c r="AS669" i="1" s="1"/>
  <c r="AS70" i="9" s="1"/>
  <c r="AR839" i="1"/>
  <c r="AQ839" i="1"/>
  <c r="AO839" i="1"/>
  <c r="AN839" i="1"/>
  <c r="AM839" i="1"/>
  <c r="AK839" i="1"/>
  <c r="AJ839" i="1"/>
  <c r="AI839" i="1"/>
  <c r="AH839" i="1"/>
  <c r="AG839" i="1"/>
  <c r="AF839" i="1"/>
  <c r="AF669" i="1" s="1"/>
  <c r="AF70" i="9" s="1"/>
  <c r="AE839" i="1"/>
  <c r="AE669" i="1" s="1"/>
  <c r="AE70" i="9" s="1"/>
  <c r="AC839" i="1"/>
  <c r="AB839" i="1"/>
  <c r="AA839" i="1"/>
  <c r="Y839" i="1"/>
  <c r="X839" i="1"/>
  <c r="W839" i="1"/>
  <c r="U839" i="1"/>
  <c r="T839" i="1"/>
  <c r="S839" i="1"/>
  <c r="R839" i="1"/>
  <c r="Q839" i="1"/>
  <c r="Q669" i="1" s="1"/>
  <c r="Q70" i="9" s="1"/>
  <c r="P839" i="1"/>
  <c r="P669" i="1" s="1"/>
  <c r="P70" i="9" s="1"/>
  <c r="O839" i="1"/>
  <c r="N839" i="1"/>
  <c r="M839" i="1"/>
  <c r="L839" i="1"/>
  <c r="K839" i="1"/>
  <c r="J839" i="1"/>
  <c r="I839" i="1"/>
  <c r="H839" i="1"/>
  <c r="G839" i="1"/>
  <c r="F839" i="1"/>
  <c r="E839" i="1"/>
  <c r="E669" i="1" s="1"/>
  <c r="E70" i="9" s="1"/>
  <c r="D839" i="1"/>
  <c r="D669" i="1" s="1"/>
  <c r="D70" i="9" s="1"/>
  <c r="C839" i="1"/>
  <c r="A839" i="1"/>
  <c r="BY838" i="1"/>
  <c r="BW838" i="1"/>
  <c r="BV838" i="1"/>
  <c r="BU838" i="1"/>
  <c r="BT838" i="1"/>
  <c r="BS838" i="1"/>
  <c r="BR838" i="1"/>
  <c r="BQ838" i="1"/>
  <c r="BP838" i="1"/>
  <c r="BO838" i="1"/>
  <c r="BN838" i="1"/>
  <c r="BM838" i="1"/>
  <c r="BL838" i="1"/>
  <c r="BK838" i="1"/>
  <c r="BJ838" i="1"/>
  <c r="BI838" i="1"/>
  <c r="BH838" i="1"/>
  <c r="AY838" i="1"/>
  <c r="BX838" i="1" s="1"/>
  <c r="AW838" i="1"/>
  <c r="AV838" i="1"/>
  <c r="AU838" i="1"/>
  <c r="AS838" i="1"/>
  <c r="AR838" i="1"/>
  <c r="AQ838" i="1"/>
  <c r="AO838" i="1"/>
  <c r="AN838" i="1"/>
  <c r="AM838" i="1"/>
  <c r="AK838" i="1"/>
  <c r="AJ838" i="1"/>
  <c r="AI838" i="1"/>
  <c r="AG838" i="1"/>
  <c r="AF838" i="1"/>
  <c r="AE838" i="1"/>
  <c r="AC838" i="1"/>
  <c r="AB838" i="1"/>
  <c r="AA838" i="1"/>
  <c r="Y838" i="1"/>
  <c r="X838" i="1"/>
  <c r="W838" i="1"/>
  <c r="U838" i="1"/>
  <c r="T838" i="1"/>
  <c r="S838" i="1"/>
  <c r="Q838" i="1"/>
  <c r="P838" i="1"/>
  <c r="O838" i="1"/>
  <c r="M838" i="1"/>
  <c r="L838" i="1"/>
  <c r="K838" i="1"/>
  <c r="I838" i="1"/>
  <c r="H838" i="1"/>
  <c r="G838" i="1"/>
  <c r="F838" i="1"/>
  <c r="E838" i="1"/>
  <c r="D838" i="1"/>
  <c r="C838" i="1"/>
  <c r="A838" i="1"/>
  <c r="CB837" i="1"/>
  <c r="CA837" i="1"/>
  <c r="BZ837" i="1"/>
  <c r="BW837" i="1"/>
  <c r="BV837" i="1"/>
  <c r="BU837" i="1"/>
  <c r="BT837" i="1"/>
  <c r="BS837" i="1"/>
  <c r="BS668" i="1" s="1"/>
  <c r="BR837" i="1"/>
  <c r="BQ837" i="1"/>
  <c r="BP837" i="1"/>
  <c r="BO837" i="1"/>
  <c r="BN837" i="1"/>
  <c r="BM837" i="1"/>
  <c r="BL837" i="1"/>
  <c r="BK837" i="1"/>
  <c r="BJ837" i="1"/>
  <c r="BI837" i="1"/>
  <c r="BH837" i="1"/>
  <c r="BF837" i="1"/>
  <c r="BE837" i="1"/>
  <c r="BD837" i="1"/>
  <c r="BC837" i="1"/>
  <c r="BY837" i="1" s="1"/>
  <c r="BY668" i="1" s="1"/>
  <c r="BB837" i="1"/>
  <c r="BB841" i="1" s="1"/>
  <c r="BA837" i="1"/>
  <c r="AZ837" i="1"/>
  <c r="AY837" i="1"/>
  <c r="AW837" i="1"/>
  <c r="AV837" i="1"/>
  <c r="AU837" i="1"/>
  <c r="AS837" i="1"/>
  <c r="AS668" i="1" s="1"/>
  <c r="AS69" i="9" s="1"/>
  <c r="AR837" i="1"/>
  <c r="AR668" i="1" s="1"/>
  <c r="AQ837" i="1"/>
  <c r="AO837" i="1"/>
  <c r="AO668" i="1" s="1"/>
  <c r="AN837" i="1"/>
  <c r="AN668" i="1" s="1"/>
  <c r="AM837" i="1"/>
  <c r="AK837" i="1"/>
  <c r="AJ837" i="1"/>
  <c r="AI837" i="1"/>
  <c r="AG837" i="1"/>
  <c r="AG668" i="1" s="1"/>
  <c r="AF837" i="1"/>
  <c r="AE837" i="1"/>
  <c r="AC837" i="1"/>
  <c r="AB837" i="1"/>
  <c r="AA837" i="1"/>
  <c r="Y837" i="1"/>
  <c r="X837" i="1"/>
  <c r="X668" i="1" s="1"/>
  <c r="W837" i="1"/>
  <c r="W668" i="1" s="1"/>
  <c r="V837" i="1"/>
  <c r="V668" i="1" s="1"/>
  <c r="U837" i="1"/>
  <c r="U668" i="1" s="1"/>
  <c r="T837" i="1"/>
  <c r="T668" i="1" s="1"/>
  <c r="S837" i="1"/>
  <c r="Q837" i="1"/>
  <c r="P837" i="1"/>
  <c r="O837" i="1"/>
  <c r="M837" i="1"/>
  <c r="L837" i="1"/>
  <c r="K837" i="1"/>
  <c r="I837" i="1"/>
  <c r="I668" i="1" s="1"/>
  <c r="H837" i="1"/>
  <c r="H668" i="1" s="1"/>
  <c r="G837" i="1"/>
  <c r="F837" i="1"/>
  <c r="E837" i="1"/>
  <c r="D837" i="1"/>
  <c r="C837" i="1"/>
  <c r="A837" i="1"/>
  <c r="BY836" i="1"/>
  <c r="BW836" i="1"/>
  <c r="BV836" i="1"/>
  <c r="BU836" i="1"/>
  <c r="BT836" i="1"/>
  <c r="BS836" i="1"/>
  <c r="BR836" i="1"/>
  <c r="BQ836" i="1"/>
  <c r="BP836" i="1"/>
  <c r="BO836" i="1"/>
  <c r="BN836" i="1"/>
  <c r="BM836" i="1"/>
  <c r="BL836" i="1"/>
  <c r="BK836" i="1"/>
  <c r="BJ836" i="1"/>
  <c r="BI836" i="1"/>
  <c r="BH836" i="1"/>
  <c r="AY836" i="1"/>
  <c r="BX836" i="1" s="1"/>
  <c r="AW836" i="1"/>
  <c r="AV836" i="1"/>
  <c r="AU836" i="1"/>
  <c r="AS836" i="1"/>
  <c r="AR836" i="1"/>
  <c r="AQ836" i="1"/>
  <c r="AO836" i="1"/>
  <c r="AN836" i="1"/>
  <c r="AM836" i="1"/>
  <c r="AK836" i="1"/>
  <c r="AJ836" i="1"/>
  <c r="AI836" i="1"/>
  <c r="AG836" i="1"/>
  <c r="AF836" i="1"/>
  <c r="AE836" i="1"/>
  <c r="AD836" i="1"/>
  <c r="AC836" i="1"/>
  <c r="AB836" i="1"/>
  <c r="AA836" i="1"/>
  <c r="Z836" i="1"/>
  <c r="Y836" i="1"/>
  <c r="X836" i="1"/>
  <c r="W836" i="1"/>
  <c r="V836" i="1"/>
  <c r="U836" i="1"/>
  <c r="T836" i="1"/>
  <c r="S836" i="1"/>
  <c r="R836" i="1"/>
  <c r="Q836" i="1"/>
  <c r="P836" i="1"/>
  <c r="O836" i="1"/>
  <c r="N836" i="1"/>
  <c r="M836" i="1"/>
  <c r="L836" i="1"/>
  <c r="K836" i="1"/>
  <c r="J836" i="1"/>
  <c r="I836" i="1"/>
  <c r="H836" i="1"/>
  <c r="G836" i="1"/>
  <c r="F836" i="1"/>
  <c r="E836" i="1"/>
  <c r="D836" i="1"/>
  <c r="C836" i="1"/>
  <c r="A836" i="1"/>
  <c r="BY835" i="1"/>
  <c r="BX835" i="1"/>
  <c r="BW835" i="1"/>
  <c r="BV835" i="1"/>
  <c r="BU835" i="1"/>
  <c r="BT835" i="1"/>
  <c r="BS835" i="1"/>
  <c r="BR835" i="1"/>
  <c r="BQ835" i="1"/>
  <c r="BP835" i="1"/>
  <c r="BO835" i="1"/>
  <c r="BN835" i="1"/>
  <c r="BM835" i="1"/>
  <c r="BL835" i="1"/>
  <c r="BK835" i="1"/>
  <c r="BJ835" i="1"/>
  <c r="BI835" i="1"/>
  <c r="BH835" i="1"/>
  <c r="AY835" i="1"/>
  <c r="AW835" i="1"/>
  <c r="AV835" i="1"/>
  <c r="AU835" i="1"/>
  <c r="AS835" i="1"/>
  <c r="AR835" i="1"/>
  <c r="AQ835" i="1"/>
  <c r="AO835" i="1"/>
  <c r="AN835" i="1"/>
  <c r="AM835" i="1"/>
  <c r="AK835" i="1"/>
  <c r="AJ835" i="1"/>
  <c r="AI835" i="1"/>
  <c r="AG835" i="1"/>
  <c r="AF835" i="1"/>
  <c r="AE835" i="1"/>
  <c r="AC835" i="1"/>
  <c r="AB835" i="1"/>
  <c r="AA835" i="1"/>
  <c r="Z835" i="1"/>
  <c r="Y835" i="1"/>
  <c r="X835" i="1"/>
  <c r="W835" i="1"/>
  <c r="U835" i="1"/>
  <c r="T835" i="1"/>
  <c r="S835" i="1"/>
  <c r="Q835" i="1"/>
  <c r="P835" i="1"/>
  <c r="O835" i="1"/>
  <c r="M835" i="1"/>
  <c r="L835" i="1"/>
  <c r="K835" i="1"/>
  <c r="I835" i="1"/>
  <c r="H835" i="1"/>
  <c r="G835" i="1"/>
  <c r="E835" i="1"/>
  <c r="D835" i="1"/>
  <c r="C835" i="1"/>
  <c r="A835" i="1"/>
  <c r="BY834" i="1"/>
  <c r="BW834" i="1"/>
  <c r="BV834" i="1"/>
  <c r="BU834" i="1"/>
  <c r="BT834" i="1"/>
  <c r="BS834" i="1"/>
  <c r="BR834" i="1"/>
  <c r="BQ834" i="1"/>
  <c r="BP834" i="1"/>
  <c r="BO834" i="1"/>
  <c r="BN834" i="1"/>
  <c r="BM834" i="1"/>
  <c r="BL834" i="1"/>
  <c r="BK834" i="1"/>
  <c r="BJ834" i="1"/>
  <c r="BI834" i="1"/>
  <c r="BH834" i="1"/>
  <c r="AY834" i="1"/>
  <c r="BX834" i="1" s="1"/>
  <c r="AW834" i="1"/>
  <c r="AV834" i="1"/>
  <c r="AU834" i="1"/>
  <c r="AS834" i="1"/>
  <c r="AR834" i="1"/>
  <c r="AQ834" i="1"/>
  <c r="AO834" i="1"/>
  <c r="AN834" i="1"/>
  <c r="AM834" i="1"/>
  <c r="AK834" i="1"/>
  <c r="AJ834" i="1"/>
  <c r="AI834" i="1"/>
  <c r="AG834" i="1"/>
  <c r="AF834" i="1"/>
  <c r="AE834" i="1"/>
  <c r="AC834" i="1"/>
  <c r="AB834" i="1"/>
  <c r="AA834" i="1"/>
  <c r="Y834" i="1"/>
  <c r="X834" i="1"/>
  <c r="W834" i="1"/>
  <c r="U834" i="1"/>
  <c r="T834" i="1"/>
  <c r="S834" i="1"/>
  <c r="Q834" i="1"/>
  <c r="P834" i="1"/>
  <c r="O834" i="1"/>
  <c r="M834" i="1"/>
  <c r="L834" i="1"/>
  <c r="K834" i="1"/>
  <c r="I834" i="1"/>
  <c r="H834" i="1"/>
  <c r="G834" i="1"/>
  <c r="F834" i="1"/>
  <c r="E834" i="1"/>
  <c r="D834" i="1"/>
  <c r="C834" i="1"/>
  <c r="A834" i="1"/>
  <c r="BY833" i="1"/>
  <c r="BW833" i="1"/>
  <c r="BV833" i="1"/>
  <c r="BU833" i="1"/>
  <c r="BT833" i="1"/>
  <c r="BS833" i="1"/>
  <c r="BR833" i="1"/>
  <c r="BQ833" i="1"/>
  <c r="BP833" i="1"/>
  <c r="BO833" i="1"/>
  <c r="BN833" i="1"/>
  <c r="BM833" i="1"/>
  <c r="BL833" i="1"/>
  <c r="BK833" i="1"/>
  <c r="BJ833" i="1"/>
  <c r="BI833" i="1"/>
  <c r="BH833" i="1"/>
  <c r="AY833" i="1"/>
  <c r="BX833" i="1" s="1"/>
  <c r="AW833" i="1"/>
  <c r="AV833" i="1"/>
  <c r="AU833" i="1"/>
  <c r="AS833" i="1"/>
  <c r="AR833" i="1"/>
  <c r="AQ833" i="1"/>
  <c r="AO833" i="1"/>
  <c r="AN833" i="1"/>
  <c r="AM833" i="1"/>
  <c r="AK833" i="1"/>
  <c r="AJ833" i="1"/>
  <c r="AI833" i="1"/>
  <c r="AG833" i="1"/>
  <c r="AF833" i="1"/>
  <c r="AE833" i="1"/>
  <c r="AC833" i="1"/>
  <c r="AB833" i="1"/>
  <c r="AA833" i="1"/>
  <c r="Z833" i="1"/>
  <c r="Y833" i="1"/>
  <c r="X833" i="1"/>
  <c r="W833" i="1"/>
  <c r="U833" i="1"/>
  <c r="T833" i="1"/>
  <c r="S833" i="1"/>
  <c r="Q833" i="1"/>
  <c r="P833" i="1"/>
  <c r="O833" i="1"/>
  <c r="M833" i="1"/>
  <c r="L833" i="1"/>
  <c r="K833" i="1"/>
  <c r="I833" i="1"/>
  <c r="H833" i="1"/>
  <c r="G833" i="1"/>
  <c r="E833" i="1"/>
  <c r="D833" i="1"/>
  <c r="C833" i="1"/>
  <c r="A833" i="1"/>
  <c r="BY832" i="1"/>
  <c r="BW832" i="1"/>
  <c r="BV832" i="1"/>
  <c r="BU832" i="1"/>
  <c r="BU669" i="1" s="1"/>
  <c r="BU70" i="9" s="1"/>
  <c r="BT832" i="1"/>
  <c r="BS832" i="1"/>
  <c r="BR832" i="1"/>
  <c r="BQ832" i="1"/>
  <c r="BP832" i="1"/>
  <c r="BO832" i="1"/>
  <c r="BN832" i="1"/>
  <c r="BN669" i="1" s="1"/>
  <c r="BN70" i="9" s="1"/>
  <c r="BM832" i="1"/>
  <c r="BM669" i="1" s="1"/>
  <c r="BM70" i="9" s="1"/>
  <c r="BL832" i="1"/>
  <c r="BK832" i="1"/>
  <c r="BJ832" i="1"/>
  <c r="BI832" i="1"/>
  <c r="BH832" i="1"/>
  <c r="AY832" i="1"/>
  <c r="BX832" i="1" s="1"/>
  <c r="AW832" i="1"/>
  <c r="AV832" i="1"/>
  <c r="AU832" i="1"/>
  <c r="AS832" i="1"/>
  <c r="AR832" i="1"/>
  <c r="AQ832" i="1"/>
  <c r="AQ669" i="1" s="1"/>
  <c r="AQ70" i="9" s="1"/>
  <c r="AO832" i="1"/>
  <c r="AN832" i="1"/>
  <c r="AM832" i="1"/>
  <c r="AL832" i="1"/>
  <c r="AK832" i="1"/>
  <c r="AK669" i="1" s="1"/>
  <c r="AK70" i="9" s="1"/>
  <c r="AJ832" i="1"/>
  <c r="AI832" i="1"/>
  <c r="AH832" i="1"/>
  <c r="AG832" i="1"/>
  <c r="AF832" i="1"/>
  <c r="AE832" i="1"/>
  <c r="AD832" i="1"/>
  <c r="AC832" i="1"/>
  <c r="AB832" i="1"/>
  <c r="AA832" i="1"/>
  <c r="Z832" i="1"/>
  <c r="Y832" i="1"/>
  <c r="X832" i="1"/>
  <c r="X669" i="1" s="1"/>
  <c r="X70" i="9" s="1"/>
  <c r="W832" i="1"/>
  <c r="V832" i="1"/>
  <c r="U832" i="1"/>
  <c r="T832" i="1"/>
  <c r="S832" i="1"/>
  <c r="R832" i="1"/>
  <c r="Q832" i="1"/>
  <c r="P832" i="1"/>
  <c r="O832" i="1"/>
  <c r="N832" i="1"/>
  <c r="M832" i="1"/>
  <c r="L832" i="1"/>
  <c r="K832" i="1"/>
  <c r="J832" i="1"/>
  <c r="J669" i="1" s="1"/>
  <c r="J70" i="9" s="1"/>
  <c r="I832" i="1"/>
  <c r="H832" i="1"/>
  <c r="G832" i="1"/>
  <c r="F832" i="1"/>
  <c r="E832" i="1"/>
  <c r="D832" i="1"/>
  <c r="C832" i="1"/>
  <c r="C669" i="1" s="1"/>
  <c r="C70" i="9" s="1"/>
  <c r="A832" i="1"/>
  <c r="BY831" i="1"/>
  <c r="BW831" i="1"/>
  <c r="BV831" i="1"/>
  <c r="BU831" i="1"/>
  <c r="BT831" i="1"/>
  <c r="BS831" i="1"/>
  <c r="BR831" i="1"/>
  <c r="BQ831" i="1"/>
  <c r="BP831" i="1"/>
  <c r="BO831" i="1"/>
  <c r="BN831" i="1"/>
  <c r="BN841" i="1" s="1"/>
  <c r="BM831" i="1"/>
  <c r="BL831" i="1"/>
  <c r="BK831" i="1"/>
  <c r="BJ831" i="1"/>
  <c r="BI831" i="1"/>
  <c r="BH831" i="1"/>
  <c r="AY831" i="1"/>
  <c r="BX831" i="1" s="1"/>
  <c r="AW831" i="1"/>
  <c r="AV831" i="1"/>
  <c r="AU831" i="1"/>
  <c r="AS831" i="1"/>
  <c r="AR831" i="1"/>
  <c r="AQ831" i="1"/>
  <c r="AP831" i="1"/>
  <c r="AO831" i="1"/>
  <c r="AN831" i="1"/>
  <c r="AM831" i="1"/>
  <c r="AK831" i="1"/>
  <c r="AJ831" i="1"/>
  <c r="AI831" i="1"/>
  <c r="AG831" i="1"/>
  <c r="AF831" i="1"/>
  <c r="AE831" i="1"/>
  <c r="AC831" i="1"/>
  <c r="AC841" i="1" s="1"/>
  <c r="AB831" i="1"/>
  <c r="AA831" i="1"/>
  <c r="Y831" i="1"/>
  <c r="X831" i="1"/>
  <c r="W831" i="1"/>
  <c r="U831" i="1"/>
  <c r="T831" i="1"/>
  <c r="S831" i="1"/>
  <c r="Q831" i="1"/>
  <c r="P831" i="1"/>
  <c r="O831" i="1"/>
  <c r="M831" i="1"/>
  <c r="L831" i="1"/>
  <c r="K831" i="1"/>
  <c r="I831" i="1"/>
  <c r="H831" i="1"/>
  <c r="G831" i="1"/>
  <c r="E831" i="1"/>
  <c r="D831" i="1"/>
  <c r="C831" i="1"/>
  <c r="A831" i="1"/>
  <c r="CB830" i="1"/>
  <c r="CB968" i="1" s="1"/>
  <c r="CA830" i="1"/>
  <c r="CA968" i="1" s="1"/>
  <c r="BZ830" i="1"/>
  <c r="BZ968" i="1" s="1"/>
  <c r="BW830" i="1"/>
  <c r="BV830" i="1"/>
  <c r="BU830" i="1"/>
  <c r="BU841" i="1" s="1"/>
  <c r="BT830" i="1"/>
  <c r="BS830" i="1"/>
  <c r="BR830" i="1"/>
  <c r="BQ830" i="1"/>
  <c r="BQ373" i="1" s="1"/>
  <c r="BP830" i="1"/>
  <c r="BO830" i="1"/>
  <c r="BN830" i="1"/>
  <c r="BM830" i="1"/>
  <c r="BM665" i="1" s="1"/>
  <c r="BM619" i="1" s="1"/>
  <c r="BL830" i="1"/>
  <c r="BK830" i="1"/>
  <c r="BJ830" i="1"/>
  <c r="BI830" i="1"/>
  <c r="BH830" i="1"/>
  <c r="BF830" i="1"/>
  <c r="BF968" i="1" s="1"/>
  <c r="BE830" i="1"/>
  <c r="BE968" i="1" s="1"/>
  <c r="BD830" i="1"/>
  <c r="BD968" i="1" s="1"/>
  <c r="BC830" i="1"/>
  <c r="BC968" i="1" s="1"/>
  <c r="BB830" i="1"/>
  <c r="BB968" i="1" s="1"/>
  <c r="BA830" i="1"/>
  <c r="BA968" i="1" s="1"/>
  <c r="AZ830" i="1"/>
  <c r="AZ968" i="1" s="1"/>
  <c r="AY830" i="1"/>
  <c r="AW830" i="1"/>
  <c r="AV830" i="1"/>
  <c r="AU830" i="1"/>
  <c r="AU665" i="1" s="1"/>
  <c r="AU968" i="1" s="1"/>
  <c r="AS830" i="1"/>
  <c r="AR830" i="1"/>
  <c r="AQ830" i="1"/>
  <c r="AQ665" i="1" s="1"/>
  <c r="AQ619" i="1" s="1"/>
  <c r="AO830" i="1"/>
  <c r="AN830" i="1"/>
  <c r="AM830" i="1"/>
  <c r="AL830" i="1"/>
  <c r="AL665" i="1" s="1"/>
  <c r="AK830" i="1"/>
  <c r="AJ830" i="1"/>
  <c r="AI830" i="1"/>
  <c r="AG830" i="1"/>
  <c r="AG665" i="1" s="1"/>
  <c r="AF830" i="1"/>
  <c r="AE830" i="1"/>
  <c r="AC830" i="1"/>
  <c r="AB830" i="1"/>
  <c r="AA830" i="1"/>
  <c r="AA373" i="1" s="1"/>
  <c r="Y830" i="1"/>
  <c r="X830" i="1"/>
  <c r="W830" i="1"/>
  <c r="W665" i="1" s="1"/>
  <c r="V830" i="1"/>
  <c r="V665" i="1" s="1"/>
  <c r="V619" i="1" s="1"/>
  <c r="U830" i="1"/>
  <c r="T830" i="1"/>
  <c r="T665" i="1" s="1"/>
  <c r="S830" i="1"/>
  <c r="Q830" i="1"/>
  <c r="P830" i="1"/>
  <c r="O830" i="1"/>
  <c r="M830" i="1"/>
  <c r="L830" i="1"/>
  <c r="K830" i="1"/>
  <c r="I830" i="1"/>
  <c r="H830" i="1"/>
  <c r="G830" i="1"/>
  <c r="G665" i="1" s="1"/>
  <c r="G619" i="1" s="1"/>
  <c r="E830" i="1"/>
  <c r="D830" i="1"/>
  <c r="D665" i="1" s="1"/>
  <c r="D619" i="1" s="1"/>
  <c r="C830" i="1"/>
  <c r="A830" i="1"/>
  <c r="A829" i="1"/>
  <c r="A827" i="1"/>
  <c r="BY826" i="1"/>
  <c r="BW826" i="1"/>
  <c r="BV826" i="1"/>
  <c r="BU826" i="1"/>
  <c r="BT826" i="1"/>
  <c r="BS826" i="1"/>
  <c r="BR826" i="1"/>
  <c r="BQ826" i="1"/>
  <c r="BP826" i="1"/>
  <c r="BO826" i="1"/>
  <c r="BN826" i="1"/>
  <c r="BM826" i="1"/>
  <c r="BL826" i="1"/>
  <c r="BK826" i="1"/>
  <c r="BJ826" i="1"/>
  <c r="BI826" i="1"/>
  <c r="BH826" i="1"/>
  <c r="AY826" i="1"/>
  <c r="BX826" i="1" s="1"/>
  <c r="AW826" i="1"/>
  <c r="AV826" i="1"/>
  <c r="AU826" i="1"/>
  <c r="AS826" i="1"/>
  <c r="AR826" i="1"/>
  <c r="AQ826" i="1"/>
  <c r="AO826" i="1"/>
  <c r="AN826" i="1"/>
  <c r="AM826" i="1"/>
  <c r="AK826" i="1"/>
  <c r="AJ826" i="1"/>
  <c r="AI826" i="1"/>
  <c r="AG826" i="1"/>
  <c r="AF826" i="1"/>
  <c r="AE826" i="1"/>
  <c r="AC826" i="1"/>
  <c r="AB826" i="1"/>
  <c r="AA826" i="1"/>
  <c r="Y826" i="1"/>
  <c r="X826" i="1"/>
  <c r="W826" i="1"/>
  <c r="U826" i="1"/>
  <c r="T826" i="1"/>
  <c r="S826" i="1"/>
  <c r="R826" i="1"/>
  <c r="Q826" i="1"/>
  <c r="P826" i="1"/>
  <c r="O826" i="1"/>
  <c r="M826" i="1"/>
  <c r="L826" i="1"/>
  <c r="K826" i="1"/>
  <c r="I826" i="1"/>
  <c r="H826" i="1"/>
  <c r="G826" i="1"/>
  <c r="E826" i="1"/>
  <c r="D826" i="1"/>
  <c r="C826" i="1"/>
  <c r="A826" i="1"/>
  <c r="BY825" i="1"/>
  <c r="BW825" i="1"/>
  <c r="BV825" i="1"/>
  <c r="BU825" i="1"/>
  <c r="BT825" i="1"/>
  <c r="BS825" i="1"/>
  <c r="BR825" i="1"/>
  <c r="BQ825" i="1"/>
  <c r="BP825" i="1"/>
  <c r="BO825" i="1"/>
  <c r="BN825" i="1"/>
  <c r="BM825" i="1"/>
  <c r="BL825" i="1"/>
  <c r="BK825" i="1"/>
  <c r="BJ825" i="1"/>
  <c r="BI825" i="1"/>
  <c r="BH825" i="1"/>
  <c r="AY825" i="1"/>
  <c r="BX825" i="1" s="1"/>
  <c r="AW825" i="1"/>
  <c r="AV825" i="1"/>
  <c r="AU825" i="1"/>
  <c r="AT825" i="1"/>
  <c r="AS825" i="1"/>
  <c r="AR825" i="1"/>
  <c r="AQ825" i="1"/>
  <c r="AP825" i="1"/>
  <c r="AO825" i="1"/>
  <c r="AN825" i="1"/>
  <c r="AM825" i="1"/>
  <c r="AL825" i="1"/>
  <c r="AK825" i="1"/>
  <c r="AJ825" i="1"/>
  <c r="AI825" i="1"/>
  <c r="AH825" i="1"/>
  <c r="AG825" i="1"/>
  <c r="AF825" i="1"/>
  <c r="AE825" i="1"/>
  <c r="AD825" i="1"/>
  <c r="AC825" i="1"/>
  <c r="AB825" i="1"/>
  <c r="AA825" i="1"/>
  <c r="Z825" i="1"/>
  <c r="Y825" i="1"/>
  <c r="X825" i="1"/>
  <c r="W825" i="1"/>
  <c r="V825" i="1"/>
  <c r="U825" i="1"/>
  <c r="T825" i="1"/>
  <c r="S825" i="1"/>
  <c r="R825" i="1"/>
  <c r="Q825" i="1"/>
  <c r="P825" i="1"/>
  <c r="O825" i="1"/>
  <c r="N825" i="1"/>
  <c r="M825" i="1"/>
  <c r="L825" i="1"/>
  <c r="K825" i="1"/>
  <c r="J825" i="1"/>
  <c r="I825" i="1"/>
  <c r="H825" i="1"/>
  <c r="G825" i="1"/>
  <c r="F825" i="1"/>
  <c r="E825" i="1"/>
  <c r="D825" i="1"/>
  <c r="C825" i="1"/>
  <c r="A825" i="1"/>
  <c r="BY824" i="1"/>
  <c r="BW824" i="1"/>
  <c r="BV824" i="1"/>
  <c r="BU824" i="1"/>
  <c r="BT824" i="1"/>
  <c r="BS824" i="1"/>
  <c r="BR824" i="1"/>
  <c r="BQ824" i="1"/>
  <c r="BP824" i="1"/>
  <c r="BO824" i="1"/>
  <c r="BN824" i="1"/>
  <c r="BM824" i="1"/>
  <c r="BL824" i="1"/>
  <c r="BK824" i="1"/>
  <c r="BJ824" i="1"/>
  <c r="BI824" i="1"/>
  <c r="BH824" i="1"/>
  <c r="AY824" i="1"/>
  <c r="BX824" i="1" s="1"/>
  <c r="AW824" i="1"/>
  <c r="AV824" i="1"/>
  <c r="AU824" i="1"/>
  <c r="AS824" i="1"/>
  <c r="AR824" i="1"/>
  <c r="AQ824" i="1"/>
  <c r="AO824" i="1"/>
  <c r="AN824" i="1"/>
  <c r="AM824" i="1"/>
  <c r="AK824" i="1"/>
  <c r="AJ824" i="1"/>
  <c r="AI824" i="1"/>
  <c r="AG824" i="1"/>
  <c r="AF824" i="1"/>
  <c r="AE824" i="1"/>
  <c r="AD824" i="1"/>
  <c r="AC824" i="1"/>
  <c r="AB824" i="1"/>
  <c r="AA824" i="1"/>
  <c r="Y824" i="1"/>
  <c r="X824" i="1"/>
  <c r="W824" i="1"/>
  <c r="V824" i="1"/>
  <c r="U824" i="1"/>
  <c r="T824" i="1"/>
  <c r="S824" i="1"/>
  <c r="Q824" i="1"/>
  <c r="P824" i="1"/>
  <c r="O824" i="1"/>
  <c r="M824" i="1"/>
  <c r="L824" i="1"/>
  <c r="K824" i="1"/>
  <c r="I824" i="1"/>
  <c r="H824" i="1"/>
  <c r="G824" i="1"/>
  <c r="F824" i="1"/>
  <c r="E824" i="1"/>
  <c r="D824" i="1"/>
  <c r="C824" i="1"/>
  <c r="A824" i="1"/>
  <c r="BW823" i="1"/>
  <c r="BV823" i="1"/>
  <c r="BU823" i="1"/>
  <c r="BT823" i="1"/>
  <c r="BS823" i="1"/>
  <c r="BR823" i="1"/>
  <c r="BQ823" i="1"/>
  <c r="BP823" i="1"/>
  <c r="BO823" i="1"/>
  <c r="BN823" i="1"/>
  <c r="BM823" i="1"/>
  <c r="BL823" i="1"/>
  <c r="BK823" i="1"/>
  <c r="BJ823" i="1"/>
  <c r="BI823" i="1"/>
  <c r="BH823" i="1"/>
  <c r="AY823" i="1"/>
  <c r="AW823" i="1"/>
  <c r="AV823" i="1"/>
  <c r="AU823" i="1"/>
  <c r="AS823" i="1"/>
  <c r="AR823" i="1"/>
  <c r="AQ823" i="1"/>
  <c r="AO823" i="1"/>
  <c r="AN823" i="1"/>
  <c r="AM823" i="1"/>
  <c r="AK823" i="1"/>
  <c r="AJ823" i="1"/>
  <c r="AI823" i="1"/>
  <c r="AG823" i="1"/>
  <c r="AF823" i="1"/>
  <c r="AE823" i="1"/>
  <c r="AC823" i="1"/>
  <c r="AB823" i="1"/>
  <c r="AA823" i="1"/>
  <c r="Y823" i="1"/>
  <c r="X823" i="1"/>
  <c r="W823" i="1"/>
  <c r="U823" i="1"/>
  <c r="T823" i="1"/>
  <c r="S823" i="1"/>
  <c r="Q823" i="1"/>
  <c r="P823" i="1"/>
  <c r="O823" i="1"/>
  <c r="M823" i="1"/>
  <c r="L823" i="1"/>
  <c r="K823" i="1"/>
  <c r="I823" i="1"/>
  <c r="H823" i="1"/>
  <c r="G823" i="1"/>
  <c r="E823" i="1"/>
  <c r="D823" i="1"/>
  <c r="C823" i="1"/>
  <c r="A823" i="1"/>
  <c r="BY822" i="1"/>
  <c r="BX822" i="1"/>
  <c r="BW822" i="1"/>
  <c r="BV822" i="1"/>
  <c r="BU822" i="1"/>
  <c r="BT822" i="1"/>
  <c r="BS822" i="1"/>
  <c r="BR822" i="1"/>
  <c r="BQ822" i="1"/>
  <c r="BP822" i="1"/>
  <c r="BO822" i="1"/>
  <c r="BN822" i="1"/>
  <c r="BM822" i="1"/>
  <c r="BL822" i="1"/>
  <c r="BK822" i="1"/>
  <c r="BJ822" i="1"/>
  <c r="BI822" i="1"/>
  <c r="BH822" i="1"/>
  <c r="AY822" i="1"/>
  <c r="AW822" i="1"/>
  <c r="AV822" i="1"/>
  <c r="AU822" i="1"/>
  <c r="AS822" i="1"/>
  <c r="AR822" i="1"/>
  <c r="AQ822" i="1"/>
  <c r="AO822" i="1"/>
  <c r="AN822" i="1"/>
  <c r="AM822" i="1"/>
  <c r="AK822" i="1"/>
  <c r="AJ822" i="1"/>
  <c r="AI822" i="1"/>
  <c r="AG822" i="1"/>
  <c r="AF822" i="1"/>
  <c r="AE822" i="1"/>
  <c r="AC822" i="1"/>
  <c r="AB822" i="1"/>
  <c r="AA822" i="1"/>
  <c r="Y822" i="1"/>
  <c r="X822" i="1"/>
  <c r="W822" i="1"/>
  <c r="V822" i="1"/>
  <c r="U822" i="1"/>
  <c r="T822" i="1"/>
  <c r="S822" i="1"/>
  <c r="Q822" i="1"/>
  <c r="P822" i="1"/>
  <c r="O822" i="1"/>
  <c r="M822" i="1"/>
  <c r="L822" i="1"/>
  <c r="K822" i="1"/>
  <c r="I822" i="1"/>
  <c r="H822" i="1"/>
  <c r="G822" i="1"/>
  <c r="E822" i="1"/>
  <c r="D822" i="1"/>
  <c r="C822" i="1"/>
  <c r="A822" i="1"/>
  <c r="BY821" i="1"/>
  <c r="BW821" i="1"/>
  <c r="BV821" i="1"/>
  <c r="BU821" i="1"/>
  <c r="BT821" i="1"/>
  <c r="BS821" i="1"/>
  <c r="BR821" i="1"/>
  <c r="BQ821" i="1"/>
  <c r="BP821" i="1"/>
  <c r="BO821" i="1"/>
  <c r="BN821" i="1"/>
  <c r="BM821" i="1"/>
  <c r="BL821" i="1"/>
  <c r="BK821" i="1"/>
  <c r="BJ821" i="1"/>
  <c r="BI821" i="1"/>
  <c r="BH821" i="1"/>
  <c r="AY821" i="1"/>
  <c r="BX821" i="1" s="1"/>
  <c r="AW821" i="1"/>
  <c r="AV821" i="1"/>
  <c r="AU821" i="1"/>
  <c r="AS821" i="1"/>
  <c r="AR821" i="1"/>
  <c r="AQ821" i="1"/>
  <c r="AO821" i="1"/>
  <c r="AN821" i="1"/>
  <c r="AM821" i="1"/>
  <c r="AK821" i="1"/>
  <c r="AJ821" i="1"/>
  <c r="AI821" i="1"/>
  <c r="AG821" i="1"/>
  <c r="AF821" i="1"/>
  <c r="AE821" i="1"/>
  <c r="AC821" i="1"/>
  <c r="AB821" i="1"/>
  <c r="AA821" i="1"/>
  <c r="Y821" i="1"/>
  <c r="X821" i="1"/>
  <c r="W821" i="1"/>
  <c r="U821" i="1"/>
  <c r="T821" i="1"/>
  <c r="S821" i="1"/>
  <c r="Q821" i="1"/>
  <c r="P821" i="1"/>
  <c r="O821" i="1"/>
  <c r="M821" i="1"/>
  <c r="L821" i="1"/>
  <c r="K821" i="1"/>
  <c r="I821" i="1"/>
  <c r="H821" i="1"/>
  <c r="G821" i="1"/>
  <c r="E821" i="1"/>
  <c r="D821" i="1"/>
  <c r="C821" i="1"/>
  <c r="A821" i="1"/>
  <c r="BY820" i="1"/>
  <c r="BW820" i="1"/>
  <c r="BV820" i="1"/>
  <c r="BU820" i="1"/>
  <c r="BT820" i="1"/>
  <c r="BS820" i="1"/>
  <c r="BR820" i="1"/>
  <c r="BQ820" i="1"/>
  <c r="BP820" i="1"/>
  <c r="BO820" i="1"/>
  <c r="BN820" i="1"/>
  <c r="BM820" i="1"/>
  <c r="BL820" i="1"/>
  <c r="BK820" i="1"/>
  <c r="BJ820" i="1"/>
  <c r="BI820" i="1"/>
  <c r="BH820" i="1"/>
  <c r="AY820" i="1"/>
  <c r="BX820" i="1" s="1"/>
  <c r="AW820" i="1"/>
  <c r="AV820" i="1"/>
  <c r="AU820" i="1"/>
  <c r="AT820" i="1"/>
  <c r="AS820" i="1"/>
  <c r="AR820" i="1"/>
  <c r="AQ820" i="1"/>
  <c r="AP820" i="1"/>
  <c r="AO820" i="1"/>
  <c r="AN820" i="1"/>
  <c r="AM820" i="1"/>
  <c r="AL820" i="1"/>
  <c r="AK820" i="1"/>
  <c r="AJ820" i="1"/>
  <c r="AI820" i="1"/>
  <c r="AH820" i="1"/>
  <c r="AG820" i="1"/>
  <c r="AF820" i="1"/>
  <c r="AE820" i="1"/>
  <c r="AD820" i="1"/>
  <c r="AC820" i="1"/>
  <c r="AB820" i="1"/>
  <c r="AA820" i="1"/>
  <c r="Z820" i="1"/>
  <c r="Y820" i="1"/>
  <c r="X820" i="1"/>
  <c r="W820" i="1"/>
  <c r="V820" i="1"/>
  <c r="U820" i="1"/>
  <c r="T820" i="1"/>
  <c r="S820" i="1"/>
  <c r="R820" i="1"/>
  <c r="Q820" i="1"/>
  <c r="P820" i="1"/>
  <c r="O820" i="1"/>
  <c r="N820" i="1"/>
  <c r="M820" i="1"/>
  <c r="L820" i="1"/>
  <c r="K820" i="1"/>
  <c r="J820" i="1"/>
  <c r="I820" i="1"/>
  <c r="H820" i="1"/>
  <c r="G820" i="1"/>
  <c r="F820" i="1"/>
  <c r="E820" i="1"/>
  <c r="D820" i="1"/>
  <c r="C820" i="1"/>
  <c r="A820" i="1"/>
  <c r="BY819" i="1"/>
  <c r="BW819" i="1"/>
  <c r="BV819" i="1"/>
  <c r="BU819" i="1"/>
  <c r="BT819" i="1"/>
  <c r="BS819" i="1"/>
  <c r="BR819" i="1"/>
  <c r="BQ819" i="1"/>
  <c r="BP819" i="1"/>
  <c r="BO819" i="1"/>
  <c r="BN819" i="1"/>
  <c r="BM819" i="1"/>
  <c r="BL819" i="1"/>
  <c r="BK819" i="1"/>
  <c r="BJ819" i="1"/>
  <c r="BI819" i="1"/>
  <c r="BH819" i="1"/>
  <c r="AY819" i="1"/>
  <c r="BX819" i="1" s="1"/>
  <c r="AW819" i="1"/>
  <c r="AV819" i="1"/>
  <c r="AU819" i="1"/>
  <c r="AS819" i="1"/>
  <c r="AR819" i="1"/>
  <c r="AQ819" i="1"/>
  <c r="AO819" i="1"/>
  <c r="AN819" i="1"/>
  <c r="AM819" i="1"/>
  <c r="AK819" i="1"/>
  <c r="AJ819" i="1"/>
  <c r="AI819" i="1"/>
  <c r="AG819" i="1"/>
  <c r="AF819" i="1"/>
  <c r="AE819" i="1"/>
  <c r="AC819" i="1"/>
  <c r="AB819" i="1"/>
  <c r="AA819" i="1"/>
  <c r="Y819" i="1"/>
  <c r="X819" i="1"/>
  <c r="W819" i="1"/>
  <c r="U819" i="1"/>
  <c r="T819" i="1"/>
  <c r="S819" i="1"/>
  <c r="Q819" i="1"/>
  <c r="P819" i="1"/>
  <c r="O819" i="1"/>
  <c r="M819" i="1"/>
  <c r="L819" i="1"/>
  <c r="K819" i="1"/>
  <c r="J819" i="1"/>
  <c r="I819" i="1"/>
  <c r="H819" i="1"/>
  <c r="G819" i="1"/>
  <c r="E819" i="1"/>
  <c r="D819" i="1"/>
  <c r="C819" i="1"/>
  <c r="A819" i="1"/>
  <c r="BY818" i="1"/>
  <c r="BX818" i="1"/>
  <c r="BW818" i="1"/>
  <c r="BV818" i="1"/>
  <c r="BU818" i="1"/>
  <c r="BT818" i="1"/>
  <c r="BS818" i="1"/>
  <c r="BR818" i="1"/>
  <c r="BQ818" i="1"/>
  <c r="BP818" i="1"/>
  <c r="BO818" i="1"/>
  <c r="BN818" i="1"/>
  <c r="BM818" i="1"/>
  <c r="BL818" i="1"/>
  <c r="BK818" i="1"/>
  <c r="BJ818" i="1"/>
  <c r="BI818" i="1"/>
  <c r="BH818" i="1"/>
  <c r="AY818" i="1"/>
  <c r="AW818" i="1"/>
  <c r="AV818" i="1"/>
  <c r="AU818" i="1"/>
  <c r="AS818" i="1"/>
  <c r="AR818" i="1"/>
  <c r="AQ818" i="1"/>
  <c r="AO818" i="1"/>
  <c r="AN818" i="1"/>
  <c r="AM818" i="1"/>
  <c r="AK818" i="1"/>
  <c r="AJ818" i="1"/>
  <c r="AI818" i="1"/>
  <c r="AG818" i="1"/>
  <c r="AF818" i="1"/>
  <c r="AE818" i="1"/>
  <c r="AC818" i="1"/>
  <c r="AB818" i="1"/>
  <c r="AA818" i="1"/>
  <c r="Z818" i="1"/>
  <c r="Y818" i="1"/>
  <c r="X818" i="1"/>
  <c r="W818" i="1"/>
  <c r="U818" i="1"/>
  <c r="T818" i="1"/>
  <c r="S818" i="1"/>
  <c r="Q818" i="1"/>
  <c r="P818" i="1"/>
  <c r="O818" i="1"/>
  <c r="M818" i="1"/>
  <c r="L818" i="1"/>
  <c r="K818" i="1"/>
  <c r="I818" i="1"/>
  <c r="H818" i="1"/>
  <c r="G818" i="1"/>
  <c r="E818" i="1"/>
  <c r="D818" i="1"/>
  <c r="C818" i="1"/>
  <c r="A818" i="1"/>
  <c r="BY817" i="1"/>
  <c r="BX817" i="1"/>
  <c r="BW817" i="1"/>
  <c r="BV817" i="1"/>
  <c r="BU817" i="1"/>
  <c r="BT817" i="1"/>
  <c r="BS817" i="1"/>
  <c r="BR817" i="1"/>
  <c r="BQ817" i="1"/>
  <c r="BP817" i="1"/>
  <c r="BO817" i="1"/>
  <c r="BN817" i="1"/>
  <c r="BM817" i="1"/>
  <c r="BL817" i="1"/>
  <c r="BK817" i="1"/>
  <c r="BJ817" i="1"/>
  <c r="BI817" i="1"/>
  <c r="BH817" i="1"/>
  <c r="AY817" i="1"/>
  <c r="AW817" i="1"/>
  <c r="AV817" i="1"/>
  <c r="AU817" i="1"/>
  <c r="AS817" i="1"/>
  <c r="AR817" i="1"/>
  <c r="AQ817" i="1"/>
  <c r="AO817" i="1"/>
  <c r="AN817" i="1"/>
  <c r="AM817" i="1"/>
  <c r="AK817" i="1"/>
  <c r="AJ817" i="1"/>
  <c r="AI817" i="1"/>
  <c r="AG817" i="1"/>
  <c r="AF817" i="1"/>
  <c r="AE817" i="1"/>
  <c r="AC817" i="1"/>
  <c r="AB817" i="1"/>
  <c r="AA817" i="1"/>
  <c r="Y817" i="1"/>
  <c r="X817" i="1"/>
  <c r="W817" i="1"/>
  <c r="U817" i="1"/>
  <c r="T817" i="1"/>
  <c r="S817" i="1"/>
  <c r="Q817" i="1"/>
  <c r="P817" i="1"/>
  <c r="O817" i="1"/>
  <c r="M817" i="1"/>
  <c r="L817" i="1"/>
  <c r="K817" i="1"/>
  <c r="I817" i="1"/>
  <c r="H817" i="1"/>
  <c r="G817" i="1"/>
  <c r="E817" i="1"/>
  <c r="D817" i="1"/>
  <c r="C817" i="1"/>
  <c r="A817" i="1"/>
  <c r="BW816" i="1"/>
  <c r="BV816" i="1"/>
  <c r="BU816" i="1"/>
  <c r="BT816" i="1"/>
  <c r="BS816" i="1"/>
  <c r="BR816" i="1"/>
  <c r="BR63" i="9" s="1"/>
  <c r="BQ816" i="1"/>
  <c r="BP816" i="1"/>
  <c r="BO816" i="1"/>
  <c r="BN816" i="1"/>
  <c r="BM816" i="1"/>
  <c r="BL816" i="1"/>
  <c r="BK816" i="1"/>
  <c r="BJ816" i="1"/>
  <c r="BI816" i="1"/>
  <c r="BH816" i="1"/>
  <c r="AY816" i="1"/>
  <c r="AW816" i="1"/>
  <c r="AV816" i="1"/>
  <c r="AU816" i="1"/>
  <c r="AS816" i="1"/>
  <c r="AR816" i="1"/>
  <c r="AQ816" i="1"/>
  <c r="AO816" i="1"/>
  <c r="AN816" i="1"/>
  <c r="AM816" i="1"/>
  <c r="AK816" i="1"/>
  <c r="AJ816" i="1"/>
  <c r="AI816" i="1"/>
  <c r="AG816" i="1"/>
  <c r="AF816" i="1"/>
  <c r="AE816" i="1"/>
  <c r="AC816" i="1"/>
  <c r="AB816" i="1"/>
  <c r="AA816" i="1"/>
  <c r="Z816" i="1"/>
  <c r="Y816" i="1"/>
  <c r="X816" i="1"/>
  <c r="W816" i="1"/>
  <c r="U816" i="1"/>
  <c r="T816" i="1"/>
  <c r="S816" i="1"/>
  <c r="Q816" i="1"/>
  <c r="P816" i="1"/>
  <c r="O816" i="1"/>
  <c r="M816" i="1"/>
  <c r="L816" i="1"/>
  <c r="K816" i="1"/>
  <c r="I816" i="1"/>
  <c r="H816" i="1"/>
  <c r="G816" i="1"/>
  <c r="E816" i="1"/>
  <c r="D816" i="1"/>
  <c r="C816" i="1"/>
  <c r="A816" i="1"/>
  <c r="A815" i="1"/>
  <c r="BY814" i="1"/>
  <c r="BX814" i="1"/>
  <c r="BW814" i="1"/>
  <c r="BV814" i="1"/>
  <c r="BU814" i="1"/>
  <c r="BT814" i="1"/>
  <c r="BS814" i="1"/>
  <c r="BR814" i="1"/>
  <c r="BQ814" i="1"/>
  <c r="BP814" i="1"/>
  <c r="BO814" i="1"/>
  <c r="BN814" i="1"/>
  <c r="BM814" i="1"/>
  <c r="BL814" i="1"/>
  <c r="BK814" i="1"/>
  <c r="BJ814" i="1"/>
  <c r="BI814" i="1"/>
  <c r="BH814" i="1"/>
  <c r="AY814" i="1"/>
  <c r="AW814" i="1"/>
  <c r="AV814" i="1"/>
  <c r="AU814" i="1"/>
  <c r="AT814" i="1"/>
  <c r="AS814" i="1"/>
  <c r="AR814" i="1"/>
  <c r="AQ814" i="1"/>
  <c r="AP814" i="1"/>
  <c r="AO814" i="1"/>
  <c r="AN814" i="1"/>
  <c r="AM814" i="1"/>
  <c r="AK814" i="1"/>
  <c r="AJ814" i="1"/>
  <c r="AI814" i="1"/>
  <c r="AG814" i="1"/>
  <c r="AF814" i="1"/>
  <c r="AE814" i="1"/>
  <c r="AC814" i="1"/>
  <c r="AB814" i="1"/>
  <c r="AA814" i="1"/>
  <c r="Y814" i="1"/>
  <c r="X814" i="1"/>
  <c r="W814" i="1"/>
  <c r="U814" i="1"/>
  <c r="T814" i="1"/>
  <c r="S814" i="1"/>
  <c r="Q814" i="1"/>
  <c r="P814" i="1"/>
  <c r="O814" i="1"/>
  <c r="M814" i="1"/>
  <c r="L814" i="1"/>
  <c r="K814" i="1"/>
  <c r="I814" i="1"/>
  <c r="H814" i="1"/>
  <c r="G814" i="1"/>
  <c r="F814" i="1"/>
  <c r="E814" i="1"/>
  <c r="D814" i="1"/>
  <c r="C814" i="1"/>
  <c r="A814" i="1"/>
  <c r="BY813" i="1"/>
  <c r="BW813" i="1"/>
  <c r="BV813" i="1"/>
  <c r="BU813" i="1"/>
  <c r="BT813" i="1"/>
  <c r="BS813" i="1"/>
  <c r="BR813" i="1"/>
  <c r="BQ813" i="1"/>
  <c r="BP813" i="1"/>
  <c r="BO813" i="1"/>
  <c r="BN813" i="1"/>
  <c r="BM813" i="1"/>
  <c r="BL813" i="1"/>
  <c r="BK813" i="1"/>
  <c r="BJ813" i="1"/>
  <c r="BI813" i="1"/>
  <c r="BH813" i="1"/>
  <c r="AY813" i="1"/>
  <c r="BX813" i="1" s="1"/>
  <c r="AW813" i="1"/>
  <c r="AV813" i="1"/>
  <c r="AU813" i="1"/>
  <c r="AS813" i="1"/>
  <c r="AR813" i="1"/>
  <c r="AQ813" i="1"/>
  <c r="AO813" i="1"/>
  <c r="AN813" i="1"/>
  <c r="AM813" i="1"/>
  <c r="AL813" i="1"/>
  <c r="AK813" i="1"/>
  <c r="AJ813" i="1"/>
  <c r="AI813" i="1"/>
  <c r="AH813" i="1"/>
  <c r="AG813" i="1"/>
  <c r="AF813" i="1"/>
  <c r="AE813" i="1"/>
  <c r="AD813" i="1"/>
  <c r="AC813" i="1"/>
  <c r="AB813" i="1"/>
  <c r="AA813" i="1"/>
  <c r="Z813" i="1"/>
  <c r="Y813" i="1"/>
  <c r="X813" i="1"/>
  <c r="W813" i="1"/>
  <c r="V813" i="1"/>
  <c r="U813" i="1"/>
  <c r="T813" i="1"/>
  <c r="S813" i="1"/>
  <c r="R813" i="1"/>
  <c r="Q813" i="1"/>
  <c r="P813" i="1"/>
  <c r="O813" i="1"/>
  <c r="N813" i="1"/>
  <c r="M813" i="1"/>
  <c r="L813" i="1"/>
  <c r="K813" i="1"/>
  <c r="J813" i="1"/>
  <c r="I813" i="1"/>
  <c r="H813" i="1"/>
  <c r="G813" i="1"/>
  <c r="F813" i="1"/>
  <c r="E813" i="1"/>
  <c r="D813" i="1"/>
  <c r="C813" i="1"/>
  <c r="A813" i="1"/>
  <c r="BY812" i="1"/>
  <c r="BX812" i="1"/>
  <c r="BW812" i="1"/>
  <c r="BV812" i="1"/>
  <c r="BU812" i="1"/>
  <c r="BT812" i="1"/>
  <c r="BS812" i="1"/>
  <c r="BR812" i="1"/>
  <c r="BQ812" i="1"/>
  <c r="BP812" i="1"/>
  <c r="BO812" i="1"/>
  <c r="BN812" i="1"/>
  <c r="BM812" i="1"/>
  <c r="BL812" i="1"/>
  <c r="BK812" i="1"/>
  <c r="BJ812" i="1"/>
  <c r="BI812" i="1"/>
  <c r="BH812" i="1"/>
  <c r="AY812" i="1"/>
  <c r="AW812" i="1"/>
  <c r="AV812" i="1"/>
  <c r="AU812" i="1"/>
  <c r="AS812" i="1"/>
  <c r="AR812" i="1"/>
  <c r="AQ812" i="1"/>
  <c r="AO812" i="1"/>
  <c r="AN812" i="1"/>
  <c r="AM812" i="1"/>
  <c r="AK812" i="1"/>
  <c r="AJ812" i="1"/>
  <c r="AI812" i="1"/>
  <c r="AG812" i="1"/>
  <c r="AF812" i="1"/>
  <c r="AE812" i="1"/>
  <c r="AC812" i="1"/>
  <c r="AB812" i="1"/>
  <c r="AA812" i="1"/>
  <c r="Z812" i="1"/>
  <c r="Y812" i="1"/>
  <c r="X812" i="1"/>
  <c r="W812" i="1"/>
  <c r="U812" i="1"/>
  <c r="T812" i="1"/>
  <c r="S812" i="1"/>
  <c r="Q812" i="1"/>
  <c r="P812" i="1"/>
  <c r="O812" i="1"/>
  <c r="M812" i="1"/>
  <c r="L812" i="1"/>
  <c r="K812" i="1"/>
  <c r="I812" i="1"/>
  <c r="H812" i="1"/>
  <c r="G812" i="1"/>
  <c r="E812" i="1"/>
  <c r="D812" i="1"/>
  <c r="C812" i="1"/>
  <c r="A812" i="1"/>
  <c r="BY811" i="1"/>
  <c r="BX811" i="1"/>
  <c r="BW811" i="1"/>
  <c r="BV811" i="1"/>
  <c r="BU811" i="1"/>
  <c r="BT811" i="1"/>
  <c r="BS811" i="1"/>
  <c r="BR811" i="1"/>
  <c r="BQ811" i="1"/>
  <c r="BP811" i="1"/>
  <c r="BO811" i="1"/>
  <c r="BN811" i="1"/>
  <c r="BM811" i="1"/>
  <c r="BL811" i="1"/>
  <c r="BK811" i="1"/>
  <c r="BJ811" i="1"/>
  <c r="BI811" i="1"/>
  <c r="BH811" i="1"/>
  <c r="AY811" i="1"/>
  <c r="AW811" i="1"/>
  <c r="AV811" i="1"/>
  <c r="AU811" i="1"/>
  <c r="AS811" i="1"/>
  <c r="AR811" i="1"/>
  <c r="AQ811" i="1"/>
  <c r="AO811" i="1"/>
  <c r="AN811" i="1"/>
  <c r="AM811" i="1"/>
  <c r="AL811" i="1"/>
  <c r="AK811" i="1"/>
  <c r="AJ811" i="1"/>
  <c r="AI811" i="1"/>
  <c r="AH811" i="1"/>
  <c r="AG811" i="1"/>
  <c r="AF811" i="1"/>
  <c r="AE811" i="1"/>
  <c r="AD811" i="1"/>
  <c r="AC811" i="1"/>
  <c r="AB811" i="1"/>
  <c r="AA811" i="1"/>
  <c r="Z811" i="1"/>
  <c r="Y811" i="1"/>
  <c r="X811" i="1"/>
  <c r="W811" i="1"/>
  <c r="V811" i="1"/>
  <c r="U811" i="1"/>
  <c r="T811" i="1"/>
  <c r="S811" i="1"/>
  <c r="R811" i="1"/>
  <c r="Q811" i="1"/>
  <c r="P811" i="1"/>
  <c r="O811" i="1"/>
  <c r="N811" i="1"/>
  <c r="M811" i="1"/>
  <c r="L811" i="1"/>
  <c r="K811" i="1"/>
  <c r="J811" i="1"/>
  <c r="I811" i="1"/>
  <c r="H811" i="1"/>
  <c r="G811" i="1"/>
  <c r="F811" i="1"/>
  <c r="E811" i="1"/>
  <c r="D811" i="1"/>
  <c r="C811" i="1"/>
  <c r="A811" i="1"/>
  <c r="BY810" i="1"/>
  <c r="BW810" i="1"/>
  <c r="BV810" i="1"/>
  <c r="BU810" i="1"/>
  <c r="BT810" i="1"/>
  <c r="BS810" i="1"/>
  <c r="BR810" i="1"/>
  <c r="BQ810" i="1"/>
  <c r="BP810" i="1"/>
  <c r="BO810" i="1"/>
  <c r="BN810" i="1"/>
  <c r="BM810" i="1"/>
  <c r="BL810" i="1"/>
  <c r="BK810" i="1"/>
  <c r="BJ810" i="1"/>
  <c r="BI810" i="1"/>
  <c r="BH810" i="1"/>
  <c r="AY810" i="1"/>
  <c r="BX810" i="1" s="1"/>
  <c r="AW810" i="1"/>
  <c r="AV810" i="1"/>
  <c r="AU810" i="1"/>
  <c r="AS810" i="1"/>
  <c r="AR810" i="1"/>
  <c r="AQ810" i="1"/>
  <c r="AO810" i="1"/>
  <c r="AN810" i="1"/>
  <c r="AM810" i="1"/>
  <c r="AK810" i="1"/>
  <c r="AJ810" i="1"/>
  <c r="AI810" i="1"/>
  <c r="AG810" i="1"/>
  <c r="AF810" i="1"/>
  <c r="AE810" i="1"/>
  <c r="AD810" i="1"/>
  <c r="AC810" i="1"/>
  <c r="AB810" i="1"/>
  <c r="AA810" i="1"/>
  <c r="Y810" i="1"/>
  <c r="X810" i="1"/>
  <c r="W810" i="1"/>
  <c r="U810" i="1"/>
  <c r="T810" i="1"/>
  <c r="S810" i="1"/>
  <c r="Q810" i="1"/>
  <c r="P810" i="1"/>
  <c r="O810" i="1"/>
  <c r="M810" i="1"/>
  <c r="L810" i="1"/>
  <c r="K810" i="1"/>
  <c r="I810" i="1"/>
  <c r="H810" i="1"/>
  <c r="G810" i="1"/>
  <c r="E810" i="1"/>
  <c r="D810" i="1"/>
  <c r="C810" i="1"/>
  <c r="A810" i="1"/>
  <c r="BW809" i="1"/>
  <c r="BV809" i="1"/>
  <c r="BU809" i="1"/>
  <c r="BT809" i="1"/>
  <c r="BS809" i="1"/>
  <c r="BR809" i="1"/>
  <c r="BQ809" i="1"/>
  <c r="BP809" i="1"/>
  <c r="BP405" i="1" s="1"/>
  <c r="BO809" i="1"/>
  <c r="BN809" i="1"/>
  <c r="BM809" i="1"/>
  <c r="BL809" i="1"/>
  <c r="BK809" i="1"/>
  <c r="BJ809" i="1"/>
  <c r="BI809" i="1"/>
  <c r="BI405" i="1" s="1"/>
  <c r="BH809" i="1"/>
  <c r="AY809" i="1"/>
  <c r="AW809" i="1"/>
  <c r="AV809" i="1"/>
  <c r="AU809" i="1"/>
  <c r="AS809" i="1"/>
  <c r="AR809" i="1"/>
  <c r="AQ809" i="1"/>
  <c r="AO809" i="1"/>
  <c r="AN809" i="1"/>
  <c r="AM809" i="1"/>
  <c r="AM405" i="1" s="1"/>
  <c r="AM404" i="1" s="1"/>
  <c r="AK809" i="1"/>
  <c r="AJ809" i="1"/>
  <c r="AJ405" i="1" s="1"/>
  <c r="AJ404" i="1" s="1"/>
  <c r="AI809" i="1"/>
  <c r="AH809" i="1"/>
  <c r="AH405" i="1" s="1"/>
  <c r="AG809" i="1"/>
  <c r="AF809" i="1"/>
  <c r="AE809" i="1"/>
  <c r="AC809" i="1"/>
  <c r="AB809" i="1"/>
  <c r="AA809" i="1"/>
  <c r="Y809" i="1"/>
  <c r="X809" i="1"/>
  <c r="X405" i="1" s="1"/>
  <c r="X404" i="1" s="1"/>
  <c r="W809" i="1"/>
  <c r="U809" i="1"/>
  <c r="T809" i="1"/>
  <c r="S809" i="1"/>
  <c r="Q809" i="1"/>
  <c r="P809" i="1"/>
  <c r="O809" i="1"/>
  <c r="M809" i="1"/>
  <c r="L809" i="1"/>
  <c r="K809" i="1"/>
  <c r="I809" i="1"/>
  <c r="I405" i="1" s="1"/>
  <c r="I404" i="1" s="1"/>
  <c r="I37" i="9" s="1"/>
  <c r="H809" i="1"/>
  <c r="G809" i="1"/>
  <c r="E809" i="1"/>
  <c r="D809" i="1"/>
  <c r="C809" i="1"/>
  <c r="A809" i="1"/>
  <c r="BW808" i="1"/>
  <c r="BV808" i="1"/>
  <c r="BU808" i="1"/>
  <c r="BT808" i="1"/>
  <c r="BS808" i="1"/>
  <c r="BR808" i="1"/>
  <c r="BQ808" i="1"/>
  <c r="BP808" i="1"/>
  <c r="BO808" i="1"/>
  <c r="BN808" i="1"/>
  <c r="BM808" i="1"/>
  <c r="BL808" i="1"/>
  <c r="BK808" i="1"/>
  <c r="BJ808" i="1"/>
  <c r="BI808" i="1"/>
  <c r="BI677" i="1" s="1"/>
  <c r="BH808" i="1"/>
  <c r="AY808" i="1"/>
  <c r="AW808" i="1"/>
  <c r="AV808" i="1"/>
  <c r="AU808" i="1"/>
  <c r="AS808" i="1"/>
  <c r="AR808" i="1"/>
  <c r="AQ808" i="1"/>
  <c r="AO808" i="1"/>
  <c r="AN808" i="1"/>
  <c r="AM808" i="1"/>
  <c r="AK808" i="1"/>
  <c r="AJ808" i="1"/>
  <c r="AI808" i="1"/>
  <c r="AG808" i="1"/>
  <c r="AF808" i="1"/>
  <c r="AE808" i="1"/>
  <c r="AD808" i="1"/>
  <c r="AC808" i="1"/>
  <c r="AB808" i="1"/>
  <c r="AA808" i="1"/>
  <c r="Y808" i="1"/>
  <c r="X808" i="1"/>
  <c r="W808" i="1"/>
  <c r="U808" i="1"/>
  <c r="T808" i="1"/>
  <c r="S808" i="1"/>
  <c r="R808" i="1"/>
  <c r="Q808" i="1"/>
  <c r="P808" i="1"/>
  <c r="O808" i="1"/>
  <c r="O815" i="1" s="1"/>
  <c r="O659" i="1" s="1"/>
  <c r="M808" i="1"/>
  <c r="L808" i="1"/>
  <c r="K808" i="1"/>
  <c r="I808" i="1"/>
  <c r="H808" i="1"/>
  <c r="G808" i="1"/>
  <c r="E808" i="1"/>
  <c r="D808" i="1"/>
  <c r="C808" i="1"/>
  <c r="A808" i="1"/>
  <c r="BY807" i="1"/>
  <c r="BX807" i="1"/>
  <c r="BW807" i="1"/>
  <c r="BV807" i="1"/>
  <c r="BU807" i="1"/>
  <c r="BT807" i="1"/>
  <c r="BS807" i="1"/>
  <c r="BR807" i="1"/>
  <c r="BQ807" i="1"/>
  <c r="BP807" i="1"/>
  <c r="BO807" i="1"/>
  <c r="BN807" i="1"/>
  <c r="BM807" i="1"/>
  <c r="BL807" i="1"/>
  <c r="BK807" i="1"/>
  <c r="BJ807" i="1"/>
  <c r="BI807" i="1"/>
  <c r="BH807" i="1"/>
  <c r="AY807" i="1"/>
  <c r="AW807" i="1"/>
  <c r="AV807" i="1"/>
  <c r="AU807" i="1"/>
  <c r="AS807" i="1"/>
  <c r="AR807" i="1"/>
  <c r="AQ807" i="1"/>
  <c r="AO807" i="1"/>
  <c r="AN807" i="1"/>
  <c r="AM807" i="1"/>
  <c r="AK807" i="1"/>
  <c r="AJ807" i="1"/>
  <c r="AI807" i="1"/>
  <c r="AG807" i="1"/>
  <c r="AF807" i="1"/>
  <c r="AE807" i="1"/>
  <c r="AC807" i="1"/>
  <c r="AB807" i="1"/>
  <c r="AA807" i="1"/>
  <c r="Y807" i="1"/>
  <c r="X807" i="1"/>
  <c r="W807" i="1"/>
  <c r="U807" i="1"/>
  <c r="T807" i="1"/>
  <c r="S807" i="1"/>
  <c r="Q807" i="1"/>
  <c r="P807" i="1"/>
  <c r="O807" i="1"/>
  <c r="M807" i="1"/>
  <c r="L807" i="1"/>
  <c r="K807" i="1"/>
  <c r="I807" i="1"/>
  <c r="H807" i="1"/>
  <c r="G807" i="1"/>
  <c r="E807" i="1"/>
  <c r="D807" i="1"/>
  <c r="C807" i="1"/>
  <c r="A807" i="1"/>
  <c r="BY806" i="1"/>
  <c r="BW806" i="1"/>
  <c r="BV806" i="1"/>
  <c r="BU806" i="1"/>
  <c r="BT806" i="1"/>
  <c r="BS806" i="1"/>
  <c r="BR806" i="1"/>
  <c r="BQ806" i="1"/>
  <c r="BP806" i="1"/>
  <c r="BO806" i="1"/>
  <c r="BN806" i="1"/>
  <c r="BM806" i="1"/>
  <c r="BL806" i="1"/>
  <c r="BK806" i="1"/>
  <c r="BJ806" i="1"/>
  <c r="BI806" i="1"/>
  <c r="BH806" i="1"/>
  <c r="AY806" i="1"/>
  <c r="BX806" i="1" s="1"/>
  <c r="AW806" i="1"/>
  <c r="AV806" i="1"/>
  <c r="AU806" i="1"/>
  <c r="AS806" i="1"/>
  <c r="AR806" i="1"/>
  <c r="AQ806" i="1"/>
  <c r="AO806" i="1"/>
  <c r="AN806" i="1"/>
  <c r="AM806" i="1"/>
  <c r="AK806" i="1"/>
  <c r="AJ806" i="1"/>
  <c r="AI806" i="1"/>
  <c r="AH806" i="1"/>
  <c r="AG806" i="1"/>
  <c r="AF806" i="1"/>
  <c r="AE806" i="1"/>
  <c r="AC806" i="1"/>
  <c r="AB806" i="1"/>
  <c r="AA806" i="1"/>
  <c r="Y806" i="1"/>
  <c r="X806" i="1"/>
  <c r="W806" i="1"/>
  <c r="U806" i="1"/>
  <c r="T806" i="1"/>
  <c r="S806" i="1"/>
  <c r="Q806" i="1"/>
  <c r="P806" i="1"/>
  <c r="O806" i="1"/>
  <c r="M806" i="1"/>
  <c r="L806" i="1"/>
  <c r="K806" i="1"/>
  <c r="I806" i="1"/>
  <c r="H806" i="1"/>
  <c r="G806" i="1"/>
  <c r="E806" i="1"/>
  <c r="D806" i="1"/>
  <c r="C806" i="1"/>
  <c r="A806" i="1"/>
  <c r="BY805" i="1"/>
  <c r="BW805" i="1"/>
  <c r="BV805" i="1"/>
  <c r="BU805" i="1"/>
  <c r="BT805" i="1"/>
  <c r="BS805" i="1"/>
  <c r="BR805" i="1"/>
  <c r="BQ805" i="1"/>
  <c r="BP805" i="1"/>
  <c r="BO805" i="1"/>
  <c r="BN805" i="1"/>
  <c r="BM805" i="1"/>
  <c r="BL805" i="1"/>
  <c r="BK805" i="1"/>
  <c r="BJ805" i="1"/>
  <c r="BI805" i="1"/>
  <c r="BH805" i="1"/>
  <c r="AY805" i="1"/>
  <c r="BX805" i="1" s="1"/>
  <c r="AW805" i="1"/>
  <c r="AV805" i="1"/>
  <c r="AU805" i="1"/>
  <c r="AS805" i="1"/>
  <c r="AR805" i="1"/>
  <c r="AQ805" i="1"/>
  <c r="AO805" i="1"/>
  <c r="AN805" i="1"/>
  <c r="AM805" i="1"/>
  <c r="AK805" i="1"/>
  <c r="AJ805" i="1"/>
  <c r="AI805" i="1"/>
  <c r="AG805" i="1"/>
  <c r="AF805" i="1"/>
  <c r="AE805" i="1"/>
  <c r="AD805" i="1"/>
  <c r="AC805" i="1"/>
  <c r="AB805" i="1"/>
  <c r="AA805" i="1"/>
  <c r="Y805" i="1"/>
  <c r="X805" i="1"/>
  <c r="W805" i="1"/>
  <c r="V805" i="1"/>
  <c r="U805" i="1"/>
  <c r="T805" i="1"/>
  <c r="S805" i="1"/>
  <c r="R805" i="1"/>
  <c r="Q805" i="1"/>
  <c r="P805" i="1"/>
  <c r="O805" i="1"/>
  <c r="M805" i="1"/>
  <c r="L805" i="1"/>
  <c r="K805" i="1"/>
  <c r="I805" i="1"/>
  <c r="H805" i="1"/>
  <c r="G805" i="1"/>
  <c r="E805" i="1"/>
  <c r="D805" i="1"/>
  <c r="C805" i="1"/>
  <c r="A805" i="1"/>
  <c r="BW804" i="1"/>
  <c r="BV804" i="1"/>
  <c r="BU804" i="1"/>
  <c r="BT804" i="1"/>
  <c r="BS804" i="1"/>
  <c r="BR804" i="1"/>
  <c r="BR196" i="1" s="1"/>
  <c r="BR195" i="1" s="1"/>
  <c r="BQ804" i="1"/>
  <c r="BP804" i="1"/>
  <c r="BO804" i="1"/>
  <c r="BN804" i="1"/>
  <c r="BM804" i="1"/>
  <c r="BL804" i="1"/>
  <c r="BK804" i="1"/>
  <c r="BJ804" i="1"/>
  <c r="BI804" i="1"/>
  <c r="BH804" i="1"/>
  <c r="AY804" i="1"/>
  <c r="AW804" i="1"/>
  <c r="AW196" i="1" s="1"/>
  <c r="AW194" i="1" s="1"/>
  <c r="AV804" i="1"/>
  <c r="AU804" i="1"/>
  <c r="AS804" i="1"/>
  <c r="AR804" i="1"/>
  <c r="AQ804" i="1"/>
  <c r="AO804" i="1"/>
  <c r="AN804" i="1"/>
  <c r="AM804" i="1"/>
  <c r="AK804" i="1"/>
  <c r="AJ804" i="1"/>
  <c r="AI804" i="1"/>
  <c r="AG804" i="1"/>
  <c r="AG392" i="1" s="1"/>
  <c r="AF804" i="1"/>
  <c r="AE804" i="1"/>
  <c r="AD804" i="1"/>
  <c r="AC804" i="1"/>
  <c r="AB804" i="1"/>
  <c r="AA804" i="1"/>
  <c r="Y804" i="1"/>
  <c r="X804" i="1"/>
  <c r="W804" i="1"/>
  <c r="U804" i="1"/>
  <c r="T804" i="1"/>
  <c r="T392" i="1" s="1"/>
  <c r="S804" i="1"/>
  <c r="R804" i="1"/>
  <c r="Q804" i="1"/>
  <c r="P804" i="1"/>
  <c r="O804" i="1"/>
  <c r="M804" i="1"/>
  <c r="L804" i="1"/>
  <c r="K804" i="1"/>
  <c r="I804" i="1"/>
  <c r="H804" i="1"/>
  <c r="G804" i="1"/>
  <c r="G392" i="1" s="1"/>
  <c r="E804" i="1"/>
  <c r="D804" i="1"/>
  <c r="C804" i="1"/>
  <c r="A804" i="1"/>
  <c r="BW803" i="1"/>
  <c r="BV803" i="1"/>
  <c r="BU803" i="1"/>
  <c r="BT803" i="1"/>
  <c r="BS803" i="1"/>
  <c r="BR803" i="1"/>
  <c r="BQ803" i="1"/>
  <c r="BP803" i="1"/>
  <c r="BO803" i="1"/>
  <c r="BN803" i="1"/>
  <c r="BM803" i="1"/>
  <c r="BL803" i="1"/>
  <c r="BK803" i="1"/>
  <c r="BJ803" i="1"/>
  <c r="BI803" i="1"/>
  <c r="BH803" i="1"/>
  <c r="AY803" i="1"/>
  <c r="AW803" i="1"/>
  <c r="AV803" i="1"/>
  <c r="AU803" i="1"/>
  <c r="AS803" i="1"/>
  <c r="AR803" i="1"/>
  <c r="AQ803" i="1"/>
  <c r="AO803" i="1"/>
  <c r="AN803" i="1"/>
  <c r="AM803" i="1"/>
  <c r="AK803" i="1"/>
  <c r="AJ803" i="1"/>
  <c r="AI803" i="1"/>
  <c r="AG803" i="1"/>
  <c r="AF803" i="1"/>
  <c r="AE803" i="1"/>
  <c r="AD803" i="1"/>
  <c r="AC803" i="1"/>
  <c r="AB803" i="1"/>
  <c r="AA803" i="1"/>
  <c r="Y803" i="1"/>
  <c r="X803" i="1"/>
  <c r="W803" i="1"/>
  <c r="U803" i="1"/>
  <c r="T803" i="1"/>
  <c r="S803" i="1"/>
  <c r="R803" i="1"/>
  <c r="Q803" i="1"/>
  <c r="P803" i="1"/>
  <c r="O803" i="1"/>
  <c r="M803" i="1"/>
  <c r="L803" i="1"/>
  <c r="K803" i="1"/>
  <c r="I803" i="1"/>
  <c r="H803" i="1"/>
  <c r="G803" i="1"/>
  <c r="E803" i="1"/>
  <c r="D803" i="1"/>
  <c r="C803" i="1"/>
  <c r="A803" i="1"/>
  <c r="A802" i="1"/>
  <c r="BN799" i="1"/>
  <c r="BM799" i="1"/>
  <c r="BL799" i="1"/>
  <c r="BK799" i="1"/>
  <c r="AX799" i="1"/>
  <c r="AX868" i="1" s="1"/>
  <c r="AT799" i="1"/>
  <c r="AT868" i="1" s="1"/>
  <c r="AP799" i="1"/>
  <c r="AP868" i="1" s="1"/>
  <c r="AL799" i="1"/>
  <c r="AL868" i="1" s="1"/>
  <c r="AH799" i="1"/>
  <c r="AH868" i="1" s="1"/>
  <c r="AD799" i="1"/>
  <c r="Z799" i="1"/>
  <c r="V799" i="1"/>
  <c r="V868" i="1" s="1"/>
  <c r="R799" i="1"/>
  <c r="R868" i="1" s="1"/>
  <c r="E799" i="1"/>
  <c r="D799" i="1"/>
  <c r="N798" i="1"/>
  <c r="N799" i="1" s="1"/>
  <c r="N868" i="1" s="1"/>
  <c r="J798" i="1"/>
  <c r="F798" i="1"/>
  <c r="F799" i="1" s="1"/>
  <c r="N797" i="1"/>
  <c r="J797" i="1"/>
  <c r="J799" i="1" s="1"/>
  <c r="J868" i="1" s="1"/>
  <c r="F797" i="1"/>
  <c r="F866" i="1" s="1"/>
  <c r="AX796" i="1"/>
  <c r="AX865" i="1" s="1"/>
  <c r="AT796" i="1"/>
  <c r="AT865" i="1" s="1"/>
  <c r="V796" i="1"/>
  <c r="V865" i="1" s="1"/>
  <c r="R796" i="1"/>
  <c r="N796" i="1"/>
  <c r="N865" i="1" s="1"/>
  <c r="J796" i="1"/>
  <c r="J865" i="1" s="1"/>
  <c r="F796" i="1"/>
  <c r="F865" i="1" s="1"/>
  <c r="Z793" i="1"/>
  <c r="BQ793" i="1" s="1"/>
  <c r="BQ862" i="1" s="1"/>
  <c r="X793" i="1"/>
  <c r="Y793" i="1" s="1"/>
  <c r="L791" i="1"/>
  <c r="AX790" i="1"/>
  <c r="AX859" i="1" s="1"/>
  <c r="AT790" i="1"/>
  <c r="AT859" i="1" s="1"/>
  <c r="AP790" i="1"/>
  <c r="AP859" i="1" s="1"/>
  <c r="AL790" i="1"/>
  <c r="AL859" i="1" s="1"/>
  <c r="AH790" i="1"/>
  <c r="AH859" i="1" s="1"/>
  <c r="AD790" i="1"/>
  <c r="Z790" i="1"/>
  <c r="Z859" i="1" s="1"/>
  <c r="V790" i="1"/>
  <c r="V859" i="1" s="1"/>
  <c r="R790" i="1"/>
  <c r="R859" i="1" s="1"/>
  <c r="N790" i="1"/>
  <c r="N859" i="1" s="1"/>
  <c r="J790" i="1"/>
  <c r="J859" i="1" s="1"/>
  <c r="F790" i="1"/>
  <c r="F859" i="1" s="1"/>
  <c r="BW788" i="1"/>
  <c r="BV788" i="1"/>
  <c r="BU788" i="1"/>
  <c r="BT788" i="1"/>
  <c r="BS788" i="1"/>
  <c r="BR788" i="1"/>
  <c r="BQ788" i="1"/>
  <c r="BP788" i="1"/>
  <c r="BO788" i="1"/>
  <c r="BN788" i="1"/>
  <c r="BM788" i="1"/>
  <c r="BL788" i="1"/>
  <c r="BK788" i="1"/>
  <c r="BJ788" i="1"/>
  <c r="BI788" i="1"/>
  <c r="BH788" i="1"/>
  <c r="AY788" i="1"/>
  <c r="AW788" i="1"/>
  <c r="AV788" i="1"/>
  <c r="AU788" i="1"/>
  <c r="AS788" i="1"/>
  <c r="AR788" i="1"/>
  <c r="AQ788" i="1"/>
  <c r="AO788" i="1"/>
  <c r="AN788" i="1"/>
  <c r="AM788" i="1"/>
  <c r="AK788" i="1"/>
  <c r="AJ788" i="1"/>
  <c r="AI788" i="1"/>
  <c r="AG788" i="1"/>
  <c r="AF788" i="1"/>
  <c r="AE788" i="1"/>
  <c r="AC788" i="1"/>
  <c r="AB788" i="1"/>
  <c r="AB791" i="1" s="1"/>
  <c r="AA788" i="1"/>
  <c r="Y788" i="1"/>
  <c r="X788" i="1"/>
  <c r="W788" i="1"/>
  <c r="U788" i="1"/>
  <c r="T788" i="1"/>
  <c r="S788" i="1"/>
  <c r="Q788" i="1"/>
  <c r="P788" i="1"/>
  <c r="P791" i="1" s="1"/>
  <c r="O788" i="1"/>
  <c r="N788" i="1"/>
  <c r="M788" i="1"/>
  <c r="L788" i="1"/>
  <c r="K788" i="1"/>
  <c r="I788" i="1"/>
  <c r="H788" i="1"/>
  <c r="H791" i="1" s="1"/>
  <c r="G788" i="1"/>
  <c r="G791" i="1" s="1"/>
  <c r="E788" i="1"/>
  <c r="D788" i="1"/>
  <c r="C788" i="1"/>
  <c r="AX787" i="1"/>
  <c r="AX856" i="1" s="1"/>
  <c r="AT787" i="1"/>
  <c r="AT856" i="1" s="1"/>
  <c r="AP787" i="1"/>
  <c r="AP856" i="1" s="1"/>
  <c r="AL787" i="1"/>
  <c r="AH787" i="1"/>
  <c r="AD787" i="1"/>
  <c r="AD856" i="1" s="1"/>
  <c r="Z787" i="1"/>
  <c r="Z856" i="1" s="1"/>
  <c r="V787" i="1"/>
  <c r="V856" i="1" s="1"/>
  <c r="R787" i="1"/>
  <c r="R856" i="1" s="1"/>
  <c r="N787" i="1"/>
  <c r="N856" i="1" s="1"/>
  <c r="J787" i="1"/>
  <c r="J856" i="1" s="1"/>
  <c r="F787" i="1"/>
  <c r="F856" i="1" s="1"/>
  <c r="AX786" i="1"/>
  <c r="AT786" i="1"/>
  <c r="AT855" i="1" s="1"/>
  <c r="AP786" i="1"/>
  <c r="AP855" i="1" s="1"/>
  <c r="AP670" i="1" s="1"/>
  <c r="AP67" i="9" s="1"/>
  <c r="AL786" i="1"/>
  <c r="AL855" i="1" s="1"/>
  <c r="AH786" i="1"/>
  <c r="AD786" i="1"/>
  <c r="AD855" i="1" s="1"/>
  <c r="AD670" i="1" s="1"/>
  <c r="AD67" i="9" s="1"/>
  <c r="Z786" i="1"/>
  <c r="Z855" i="1" s="1"/>
  <c r="V786" i="1"/>
  <c r="V855" i="1" s="1"/>
  <c r="R786" i="1"/>
  <c r="R855" i="1" s="1"/>
  <c r="AX785" i="1"/>
  <c r="AX854" i="1" s="1"/>
  <c r="AT785" i="1"/>
  <c r="AT854" i="1" s="1"/>
  <c r="AP785" i="1"/>
  <c r="AP854" i="1" s="1"/>
  <c r="AL785" i="1"/>
  <c r="AL854" i="1" s="1"/>
  <c r="AH785" i="1"/>
  <c r="AH854" i="1" s="1"/>
  <c r="AD785" i="1"/>
  <c r="AD854" i="1" s="1"/>
  <c r="Z785" i="1"/>
  <c r="Z854" i="1" s="1"/>
  <c r="AX784" i="1"/>
  <c r="AX853" i="1" s="1"/>
  <c r="AT784" i="1"/>
  <c r="AT853" i="1" s="1"/>
  <c r="AP784" i="1"/>
  <c r="AP853" i="1" s="1"/>
  <c r="AL784" i="1"/>
  <c r="AL853" i="1" s="1"/>
  <c r="AH784" i="1"/>
  <c r="AH853" i="1" s="1"/>
  <c r="AD784" i="1"/>
  <c r="AD853" i="1" s="1"/>
  <c r="Z784" i="1"/>
  <c r="Z853" i="1" s="1"/>
  <c r="V784" i="1"/>
  <c r="V853" i="1" s="1"/>
  <c r="AX783" i="1"/>
  <c r="AX852" i="1" s="1"/>
  <c r="AT783" i="1"/>
  <c r="AT852" i="1" s="1"/>
  <c r="AP783" i="1"/>
  <c r="AP852" i="1" s="1"/>
  <c r="AL783" i="1"/>
  <c r="AL852" i="1" s="1"/>
  <c r="AH783" i="1"/>
  <c r="AH852" i="1" s="1"/>
  <c r="AD783" i="1"/>
  <c r="AD852" i="1" s="1"/>
  <c r="Z783" i="1"/>
  <c r="Z852" i="1" s="1"/>
  <c r="V783" i="1"/>
  <c r="V852" i="1" s="1"/>
  <c r="R783" i="1"/>
  <c r="R852" i="1" s="1"/>
  <c r="N783" i="1"/>
  <c r="N852" i="1" s="1"/>
  <c r="J783" i="1"/>
  <c r="J852" i="1" s="1"/>
  <c r="F783" i="1"/>
  <c r="F852" i="1" s="1"/>
  <c r="AX782" i="1"/>
  <c r="AX851" i="1" s="1"/>
  <c r="AT782" i="1"/>
  <c r="AT851" i="1" s="1"/>
  <c r="AT374" i="1" s="1"/>
  <c r="AP782" i="1"/>
  <c r="AP851" i="1" s="1"/>
  <c r="AP374" i="1" s="1"/>
  <c r="AL782" i="1"/>
  <c r="AL851" i="1" s="1"/>
  <c r="AH782" i="1"/>
  <c r="AD782" i="1"/>
  <c r="AD851" i="1" s="1"/>
  <c r="Z782" i="1"/>
  <c r="Z851" i="1" s="1"/>
  <c r="V782" i="1"/>
  <c r="V851" i="1" s="1"/>
  <c r="R782" i="1"/>
  <c r="R851" i="1" s="1"/>
  <c r="N782" i="1"/>
  <c r="N851" i="1" s="1"/>
  <c r="J782" i="1"/>
  <c r="J851" i="1" s="1"/>
  <c r="F782" i="1"/>
  <c r="F851" i="1" s="1"/>
  <c r="AX781" i="1"/>
  <c r="AX850" i="1" s="1"/>
  <c r="AT781" i="1"/>
  <c r="AT850" i="1" s="1"/>
  <c r="AP781" i="1"/>
  <c r="AP850" i="1" s="1"/>
  <c r="AL781" i="1"/>
  <c r="AL850" i="1" s="1"/>
  <c r="AH781" i="1"/>
  <c r="AD781" i="1"/>
  <c r="AD850" i="1" s="1"/>
  <c r="Z781" i="1"/>
  <c r="Z850" i="1" s="1"/>
  <c r="V781" i="1"/>
  <c r="V850" i="1" s="1"/>
  <c r="R781" i="1"/>
  <c r="R850" i="1" s="1"/>
  <c r="N781" i="1"/>
  <c r="N850" i="1" s="1"/>
  <c r="J781" i="1"/>
  <c r="J850" i="1" s="1"/>
  <c r="F781" i="1"/>
  <c r="F850" i="1" s="1"/>
  <c r="AX780" i="1"/>
  <c r="AX849" i="1" s="1"/>
  <c r="AT780" i="1"/>
  <c r="AT849" i="1" s="1"/>
  <c r="AP780" i="1"/>
  <c r="AP849" i="1" s="1"/>
  <c r="AL780" i="1"/>
  <c r="AL849" i="1" s="1"/>
  <c r="AH780" i="1"/>
  <c r="AH849" i="1" s="1"/>
  <c r="AD780" i="1"/>
  <c r="AD849" i="1" s="1"/>
  <c r="Z780" i="1"/>
  <c r="Z849" i="1" s="1"/>
  <c r="V780" i="1"/>
  <c r="V849" i="1" s="1"/>
  <c r="R780" i="1"/>
  <c r="R849" i="1" s="1"/>
  <c r="N780" i="1"/>
  <c r="N849" i="1" s="1"/>
  <c r="J780" i="1"/>
  <c r="J849" i="1" s="1"/>
  <c r="F780" i="1"/>
  <c r="F849" i="1" s="1"/>
  <c r="AX779" i="1"/>
  <c r="AT779" i="1"/>
  <c r="AT848" i="1" s="1"/>
  <c r="AT673" i="1" s="1"/>
  <c r="AT72" i="9" s="1"/>
  <c r="AP779" i="1"/>
  <c r="AP848" i="1" s="1"/>
  <c r="AL779" i="1"/>
  <c r="AL848" i="1" s="1"/>
  <c r="AH779" i="1"/>
  <c r="AD779" i="1"/>
  <c r="AD848" i="1" s="1"/>
  <c r="AD673" i="1" s="1"/>
  <c r="AD72" i="9" s="1"/>
  <c r="Z779" i="1"/>
  <c r="Z848" i="1" s="1"/>
  <c r="Z673" i="1" s="1"/>
  <c r="Z72" i="9" s="1"/>
  <c r="V779" i="1"/>
  <c r="V848" i="1" s="1"/>
  <c r="R779" i="1"/>
  <c r="R848" i="1" s="1"/>
  <c r="R673" i="1" s="1"/>
  <c r="R72" i="9" s="1"/>
  <c r="N779" i="1"/>
  <c r="N848" i="1" s="1"/>
  <c r="N673" i="1" s="1"/>
  <c r="N72" i="9" s="1"/>
  <c r="J779" i="1"/>
  <c r="J848" i="1" s="1"/>
  <c r="F779" i="1"/>
  <c r="F848" i="1" s="1"/>
  <c r="AX778" i="1"/>
  <c r="AX847" i="1" s="1"/>
  <c r="AT778" i="1"/>
  <c r="AT847" i="1" s="1"/>
  <c r="AP778" i="1"/>
  <c r="AP847" i="1" s="1"/>
  <c r="AP674" i="1" s="1"/>
  <c r="AP71" i="9" s="1"/>
  <c r="AL778" i="1"/>
  <c r="AL847" i="1" s="1"/>
  <c r="AH778" i="1"/>
  <c r="AD778" i="1"/>
  <c r="AD847" i="1" s="1"/>
  <c r="Z778" i="1"/>
  <c r="Z847" i="1" s="1"/>
  <c r="V778" i="1"/>
  <c r="V847" i="1" s="1"/>
  <c r="R778" i="1"/>
  <c r="R847" i="1" s="1"/>
  <c r="R674" i="1" s="1"/>
  <c r="R71" i="9" s="1"/>
  <c r="N778" i="1"/>
  <c r="N847" i="1" s="1"/>
  <c r="J778" i="1"/>
  <c r="J847" i="1" s="1"/>
  <c r="F778" i="1"/>
  <c r="F847" i="1" s="1"/>
  <c r="AX777" i="1"/>
  <c r="AT777" i="1"/>
  <c r="AP777" i="1"/>
  <c r="AL777" i="1"/>
  <c r="AH777" i="1"/>
  <c r="AD777" i="1"/>
  <c r="AD846" i="1" s="1"/>
  <c r="Z777" i="1"/>
  <c r="Z846" i="1" s="1"/>
  <c r="V777" i="1"/>
  <c r="V846" i="1" s="1"/>
  <c r="R777" i="1"/>
  <c r="R846" i="1" s="1"/>
  <c r="N777" i="1"/>
  <c r="N846" i="1" s="1"/>
  <c r="J777" i="1"/>
  <c r="J846" i="1" s="1"/>
  <c r="F777" i="1"/>
  <c r="F846" i="1" s="1"/>
  <c r="AX776" i="1"/>
  <c r="AX845" i="1" s="1"/>
  <c r="AH776" i="1"/>
  <c r="AH845" i="1" s="1"/>
  <c r="AD776" i="1"/>
  <c r="AD845" i="1" s="1"/>
  <c r="Z776" i="1"/>
  <c r="Z845" i="1" s="1"/>
  <c r="V776" i="1"/>
  <c r="R776" i="1"/>
  <c r="AX775" i="1"/>
  <c r="AH775" i="1"/>
  <c r="AD775" i="1"/>
  <c r="AD844" i="1" s="1"/>
  <c r="Z775" i="1"/>
  <c r="Z844" i="1" s="1"/>
  <c r="V775" i="1"/>
  <c r="R775" i="1"/>
  <c r="R844" i="1" s="1"/>
  <c r="N775" i="1"/>
  <c r="N844" i="1" s="1"/>
  <c r="J775" i="1"/>
  <c r="F775" i="1"/>
  <c r="BW772" i="1"/>
  <c r="BV772" i="1"/>
  <c r="BU772" i="1"/>
  <c r="BT772" i="1"/>
  <c r="BS772" i="1"/>
  <c r="BR772" i="1"/>
  <c r="BQ772" i="1"/>
  <c r="BP772" i="1"/>
  <c r="BO772" i="1"/>
  <c r="BN772" i="1"/>
  <c r="BM772" i="1"/>
  <c r="BL772" i="1"/>
  <c r="BK772" i="1"/>
  <c r="BJ772" i="1"/>
  <c r="BI772" i="1"/>
  <c r="BH772" i="1"/>
  <c r="AY772" i="1"/>
  <c r="AW772" i="1"/>
  <c r="AV772" i="1"/>
  <c r="AU772" i="1"/>
  <c r="AS772" i="1"/>
  <c r="AR772" i="1"/>
  <c r="AQ772" i="1"/>
  <c r="AO772" i="1"/>
  <c r="AN772" i="1"/>
  <c r="AM772" i="1"/>
  <c r="AK772" i="1"/>
  <c r="AK791" i="1" s="1"/>
  <c r="AJ772" i="1"/>
  <c r="AI772" i="1"/>
  <c r="AG772" i="1"/>
  <c r="AF772" i="1"/>
  <c r="AE772" i="1"/>
  <c r="AC772" i="1"/>
  <c r="AB772" i="1"/>
  <c r="AA772" i="1"/>
  <c r="Y772" i="1"/>
  <c r="X772" i="1"/>
  <c r="W772" i="1"/>
  <c r="U772" i="1"/>
  <c r="T772" i="1"/>
  <c r="S772" i="1"/>
  <c r="Q772" i="1"/>
  <c r="P772" i="1"/>
  <c r="O772" i="1"/>
  <c r="M772" i="1"/>
  <c r="L772" i="1"/>
  <c r="K772" i="1"/>
  <c r="I772" i="1"/>
  <c r="H772" i="1"/>
  <c r="G772" i="1"/>
  <c r="E772" i="1"/>
  <c r="D772" i="1"/>
  <c r="C772" i="1"/>
  <c r="AX771" i="1"/>
  <c r="AX840" i="1" s="1"/>
  <c r="AT771" i="1"/>
  <c r="AT840" i="1" s="1"/>
  <c r="AP771" i="1"/>
  <c r="AP840" i="1" s="1"/>
  <c r="AL771" i="1"/>
  <c r="AL840" i="1" s="1"/>
  <c r="AH771" i="1"/>
  <c r="AD771" i="1"/>
  <c r="AD840" i="1" s="1"/>
  <c r="Z771" i="1"/>
  <c r="Z840" i="1" s="1"/>
  <c r="V771" i="1"/>
  <c r="V840" i="1" s="1"/>
  <c r="R771" i="1"/>
  <c r="R840" i="1" s="1"/>
  <c r="N771" i="1"/>
  <c r="N840" i="1" s="1"/>
  <c r="J771" i="1"/>
  <c r="J840" i="1" s="1"/>
  <c r="F771" i="1"/>
  <c r="F840" i="1" s="1"/>
  <c r="AX770" i="1"/>
  <c r="AX839" i="1" s="1"/>
  <c r="AT770" i="1"/>
  <c r="AP770" i="1"/>
  <c r="AP839" i="1" s="1"/>
  <c r="AL770" i="1"/>
  <c r="AH770" i="1"/>
  <c r="AD770" i="1"/>
  <c r="AD839" i="1" s="1"/>
  <c r="Z770" i="1"/>
  <c r="Z839" i="1" s="1"/>
  <c r="Z669" i="1" s="1"/>
  <c r="Z70" i="9" s="1"/>
  <c r="V770" i="1"/>
  <c r="V839" i="1" s="1"/>
  <c r="R770" i="1"/>
  <c r="AX769" i="1"/>
  <c r="AX838" i="1" s="1"/>
  <c r="AT769" i="1"/>
  <c r="AT838" i="1" s="1"/>
  <c r="AP769" i="1"/>
  <c r="AP838" i="1" s="1"/>
  <c r="AL769" i="1"/>
  <c r="AL838" i="1" s="1"/>
  <c r="AH769" i="1"/>
  <c r="AH838" i="1" s="1"/>
  <c r="AD769" i="1"/>
  <c r="AD838" i="1" s="1"/>
  <c r="Z769" i="1"/>
  <c r="Z838" i="1" s="1"/>
  <c r="V769" i="1"/>
  <c r="V838" i="1" s="1"/>
  <c r="R769" i="1"/>
  <c r="R838" i="1" s="1"/>
  <c r="N769" i="1"/>
  <c r="N838" i="1" s="1"/>
  <c r="J769" i="1"/>
  <c r="J838" i="1" s="1"/>
  <c r="F769" i="1"/>
  <c r="AX768" i="1"/>
  <c r="AX837" i="1" s="1"/>
  <c r="AX668" i="1" s="1"/>
  <c r="AT768" i="1"/>
  <c r="AT837" i="1" s="1"/>
  <c r="AP768" i="1"/>
  <c r="AP837" i="1" s="1"/>
  <c r="AL768" i="1"/>
  <c r="AL837" i="1" s="1"/>
  <c r="AL668" i="1" s="1"/>
  <c r="AH768" i="1"/>
  <c r="AH837" i="1" s="1"/>
  <c r="AD768" i="1"/>
  <c r="AD837" i="1" s="1"/>
  <c r="Z768" i="1"/>
  <c r="V768" i="1"/>
  <c r="R768" i="1"/>
  <c r="R837" i="1" s="1"/>
  <c r="N768" i="1"/>
  <c r="N837" i="1" s="1"/>
  <c r="J768" i="1"/>
  <c r="J837" i="1" s="1"/>
  <c r="F768" i="1"/>
  <c r="AX767" i="1"/>
  <c r="AX836" i="1" s="1"/>
  <c r="AT767" i="1"/>
  <c r="AT836" i="1" s="1"/>
  <c r="AP767" i="1"/>
  <c r="AP836" i="1" s="1"/>
  <c r="AL767" i="1"/>
  <c r="AL836" i="1" s="1"/>
  <c r="AH767" i="1"/>
  <c r="AH836" i="1" s="1"/>
  <c r="AX766" i="1"/>
  <c r="AX835" i="1" s="1"/>
  <c r="AT766" i="1"/>
  <c r="AT835" i="1" s="1"/>
  <c r="AP766" i="1"/>
  <c r="AP835" i="1" s="1"/>
  <c r="AL766" i="1"/>
  <c r="AL835" i="1" s="1"/>
  <c r="AH766" i="1"/>
  <c r="AH835" i="1" s="1"/>
  <c r="AD766" i="1"/>
  <c r="AD835" i="1" s="1"/>
  <c r="Z766" i="1"/>
  <c r="V766" i="1"/>
  <c r="V835" i="1" s="1"/>
  <c r="R766" i="1"/>
  <c r="R835" i="1" s="1"/>
  <c r="N766" i="1"/>
  <c r="N835" i="1" s="1"/>
  <c r="J766" i="1"/>
  <c r="J835" i="1" s="1"/>
  <c r="F766" i="1"/>
  <c r="F835" i="1" s="1"/>
  <c r="AX765" i="1"/>
  <c r="AX834" i="1" s="1"/>
  <c r="AT765" i="1"/>
  <c r="AT834" i="1" s="1"/>
  <c r="AP765" i="1"/>
  <c r="AP834" i="1" s="1"/>
  <c r="AL765" i="1"/>
  <c r="AL834" i="1" s="1"/>
  <c r="AH765" i="1"/>
  <c r="AH834" i="1" s="1"/>
  <c r="AD765" i="1"/>
  <c r="AD834" i="1" s="1"/>
  <c r="Z765" i="1"/>
  <c r="Z834" i="1" s="1"/>
  <c r="V765" i="1"/>
  <c r="V834" i="1" s="1"/>
  <c r="R765" i="1"/>
  <c r="R834" i="1" s="1"/>
  <c r="N765" i="1"/>
  <c r="N834" i="1" s="1"/>
  <c r="J765" i="1"/>
  <c r="J834" i="1" s="1"/>
  <c r="F765" i="1"/>
  <c r="AX764" i="1"/>
  <c r="AX833" i="1" s="1"/>
  <c r="AT764" i="1"/>
  <c r="AT833" i="1" s="1"/>
  <c r="AP764" i="1"/>
  <c r="AP833" i="1" s="1"/>
  <c r="AL764" i="1"/>
  <c r="AL833" i="1" s="1"/>
  <c r="AH764" i="1"/>
  <c r="AH833" i="1" s="1"/>
  <c r="AD764" i="1"/>
  <c r="AD833" i="1" s="1"/>
  <c r="Z764" i="1"/>
  <c r="V764" i="1"/>
  <c r="R764" i="1"/>
  <c r="R833" i="1" s="1"/>
  <c r="N764" i="1"/>
  <c r="N833" i="1" s="1"/>
  <c r="J764" i="1"/>
  <c r="J833" i="1" s="1"/>
  <c r="F764" i="1"/>
  <c r="F833" i="1" s="1"/>
  <c r="AX763" i="1"/>
  <c r="AX832" i="1" s="1"/>
  <c r="AT763" i="1"/>
  <c r="AT832" i="1" s="1"/>
  <c r="AP763" i="1"/>
  <c r="AP832" i="1" s="1"/>
  <c r="AX762" i="1"/>
  <c r="AX831" i="1" s="1"/>
  <c r="AT762" i="1"/>
  <c r="AT831" i="1" s="1"/>
  <c r="AP762" i="1"/>
  <c r="AL762" i="1"/>
  <c r="AL831" i="1" s="1"/>
  <c r="AH762" i="1"/>
  <c r="AH831" i="1" s="1"/>
  <c r="AD762" i="1"/>
  <c r="AD831" i="1" s="1"/>
  <c r="Z762" i="1"/>
  <c r="Z831" i="1" s="1"/>
  <c r="V762" i="1"/>
  <c r="V831" i="1" s="1"/>
  <c r="R762" i="1"/>
  <c r="R831" i="1" s="1"/>
  <c r="N762" i="1"/>
  <c r="N831" i="1" s="1"/>
  <c r="J762" i="1"/>
  <c r="J831" i="1" s="1"/>
  <c r="F762" i="1"/>
  <c r="F831" i="1" s="1"/>
  <c r="AX761" i="1"/>
  <c r="AX830" i="1" s="1"/>
  <c r="AX665" i="1" s="1"/>
  <c r="AX619" i="1" s="1"/>
  <c r="AT761" i="1"/>
  <c r="AT830" i="1" s="1"/>
  <c r="AP761" i="1"/>
  <c r="AL761" i="1"/>
  <c r="AH761" i="1"/>
  <c r="AD761" i="1"/>
  <c r="Z761" i="1"/>
  <c r="Z830" i="1" s="1"/>
  <c r="V761" i="1"/>
  <c r="R761" i="1"/>
  <c r="N761" i="1"/>
  <c r="J761" i="1"/>
  <c r="F761" i="1"/>
  <c r="BR758" i="1"/>
  <c r="BQ758" i="1"/>
  <c r="AW758" i="1"/>
  <c r="AV758" i="1"/>
  <c r="AA758" i="1"/>
  <c r="S758" i="1"/>
  <c r="M758" i="1"/>
  <c r="L758" i="1"/>
  <c r="C758" i="1"/>
  <c r="AX757" i="1"/>
  <c r="AX826" i="1" s="1"/>
  <c r="AT757" i="1"/>
  <c r="AT826" i="1" s="1"/>
  <c r="AP757" i="1"/>
  <c r="AP826" i="1" s="1"/>
  <c r="AL757" i="1"/>
  <c r="AL826" i="1" s="1"/>
  <c r="AH757" i="1"/>
  <c r="AH826" i="1" s="1"/>
  <c r="AD757" i="1"/>
  <c r="AD826" i="1" s="1"/>
  <c r="Z757" i="1"/>
  <c r="Z826" i="1" s="1"/>
  <c r="V757" i="1"/>
  <c r="V826" i="1" s="1"/>
  <c r="R757" i="1"/>
  <c r="N757" i="1"/>
  <c r="N826" i="1" s="1"/>
  <c r="J757" i="1"/>
  <c r="J826" i="1" s="1"/>
  <c r="F757" i="1"/>
  <c r="F826" i="1" s="1"/>
  <c r="AX756" i="1"/>
  <c r="AX825" i="1" s="1"/>
  <c r="AX755" i="1"/>
  <c r="AX824" i="1" s="1"/>
  <c r="AT755" i="1"/>
  <c r="AT824" i="1" s="1"/>
  <c r="AP755" i="1"/>
  <c r="AP824" i="1" s="1"/>
  <c r="AL755" i="1"/>
  <c r="AL824" i="1" s="1"/>
  <c r="AH755" i="1"/>
  <c r="AH824" i="1" s="1"/>
  <c r="AD755" i="1"/>
  <c r="Z755" i="1"/>
  <c r="Z824" i="1" s="1"/>
  <c r="V755" i="1"/>
  <c r="R755" i="1"/>
  <c r="R824" i="1" s="1"/>
  <c r="N755" i="1"/>
  <c r="N824" i="1" s="1"/>
  <c r="J755" i="1"/>
  <c r="J824" i="1" s="1"/>
  <c r="F755" i="1"/>
  <c r="AX754" i="1"/>
  <c r="AX823" i="1" s="1"/>
  <c r="AT754" i="1"/>
  <c r="AT823" i="1" s="1"/>
  <c r="AP754" i="1"/>
  <c r="AP823" i="1" s="1"/>
  <c r="AL754" i="1"/>
  <c r="AL823" i="1" s="1"/>
  <c r="AH754" i="1"/>
  <c r="AH823" i="1" s="1"/>
  <c r="AD754" i="1"/>
  <c r="AD823" i="1" s="1"/>
  <c r="Z754" i="1"/>
  <c r="Z823" i="1" s="1"/>
  <c r="V754" i="1"/>
  <c r="V823" i="1" s="1"/>
  <c r="R754" i="1"/>
  <c r="R823" i="1" s="1"/>
  <c r="N754" i="1"/>
  <c r="N823" i="1" s="1"/>
  <c r="J754" i="1"/>
  <c r="J823" i="1" s="1"/>
  <c r="F754" i="1"/>
  <c r="F823" i="1" s="1"/>
  <c r="AX753" i="1"/>
  <c r="AX822" i="1" s="1"/>
  <c r="AT753" i="1"/>
  <c r="AT822" i="1" s="1"/>
  <c r="AP753" i="1"/>
  <c r="AP822" i="1" s="1"/>
  <c r="AL753" i="1"/>
  <c r="AL822" i="1" s="1"/>
  <c r="AH753" i="1"/>
  <c r="AH822" i="1" s="1"/>
  <c r="AD753" i="1"/>
  <c r="AD822" i="1" s="1"/>
  <c r="Z753" i="1"/>
  <c r="Z822" i="1" s="1"/>
  <c r="V753" i="1"/>
  <c r="R753" i="1"/>
  <c r="R822" i="1" s="1"/>
  <c r="N753" i="1"/>
  <c r="N822" i="1" s="1"/>
  <c r="J753" i="1"/>
  <c r="J822" i="1" s="1"/>
  <c r="F753" i="1"/>
  <c r="F822" i="1" s="1"/>
  <c r="AX752" i="1"/>
  <c r="AX821" i="1" s="1"/>
  <c r="AT752" i="1"/>
  <c r="AT821" i="1" s="1"/>
  <c r="AP752" i="1"/>
  <c r="AP821" i="1" s="1"/>
  <c r="AL752" i="1"/>
  <c r="AL821" i="1" s="1"/>
  <c r="AH752" i="1"/>
  <c r="AH821" i="1" s="1"/>
  <c r="AD752" i="1"/>
  <c r="AD821" i="1" s="1"/>
  <c r="Z752" i="1"/>
  <c r="Z821" i="1" s="1"/>
  <c r="V752" i="1"/>
  <c r="V821" i="1" s="1"/>
  <c r="R752" i="1"/>
  <c r="R821" i="1" s="1"/>
  <c r="N752" i="1"/>
  <c r="N821" i="1" s="1"/>
  <c r="J752" i="1"/>
  <c r="J821" i="1" s="1"/>
  <c r="F752" i="1"/>
  <c r="F821" i="1" s="1"/>
  <c r="AX751" i="1"/>
  <c r="AX820" i="1" s="1"/>
  <c r="AX750" i="1"/>
  <c r="AX819" i="1" s="1"/>
  <c r="AT750" i="1"/>
  <c r="AT819" i="1" s="1"/>
  <c r="AP750" i="1"/>
  <c r="AP819" i="1" s="1"/>
  <c r="AL750" i="1"/>
  <c r="AL819" i="1" s="1"/>
  <c r="AH750" i="1"/>
  <c r="AH819" i="1" s="1"/>
  <c r="AD750" i="1"/>
  <c r="AD819" i="1" s="1"/>
  <c r="Z750" i="1"/>
  <c r="Z819" i="1" s="1"/>
  <c r="V750" i="1"/>
  <c r="V819" i="1" s="1"/>
  <c r="R750" i="1"/>
  <c r="R819" i="1" s="1"/>
  <c r="N750" i="1"/>
  <c r="N819" i="1" s="1"/>
  <c r="J750" i="1"/>
  <c r="F750" i="1"/>
  <c r="F819" i="1" s="1"/>
  <c r="AX749" i="1"/>
  <c r="AX818" i="1" s="1"/>
  <c r="AT749" i="1"/>
  <c r="AT818" i="1" s="1"/>
  <c r="AP749" i="1"/>
  <c r="AP818" i="1" s="1"/>
  <c r="AL749" i="1"/>
  <c r="AL818" i="1" s="1"/>
  <c r="AH749" i="1"/>
  <c r="AH818" i="1" s="1"/>
  <c r="AD749" i="1"/>
  <c r="AD818" i="1" s="1"/>
  <c r="Z749" i="1"/>
  <c r="V749" i="1"/>
  <c r="V818" i="1" s="1"/>
  <c r="R749" i="1"/>
  <c r="R818" i="1" s="1"/>
  <c r="N749" i="1"/>
  <c r="N818" i="1" s="1"/>
  <c r="J749" i="1"/>
  <c r="J818" i="1" s="1"/>
  <c r="F749" i="1"/>
  <c r="F818" i="1" s="1"/>
  <c r="AX748" i="1"/>
  <c r="AX817" i="1" s="1"/>
  <c r="AT748" i="1"/>
  <c r="AT817" i="1" s="1"/>
  <c r="AP748" i="1"/>
  <c r="AP817" i="1" s="1"/>
  <c r="AL748" i="1"/>
  <c r="AL817" i="1" s="1"/>
  <c r="AH748" i="1"/>
  <c r="AH817" i="1" s="1"/>
  <c r="AD748" i="1"/>
  <c r="AD817" i="1" s="1"/>
  <c r="Z748" i="1"/>
  <c r="Z817" i="1" s="1"/>
  <c r="V748" i="1"/>
  <c r="V817" i="1" s="1"/>
  <c r="R748" i="1"/>
  <c r="R817" i="1" s="1"/>
  <c r="N748" i="1"/>
  <c r="N817" i="1" s="1"/>
  <c r="J748" i="1"/>
  <c r="J817" i="1" s="1"/>
  <c r="F748" i="1"/>
  <c r="F817" i="1" s="1"/>
  <c r="AX747" i="1"/>
  <c r="AX816" i="1" s="1"/>
  <c r="AX63" i="9" s="1"/>
  <c r="AT747" i="1"/>
  <c r="AT816" i="1" s="1"/>
  <c r="AP747" i="1"/>
  <c r="AP816" i="1" s="1"/>
  <c r="AL747" i="1"/>
  <c r="AL816" i="1" s="1"/>
  <c r="AH747" i="1"/>
  <c r="AH816" i="1" s="1"/>
  <c r="AD747" i="1"/>
  <c r="AD816" i="1" s="1"/>
  <c r="Z747" i="1"/>
  <c r="V747" i="1"/>
  <c r="V816" i="1" s="1"/>
  <c r="R747" i="1"/>
  <c r="R816" i="1" s="1"/>
  <c r="R63" i="9" s="1"/>
  <c r="N747" i="1"/>
  <c r="N816" i="1" s="1"/>
  <c r="J747" i="1"/>
  <c r="J816" i="1" s="1"/>
  <c r="J63" i="9" s="1"/>
  <c r="F747" i="1"/>
  <c r="F816" i="1" s="1"/>
  <c r="F63" i="9" s="1"/>
  <c r="BW746" i="1"/>
  <c r="BW758" i="1" s="1"/>
  <c r="BW791" i="1" s="1"/>
  <c r="BV746" i="1"/>
  <c r="BV758" i="1" s="1"/>
  <c r="BU746" i="1"/>
  <c r="BU758" i="1" s="1"/>
  <c r="BT746" i="1"/>
  <c r="BT758" i="1" s="1"/>
  <c r="BS746" i="1"/>
  <c r="BS758" i="1" s="1"/>
  <c r="BR746" i="1"/>
  <c r="BQ746" i="1"/>
  <c r="BP746" i="1"/>
  <c r="BP758" i="1" s="1"/>
  <c r="BO746" i="1"/>
  <c r="BO758" i="1" s="1"/>
  <c r="BN746" i="1"/>
  <c r="BN758" i="1" s="1"/>
  <c r="BM746" i="1"/>
  <c r="BM758" i="1" s="1"/>
  <c r="BM791" i="1" s="1"/>
  <c r="BL746" i="1"/>
  <c r="BL758" i="1" s="1"/>
  <c r="BK746" i="1"/>
  <c r="BK758" i="1" s="1"/>
  <c r="BK791" i="1" s="1"/>
  <c r="BJ746" i="1"/>
  <c r="BJ758" i="1" s="1"/>
  <c r="BI746" i="1"/>
  <c r="BI758" i="1" s="1"/>
  <c r="BH746" i="1"/>
  <c r="BH758" i="1" s="1"/>
  <c r="AY746" i="1"/>
  <c r="AY758" i="1" s="1"/>
  <c r="AW746" i="1"/>
  <c r="AV746" i="1"/>
  <c r="AU746" i="1"/>
  <c r="AU758" i="1" s="1"/>
  <c r="AS746" i="1"/>
  <c r="AS758" i="1" s="1"/>
  <c r="AR746" i="1"/>
  <c r="AR758" i="1" s="1"/>
  <c r="AQ746" i="1"/>
  <c r="AQ758" i="1" s="1"/>
  <c r="AQ791" i="1" s="1"/>
  <c r="AO746" i="1"/>
  <c r="AO758" i="1" s="1"/>
  <c r="AN746" i="1"/>
  <c r="AN758" i="1" s="1"/>
  <c r="AN791" i="1" s="1"/>
  <c r="AM746" i="1"/>
  <c r="AM758" i="1" s="1"/>
  <c r="AK746" i="1"/>
  <c r="AK758" i="1" s="1"/>
  <c r="AJ746" i="1"/>
  <c r="AJ758" i="1" s="1"/>
  <c r="AI746" i="1"/>
  <c r="AI758" i="1" s="1"/>
  <c r="AG746" i="1"/>
  <c r="AG758" i="1" s="1"/>
  <c r="AF746" i="1"/>
  <c r="AF758" i="1" s="1"/>
  <c r="AE746" i="1"/>
  <c r="AE758" i="1" s="1"/>
  <c r="AC746" i="1"/>
  <c r="AC758" i="1" s="1"/>
  <c r="AB746" i="1"/>
  <c r="AB758" i="1" s="1"/>
  <c r="AA746" i="1"/>
  <c r="Y746" i="1"/>
  <c r="Y758" i="1" s="1"/>
  <c r="X746" i="1"/>
  <c r="X758" i="1" s="1"/>
  <c r="W746" i="1"/>
  <c r="W758" i="1" s="1"/>
  <c r="U746" i="1"/>
  <c r="U758" i="1" s="1"/>
  <c r="T746" i="1"/>
  <c r="T758" i="1" s="1"/>
  <c r="S746" i="1"/>
  <c r="Q746" i="1"/>
  <c r="Q758" i="1" s="1"/>
  <c r="P746" i="1"/>
  <c r="P758" i="1" s="1"/>
  <c r="O746" i="1"/>
  <c r="O758" i="1" s="1"/>
  <c r="O791" i="1" s="1"/>
  <c r="M746" i="1"/>
  <c r="L746" i="1"/>
  <c r="K746" i="1"/>
  <c r="K758" i="1" s="1"/>
  <c r="I746" i="1"/>
  <c r="I758" i="1" s="1"/>
  <c r="I791" i="1" s="1"/>
  <c r="H746" i="1"/>
  <c r="H758" i="1" s="1"/>
  <c r="G746" i="1"/>
  <c r="G758" i="1" s="1"/>
  <c r="E746" i="1"/>
  <c r="E758" i="1" s="1"/>
  <c r="D746" i="1"/>
  <c r="D758" i="1" s="1"/>
  <c r="C746" i="1"/>
  <c r="AX745" i="1"/>
  <c r="AX814" i="1" s="1"/>
  <c r="AT745" i="1"/>
  <c r="AP745" i="1"/>
  <c r="AL745" i="1"/>
  <c r="AL814" i="1" s="1"/>
  <c r="AH745" i="1"/>
  <c r="AD745" i="1"/>
  <c r="AD814" i="1" s="1"/>
  <c r="Z745" i="1"/>
  <c r="Z814" i="1" s="1"/>
  <c r="V745" i="1"/>
  <c r="V814" i="1" s="1"/>
  <c r="R745" i="1"/>
  <c r="R814" i="1" s="1"/>
  <c r="N745" i="1"/>
  <c r="N814" i="1" s="1"/>
  <c r="J745" i="1"/>
  <c r="J814" i="1" s="1"/>
  <c r="F745" i="1"/>
  <c r="AX744" i="1"/>
  <c r="AX813" i="1" s="1"/>
  <c r="AT744" i="1"/>
  <c r="AT813" i="1" s="1"/>
  <c r="AP744" i="1"/>
  <c r="AP813" i="1" s="1"/>
  <c r="AX743" i="1"/>
  <c r="AX812" i="1" s="1"/>
  <c r="AT743" i="1"/>
  <c r="AT812" i="1" s="1"/>
  <c r="AP743" i="1"/>
  <c r="AP812" i="1" s="1"/>
  <c r="AL743" i="1"/>
  <c r="AL812" i="1" s="1"/>
  <c r="AH743" i="1"/>
  <c r="AH812" i="1" s="1"/>
  <c r="AD743" i="1"/>
  <c r="AD812" i="1" s="1"/>
  <c r="Z743" i="1"/>
  <c r="V743" i="1"/>
  <c r="V812" i="1" s="1"/>
  <c r="R743" i="1"/>
  <c r="R812" i="1" s="1"/>
  <c r="N743" i="1"/>
  <c r="N812" i="1" s="1"/>
  <c r="J743" i="1"/>
  <c r="J812" i="1" s="1"/>
  <c r="F743" i="1"/>
  <c r="F812" i="1" s="1"/>
  <c r="AX742" i="1"/>
  <c r="AX811" i="1" s="1"/>
  <c r="AT742" i="1"/>
  <c r="AP742" i="1"/>
  <c r="AP811" i="1" s="1"/>
  <c r="AX741" i="1"/>
  <c r="AX810" i="1" s="1"/>
  <c r="AT741" i="1"/>
  <c r="AT810" i="1" s="1"/>
  <c r="AP741" i="1"/>
  <c r="AP810" i="1" s="1"/>
  <c r="AL741" i="1"/>
  <c r="AL810" i="1" s="1"/>
  <c r="AH741" i="1"/>
  <c r="AH810" i="1" s="1"/>
  <c r="AD741" i="1"/>
  <c r="Z741" i="1"/>
  <c r="Z810" i="1" s="1"/>
  <c r="V741" i="1"/>
  <c r="V810" i="1" s="1"/>
  <c r="R741" i="1"/>
  <c r="R810" i="1" s="1"/>
  <c r="N741" i="1"/>
  <c r="N810" i="1" s="1"/>
  <c r="J741" i="1"/>
  <c r="J810" i="1" s="1"/>
  <c r="F741" i="1"/>
  <c r="F810" i="1" s="1"/>
  <c r="AX740" i="1"/>
  <c r="AX809" i="1" s="1"/>
  <c r="AT740" i="1"/>
  <c r="AT809" i="1" s="1"/>
  <c r="AP740" i="1"/>
  <c r="AP809" i="1" s="1"/>
  <c r="AL740" i="1"/>
  <c r="AL809" i="1" s="1"/>
  <c r="AH740" i="1"/>
  <c r="AD740" i="1"/>
  <c r="AD809" i="1" s="1"/>
  <c r="Z740" i="1"/>
  <c r="Z809" i="1" s="1"/>
  <c r="Z405" i="1" s="1"/>
  <c r="V740" i="1"/>
  <c r="V809" i="1" s="1"/>
  <c r="V405" i="1" s="1"/>
  <c r="V404" i="1" s="1"/>
  <c r="R740" i="1"/>
  <c r="R809" i="1" s="1"/>
  <c r="N740" i="1"/>
  <c r="N809" i="1" s="1"/>
  <c r="J740" i="1"/>
  <c r="J809" i="1" s="1"/>
  <c r="F740" i="1"/>
  <c r="F809" i="1" s="1"/>
  <c r="AX739" i="1"/>
  <c r="AX808" i="1" s="1"/>
  <c r="AT739" i="1"/>
  <c r="AT808" i="1" s="1"/>
  <c r="AP739" i="1"/>
  <c r="AP808" i="1" s="1"/>
  <c r="AL739" i="1"/>
  <c r="AL808" i="1" s="1"/>
  <c r="AH739" i="1"/>
  <c r="AH808" i="1" s="1"/>
  <c r="AD739" i="1"/>
  <c r="Z739" i="1"/>
  <c r="Z808" i="1" s="1"/>
  <c r="V739" i="1"/>
  <c r="V808" i="1" s="1"/>
  <c r="R739" i="1"/>
  <c r="N739" i="1"/>
  <c r="N808" i="1" s="1"/>
  <c r="J739" i="1"/>
  <c r="J808" i="1" s="1"/>
  <c r="F739" i="1"/>
  <c r="F808" i="1" s="1"/>
  <c r="AX738" i="1"/>
  <c r="AX807" i="1" s="1"/>
  <c r="AT738" i="1"/>
  <c r="AT807" i="1" s="1"/>
  <c r="AP738" i="1"/>
  <c r="AP807" i="1" s="1"/>
  <c r="AL738" i="1"/>
  <c r="AL807" i="1" s="1"/>
  <c r="AH738" i="1"/>
  <c r="AH807" i="1" s="1"/>
  <c r="AD738" i="1"/>
  <c r="AD807" i="1" s="1"/>
  <c r="Z738" i="1"/>
  <c r="Z807" i="1" s="1"/>
  <c r="V738" i="1"/>
  <c r="V807" i="1" s="1"/>
  <c r="R738" i="1"/>
  <c r="R807" i="1" s="1"/>
  <c r="N738" i="1"/>
  <c r="N807" i="1" s="1"/>
  <c r="J738" i="1"/>
  <c r="J807" i="1" s="1"/>
  <c r="F738" i="1"/>
  <c r="F807" i="1" s="1"/>
  <c r="AX737" i="1"/>
  <c r="AX806" i="1" s="1"/>
  <c r="AT737" i="1"/>
  <c r="AT806" i="1" s="1"/>
  <c r="AP737" i="1"/>
  <c r="AP806" i="1" s="1"/>
  <c r="AL737" i="1"/>
  <c r="AL806" i="1" s="1"/>
  <c r="AH737" i="1"/>
  <c r="AD737" i="1"/>
  <c r="AD806" i="1" s="1"/>
  <c r="Z737" i="1"/>
  <c r="Z806" i="1" s="1"/>
  <c r="V737" i="1"/>
  <c r="V806" i="1" s="1"/>
  <c r="R737" i="1"/>
  <c r="R806" i="1" s="1"/>
  <c r="N737" i="1"/>
  <c r="N806" i="1" s="1"/>
  <c r="J737" i="1"/>
  <c r="J806" i="1" s="1"/>
  <c r="F737" i="1"/>
  <c r="F806" i="1" s="1"/>
  <c r="AX736" i="1"/>
  <c r="AX805" i="1" s="1"/>
  <c r="AT736" i="1"/>
  <c r="AT805" i="1" s="1"/>
  <c r="AP736" i="1"/>
  <c r="AP805" i="1" s="1"/>
  <c r="AL736" i="1"/>
  <c r="AL805" i="1" s="1"/>
  <c r="AH736" i="1"/>
  <c r="AH805" i="1" s="1"/>
  <c r="AD736" i="1"/>
  <c r="Z736" i="1"/>
  <c r="Z805" i="1" s="1"/>
  <c r="V736" i="1"/>
  <c r="R736" i="1"/>
  <c r="N736" i="1"/>
  <c r="N805" i="1" s="1"/>
  <c r="J736" i="1"/>
  <c r="J805" i="1" s="1"/>
  <c r="F736" i="1"/>
  <c r="F805" i="1" s="1"/>
  <c r="AX735" i="1"/>
  <c r="AX804" i="1" s="1"/>
  <c r="AT735" i="1"/>
  <c r="AT804" i="1" s="1"/>
  <c r="AP735" i="1"/>
  <c r="AP804" i="1" s="1"/>
  <c r="AL735" i="1"/>
  <c r="AL804" i="1" s="1"/>
  <c r="AH735" i="1"/>
  <c r="AH804" i="1" s="1"/>
  <c r="AD735" i="1"/>
  <c r="Z735" i="1"/>
  <c r="Z804" i="1" s="1"/>
  <c r="V735" i="1"/>
  <c r="V804" i="1" s="1"/>
  <c r="R735" i="1"/>
  <c r="N735" i="1"/>
  <c r="N804" i="1" s="1"/>
  <c r="J735" i="1"/>
  <c r="J804" i="1" s="1"/>
  <c r="F735" i="1"/>
  <c r="F804" i="1" s="1"/>
  <c r="AX734" i="1"/>
  <c r="AT734" i="1"/>
  <c r="AT803" i="1" s="1"/>
  <c r="AP734" i="1"/>
  <c r="AL734" i="1"/>
  <c r="AH734" i="1"/>
  <c r="AH803" i="1" s="1"/>
  <c r="AD734" i="1"/>
  <c r="Z734" i="1"/>
  <c r="Z803" i="1" s="1"/>
  <c r="V734" i="1"/>
  <c r="R734" i="1"/>
  <c r="N734" i="1"/>
  <c r="J734" i="1"/>
  <c r="J803" i="1" s="1"/>
  <c r="F734" i="1"/>
  <c r="F803" i="1" s="1"/>
  <c r="BW729" i="1"/>
  <c r="BV729" i="1"/>
  <c r="BU729" i="1"/>
  <c r="BT729" i="1"/>
  <c r="BS729" i="1"/>
  <c r="BR729" i="1"/>
  <c r="BQ729" i="1"/>
  <c r="BP729" i="1"/>
  <c r="BO729" i="1"/>
  <c r="BN729" i="1"/>
  <c r="BM729" i="1"/>
  <c r="BL729" i="1"/>
  <c r="BK729" i="1"/>
  <c r="BJ729" i="1"/>
  <c r="BI729" i="1"/>
  <c r="BH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AC729" i="1"/>
  <c r="AB729" i="1"/>
  <c r="AA729" i="1"/>
  <c r="Y729" i="1"/>
  <c r="X729" i="1"/>
  <c r="W729" i="1"/>
  <c r="V729" i="1"/>
  <c r="U729" i="1"/>
  <c r="T729" i="1"/>
  <c r="S729" i="1"/>
  <c r="R729" i="1"/>
  <c r="Q729" i="1"/>
  <c r="P729" i="1"/>
  <c r="O729" i="1"/>
  <c r="N729" i="1"/>
  <c r="M729" i="1"/>
  <c r="L729" i="1"/>
  <c r="K729" i="1"/>
  <c r="J729" i="1"/>
  <c r="I729" i="1"/>
  <c r="H729" i="1"/>
  <c r="G729" i="1"/>
  <c r="F729" i="1"/>
  <c r="E729" i="1"/>
  <c r="D729" i="1"/>
  <c r="C729" i="1"/>
  <c r="BW728" i="1"/>
  <c r="BV728" i="1"/>
  <c r="BV10" i="9" s="1"/>
  <c r="BU728" i="1"/>
  <c r="BU10" i="9" s="1"/>
  <c r="BT728" i="1"/>
  <c r="BT10" i="9" s="1"/>
  <c r="BS728" i="1"/>
  <c r="BR728" i="1"/>
  <c r="BR10" i="9" s="1"/>
  <c r="BQ728" i="1"/>
  <c r="BP728" i="1"/>
  <c r="BO728" i="1"/>
  <c r="BO10" i="9" s="1"/>
  <c r="BN728" i="1"/>
  <c r="BM728" i="1"/>
  <c r="BL728" i="1"/>
  <c r="BK728" i="1"/>
  <c r="BJ728" i="1"/>
  <c r="BI728" i="1"/>
  <c r="BH728" i="1"/>
  <c r="AZ728" i="1"/>
  <c r="AY728" i="1"/>
  <c r="AX728" i="1"/>
  <c r="AW728" i="1"/>
  <c r="AW10" i="9" s="1"/>
  <c r="AV728" i="1"/>
  <c r="AU728" i="1"/>
  <c r="AT728" i="1"/>
  <c r="AT10" i="9" s="1"/>
  <c r="AS728" i="1"/>
  <c r="AR728" i="1"/>
  <c r="AQ728" i="1"/>
  <c r="AQ10" i="9" s="1"/>
  <c r="AP728" i="1"/>
  <c r="AP10" i="9" s="1"/>
  <c r="AO728" i="1"/>
  <c r="AN728" i="1"/>
  <c r="AM728" i="1"/>
  <c r="AL728" i="1"/>
  <c r="AL10" i="9" s="1"/>
  <c r="AK728" i="1"/>
  <c r="AK10" i="9" s="1"/>
  <c r="AJ728" i="1"/>
  <c r="AI728" i="1"/>
  <c r="AH728" i="1"/>
  <c r="AH10" i="9" s="1"/>
  <c r="AG728" i="1"/>
  <c r="AF728" i="1"/>
  <c r="AE728" i="1"/>
  <c r="AE10" i="9" s="1"/>
  <c r="AD728" i="1"/>
  <c r="AD10" i="9" s="1"/>
  <c r="AC728" i="1"/>
  <c r="AB728" i="1"/>
  <c r="AA728" i="1"/>
  <c r="Z728" i="1"/>
  <c r="Z10" i="9" s="1"/>
  <c r="Y728" i="1"/>
  <c r="Y10" i="9" s="1"/>
  <c r="X728" i="1"/>
  <c r="W728" i="1"/>
  <c r="V728" i="1"/>
  <c r="U728" i="1"/>
  <c r="T728" i="1"/>
  <c r="S728" i="1"/>
  <c r="S10" i="9" s="1"/>
  <c r="R728" i="1"/>
  <c r="R10" i="9" s="1"/>
  <c r="Q728" i="1"/>
  <c r="P728" i="1"/>
  <c r="O728" i="1"/>
  <c r="N728" i="1"/>
  <c r="N10" i="9" s="1"/>
  <c r="M728" i="1"/>
  <c r="M10" i="9" s="1"/>
  <c r="L728" i="1"/>
  <c r="K728" i="1"/>
  <c r="J728" i="1"/>
  <c r="I728" i="1"/>
  <c r="H728" i="1"/>
  <c r="G728" i="1"/>
  <c r="G10" i="9" s="1"/>
  <c r="F728" i="1"/>
  <c r="F10" i="9" s="1"/>
  <c r="E728" i="1"/>
  <c r="D728" i="1"/>
  <c r="C728" i="1"/>
  <c r="BW724" i="1"/>
  <c r="BV724" i="1"/>
  <c r="BU724" i="1"/>
  <c r="BT724" i="1"/>
  <c r="BS724" i="1"/>
  <c r="BS709" i="1" s="1"/>
  <c r="BR724" i="1"/>
  <c r="BQ724" i="1"/>
  <c r="BP724" i="1"/>
  <c r="BO724" i="1"/>
  <c r="BN724" i="1"/>
  <c r="BM724" i="1"/>
  <c r="BL724" i="1"/>
  <c r="BK724" i="1"/>
  <c r="BJ724" i="1"/>
  <c r="BI724" i="1"/>
  <c r="BH724" i="1"/>
  <c r="AY724" i="1"/>
  <c r="AX724" i="1"/>
  <c r="AX709" i="1" s="1"/>
  <c r="AW724" i="1"/>
  <c r="AV724" i="1"/>
  <c r="AU724" i="1"/>
  <c r="AT724" i="1"/>
  <c r="AS724" i="1"/>
  <c r="AR724" i="1"/>
  <c r="AQ724" i="1"/>
  <c r="AP724" i="1"/>
  <c r="AO724" i="1"/>
  <c r="AN724" i="1"/>
  <c r="AM724" i="1"/>
  <c r="AL724" i="1"/>
  <c r="AL709" i="1" s="1"/>
  <c r="AK724" i="1"/>
  <c r="AJ724" i="1"/>
  <c r="AI724" i="1"/>
  <c r="AH724" i="1"/>
  <c r="AG724" i="1"/>
  <c r="AF724" i="1"/>
  <c r="AE724" i="1"/>
  <c r="AD724" i="1"/>
  <c r="AC724" i="1"/>
  <c r="AB724" i="1"/>
  <c r="AA724" i="1"/>
  <c r="Z724" i="1"/>
  <c r="Y724" i="1"/>
  <c r="X724" i="1"/>
  <c r="W724" i="1"/>
  <c r="V724" i="1"/>
  <c r="U724" i="1"/>
  <c r="T724" i="1"/>
  <c r="S724" i="1"/>
  <c r="R724" i="1"/>
  <c r="Q724" i="1"/>
  <c r="P724" i="1"/>
  <c r="O724" i="1"/>
  <c r="N724" i="1"/>
  <c r="N709" i="1" s="1"/>
  <c r="M724" i="1"/>
  <c r="L724" i="1"/>
  <c r="K724" i="1"/>
  <c r="J724" i="1"/>
  <c r="I724" i="1"/>
  <c r="H724" i="1"/>
  <c r="G724" i="1"/>
  <c r="F724" i="1"/>
  <c r="E724" i="1"/>
  <c r="D724" i="1"/>
  <c r="C724" i="1"/>
  <c r="BW722" i="1"/>
  <c r="BW725" i="1" s="1"/>
  <c r="BV722" i="1"/>
  <c r="BV431" i="1" s="1"/>
  <c r="BU722" i="1"/>
  <c r="BU725" i="1" s="1"/>
  <c r="BT722" i="1"/>
  <c r="BT725" i="1" s="1"/>
  <c r="BS722" i="1"/>
  <c r="BS725" i="1" s="1"/>
  <c r="BR722" i="1"/>
  <c r="BR725" i="1" s="1"/>
  <c r="BQ722" i="1"/>
  <c r="BP722" i="1"/>
  <c r="BO722" i="1"/>
  <c r="BN722" i="1"/>
  <c r="BM722" i="1"/>
  <c r="BM725" i="1" s="1"/>
  <c r="BL722" i="1"/>
  <c r="BL725" i="1" s="1"/>
  <c r="BK722" i="1"/>
  <c r="BK725" i="1" s="1"/>
  <c r="BJ722" i="1"/>
  <c r="BJ725" i="1" s="1"/>
  <c r="BI722" i="1"/>
  <c r="BI725" i="1" s="1"/>
  <c r="BH722" i="1"/>
  <c r="BH725" i="1" s="1"/>
  <c r="AY722" i="1"/>
  <c r="AX722" i="1"/>
  <c r="AX725" i="1" s="1"/>
  <c r="AW722" i="1"/>
  <c r="AW725" i="1" s="1"/>
  <c r="AV722" i="1"/>
  <c r="AU722" i="1"/>
  <c r="AU431" i="1" s="1"/>
  <c r="AT722" i="1"/>
  <c r="AT725" i="1" s="1"/>
  <c r="AS722" i="1"/>
  <c r="AS725" i="1" s="1"/>
  <c r="AR722" i="1"/>
  <c r="AR725" i="1" s="1"/>
  <c r="AQ722" i="1"/>
  <c r="AQ725" i="1" s="1"/>
  <c r="AP722" i="1"/>
  <c r="AP725" i="1" s="1"/>
  <c r="AO722" i="1"/>
  <c r="AO725" i="1" s="1"/>
  <c r="AN722" i="1"/>
  <c r="AN725" i="1" s="1"/>
  <c r="AM722" i="1"/>
  <c r="AM725" i="1" s="1"/>
  <c r="AL722" i="1"/>
  <c r="AL725" i="1" s="1"/>
  <c r="AK722" i="1"/>
  <c r="AK725" i="1" s="1"/>
  <c r="AJ722" i="1"/>
  <c r="AI722" i="1"/>
  <c r="AH722" i="1"/>
  <c r="AH725" i="1" s="1"/>
  <c r="AG722" i="1"/>
  <c r="AG725" i="1" s="1"/>
  <c r="AF722" i="1"/>
  <c r="AF725" i="1" s="1"/>
  <c r="AE722" i="1"/>
  <c r="AE725" i="1" s="1"/>
  <c r="AD722" i="1"/>
  <c r="AD725" i="1" s="1"/>
  <c r="AC722" i="1"/>
  <c r="AC725" i="1" s="1"/>
  <c r="AB722" i="1"/>
  <c r="AB725" i="1" s="1"/>
  <c r="AA722" i="1"/>
  <c r="AA725" i="1" s="1"/>
  <c r="Z722" i="1"/>
  <c r="Z725" i="1" s="1"/>
  <c r="Y722" i="1"/>
  <c r="Y725" i="1" s="1"/>
  <c r="X722" i="1"/>
  <c r="W722" i="1"/>
  <c r="V722" i="1"/>
  <c r="V725" i="1" s="1"/>
  <c r="U722" i="1"/>
  <c r="U725" i="1" s="1"/>
  <c r="T722" i="1"/>
  <c r="T725" i="1" s="1"/>
  <c r="S722" i="1"/>
  <c r="S431" i="1" s="1"/>
  <c r="R722" i="1"/>
  <c r="R725" i="1" s="1"/>
  <c r="Q722" i="1"/>
  <c r="Q725" i="1" s="1"/>
  <c r="P722" i="1"/>
  <c r="P725" i="1" s="1"/>
  <c r="O722" i="1"/>
  <c r="O725" i="1" s="1"/>
  <c r="N722" i="1"/>
  <c r="N725" i="1" s="1"/>
  <c r="M722" i="1"/>
  <c r="M725" i="1" s="1"/>
  <c r="L722" i="1"/>
  <c r="K722" i="1"/>
  <c r="J722" i="1"/>
  <c r="J725" i="1" s="1"/>
  <c r="I722" i="1"/>
  <c r="I725" i="1" s="1"/>
  <c r="H722" i="1"/>
  <c r="H725" i="1" s="1"/>
  <c r="G722" i="1"/>
  <c r="G725" i="1" s="1"/>
  <c r="F722" i="1"/>
  <c r="F725" i="1" s="1"/>
  <c r="E722" i="1"/>
  <c r="E725" i="1" s="1"/>
  <c r="D722" i="1"/>
  <c r="D725" i="1" s="1"/>
  <c r="C722" i="1"/>
  <c r="C725" i="1" s="1"/>
  <c r="CB721" i="1"/>
  <c r="CA721" i="1"/>
  <c r="BZ721" i="1"/>
  <c r="BY721" i="1"/>
  <c r="BX721" i="1"/>
  <c r="BF721" i="1"/>
  <c r="BE721" i="1"/>
  <c r="BD721" i="1"/>
  <c r="BC721" i="1"/>
  <c r="BB721" i="1"/>
  <c r="BA721" i="1"/>
  <c r="AZ721" i="1"/>
  <c r="CB720" i="1"/>
  <c r="CA720" i="1"/>
  <c r="BZ720" i="1"/>
  <c r="BY720" i="1"/>
  <c r="BX720" i="1"/>
  <c r="BF720" i="1"/>
  <c r="BE720" i="1"/>
  <c r="BD720" i="1"/>
  <c r="BC720" i="1"/>
  <c r="BB720" i="1"/>
  <c r="BA720" i="1"/>
  <c r="AZ720" i="1"/>
  <c r="CB719" i="1"/>
  <c r="CA719" i="1"/>
  <c r="BZ719" i="1"/>
  <c r="BY719" i="1"/>
  <c r="BX719" i="1"/>
  <c r="BF719" i="1"/>
  <c r="BE719" i="1"/>
  <c r="BD719" i="1"/>
  <c r="BC719" i="1"/>
  <c r="BB719" i="1"/>
  <c r="BA719" i="1"/>
  <c r="AZ719" i="1"/>
  <c r="A717" i="1"/>
  <c r="A716" i="1"/>
  <c r="A715" i="1"/>
  <c r="A714" i="1"/>
  <c r="A1000" i="1" s="1"/>
  <c r="A713" i="1"/>
  <c r="A1001" i="1" s="1"/>
  <c r="A711" i="1"/>
  <c r="A710" i="1"/>
  <c r="A709" i="1"/>
  <c r="BU701" i="1"/>
  <c r="AO701" i="1"/>
  <c r="AO702" i="1" s="1"/>
  <c r="BW699" i="1"/>
  <c r="BV699" i="1"/>
  <c r="BU699" i="1"/>
  <c r="AY699" i="1"/>
  <c r="AW699" i="1"/>
  <c r="AV699" i="1"/>
  <c r="AU699" i="1"/>
  <c r="AS699" i="1"/>
  <c r="AR699" i="1"/>
  <c r="AQ699" i="1"/>
  <c r="AO699" i="1"/>
  <c r="AN699" i="1"/>
  <c r="AM699" i="1"/>
  <c r="BV698" i="1"/>
  <c r="BW697" i="1"/>
  <c r="BV697" i="1"/>
  <c r="BU697" i="1"/>
  <c r="AY697" i="1"/>
  <c r="AW697" i="1"/>
  <c r="AW701" i="1" s="1"/>
  <c r="AW702" i="1" s="1"/>
  <c r="AV697" i="1"/>
  <c r="AU697" i="1"/>
  <c r="AU701" i="1" s="1"/>
  <c r="AS697" i="1"/>
  <c r="AR697" i="1"/>
  <c r="AR701" i="1" s="1"/>
  <c r="AQ697" i="1"/>
  <c r="AO697" i="1"/>
  <c r="AN697" i="1"/>
  <c r="AN701" i="1" s="1"/>
  <c r="AN702" i="1" s="1"/>
  <c r="AM697" i="1"/>
  <c r="BW694" i="1"/>
  <c r="BW9" i="9" s="1"/>
  <c r="BV694" i="1"/>
  <c r="BV9" i="9" s="1"/>
  <c r="BU694" i="1"/>
  <c r="BU9" i="9" s="1"/>
  <c r="BT694" i="1"/>
  <c r="BT9" i="9" s="1"/>
  <c r="BS694" i="1"/>
  <c r="BS9" i="9" s="1"/>
  <c r="BR694" i="1"/>
  <c r="BR9" i="9" s="1"/>
  <c r="BQ694" i="1"/>
  <c r="BQ9" i="9" s="1"/>
  <c r="BP694" i="1"/>
  <c r="BP9" i="9" s="1"/>
  <c r="BO694" i="1"/>
  <c r="BO9" i="9" s="1"/>
  <c r="BN694" i="1"/>
  <c r="BN9" i="9" s="1"/>
  <c r="BM694" i="1"/>
  <c r="BM9" i="9" s="1"/>
  <c r="BL694" i="1"/>
  <c r="BL9" i="9" s="1"/>
  <c r="BK694" i="1"/>
  <c r="BK9" i="9" s="1"/>
  <c r="BJ694" i="1"/>
  <c r="BI694" i="1"/>
  <c r="BH694" i="1"/>
  <c r="BB694" i="1"/>
  <c r="BB9" i="9" s="1"/>
  <c r="BA694" i="1"/>
  <c r="BA9" i="9" s="1"/>
  <c r="AZ694" i="1"/>
  <c r="AZ9" i="9" s="1"/>
  <c r="AY694" i="1"/>
  <c r="AY9" i="9" s="1"/>
  <c r="AX694" i="1"/>
  <c r="AX9" i="9" s="1"/>
  <c r="AW694" i="1"/>
  <c r="AW9" i="9" s="1"/>
  <c r="AV694" i="1"/>
  <c r="AV9" i="9" s="1"/>
  <c r="AU694" i="1"/>
  <c r="AU9" i="9" s="1"/>
  <c r="AT694" i="1"/>
  <c r="AT9" i="9" s="1"/>
  <c r="AS694" i="1"/>
  <c r="AS9" i="9" s="1"/>
  <c r="AR694" i="1"/>
  <c r="AR9" i="9" s="1"/>
  <c r="AQ694" i="1"/>
  <c r="AQ9" i="9" s="1"/>
  <c r="AP694" i="1"/>
  <c r="AP9" i="9" s="1"/>
  <c r="AO694" i="1"/>
  <c r="AO9" i="9" s="1"/>
  <c r="AN694" i="1"/>
  <c r="AN9" i="9" s="1"/>
  <c r="AM694" i="1"/>
  <c r="AM9" i="9" s="1"/>
  <c r="AL694" i="1"/>
  <c r="AL9" i="9" s="1"/>
  <c r="AK694" i="1"/>
  <c r="AK9" i="9" s="1"/>
  <c r="AJ694" i="1"/>
  <c r="AJ9" i="9" s="1"/>
  <c r="AI694" i="1"/>
  <c r="AI9" i="9" s="1"/>
  <c r="AH694" i="1"/>
  <c r="AH9" i="9" s="1"/>
  <c r="AG694" i="1"/>
  <c r="AG9" i="9" s="1"/>
  <c r="AF694" i="1"/>
  <c r="AF9" i="9" s="1"/>
  <c r="AE694" i="1"/>
  <c r="AE9" i="9" s="1"/>
  <c r="AD694" i="1"/>
  <c r="AD9" i="9" s="1"/>
  <c r="AC694" i="1"/>
  <c r="AC9" i="9" s="1"/>
  <c r="AB694" i="1"/>
  <c r="AB9" i="9" s="1"/>
  <c r="AA694" i="1"/>
  <c r="AA9" i="9" s="1"/>
  <c r="Z694" i="1"/>
  <c r="Z9" i="9" s="1"/>
  <c r="Y694" i="1"/>
  <c r="Y9" i="9" s="1"/>
  <c r="X694" i="1"/>
  <c r="X9" i="9" s="1"/>
  <c r="W694" i="1"/>
  <c r="W9" i="9" s="1"/>
  <c r="V694" i="1"/>
  <c r="V9" i="9" s="1"/>
  <c r="U694" i="1"/>
  <c r="U9" i="9" s="1"/>
  <c r="T694" i="1"/>
  <c r="T9" i="9" s="1"/>
  <c r="S694" i="1"/>
  <c r="S9" i="9" s="1"/>
  <c r="R694" i="1"/>
  <c r="R9" i="9" s="1"/>
  <c r="Q694" i="1"/>
  <c r="Q9" i="9" s="1"/>
  <c r="P694" i="1"/>
  <c r="P9" i="9" s="1"/>
  <c r="O694" i="1"/>
  <c r="O9" i="9" s="1"/>
  <c r="N694" i="1"/>
  <c r="N9" i="9" s="1"/>
  <c r="M694" i="1"/>
  <c r="M9" i="9" s="1"/>
  <c r="L694" i="1"/>
  <c r="L9" i="9" s="1"/>
  <c r="K694" i="1"/>
  <c r="K9" i="9" s="1"/>
  <c r="J694" i="1"/>
  <c r="J9" i="9" s="1"/>
  <c r="I694" i="1"/>
  <c r="I9" i="9" s="1"/>
  <c r="H694" i="1"/>
  <c r="H9" i="9" s="1"/>
  <c r="G694" i="1"/>
  <c r="G9" i="9" s="1"/>
  <c r="F694" i="1"/>
  <c r="F9" i="9" s="1"/>
  <c r="E694" i="1"/>
  <c r="E9" i="9" s="1"/>
  <c r="D694" i="1"/>
  <c r="D9" i="9" s="1"/>
  <c r="C694" i="1"/>
  <c r="C9" i="9" s="1"/>
  <c r="BW693" i="1"/>
  <c r="BV693" i="1"/>
  <c r="BU693" i="1"/>
  <c r="BT693" i="1"/>
  <c r="BS693" i="1"/>
  <c r="BS695" i="1" s="1"/>
  <c r="BR693" i="1"/>
  <c r="BQ693" i="1"/>
  <c r="BP693" i="1"/>
  <c r="BO693" i="1"/>
  <c r="BN693" i="1"/>
  <c r="BM693" i="1"/>
  <c r="BL693" i="1"/>
  <c r="BK693" i="1"/>
  <c r="BK695" i="1" s="1"/>
  <c r="BJ693" i="1"/>
  <c r="BJ961" i="1" s="1"/>
  <c r="BI693" i="1"/>
  <c r="BI961" i="1" s="1"/>
  <c r="BH693" i="1"/>
  <c r="AZ693" i="1"/>
  <c r="AY693" i="1"/>
  <c r="AX693" i="1"/>
  <c r="AW693" i="1"/>
  <c r="AV693" i="1"/>
  <c r="AU693" i="1"/>
  <c r="AT693" i="1"/>
  <c r="AS693" i="1"/>
  <c r="AR693" i="1"/>
  <c r="AQ693" i="1"/>
  <c r="AO693" i="1"/>
  <c r="AN693" i="1"/>
  <c r="AM693" i="1"/>
  <c r="AL693" i="1"/>
  <c r="AK693" i="1"/>
  <c r="AJ693" i="1"/>
  <c r="AJ8" i="9" s="1"/>
  <c r="AI693" i="1"/>
  <c r="AH693" i="1"/>
  <c r="AG693" i="1"/>
  <c r="AF693" i="1"/>
  <c r="AE693" i="1"/>
  <c r="AC693" i="1"/>
  <c r="AC8" i="9" s="1"/>
  <c r="AB693" i="1"/>
  <c r="AA693" i="1"/>
  <c r="Y693" i="1"/>
  <c r="X693" i="1"/>
  <c r="W693" i="1"/>
  <c r="U693" i="1"/>
  <c r="T693" i="1"/>
  <c r="S693" i="1"/>
  <c r="Q693" i="1"/>
  <c r="P693" i="1"/>
  <c r="O693" i="1"/>
  <c r="N693" i="1"/>
  <c r="M693" i="1"/>
  <c r="L693" i="1"/>
  <c r="K693" i="1"/>
  <c r="J693" i="1"/>
  <c r="I693" i="1"/>
  <c r="H693" i="1"/>
  <c r="G693" i="1"/>
  <c r="F693" i="1"/>
  <c r="E693" i="1"/>
  <c r="D693" i="1"/>
  <c r="C693" i="1"/>
  <c r="BW692" i="1"/>
  <c r="BV692" i="1"/>
  <c r="BU692" i="1"/>
  <c r="BT692" i="1"/>
  <c r="BS692" i="1"/>
  <c r="BR692" i="1"/>
  <c r="BQ692" i="1"/>
  <c r="BP692" i="1"/>
  <c r="BO692" i="1"/>
  <c r="BN692" i="1"/>
  <c r="BM692" i="1"/>
  <c r="BL692" i="1"/>
  <c r="BK692" i="1"/>
  <c r="BJ692" i="1"/>
  <c r="BI692" i="1"/>
  <c r="BH692" i="1"/>
  <c r="AY692" i="1"/>
  <c r="AZ692" i="1" s="1"/>
  <c r="AZ940" i="1" s="1"/>
  <c r="AX692" i="1"/>
  <c r="AW692" i="1"/>
  <c r="AV692" i="1"/>
  <c r="AU692" i="1"/>
  <c r="AT692" i="1"/>
  <c r="AS692" i="1"/>
  <c r="AR692" i="1"/>
  <c r="AQ692" i="1"/>
  <c r="AP692" i="1"/>
  <c r="AO692" i="1"/>
  <c r="AN692" i="1"/>
  <c r="AM692" i="1"/>
  <c r="AL692" i="1"/>
  <c r="AK692" i="1"/>
  <c r="AJ692" i="1"/>
  <c r="AI692" i="1"/>
  <c r="AH692" i="1"/>
  <c r="AG692" i="1"/>
  <c r="AF692" i="1"/>
  <c r="AE692" i="1"/>
  <c r="AC692" i="1"/>
  <c r="AB692" i="1"/>
  <c r="AA692" i="1"/>
  <c r="Y692" i="1"/>
  <c r="X692" i="1"/>
  <c r="W692" i="1"/>
  <c r="U692" i="1"/>
  <c r="T692" i="1"/>
  <c r="S692" i="1"/>
  <c r="Q692" i="1"/>
  <c r="O692" i="1"/>
  <c r="N692" i="1"/>
  <c r="M692" i="1"/>
  <c r="L692" i="1"/>
  <c r="K692" i="1"/>
  <c r="J692" i="1"/>
  <c r="I692" i="1"/>
  <c r="H692" i="1"/>
  <c r="G692" i="1"/>
  <c r="F692" i="1"/>
  <c r="E692" i="1"/>
  <c r="D692" i="1"/>
  <c r="C692" i="1"/>
  <c r="BW691" i="1"/>
  <c r="BV691" i="1"/>
  <c r="BU691" i="1"/>
  <c r="BT691" i="1"/>
  <c r="BS691" i="1"/>
  <c r="BR691" i="1"/>
  <c r="BQ691" i="1"/>
  <c r="BP691" i="1"/>
  <c r="BO691" i="1"/>
  <c r="BN691" i="1"/>
  <c r="BM691" i="1"/>
  <c r="BL691" i="1"/>
  <c r="BK691" i="1"/>
  <c r="BJ691" i="1"/>
  <c r="BI691" i="1"/>
  <c r="BH691" i="1"/>
  <c r="AY691" i="1"/>
  <c r="AW691" i="1"/>
  <c r="AV691" i="1"/>
  <c r="AU691" i="1"/>
  <c r="AS691" i="1"/>
  <c r="AR691" i="1"/>
  <c r="AQ691" i="1"/>
  <c r="AP691" i="1"/>
  <c r="AO691" i="1"/>
  <c r="AN691" i="1"/>
  <c r="AM691" i="1"/>
  <c r="AK691" i="1"/>
  <c r="AJ691" i="1"/>
  <c r="AI691" i="1"/>
  <c r="AH691" i="1"/>
  <c r="AG691" i="1"/>
  <c r="AF691" i="1"/>
  <c r="AE691" i="1"/>
  <c r="AD691" i="1"/>
  <c r="AC691" i="1"/>
  <c r="AB691" i="1"/>
  <c r="AA691" i="1"/>
  <c r="Y691" i="1"/>
  <c r="X691" i="1"/>
  <c r="W691" i="1"/>
  <c r="V691" i="1"/>
  <c r="U691" i="1"/>
  <c r="T691" i="1"/>
  <c r="S691" i="1"/>
  <c r="R691" i="1"/>
  <c r="Q691" i="1"/>
  <c r="P691" i="1"/>
  <c r="O691" i="1"/>
  <c r="N691" i="1"/>
  <c r="M691" i="1"/>
  <c r="L691" i="1"/>
  <c r="K691" i="1"/>
  <c r="J691" i="1"/>
  <c r="I691" i="1"/>
  <c r="H691" i="1"/>
  <c r="G691" i="1"/>
  <c r="F691" i="1"/>
  <c r="E691" i="1"/>
  <c r="D691" i="1"/>
  <c r="C691" i="1"/>
  <c r="BW690" i="1"/>
  <c r="BV690" i="1"/>
  <c r="BU690" i="1"/>
  <c r="BT690" i="1"/>
  <c r="BS690" i="1"/>
  <c r="BR690" i="1"/>
  <c r="BQ690" i="1"/>
  <c r="BP690" i="1"/>
  <c r="BO690" i="1"/>
  <c r="BN690" i="1"/>
  <c r="BM690" i="1"/>
  <c r="BL690" i="1"/>
  <c r="BK690" i="1"/>
  <c r="BJ690" i="1"/>
  <c r="BJ960" i="1" s="1"/>
  <c r="BI690" i="1"/>
  <c r="BI960" i="1" s="1"/>
  <c r="BH690" i="1"/>
  <c r="BH960" i="1" s="1"/>
  <c r="AY690" i="1"/>
  <c r="AX690" i="1"/>
  <c r="AW690" i="1"/>
  <c r="AV690" i="1"/>
  <c r="AU690" i="1"/>
  <c r="AS690" i="1"/>
  <c r="AR690" i="1"/>
  <c r="AQ690" i="1"/>
  <c r="AP690" i="1"/>
  <c r="AO690" i="1"/>
  <c r="AN690" i="1"/>
  <c r="AM690" i="1"/>
  <c r="AK690" i="1"/>
  <c r="AJ690" i="1"/>
  <c r="AI690" i="1"/>
  <c r="AG690" i="1"/>
  <c r="AF690" i="1"/>
  <c r="AE690" i="1"/>
  <c r="AC690" i="1"/>
  <c r="AC695" i="1" s="1"/>
  <c r="AB690" i="1"/>
  <c r="AB7" i="9" s="1"/>
  <c r="AA690" i="1"/>
  <c r="Z690" i="1"/>
  <c r="Y690" i="1"/>
  <c r="X690" i="1"/>
  <c r="W690" i="1"/>
  <c r="U690" i="1"/>
  <c r="T690" i="1"/>
  <c r="S690" i="1"/>
  <c r="R690" i="1"/>
  <c r="Q690" i="1"/>
  <c r="P690" i="1"/>
  <c r="O690" i="1"/>
  <c r="N690" i="1"/>
  <c r="M690" i="1"/>
  <c r="L690" i="1"/>
  <c r="K690" i="1"/>
  <c r="J690" i="1"/>
  <c r="I690" i="1"/>
  <c r="H690" i="1"/>
  <c r="G690" i="1"/>
  <c r="F690" i="1"/>
  <c r="E690" i="1"/>
  <c r="D690" i="1"/>
  <c r="C690" i="1"/>
  <c r="BH677" i="1"/>
  <c r="AY677" i="1"/>
  <c r="BY675" i="1"/>
  <c r="BX675" i="1"/>
  <c r="BY674" i="1"/>
  <c r="BY71" i="9" s="1"/>
  <c r="BV674" i="1"/>
  <c r="BV71" i="9" s="1"/>
  <c r="BT674" i="1"/>
  <c r="BT71" i="9" s="1"/>
  <c r="BQ674" i="1"/>
  <c r="BQ71" i="9" s="1"/>
  <c r="BM674" i="1"/>
  <c r="BM71" i="9" s="1"/>
  <c r="BL674" i="1"/>
  <c r="BL71" i="9" s="1"/>
  <c r="BK674" i="1"/>
  <c r="BK71" i="9" s="1"/>
  <c r="AW674" i="1"/>
  <c r="AW71" i="9" s="1"/>
  <c r="AV674" i="1"/>
  <c r="AV71" i="9" s="1"/>
  <c r="AU674" i="1"/>
  <c r="AU71" i="9" s="1"/>
  <c r="AT674" i="1"/>
  <c r="AT71" i="9" s="1"/>
  <c r="AQ674" i="1"/>
  <c r="AQ71" i="9" s="1"/>
  <c r="AN674" i="1"/>
  <c r="AN71" i="9" s="1"/>
  <c r="AL674" i="1"/>
  <c r="AL71" i="9" s="1"/>
  <c r="AE674" i="1"/>
  <c r="AE71" i="9" s="1"/>
  <c r="AD674" i="1"/>
  <c r="AD71" i="9" s="1"/>
  <c r="AA674" i="1"/>
  <c r="AA71" i="9" s="1"/>
  <c r="Z674" i="1"/>
  <c r="Z71" i="9" s="1"/>
  <c r="X674" i="1"/>
  <c r="X71" i="9" s="1"/>
  <c r="O674" i="1"/>
  <c r="O71" i="9" s="1"/>
  <c r="N674" i="1"/>
  <c r="N71" i="9" s="1"/>
  <c r="L674" i="1"/>
  <c r="L71" i="9" s="1"/>
  <c r="I674" i="1"/>
  <c r="I71" i="9" s="1"/>
  <c r="H674" i="1"/>
  <c r="H71" i="9" s="1"/>
  <c r="BW673" i="1"/>
  <c r="BW72" i="9" s="1"/>
  <c r="BV673" i="1"/>
  <c r="BV72" i="9" s="1"/>
  <c r="BU673" i="1"/>
  <c r="BU72" i="9" s="1"/>
  <c r="BT673" i="1"/>
  <c r="BT72" i="9" s="1"/>
  <c r="BQ673" i="1"/>
  <c r="BQ72" i="9" s="1"/>
  <c r="BN673" i="1"/>
  <c r="BN72" i="9" s="1"/>
  <c r="BM673" i="1"/>
  <c r="BM72" i="9" s="1"/>
  <c r="BL673" i="1"/>
  <c r="BL72" i="9" s="1"/>
  <c r="BK673" i="1"/>
  <c r="BK72" i="9" s="1"/>
  <c r="BJ673" i="1"/>
  <c r="BJ72" i="9" s="1"/>
  <c r="BI673" i="1"/>
  <c r="BI72" i="9" s="1"/>
  <c r="AY673" i="1"/>
  <c r="AY72" i="9" s="1"/>
  <c r="AS673" i="1"/>
  <c r="AS72" i="9" s="1"/>
  <c r="AR673" i="1"/>
  <c r="AR72" i="9" s="1"/>
  <c r="AQ673" i="1"/>
  <c r="AQ72" i="9" s="1"/>
  <c r="AP673" i="1"/>
  <c r="AP72" i="9" s="1"/>
  <c r="AO673" i="1"/>
  <c r="AO72" i="9" s="1"/>
  <c r="AM673" i="1"/>
  <c r="AM72" i="9" s="1"/>
  <c r="AL673" i="1"/>
  <c r="AL72" i="9" s="1"/>
  <c r="AH673" i="1"/>
  <c r="AH72" i="9" s="1"/>
  <c r="AF673" i="1"/>
  <c r="AF72" i="9" s="1"/>
  <c r="AC673" i="1"/>
  <c r="AC72" i="9" s="1"/>
  <c r="AB673" i="1"/>
  <c r="AB72" i="9" s="1"/>
  <c r="AA673" i="1"/>
  <c r="AA72" i="9" s="1"/>
  <c r="W673" i="1"/>
  <c r="W72" i="9" s="1"/>
  <c r="V673" i="1"/>
  <c r="V72" i="9" s="1"/>
  <c r="T673" i="1"/>
  <c r="T72" i="9" s="1"/>
  <c r="O673" i="1"/>
  <c r="O72" i="9" s="1"/>
  <c r="M673" i="1"/>
  <c r="M72" i="9" s="1"/>
  <c r="J673" i="1"/>
  <c r="J72" i="9" s="1"/>
  <c r="G673" i="1"/>
  <c r="G72" i="9" s="1"/>
  <c r="F673" i="1"/>
  <c r="F72" i="9" s="1"/>
  <c r="E673" i="1"/>
  <c r="E72" i="9" s="1"/>
  <c r="C673" i="1"/>
  <c r="C72" i="9" s="1"/>
  <c r="BY671" i="1"/>
  <c r="BY78" i="9" s="1"/>
  <c r="BX671" i="1"/>
  <c r="BX78" i="9" s="1"/>
  <c r="BW671" i="1"/>
  <c r="BW78" i="9" s="1"/>
  <c r="BV671" i="1"/>
  <c r="BV78" i="9" s="1"/>
  <c r="BU671" i="1"/>
  <c r="BU78" i="9" s="1"/>
  <c r="BT671" i="1"/>
  <c r="BT78" i="9" s="1"/>
  <c r="BS671" i="1"/>
  <c r="BS78" i="9" s="1"/>
  <c r="BR671" i="1"/>
  <c r="BR78" i="9" s="1"/>
  <c r="BQ671" i="1"/>
  <c r="BQ78" i="9" s="1"/>
  <c r="BP671" i="1"/>
  <c r="BP78" i="9" s="1"/>
  <c r="BO671" i="1"/>
  <c r="BO78" i="9" s="1"/>
  <c r="BN671" i="1"/>
  <c r="BN78" i="9" s="1"/>
  <c r="BM671" i="1"/>
  <c r="BM78" i="9" s="1"/>
  <c r="BL671" i="1"/>
  <c r="BL78" i="9" s="1"/>
  <c r="BW670" i="1"/>
  <c r="BW67" i="9" s="1"/>
  <c r="BV670" i="1"/>
  <c r="BV67" i="9" s="1"/>
  <c r="BU670" i="1"/>
  <c r="BU67" i="9" s="1"/>
  <c r="BT670" i="1"/>
  <c r="BT67" i="9" s="1"/>
  <c r="BR670" i="1"/>
  <c r="BR67" i="9" s="1"/>
  <c r="BQ670" i="1"/>
  <c r="BQ67" i="9" s="1"/>
  <c r="BO670" i="1"/>
  <c r="BO67" i="9" s="1"/>
  <c r="BN670" i="1"/>
  <c r="BN67" i="9" s="1"/>
  <c r="BM670" i="1"/>
  <c r="BM67" i="9" s="1"/>
  <c r="BL670" i="1"/>
  <c r="BL67" i="9" s="1"/>
  <c r="BK670" i="1"/>
  <c r="BK67" i="9" s="1"/>
  <c r="BJ670" i="1"/>
  <c r="BJ67" i="9" s="1"/>
  <c r="BI670" i="1"/>
  <c r="BI67" i="9" s="1"/>
  <c r="BH670" i="1"/>
  <c r="BH67" i="9" s="1"/>
  <c r="AY670" i="1"/>
  <c r="AY67" i="9" s="1"/>
  <c r="AW670" i="1"/>
  <c r="AW67" i="9" s="1"/>
  <c r="AV670" i="1"/>
  <c r="AV67" i="9" s="1"/>
  <c r="AU670" i="1"/>
  <c r="AU67" i="9" s="1"/>
  <c r="AT670" i="1"/>
  <c r="AT67" i="9" s="1"/>
  <c r="AS670" i="1"/>
  <c r="AS67" i="9" s="1"/>
  <c r="AR670" i="1"/>
  <c r="AR67" i="9" s="1"/>
  <c r="AO670" i="1"/>
  <c r="AO67" i="9" s="1"/>
  <c r="AN670" i="1"/>
  <c r="AN67" i="9" s="1"/>
  <c r="AM670" i="1"/>
  <c r="AM67" i="9" s="1"/>
  <c r="AL670" i="1"/>
  <c r="AL67" i="9" s="1"/>
  <c r="AK670" i="1"/>
  <c r="AK67" i="9" s="1"/>
  <c r="AJ670" i="1"/>
  <c r="AJ67" i="9" s="1"/>
  <c r="AH670" i="1"/>
  <c r="AH67" i="9" s="1"/>
  <c r="AG670" i="1"/>
  <c r="AG67" i="9" s="1"/>
  <c r="AF670" i="1"/>
  <c r="AF67" i="9" s="1"/>
  <c r="AC670" i="1"/>
  <c r="AC67" i="9" s="1"/>
  <c r="AB670" i="1"/>
  <c r="AB67" i="9" s="1"/>
  <c r="AA670" i="1"/>
  <c r="AA67" i="9" s="1"/>
  <c r="Z670" i="1"/>
  <c r="Z67" i="9" s="1"/>
  <c r="Y670" i="1"/>
  <c r="Y67" i="9" s="1"/>
  <c r="X670" i="1"/>
  <c r="X67" i="9" s="1"/>
  <c r="W670" i="1"/>
  <c r="W67" i="9" s="1"/>
  <c r="V670" i="1"/>
  <c r="V67" i="9" s="1"/>
  <c r="U670" i="1"/>
  <c r="U67" i="9" s="1"/>
  <c r="T670" i="1"/>
  <c r="T67" i="9" s="1"/>
  <c r="R670" i="1"/>
  <c r="R67" i="9" s="1"/>
  <c r="P670" i="1"/>
  <c r="P67" i="9" s="1"/>
  <c r="O670" i="1"/>
  <c r="O67" i="9" s="1"/>
  <c r="N670" i="1"/>
  <c r="N67" i="9" s="1"/>
  <c r="M670" i="1"/>
  <c r="M67" i="9" s="1"/>
  <c r="L670" i="1"/>
  <c r="L67" i="9" s="1"/>
  <c r="J670" i="1"/>
  <c r="J67" i="9" s="1"/>
  <c r="I670" i="1"/>
  <c r="I67" i="9" s="1"/>
  <c r="H670" i="1"/>
  <c r="H67" i="9" s="1"/>
  <c r="F670" i="1"/>
  <c r="F67" i="9" s="1"/>
  <c r="D670" i="1"/>
  <c r="D67" i="9" s="1"/>
  <c r="BW669" i="1"/>
  <c r="BW70" i="9" s="1"/>
  <c r="BV669" i="1"/>
  <c r="BV70" i="9" s="1"/>
  <c r="BR669" i="1"/>
  <c r="BR70" i="9" s="1"/>
  <c r="BQ669" i="1"/>
  <c r="BQ70" i="9" s="1"/>
  <c r="BP669" i="1"/>
  <c r="BP70" i="9" s="1"/>
  <c r="BO669" i="1"/>
  <c r="BO70" i="9" s="1"/>
  <c r="BL669" i="1"/>
  <c r="BL70" i="9" s="1"/>
  <c r="BK669" i="1"/>
  <c r="BK70" i="9" s="1"/>
  <c r="BJ669" i="1"/>
  <c r="BJ70" i="9" s="1"/>
  <c r="BI669" i="1"/>
  <c r="BI70" i="9" s="1"/>
  <c r="AY669" i="1"/>
  <c r="AY70" i="9" s="1"/>
  <c r="AW669" i="1"/>
  <c r="AW70" i="9" s="1"/>
  <c r="AV669" i="1"/>
  <c r="AV70" i="9" s="1"/>
  <c r="AR669" i="1"/>
  <c r="AR70" i="9" s="1"/>
  <c r="AP669" i="1"/>
  <c r="AP70" i="9" s="1"/>
  <c r="AO669" i="1"/>
  <c r="AO70" i="9" s="1"/>
  <c r="AN669" i="1"/>
  <c r="AN70" i="9" s="1"/>
  <c r="AM669" i="1"/>
  <c r="AM70" i="9" s="1"/>
  <c r="AJ669" i="1"/>
  <c r="AJ70" i="9" s="1"/>
  <c r="AI669" i="1"/>
  <c r="AI70" i="9" s="1"/>
  <c r="AH669" i="1"/>
  <c r="AH70" i="9" s="1"/>
  <c r="AG669" i="1"/>
  <c r="AG70" i="9" s="1"/>
  <c r="AD669" i="1"/>
  <c r="AD70" i="9" s="1"/>
  <c r="AC669" i="1"/>
  <c r="AC70" i="9" s="1"/>
  <c r="AB669" i="1"/>
  <c r="AB70" i="9" s="1"/>
  <c r="AA669" i="1"/>
  <c r="AA70" i="9" s="1"/>
  <c r="Y669" i="1"/>
  <c r="Y70" i="9" s="1"/>
  <c r="W669" i="1"/>
  <c r="W70" i="9" s="1"/>
  <c r="V669" i="1"/>
  <c r="V70" i="9" s="1"/>
  <c r="U669" i="1"/>
  <c r="U70" i="9" s="1"/>
  <c r="T669" i="1"/>
  <c r="T70" i="9" s="1"/>
  <c r="S669" i="1"/>
  <c r="S70" i="9" s="1"/>
  <c r="O669" i="1"/>
  <c r="O70" i="9" s="1"/>
  <c r="M669" i="1"/>
  <c r="M70" i="9" s="1"/>
  <c r="L669" i="1"/>
  <c r="L70" i="9" s="1"/>
  <c r="K669" i="1"/>
  <c r="K70" i="9" s="1"/>
  <c r="I669" i="1"/>
  <c r="I70" i="9" s="1"/>
  <c r="H669" i="1"/>
  <c r="H70" i="9" s="1"/>
  <c r="G669" i="1"/>
  <c r="G70" i="9" s="1"/>
  <c r="F669" i="1"/>
  <c r="F70" i="9" s="1"/>
  <c r="BW668" i="1"/>
  <c r="BV668" i="1"/>
  <c r="BU668" i="1"/>
  <c r="BT668" i="1"/>
  <c r="BR668" i="1"/>
  <c r="BQ668" i="1"/>
  <c r="BP668" i="1"/>
  <c r="BO668" i="1"/>
  <c r="BN668" i="1"/>
  <c r="BM668" i="1"/>
  <c r="BL668" i="1"/>
  <c r="BK668" i="1"/>
  <c r="BJ668" i="1"/>
  <c r="BI668" i="1"/>
  <c r="BH668" i="1"/>
  <c r="AY668" i="1"/>
  <c r="AW668" i="1"/>
  <c r="AV668" i="1"/>
  <c r="AU668" i="1"/>
  <c r="AT668" i="1"/>
  <c r="AQ668" i="1"/>
  <c r="AP668" i="1"/>
  <c r="AM668" i="1"/>
  <c r="AK668" i="1"/>
  <c r="AJ668" i="1"/>
  <c r="AI668" i="1"/>
  <c r="AH668" i="1"/>
  <c r="AF668" i="1"/>
  <c r="AE668" i="1"/>
  <c r="AD668" i="1"/>
  <c r="AC668" i="1"/>
  <c r="AB668" i="1"/>
  <c r="AA668" i="1"/>
  <c r="Y668" i="1"/>
  <c r="S668" i="1"/>
  <c r="R668" i="1"/>
  <c r="Q668" i="1"/>
  <c r="P668" i="1"/>
  <c r="O668" i="1"/>
  <c r="N668" i="1"/>
  <c r="M668" i="1"/>
  <c r="L668" i="1"/>
  <c r="K668" i="1"/>
  <c r="J668" i="1"/>
  <c r="G668" i="1"/>
  <c r="F668" i="1"/>
  <c r="E668" i="1"/>
  <c r="D668" i="1"/>
  <c r="C668" i="1"/>
  <c r="BA667" i="1"/>
  <c r="BA618" i="1" s="1"/>
  <c r="A667" i="1"/>
  <c r="A666" i="1"/>
  <c r="BW665" i="1"/>
  <c r="BW619" i="1" s="1"/>
  <c r="BT665" i="1"/>
  <c r="BS665" i="1"/>
  <c r="BQ665" i="1"/>
  <c r="BP665" i="1"/>
  <c r="BO665" i="1"/>
  <c r="BO619" i="1" s="1"/>
  <c r="BN665" i="1"/>
  <c r="BN619" i="1" s="1"/>
  <c r="BL665" i="1"/>
  <c r="BK665" i="1"/>
  <c r="BK619" i="1" s="1"/>
  <c r="BI665" i="1"/>
  <c r="BI619" i="1" s="1"/>
  <c r="BH665" i="1"/>
  <c r="BH65" i="9" s="1"/>
  <c r="AY665" i="1"/>
  <c r="AW665" i="1"/>
  <c r="AV665" i="1"/>
  <c r="AT665" i="1"/>
  <c r="AT619" i="1" s="1"/>
  <c r="AS665" i="1"/>
  <c r="AS619" i="1" s="1"/>
  <c r="AW625" i="1" s="1"/>
  <c r="AR665" i="1"/>
  <c r="AO665" i="1"/>
  <c r="AO619" i="1" s="1"/>
  <c r="AK665" i="1"/>
  <c r="AJ665" i="1"/>
  <c r="AI665" i="1"/>
  <c r="AI619" i="1" s="1"/>
  <c r="AF665" i="1"/>
  <c r="AE665" i="1"/>
  <c r="AE619" i="1" s="1"/>
  <c r="AE625" i="1" s="1"/>
  <c r="AC665" i="1"/>
  <c r="AC619" i="1" s="1"/>
  <c r="AB665" i="1"/>
  <c r="AA665" i="1"/>
  <c r="AA619" i="1" s="1"/>
  <c r="AA625" i="1" s="1"/>
  <c r="Z665" i="1"/>
  <c r="Z619" i="1" s="1"/>
  <c r="Y665" i="1"/>
  <c r="Y619" i="1" s="1"/>
  <c r="X665" i="1"/>
  <c r="X619" i="1" s="1"/>
  <c r="U665" i="1"/>
  <c r="U619" i="1" s="1"/>
  <c r="S665" i="1"/>
  <c r="Q665" i="1"/>
  <c r="P665" i="1"/>
  <c r="P619" i="1" s="1"/>
  <c r="O665" i="1"/>
  <c r="O619" i="1" s="1"/>
  <c r="M665" i="1"/>
  <c r="M619" i="1" s="1"/>
  <c r="L665" i="1"/>
  <c r="L619" i="1" s="1"/>
  <c r="K665" i="1"/>
  <c r="I665" i="1"/>
  <c r="I619" i="1" s="1"/>
  <c r="H665" i="1"/>
  <c r="E665" i="1"/>
  <c r="C665" i="1"/>
  <c r="C619" i="1" s="1"/>
  <c r="AL644" i="1"/>
  <c r="AV643" i="1"/>
  <c r="BW642" i="1"/>
  <c r="BV642" i="1"/>
  <c r="BU642" i="1"/>
  <c r="BT642" i="1"/>
  <c r="BS642" i="1"/>
  <c r="BR642" i="1"/>
  <c r="AY642" i="1"/>
  <c r="AX642" i="1"/>
  <c r="AW642" i="1"/>
  <c r="AV642" i="1"/>
  <c r="AU642" i="1"/>
  <c r="AT642" i="1"/>
  <c r="AS642" i="1"/>
  <c r="AR642" i="1"/>
  <c r="AQ642" i="1"/>
  <c r="AP642" i="1"/>
  <c r="AO642" i="1"/>
  <c r="AN642" i="1"/>
  <c r="AM642" i="1"/>
  <c r="AL642" i="1"/>
  <c r="AK642" i="1"/>
  <c r="AJ642" i="1"/>
  <c r="AI642" i="1"/>
  <c r="AH642" i="1"/>
  <c r="AG642" i="1"/>
  <c r="AF642" i="1"/>
  <c r="AE642" i="1"/>
  <c r="AD642" i="1"/>
  <c r="AC642" i="1"/>
  <c r="AB642" i="1"/>
  <c r="AY639" i="1"/>
  <c r="AY638" i="1"/>
  <c r="BW628" i="1"/>
  <c r="BV628" i="1"/>
  <c r="BU628" i="1"/>
  <c r="BT628" i="1"/>
  <c r="BS628" i="1"/>
  <c r="BR628" i="1"/>
  <c r="AY628" i="1"/>
  <c r="AX628" i="1"/>
  <c r="AW628" i="1"/>
  <c r="AV628" i="1"/>
  <c r="AU628" i="1"/>
  <c r="AT628" i="1"/>
  <c r="AS628" i="1"/>
  <c r="AR628" i="1"/>
  <c r="AQ628" i="1"/>
  <c r="AP628" i="1"/>
  <c r="AO628" i="1"/>
  <c r="AN628" i="1"/>
  <c r="AM628" i="1"/>
  <c r="AL628" i="1"/>
  <c r="AK628" i="1"/>
  <c r="AJ628" i="1"/>
  <c r="AI628" i="1"/>
  <c r="AH628" i="1"/>
  <c r="AG628" i="1"/>
  <c r="AF628" i="1"/>
  <c r="AE628" i="1"/>
  <c r="AD628" i="1"/>
  <c r="AC628" i="1"/>
  <c r="AB628" i="1"/>
  <c r="BW627" i="1"/>
  <c r="BV627" i="1"/>
  <c r="BU627" i="1"/>
  <c r="BT627" i="1"/>
  <c r="BS627" i="1"/>
  <c r="BR627" i="1"/>
  <c r="AY627" i="1"/>
  <c r="AX627" i="1"/>
  <c r="AW627" i="1"/>
  <c r="AV627" i="1"/>
  <c r="AU627" i="1"/>
  <c r="AT627" i="1"/>
  <c r="AS627" i="1"/>
  <c r="AR627" i="1"/>
  <c r="AQ627" i="1"/>
  <c r="AP627" i="1"/>
  <c r="AO627" i="1"/>
  <c r="AN627" i="1"/>
  <c r="AM627" i="1"/>
  <c r="AL627" i="1"/>
  <c r="AK627" i="1"/>
  <c r="AJ627" i="1"/>
  <c r="AI627" i="1"/>
  <c r="AH627" i="1"/>
  <c r="AG627" i="1"/>
  <c r="AF627" i="1"/>
  <c r="AE627" i="1"/>
  <c r="AD627" i="1"/>
  <c r="AC627" i="1"/>
  <c r="AB627" i="1"/>
  <c r="AU625" i="1"/>
  <c r="CB619" i="1"/>
  <c r="CA619" i="1"/>
  <c r="BZ619" i="1"/>
  <c r="BT619" i="1"/>
  <c r="BS619" i="1"/>
  <c r="BP619" i="1"/>
  <c r="BL619" i="1"/>
  <c r="BH619" i="1"/>
  <c r="BF619" i="1"/>
  <c r="BE619" i="1"/>
  <c r="BD619" i="1"/>
  <c r="BC619" i="1"/>
  <c r="BB619" i="1"/>
  <c r="BF625" i="1" s="1"/>
  <c r="BA619" i="1"/>
  <c r="AZ619" i="1"/>
  <c r="BD625" i="1" s="1"/>
  <c r="AY619" i="1"/>
  <c r="AW619" i="1"/>
  <c r="AV619" i="1"/>
  <c r="AU619" i="1"/>
  <c r="AN619" i="1"/>
  <c r="AN625" i="1" s="1"/>
  <c r="AM619" i="1"/>
  <c r="AM625" i="1" s="1"/>
  <c r="AL619" i="1"/>
  <c r="AK619" i="1"/>
  <c r="AK625" i="1" s="1"/>
  <c r="AJ619" i="1"/>
  <c r="AG619" i="1"/>
  <c r="AB619" i="1"/>
  <c r="AB625" i="1" s="1"/>
  <c r="W619" i="1"/>
  <c r="S619" i="1"/>
  <c r="Q619" i="1"/>
  <c r="K619" i="1"/>
  <c r="E619" i="1"/>
  <c r="BR615" i="1"/>
  <c r="BR614" i="1"/>
  <c r="BU599" i="1"/>
  <c r="AX599" i="1"/>
  <c r="AV599" i="1"/>
  <c r="AL599" i="1"/>
  <c r="BW598" i="1"/>
  <c r="BV598" i="1"/>
  <c r="BU598" i="1"/>
  <c r="BT598" i="1"/>
  <c r="BS598" i="1"/>
  <c r="BR598" i="1"/>
  <c r="AY598" i="1"/>
  <c r="AX598" i="1"/>
  <c r="AW598" i="1"/>
  <c r="AV598" i="1"/>
  <c r="AU598" i="1"/>
  <c r="AT598" i="1"/>
  <c r="AS598" i="1"/>
  <c r="AR598" i="1"/>
  <c r="AQ598" i="1"/>
  <c r="AP598" i="1"/>
  <c r="AO598" i="1"/>
  <c r="AN598" i="1"/>
  <c r="AM598" i="1"/>
  <c r="AL598" i="1"/>
  <c r="AK598" i="1"/>
  <c r="AJ598" i="1"/>
  <c r="AI598" i="1"/>
  <c r="AH598" i="1"/>
  <c r="AG598" i="1"/>
  <c r="AF598" i="1"/>
  <c r="AE598" i="1"/>
  <c r="AD598" i="1"/>
  <c r="AC598" i="1"/>
  <c r="AY595" i="1"/>
  <c r="AY594" i="1"/>
  <c r="BW584" i="1"/>
  <c r="BV584" i="1"/>
  <c r="BU584" i="1"/>
  <c r="BT584" i="1"/>
  <c r="BS584" i="1"/>
  <c r="BR584" i="1"/>
  <c r="AY584" i="1"/>
  <c r="AX584" i="1"/>
  <c r="AW584" i="1"/>
  <c r="AV584" i="1"/>
  <c r="AU584" i="1"/>
  <c r="AT584" i="1"/>
  <c r="AS584" i="1"/>
  <c r="AR584" i="1"/>
  <c r="AQ584" i="1"/>
  <c r="AP584" i="1"/>
  <c r="AO584" i="1"/>
  <c r="AN584" i="1"/>
  <c r="AM584" i="1"/>
  <c r="AL584" i="1"/>
  <c r="AK584" i="1"/>
  <c r="AJ584" i="1"/>
  <c r="AI584" i="1"/>
  <c r="AH584" i="1"/>
  <c r="AG584" i="1"/>
  <c r="AF584" i="1"/>
  <c r="AE584" i="1"/>
  <c r="AD584" i="1"/>
  <c r="AC584" i="1"/>
  <c r="AB584" i="1"/>
  <c r="BW583" i="1"/>
  <c r="BV583" i="1"/>
  <c r="BU583" i="1"/>
  <c r="BT583" i="1"/>
  <c r="BS583" i="1"/>
  <c r="BR583" i="1"/>
  <c r="AY583" i="1"/>
  <c r="AX583" i="1"/>
  <c r="AW583" i="1"/>
  <c r="AV583" i="1"/>
  <c r="AU583" i="1"/>
  <c r="AT583" i="1"/>
  <c r="AS583" i="1"/>
  <c r="AR583" i="1"/>
  <c r="AQ583" i="1"/>
  <c r="AP583" i="1"/>
  <c r="AO583" i="1"/>
  <c r="AN583" i="1"/>
  <c r="AM583" i="1"/>
  <c r="AL583" i="1"/>
  <c r="AK583" i="1"/>
  <c r="AJ583" i="1"/>
  <c r="AI583" i="1"/>
  <c r="AH583" i="1"/>
  <c r="AG583" i="1"/>
  <c r="AF583" i="1"/>
  <c r="AE583" i="1"/>
  <c r="AD583" i="1"/>
  <c r="AC583" i="1"/>
  <c r="AB583" i="1"/>
  <c r="BR572" i="1"/>
  <c r="BR571" i="1"/>
  <c r="BR570" i="1"/>
  <c r="BS562" i="1"/>
  <c r="BR562" i="1"/>
  <c r="AJ562" i="1"/>
  <c r="AI562" i="1"/>
  <c r="BT528" i="1" s="1"/>
  <c r="AH562" i="1"/>
  <c r="AG562" i="1"/>
  <c r="AF562" i="1"/>
  <c r="AE562" i="1"/>
  <c r="AD562" i="1"/>
  <c r="BS527" i="1" s="1"/>
  <c r="BW559" i="1"/>
  <c r="BV559" i="1"/>
  <c r="BU559" i="1"/>
  <c r="BT559" i="1"/>
  <c r="BS559" i="1"/>
  <c r="BR559" i="1"/>
  <c r="AY559" i="1"/>
  <c r="AX559" i="1"/>
  <c r="AW559" i="1"/>
  <c r="AV559" i="1"/>
  <c r="AU559" i="1"/>
  <c r="AT559" i="1"/>
  <c r="AS559" i="1"/>
  <c r="AR559" i="1"/>
  <c r="AQ559" i="1"/>
  <c r="AP559" i="1"/>
  <c r="AO559" i="1"/>
  <c r="AN559" i="1"/>
  <c r="AM559" i="1"/>
  <c r="AL559" i="1"/>
  <c r="AK559" i="1"/>
  <c r="AJ559" i="1"/>
  <c r="AI559" i="1"/>
  <c r="AH559" i="1"/>
  <c r="AG559" i="1"/>
  <c r="AF559" i="1"/>
  <c r="AE559" i="1"/>
  <c r="AD559" i="1"/>
  <c r="AC559" i="1"/>
  <c r="BS547" i="1"/>
  <c r="AJ547" i="1"/>
  <c r="AI547" i="1"/>
  <c r="AH547" i="1"/>
  <c r="AG547" i="1"/>
  <c r="AF547" i="1"/>
  <c r="AG527" i="1" s="1"/>
  <c r="AG531" i="1" s="1"/>
  <c r="AG380" i="1" s="1"/>
  <c r="AE547" i="1"/>
  <c r="AF527" i="1" s="1"/>
  <c r="AF531" i="1" s="1"/>
  <c r="AF380" i="1" s="1"/>
  <c r="AN545" i="1"/>
  <c r="BW544" i="1"/>
  <c r="BV544" i="1"/>
  <c r="BU544" i="1"/>
  <c r="BT544" i="1"/>
  <c r="BS544" i="1"/>
  <c r="BR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BW543" i="1"/>
  <c r="BV543" i="1"/>
  <c r="BU543" i="1"/>
  <c r="BT543" i="1"/>
  <c r="BS543" i="1"/>
  <c r="BR543" i="1"/>
  <c r="AY543" i="1"/>
  <c r="AX543" i="1"/>
  <c r="AW543" i="1"/>
  <c r="AV543" i="1"/>
  <c r="AU543" i="1"/>
  <c r="AT543" i="1"/>
  <c r="AS543" i="1"/>
  <c r="AR543" i="1"/>
  <c r="AQ543" i="1"/>
  <c r="AP543" i="1"/>
  <c r="AO543" i="1"/>
  <c r="AN543" i="1"/>
  <c r="AM543" i="1"/>
  <c r="AL543" i="1"/>
  <c r="AK543" i="1"/>
  <c r="AJ543" i="1"/>
  <c r="AI543" i="1"/>
  <c r="AH543" i="1"/>
  <c r="AG543" i="1"/>
  <c r="AF543" i="1"/>
  <c r="AE543" i="1"/>
  <c r="AD543" i="1"/>
  <c r="AC543" i="1"/>
  <c r="AB543" i="1"/>
  <c r="BS530" i="1"/>
  <c r="BS531" i="1" s="1"/>
  <c r="BT529" i="1"/>
  <c r="BS529" i="1"/>
  <c r="BS528" i="1"/>
  <c r="BT527" i="1"/>
  <c r="AK527" i="1"/>
  <c r="AK531" i="1" s="1"/>
  <c r="AK380" i="1" s="1"/>
  <c r="AJ527" i="1"/>
  <c r="AJ531" i="1" s="1"/>
  <c r="AJ380" i="1" s="1"/>
  <c r="AI527" i="1"/>
  <c r="AI531" i="1" s="1"/>
  <c r="AH527" i="1"/>
  <c r="AH531" i="1" s="1"/>
  <c r="AH380" i="1" s="1"/>
  <c r="BW523" i="1"/>
  <c r="BT523" i="1"/>
  <c r="BR523" i="1"/>
  <c r="AE510" i="1" s="1"/>
  <c r="BO523" i="1"/>
  <c r="AW523" i="1"/>
  <c r="AV523" i="1"/>
  <c r="AW510" i="1" s="1"/>
  <c r="AU523" i="1"/>
  <c r="AV510" i="1" s="1"/>
  <c r="AT523" i="1"/>
  <c r="BV523" i="1" s="1"/>
  <c r="AU510" i="1" s="1"/>
  <c r="AS523" i="1"/>
  <c r="AT510" i="1" s="1"/>
  <c r="AR523" i="1"/>
  <c r="AQ523" i="1"/>
  <c r="AR510" i="1" s="1"/>
  <c r="AP523" i="1"/>
  <c r="BU523" i="1" s="1"/>
  <c r="AQ510" i="1" s="1"/>
  <c r="AO523" i="1"/>
  <c r="AP510" i="1" s="1"/>
  <c r="AN523" i="1"/>
  <c r="AM523" i="1"/>
  <c r="AL523" i="1"/>
  <c r="AJ523" i="1"/>
  <c r="AK510" i="1" s="1"/>
  <c r="AI523" i="1"/>
  <c r="AJ510" i="1" s="1"/>
  <c r="AH523" i="1"/>
  <c r="BS523" i="1" s="1"/>
  <c r="AI510" i="1" s="1"/>
  <c r="AG523" i="1"/>
  <c r="AH510" i="1" s="1"/>
  <c r="AH513" i="1" s="1"/>
  <c r="AF523" i="1"/>
  <c r="AG510" i="1" s="1"/>
  <c r="AG513" i="1" s="1"/>
  <c r="AG508" i="1" s="1"/>
  <c r="AE523" i="1"/>
  <c r="AF510" i="1" s="1"/>
  <c r="AD523" i="1"/>
  <c r="AC523" i="1"/>
  <c r="AB523" i="1"/>
  <c r="AC510" i="1" s="1"/>
  <c r="AA523" i="1"/>
  <c r="AB510" i="1" s="1"/>
  <c r="Z523" i="1"/>
  <c r="BQ523" i="1" s="1"/>
  <c r="AA510" i="1" s="1"/>
  <c r="Y523" i="1"/>
  <c r="X523" i="1"/>
  <c r="Y510" i="1" s="1"/>
  <c r="W523" i="1"/>
  <c r="X510" i="1" s="1"/>
  <c r="V523" i="1"/>
  <c r="BP523" i="1" s="1"/>
  <c r="W510" i="1" s="1"/>
  <c r="U523" i="1"/>
  <c r="V510" i="1" s="1"/>
  <c r="V513" i="1" s="1"/>
  <c r="T523" i="1"/>
  <c r="S523" i="1"/>
  <c r="T510" i="1" s="1"/>
  <c r="BU518" i="1"/>
  <c r="AX518" i="1"/>
  <c r="AW518" i="1"/>
  <c r="AV518" i="1"/>
  <c r="AU518" i="1"/>
  <c r="AT518" i="1"/>
  <c r="AS518" i="1"/>
  <c r="AR518" i="1"/>
  <c r="AQ518" i="1"/>
  <c r="AO518" i="1"/>
  <c r="AL518" i="1"/>
  <c r="AK518" i="1"/>
  <c r="AJ518" i="1"/>
  <c r="AI518" i="1"/>
  <c r="AH518" i="1"/>
  <c r="AG518" i="1"/>
  <c r="AF518" i="1"/>
  <c r="AE518" i="1"/>
  <c r="BS518" i="1" s="1"/>
  <c r="AD518" i="1"/>
  <c r="AC518" i="1"/>
  <c r="AB518" i="1"/>
  <c r="AA518" i="1"/>
  <c r="Z518" i="1"/>
  <c r="Y518" i="1"/>
  <c r="X518" i="1"/>
  <c r="W518" i="1"/>
  <c r="V518" i="1"/>
  <c r="U518" i="1"/>
  <c r="T518" i="1"/>
  <c r="S518" i="1"/>
  <c r="R518" i="1"/>
  <c r="BO518" i="1" s="1"/>
  <c r="AS513" i="1"/>
  <c r="AS508" i="1" s="1"/>
  <c r="AW512" i="1"/>
  <c r="AV512" i="1"/>
  <c r="AU512" i="1"/>
  <c r="AT512" i="1"/>
  <c r="AS512" i="1"/>
  <c r="AR512" i="1"/>
  <c r="AQ512" i="1"/>
  <c r="AP512" i="1"/>
  <c r="AO512" i="1"/>
  <c r="AO513" i="1" s="1"/>
  <c r="AO508" i="1" s="1"/>
  <c r="AN512" i="1"/>
  <c r="AM512" i="1"/>
  <c r="AL512" i="1"/>
  <c r="AK512" i="1"/>
  <c r="AJ512" i="1"/>
  <c r="AI512" i="1"/>
  <c r="AH512" i="1"/>
  <c r="AG512" i="1"/>
  <c r="AF512" i="1"/>
  <c r="AE512" i="1"/>
  <c r="AD512" i="1"/>
  <c r="AC512" i="1"/>
  <c r="AB512" i="1"/>
  <c r="AA512" i="1"/>
  <c r="Z512" i="1"/>
  <c r="Y512" i="1"/>
  <c r="X512" i="1"/>
  <c r="W512" i="1"/>
  <c r="V512" i="1"/>
  <c r="U512" i="1"/>
  <c r="T512" i="1"/>
  <c r="S512" i="1"/>
  <c r="AW511" i="1"/>
  <c r="AV511" i="1"/>
  <c r="AU511" i="1"/>
  <c r="AT511" i="1"/>
  <c r="AS511" i="1"/>
  <c r="AR511" i="1"/>
  <c r="AQ511" i="1"/>
  <c r="AP511" i="1"/>
  <c r="AO511" i="1"/>
  <c r="AN511" i="1"/>
  <c r="AM511" i="1"/>
  <c r="AL511" i="1"/>
  <c r="AK511" i="1"/>
  <c r="AJ511" i="1"/>
  <c r="AI511" i="1"/>
  <c r="AH511" i="1"/>
  <c r="AG511" i="1"/>
  <c r="AF511" i="1"/>
  <c r="AE511" i="1"/>
  <c r="AD511" i="1"/>
  <c r="AC511" i="1"/>
  <c r="AB511" i="1"/>
  <c r="AA511" i="1"/>
  <c r="Z511" i="1"/>
  <c r="Y511" i="1"/>
  <c r="X511" i="1"/>
  <c r="W511" i="1"/>
  <c r="V511" i="1"/>
  <c r="U511" i="1"/>
  <c r="T511" i="1"/>
  <c r="S511" i="1"/>
  <c r="AS510" i="1"/>
  <c r="AO510" i="1"/>
  <c r="AN510" i="1"/>
  <c r="AN513" i="1" s="1"/>
  <c r="AN508" i="1" s="1"/>
  <c r="AM510" i="1"/>
  <c r="AM513" i="1" s="1"/>
  <c r="AL510" i="1"/>
  <c r="AD510" i="1"/>
  <c r="AD513" i="1" s="1"/>
  <c r="AD508" i="1" s="1"/>
  <c r="Z510" i="1"/>
  <c r="Z513" i="1" s="1"/>
  <c r="U510" i="1"/>
  <c r="U513" i="1" s="1"/>
  <c r="S510" i="1"/>
  <c r="U508" i="1"/>
  <c r="AW503" i="1"/>
  <c r="AV503" i="1"/>
  <c r="AU503" i="1"/>
  <c r="AT503" i="1"/>
  <c r="AS503" i="1"/>
  <c r="AR503" i="1"/>
  <c r="AQ503" i="1"/>
  <c r="AP503" i="1"/>
  <c r="AO503" i="1"/>
  <c r="AN503" i="1"/>
  <c r="AM503" i="1"/>
  <c r="BU503" i="1" s="1"/>
  <c r="AL503" i="1"/>
  <c r="AK503" i="1"/>
  <c r="AJ503" i="1"/>
  <c r="AI503" i="1"/>
  <c r="AH503" i="1"/>
  <c r="AG503" i="1"/>
  <c r="AF503" i="1"/>
  <c r="AE503" i="1"/>
  <c r="AD503" i="1"/>
  <c r="AC503" i="1"/>
  <c r="AB503" i="1"/>
  <c r="AA503" i="1"/>
  <c r="BR503" i="1" s="1"/>
  <c r="Z503" i="1"/>
  <c r="Y503" i="1"/>
  <c r="X503" i="1"/>
  <c r="W503" i="1"/>
  <c r="V503" i="1"/>
  <c r="U503" i="1"/>
  <c r="T503" i="1"/>
  <c r="S503" i="1"/>
  <c r="AS498" i="1"/>
  <c r="AO498" i="1"/>
  <c r="AE498" i="1"/>
  <c r="AX496" i="1"/>
  <c r="AT496" i="1"/>
  <c r="AP496" i="1"/>
  <c r="AL496" i="1"/>
  <c r="AH496" i="1"/>
  <c r="AD496" i="1"/>
  <c r="Z496" i="1"/>
  <c r="V496" i="1"/>
  <c r="R496" i="1"/>
  <c r="N496" i="1"/>
  <c r="J496" i="1"/>
  <c r="F496" i="1"/>
  <c r="BW495" i="1"/>
  <c r="BW498" i="1" s="1"/>
  <c r="BV495" i="1"/>
  <c r="BU495" i="1"/>
  <c r="BT495" i="1"/>
  <c r="AL495" i="1" s="1"/>
  <c r="BS495" i="1"/>
  <c r="AH495" i="1" s="1"/>
  <c r="BR495" i="1"/>
  <c r="BQ495" i="1"/>
  <c r="BP495" i="1"/>
  <c r="BO495" i="1"/>
  <c r="R495" i="1" s="1"/>
  <c r="BN495" i="1"/>
  <c r="BM495" i="1"/>
  <c r="BL495" i="1"/>
  <c r="F495" i="1" s="1"/>
  <c r="BK495" i="1"/>
  <c r="AW495" i="1"/>
  <c r="AW498" i="1" s="1"/>
  <c r="AV495" i="1"/>
  <c r="AU495" i="1"/>
  <c r="AT495" i="1"/>
  <c r="AS495" i="1"/>
  <c r="AR495" i="1"/>
  <c r="AQ495" i="1"/>
  <c r="AP495" i="1"/>
  <c r="AP498" i="1" s="1"/>
  <c r="AO495" i="1"/>
  <c r="AN495" i="1"/>
  <c r="AM495" i="1"/>
  <c r="AM498" i="1" s="1"/>
  <c r="AK495" i="1"/>
  <c r="AJ495" i="1"/>
  <c r="AJ498" i="1" s="1"/>
  <c r="AI495" i="1"/>
  <c r="AG495" i="1"/>
  <c r="AF495" i="1"/>
  <c r="AE495" i="1"/>
  <c r="AD495" i="1"/>
  <c r="AC495" i="1"/>
  <c r="AB495" i="1"/>
  <c r="AA495" i="1"/>
  <c r="Z495" i="1"/>
  <c r="Y495" i="1"/>
  <c r="X495" i="1"/>
  <c r="W495" i="1"/>
  <c r="V495" i="1"/>
  <c r="U495" i="1"/>
  <c r="T495" i="1"/>
  <c r="S495" i="1"/>
  <c r="Q495" i="1"/>
  <c r="P495" i="1"/>
  <c r="O495" i="1"/>
  <c r="M495" i="1"/>
  <c r="L495" i="1"/>
  <c r="K495" i="1"/>
  <c r="J495" i="1"/>
  <c r="I495" i="1"/>
  <c r="H495" i="1"/>
  <c r="G495" i="1"/>
  <c r="E495" i="1"/>
  <c r="D495" i="1"/>
  <c r="C495" i="1"/>
  <c r="AX494" i="1"/>
  <c r="AT494" i="1"/>
  <c r="AP494" i="1"/>
  <c r="AL494" i="1"/>
  <c r="AH494" i="1"/>
  <c r="AD494" i="1"/>
  <c r="Z494" i="1"/>
  <c r="V494" i="1"/>
  <c r="R494" i="1"/>
  <c r="N494" i="1"/>
  <c r="J494" i="1"/>
  <c r="F494" i="1"/>
  <c r="AX493" i="1"/>
  <c r="AT493" i="1"/>
  <c r="AP493" i="1"/>
  <c r="AL493" i="1"/>
  <c r="AH493" i="1"/>
  <c r="AD493" i="1"/>
  <c r="Z493" i="1"/>
  <c r="V493" i="1"/>
  <c r="R493" i="1"/>
  <c r="N493" i="1"/>
  <c r="J493" i="1"/>
  <c r="F493" i="1"/>
  <c r="BW489" i="1"/>
  <c r="BV489" i="1"/>
  <c r="BU489" i="1"/>
  <c r="BT489" i="1"/>
  <c r="BS489" i="1"/>
  <c r="AW489" i="1"/>
  <c r="AV489" i="1"/>
  <c r="AV498" i="1" s="1"/>
  <c r="AU489" i="1"/>
  <c r="AS489" i="1"/>
  <c r="AR489" i="1"/>
  <c r="AQ489" i="1"/>
  <c r="AQ498" i="1" s="1"/>
  <c r="AP489" i="1"/>
  <c r="AO489" i="1"/>
  <c r="AN489" i="1"/>
  <c r="AN498" i="1" s="1"/>
  <c r="AM489" i="1"/>
  <c r="AK489" i="1"/>
  <c r="AJ489" i="1"/>
  <c r="AI489" i="1"/>
  <c r="AI498" i="1" s="1"/>
  <c r="AG489" i="1"/>
  <c r="AF489" i="1"/>
  <c r="AE489" i="1"/>
  <c r="U487" i="1"/>
  <c r="BO486" i="1"/>
  <c r="BN486" i="1"/>
  <c r="BN487" i="1" s="1"/>
  <c r="BM486" i="1"/>
  <c r="BL486" i="1"/>
  <c r="BK486" i="1"/>
  <c r="U486" i="1"/>
  <c r="T486" i="1"/>
  <c r="T487" i="1" s="1"/>
  <c r="S486" i="1"/>
  <c r="Q486" i="1"/>
  <c r="P486" i="1"/>
  <c r="P487" i="1" s="1"/>
  <c r="O486" i="1"/>
  <c r="M486" i="1"/>
  <c r="L486" i="1"/>
  <c r="K486" i="1"/>
  <c r="I486" i="1"/>
  <c r="H486" i="1"/>
  <c r="G486" i="1"/>
  <c r="E486" i="1"/>
  <c r="D486" i="1"/>
  <c r="C486" i="1"/>
  <c r="A486" i="1"/>
  <c r="BO485" i="1"/>
  <c r="BO487" i="1" s="1"/>
  <c r="BN485" i="1"/>
  <c r="BM485" i="1"/>
  <c r="BM487" i="1" s="1"/>
  <c r="BL485" i="1"/>
  <c r="BK485" i="1"/>
  <c r="BK487" i="1" s="1"/>
  <c r="U485" i="1"/>
  <c r="T485" i="1"/>
  <c r="S485" i="1"/>
  <c r="S487" i="1" s="1"/>
  <c r="Q485" i="1"/>
  <c r="Q487" i="1" s="1"/>
  <c r="P485" i="1"/>
  <c r="O485" i="1"/>
  <c r="O487" i="1" s="1"/>
  <c r="M485" i="1"/>
  <c r="M487" i="1" s="1"/>
  <c r="L485" i="1"/>
  <c r="K485" i="1"/>
  <c r="J485" i="1"/>
  <c r="I485" i="1"/>
  <c r="H485" i="1"/>
  <c r="G485" i="1"/>
  <c r="E485" i="1"/>
  <c r="D485" i="1"/>
  <c r="C485" i="1"/>
  <c r="C487" i="1" s="1"/>
  <c r="A485" i="1"/>
  <c r="AX482" i="1"/>
  <c r="AT482" i="1"/>
  <c r="AP482" i="1"/>
  <c r="AL482" i="1"/>
  <c r="AH482" i="1"/>
  <c r="AD482" i="1"/>
  <c r="Z482" i="1"/>
  <c r="V482" i="1"/>
  <c r="R482" i="1"/>
  <c r="N482" i="1"/>
  <c r="J482" i="1"/>
  <c r="F482" i="1"/>
  <c r="AX481" i="1"/>
  <c r="AX489" i="1" s="1"/>
  <c r="AT481" i="1"/>
  <c r="AT489" i="1" s="1"/>
  <c r="AP481" i="1"/>
  <c r="AL481" i="1"/>
  <c r="AL489" i="1" s="1"/>
  <c r="AH481" i="1"/>
  <c r="AH489" i="1" s="1"/>
  <c r="AD481" i="1"/>
  <c r="Z481" i="1"/>
  <c r="V481" i="1"/>
  <c r="R481" i="1"/>
  <c r="N481" i="1"/>
  <c r="J481" i="1"/>
  <c r="F481" i="1"/>
  <c r="Z479" i="1"/>
  <c r="V479" i="1"/>
  <c r="R479" i="1"/>
  <c r="N479" i="1"/>
  <c r="J479" i="1"/>
  <c r="F479" i="1"/>
  <c r="Z478" i="1"/>
  <c r="V478" i="1"/>
  <c r="R478" i="1"/>
  <c r="N478" i="1"/>
  <c r="J478" i="1"/>
  <c r="F478" i="1"/>
  <c r="BQ475" i="1"/>
  <c r="AC475" i="1" s="1"/>
  <c r="BP475" i="1"/>
  <c r="W471" i="1" s="1"/>
  <c r="BO475" i="1"/>
  <c r="BN475" i="1"/>
  <c r="O471" i="1" s="1"/>
  <c r="BM475" i="1"/>
  <c r="K471" i="1" s="1"/>
  <c r="BL475" i="1"/>
  <c r="G471" i="1" s="1"/>
  <c r="BK475" i="1"/>
  <c r="C471" i="1" s="1"/>
  <c r="AB475" i="1"/>
  <c r="AA475" i="1"/>
  <c r="Y475" i="1"/>
  <c r="X475" i="1"/>
  <c r="W475" i="1"/>
  <c r="X471" i="1" s="1"/>
  <c r="U475" i="1"/>
  <c r="V471" i="1" s="1"/>
  <c r="T475" i="1"/>
  <c r="S475" i="1"/>
  <c r="T471" i="1" s="1"/>
  <c r="R475" i="1"/>
  <c r="Q475" i="1"/>
  <c r="R471" i="1" s="1"/>
  <c r="P475" i="1"/>
  <c r="O475" i="1"/>
  <c r="M475" i="1"/>
  <c r="L475" i="1"/>
  <c r="M471" i="1" s="1"/>
  <c r="K475" i="1"/>
  <c r="L471" i="1" s="1"/>
  <c r="I475" i="1"/>
  <c r="J471" i="1" s="1"/>
  <c r="H475" i="1"/>
  <c r="G475" i="1"/>
  <c r="E475" i="1"/>
  <c r="D475" i="1"/>
  <c r="E471" i="1" s="1"/>
  <c r="C475" i="1"/>
  <c r="D471" i="1" s="1"/>
  <c r="BL474" i="1"/>
  <c r="BK474" i="1"/>
  <c r="BR473" i="1"/>
  <c r="BQ473" i="1"/>
  <c r="BP473" i="1"/>
  <c r="BO473" i="1"/>
  <c r="BN473" i="1"/>
  <c r="BM473" i="1"/>
  <c r="BL473" i="1"/>
  <c r="BK473" i="1"/>
  <c r="Y473" i="1"/>
  <c r="W473" i="1"/>
  <c r="U473" i="1"/>
  <c r="S473" i="1"/>
  <c r="O473" i="1"/>
  <c r="M473" i="1"/>
  <c r="K473" i="1"/>
  <c r="G473" i="1"/>
  <c r="C473" i="1"/>
  <c r="BR471" i="1"/>
  <c r="BQ471" i="1"/>
  <c r="BP471" i="1"/>
  <c r="BO471" i="1"/>
  <c r="BN471" i="1"/>
  <c r="BM471" i="1"/>
  <c r="BL471" i="1"/>
  <c r="BK471" i="1"/>
  <c r="Y471" i="1"/>
  <c r="U471" i="1"/>
  <c r="S471" i="1"/>
  <c r="Q471" i="1"/>
  <c r="P471" i="1"/>
  <c r="I471" i="1"/>
  <c r="H471" i="1"/>
  <c r="F471" i="1"/>
  <c r="Z469" i="1"/>
  <c r="Z475" i="1" s="1"/>
  <c r="V469" i="1"/>
  <c r="V475" i="1" s="1"/>
  <c r="R469" i="1"/>
  <c r="N469" i="1"/>
  <c r="N475" i="1" s="1"/>
  <c r="J469" i="1"/>
  <c r="J475" i="1" s="1"/>
  <c r="F469" i="1"/>
  <c r="F475" i="1" s="1"/>
  <c r="F468" i="1"/>
  <c r="Z467" i="1"/>
  <c r="V467" i="1"/>
  <c r="R467" i="1"/>
  <c r="N467" i="1"/>
  <c r="J467" i="1"/>
  <c r="F467" i="1"/>
  <c r="Z465" i="1"/>
  <c r="V465" i="1"/>
  <c r="R465" i="1"/>
  <c r="N465" i="1"/>
  <c r="J465" i="1"/>
  <c r="F465" i="1"/>
  <c r="AD463" i="1"/>
  <c r="BR462" i="1"/>
  <c r="BQ462" i="1"/>
  <c r="BP462" i="1"/>
  <c r="BO462" i="1"/>
  <c r="BN462" i="1"/>
  <c r="BM462" i="1"/>
  <c r="BL462" i="1"/>
  <c r="BK462" i="1"/>
  <c r="Z462" i="1"/>
  <c r="Y462" i="1"/>
  <c r="X462" i="1"/>
  <c r="W462" i="1"/>
  <c r="V462" i="1"/>
  <c r="U462" i="1"/>
  <c r="T462" i="1"/>
  <c r="S462" i="1"/>
  <c r="R462" i="1"/>
  <c r="Q462" i="1"/>
  <c r="P462" i="1"/>
  <c r="O462" i="1"/>
  <c r="N462" i="1"/>
  <c r="M462" i="1"/>
  <c r="L462" i="1"/>
  <c r="K462" i="1"/>
  <c r="J462" i="1"/>
  <c r="I462" i="1"/>
  <c r="H462" i="1"/>
  <c r="G462" i="1"/>
  <c r="E462" i="1"/>
  <c r="E474" i="1" s="1"/>
  <c r="D462" i="1"/>
  <c r="C462" i="1"/>
  <c r="BR461" i="1"/>
  <c r="BQ461" i="1"/>
  <c r="BP461" i="1"/>
  <c r="BO461" i="1"/>
  <c r="BN461" i="1"/>
  <c r="BM461" i="1"/>
  <c r="BL461" i="1"/>
  <c r="BK461" i="1"/>
  <c r="Y461" i="1"/>
  <c r="X461" i="1"/>
  <c r="X473" i="1" s="1"/>
  <c r="W461" i="1"/>
  <c r="U461" i="1"/>
  <c r="T461" i="1"/>
  <c r="T473" i="1" s="1"/>
  <c r="S461" i="1"/>
  <c r="R461" i="1"/>
  <c r="Q461" i="1"/>
  <c r="Q473" i="1" s="1"/>
  <c r="P461" i="1"/>
  <c r="P473" i="1" s="1"/>
  <c r="O461" i="1"/>
  <c r="M461" i="1"/>
  <c r="L461" i="1"/>
  <c r="L473" i="1" s="1"/>
  <c r="K461" i="1"/>
  <c r="I461" i="1"/>
  <c r="I473" i="1" s="1"/>
  <c r="H461" i="1"/>
  <c r="H473" i="1" s="1"/>
  <c r="G461" i="1"/>
  <c r="E461" i="1"/>
  <c r="E473" i="1" s="1"/>
  <c r="D461" i="1"/>
  <c r="D473" i="1" s="1"/>
  <c r="C461" i="1"/>
  <c r="BR460" i="1"/>
  <c r="BQ460" i="1"/>
  <c r="BP460" i="1"/>
  <c r="BO460" i="1"/>
  <c r="BN460" i="1"/>
  <c r="BM460" i="1"/>
  <c r="BL460" i="1"/>
  <c r="BK460" i="1"/>
  <c r="Z460" i="1"/>
  <c r="Y460" i="1"/>
  <c r="X460" i="1"/>
  <c r="W460" i="1"/>
  <c r="V460" i="1"/>
  <c r="U460" i="1"/>
  <c r="T460" i="1"/>
  <c r="S460" i="1"/>
  <c r="R460" i="1"/>
  <c r="Q460" i="1"/>
  <c r="P460" i="1"/>
  <c r="O460" i="1"/>
  <c r="N460" i="1"/>
  <c r="M460" i="1"/>
  <c r="L460" i="1"/>
  <c r="K460" i="1"/>
  <c r="J460" i="1"/>
  <c r="I460" i="1"/>
  <c r="H460" i="1"/>
  <c r="G460" i="1"/>
  <c r="F460" i="1"/>
  <c r="E460" i="1"/>
  <c r="D460" i="1"/>
  <c r="C460" i="1"/>
  <c r="BK459" i="1"/>
  <c r="Z457" i="1"/>
  <c r="V457" i="1"/>
  <c r="R457" i="1"/>
  <c r="N457" i="1"/>
  <c r="J457" i="1"/>
  <c r="F457" i="1"/>
  <c r="F456" i="1"/>
  <c r="Z455" i="1"/>
  <c r="Z461" i="1" s="1"/>
  <c r="V455" i="1"/>
  <c r="R455" i="1"/>
  <c r="N455" i="1"/>
  <c r="N461" i="1" s="1"/>
  <c r="J455" i="1"/>
  <c r="F455" i="1"/>
  <c r="F461" i="1" s="1"/>
  <c r="BR453" i="1"/>
  <c r="BR457" i="1" s="1"/>
  <c r="BR463" i="1" s="1"/>
  <c r="W453" i="1"/>
  <c r="X453" i="1" s="1"/>
  <c r="Y453" i="1" s="1"/>
  <c r="Z453" i="1" s="1"/>
  <c r="BQ453" i="1" s="1"/>
  <c r="S453" i="1"/>
  <c r="T453" i="1" s="1"/>
  <c r="U453" i="1" s="1"/>
  <c r="V453" i="1" s="1"/>
  <c r="BP453" i="1" s="1"/>
  <c r="O453" i="1"/>
  <c r="P453" i="1" s="1"/>
  <c r="Q453" i="1" s="1"/>
  <c r="R453" i="1" s="1"/>
  <c r="BO453" i="1" s="1"/>
  <c r="L453" i="1"/>
  <c r="M453" i="1" s="1"/>
  <c r="N453" i="1" s="1"/>
  <c r="BN453" i="1" s="1"/>
  <c r="K453" i="1"/>
  <c r="G453" i="1"/>
  <c r="H453" i="1" s="1"/>
  <c r="I453" i="1" s="1"/>
  <c r="J453" i="1" s="1"/>
  <c r="BM453" i="1" s="1"/>
  <c r="E453" i="1"/>
  <c r="F453" i="1" s="1"/>
  <c r="BL453" i="1" s="1"/>
  <c r="C453" i="1"/>
  <c r="D453" i="1" s="1"/>
  <c r="V439" i="1"/>
  <c r="R439" i="1"/>
  <c r="R486" i="1" s="1"/>
  <c r="N439" i="1"/>
  <c r="N486" i="1" s="1"/>
  <c r="J439" i="1"/>
  <c r="J486" i="1" s="1"/>
  <c r="F439" i="1"/>
  <c r="F486" i="1" s="1"/>
  <c r="V438" i="1"/>
  <c r="R438" i="1"/>
  <c r="R485" i="1" s="1"/>
  <c r="N438" i="1"/>
  <c r="N485" i="1" s="1"/>
  <c r="J438" i="1"/>
  <c r="F438" i="1"/>
  <c r="F485" i="1" s="1"/>
  <c r="BW437" i="1"/>
  <c r="BV437" i="1"/>
  <c r="BV440" i="1" s="1"/>
  <c r="BU437" i="1"/>
  <c r="BU440" i="1" s="1"/>
  <c r="BT437" i="1"/>
  <c r="BT440" i="1" s="1"/>
  <c r="BS437" i="1"/>
  <c r="BS440" i="1" s="1"/>
  <c r="BR437" i="1"/>
  <c r="BR440" i="1" s="1"/>
  <c r="BS446" i="1" s="1"/>
  <c r="BQ437" i="1"/>
  <c r="BQ440" i="1" s="1"/>
  <c r="BP437" i="1"/>
  <c r="BP440" i="1" s="1"/>
  <c r="BO437" i="1"/>
  <c r="BO440" i="1" s="1"/>
  <c r="BN437" i="1"/>
  <c r="BN440" i="1" s="1"/>
  <c r="BO446" i="1" s="1"/>
  <c r="BM437" i="1"/>
  <c r="BM440" i="1" s="1"/>
  <c r="BL437" i="1"/>
  <c r="BL440" i="1" s="1"/>
  <c r="BK437" i="1"/>
  <c r="BK440" i="1" s="1"/>
  <c r="AW437" i="1"/>
  <c r="AW440" i="1" s="1"/>
  <c r="AV437" i="1"/>
  <c r="AV440" i="1" s="1"/>
  <c r="AU437" i="1"/>
  <c r="AU440" i="1" s="1"/>
  <c r="AS437" i="1"/>
  <c r="AS440" i="1" s="1"/>
  <c r="AR437" i="1"/>
  <c r="AR440" i="1" s="1"/>
  <c r="AR491" i="1" s="1"/>
  <c r="AQ437" i="1"/>
  <c r="AQ440" i="1" s="1"/>
  <c r="AO437" i="1"/>
  <c r="AO440" i="1" s="1"/>
  <c r="AN437" i="1"/>
  <c r="AN440" i="1" s="1"/>
  <c r="AM437" i="1"/>
  <c r="AM440" i="1" s="1"/>
  <c r="AK437" i="1"/>
  <c r="AK440" i="1" s="1"/>
  <c r="AJ437" i="1"/>
  <c r="AJ440" i="1" s="1"/>
  <c r="AI437" i="1"/>
  <c r="AI440" i="1" s="1"/>
  <c r="AG437" i="1"/>
  <c r="AG440" i="1" s="1"/>
  <c r="AF437" i="1"/>
  <c r="AF440" i="1" s="1"/>
  <c r="AE437" i="1"/>
  <c r="AE440" i="1" s="1"/>
  <c r="AC437" i="1"/>
  <c r="AC440" i="1" s="1"/>
  <c r="AB437" i="1"/>
  <c r="AB440" i="1" s="1"/>
  <c r="AA437" i="1"/>
  <c r="AA440" i="1" s="1"/>
  <c r="Y437" i="1"/>
  <c r="Y440" i="1" s="1"/>
  <c r="X437" i="1"/>
  <c r="X440" i="1" s="1"/>
  <c r="W437" i="1"/>
  <c r="W440" i="1" s="1"/>
  <c r="U437" i="1"/>
  <c r="U440" i="1" s="1"/>
  <c r="T437" i="1"/>
  <c r="T440" i="1" s="1"/>
  <c r="S437" i="1"/>
  <c r="S440" i="1" s="1"/>
  <c r="Q437" i="1"/>
  <c r="Q440" i="1" s="1"/>
  <c r="P437" i="1"/>
  <c r="P440" i="1" s="1"/>
  <c r="O437" i="1"/>
  <c r="O440" i="1" s="1"/>
  <c r="M437" i="1"/>
  <c r="M440" i="1" s="1"/>
  <c r="L437" i="1"/>
  <c r="L440" i="1" s="1"/>
  <c r="K437" i="1"/>
  <c r="K440" i="1" s="1"/>
  <c r="I437" i="1"/>
  <c r="I440" i="1" s="1"/>
  <c r="H437" i="1"/>
  <c r="H440" i="1" s="1"/>
  <c r="G437" i="1"/>
  <c r="G440" i="1" s="1"/>
  <c r="E437" i="1"/>
  <c r="E440" i="1" s="1"/>
  <c r="D437" i="1"/>
  <c r="D440" i="1" s="1"/>
  <c r="C437" i="1"/>
  <c r="C440" i="1" s="1"/>
  <c r="AX436" i="1"/>
  <c r="AT436" i="1"/>
  <c r="AP436" i="1"/>
  <c r="AL436" i="1"/>
  <c r="AH436" i="1"/>
  <c r="AD436" i="1"/>
  <c r="Z436" i="1"/>
  <c r="V436" i="1"/>
  <c r="R436" i="1"/>
  <c r="N436" i="1"/>
  <c r="J436" i="1"/>
  <c r="F436" i="1"/>
  <c r="AX435" i="1"/>
  <c r="AX437" i="1" s="1"/>
  <c r="AX440" i="1" s="1"/>
  <c r="AT435" i="1"/>
  <c r="AT437" i="1" s="1"/>
  <c r="AT440" i="1" s="1"/>
  <c r="AT445" i="1" s="1"/>
  <c r="AP435" i="1"/>
  <c r="AP437" i="1" s="1"/>
  <c r="AP440" i="1" s="1"/>
  <c r="AL435" i="1"/>
  <c r="AL437" i="1" s="1"/>
  <c r="AL440" i="1" s="1"/>
  <c r="AH435" i="1"/>
  <c r="AH437" i="1" s="1"/>
  <c r="AH440" i="1" s="1"/>
  <c r="AD435" i="1"/>
  <c r="AD437" i="1" s="1"/>
  <c r="AD440" i="1" s="1"/>
  <c r="Z435" i="1"/>
  <c r="Z437" i="1" s="1"/>
  <c r="Z440" i="1" s="1"/>
  <c r="V435" i="1"/>
  <c r="V437" i="1" s="1"/>
  <c r="V440" i="1" s="1"/>
  <c r="R435" i="1"/>
  <c r="R437" i="1" s="1"/>
  <c r="N435" i="1"/>
  <c r="N437" i="1" s="1"/>
  <c r="J435" i="1"/>
  <c r="J437" i="1" s="1"/>
  <c r="J440" i="1" s="1"/>
  <c r="F435" i="1"/>
  <c r="F437" i="1" s="1"/>
  <c r="BY433" i="1"/>
  <c r="BX433" i="1"/>
  <c r="AX433" i="1"/>
  <c r="AT433" i="1"/>
  <c r="AP433" i="1"/>
  <c r="AL433" i="1"/>
  <c r="AH433" i="1"/>
  <c r="AD433" i="1"/>
  <c r="Z433" i="1"/>
  <c r="V433" i="1"/>
  <c r="R433" i="1"/>
  <c r="N433" i="1"/>
  <c r="J433" i="1"/>
  <c r="F433" i="1"/>
  <c r="BS431" i="1"/>
  <c r="AY431" i="1"/>
  <c r="AM431" i="1"/>
  <c r="AA431" i="1"/>
  <c r="O431" i="1"/>
  <c r="BW427" i="1"/>
  <c r="BW43" i="9" s="1"/>
  <c r="BV427" i="1"/>
  <c r="BV43" i="9" s="1"/>
  <c r="BU427" i="1"/>
  <c r="BU43" i="9" s="1"/>
  <c r="BT427" i="1"/>
  <c r="BT43" i="9" s="1"/>
  <c r="BS427" i="1"/>
  <c r="BS43" i="9" s="1"/>
  <c r="BR427" i="1"/>
  <c r="BR43" i="9" s="1"/>
  <c r="BQ427" i="1"/>
  <c r="BQ43" i="9" s="1"/>
  <c r="BP427" i="1"/>
  <c r="BP43" i="9" s="1"/>
  <c r="BO427" i="1"/>
  <c r="BO43" i="9" s="1"/>
  <c r="BI427" i="1"/>
  <c r="AY427" i="1"/>
  <c r="AY43" i="9" s="1"/>
  <c r="AX427" i="1"/>
  <c r="AX43" i="9" s="1"/>
  <c r="AW427" i="1"/>
  <c r="AW43" i="9" s="1"/>
  <c r="AV427" i="1"/>
  <c r="AV43" i="9" s="1"/>
  <c r="AU427" i="1"/>
  <c r="AU43" i="9" s="1"/>
  <c r="AT427" i="1"/>
  <c r="AT43" i="9" s="1"/>
  <c r="AS427" i="1"/>
  <c r="AS43" i="9" s="1"/>
  <c r="AR427" i="1"/>
  <c r="AR43" i="9" s="1"/>
  <c r="AQ427" i="1"/>
  <c r="AQ43" i="9" s="1"/>
  <c r="AP427" i="1"/>
  <c r="AP43" i="9" s="1"/>
  <c r="AO427" i="1"/>
  <c r="AO43" i="9" s="1"/>
  <c r="AN427" i="1"/>
  <c r="AN43" i="9" s="1"/>
  <c r="AM427" i="1"/>
  <c r="AM43" i="9" s="1"/>
  <c r="AL427" i="1"/>
  <c r="AL43" i="9" s="1"/>
  <c r="AK427" i="1"/>
  <c r="AK43" i="9" s="1"/>
  <c r="AJ427" i="1"/>
  <c r="AJ43" i="9" s="1"/>
  <c r="AI427" i="1"/>
  <c r="AI43" i="9" s="1"/>
  <c r="AH427" i="1"/>
  <c r="AH43" i="9" s="1"/>
  <c r="AG427" i="1"/>
  <c r="AG43" i="9" s="1"/>
  <c r="AF427" i="1"/>
  <c r="AF43" i="9" s="1"/>
  <c r="AE427" i="1"/>
  <c r="AE43" i="9" s="1"/>
  <c r="AD427" i="1"/>
  <c r="AD43" i="9" s="1"/>
  <c r="AC427" i="1"/>
  <c r="AC43" i="9" s="1"/>
  <c r="AB427" i="1"/>
  <c r="AB43" i="9" s="1"/>
  <c r="AA427" i="1"/>
  <c r="AA43" i="9" s="1"/>
  <c r="Z427" i="1"/>
  <c r="Z43" i="9" s="1"/>
  <c r="Y427" i="1"/>
  <c r="Y43" i="9" s="1"/>
  <c r="X427" i="1"/>
  <c r="X43" i="9" s="1"/>
  <c r="W427" i="1"/>
  <c r="W43" i="9" s="1"/>
  <c r="V427" i="1"/>
  <c r="V43" i="9" s="1"/>
  <c r="U427" i="1"/>
  <c r="U43" i="9" s="1"/>
  <c r="T427" i="1"/>
  <c r="T43" i="9" s="1"/>
  <c r="S427" i="1"/>
  <c r="S43" i="9" s="1"/>
  <c r="A423" i="1"/>
  <c r="A1066" i="1" s="1"/>
  <c r="BY414" i="1"/>
  <c r="BX414" i="1"/>
  <c r="BY413" i="1"/>
  <c r="BX413" i="1"/>
  <c r="BM413" i="1"/>
  <c r="BK413" i="1"/>
  <c r="BI413" i="1"/>
  <c r="CB411" i="1"/>
  <c r="CA411" i="1"/>
  <c r="BZ411" i="1"/>
  <c r="BF411" i="1"/>
  <c r="BE411" i="1"/>
  <c r="BD411" i="1"/>
  <c r="BC411" i="1"/>
  <c r="BB411" i="1"/>
  <c r="BA411" i="1"/>
  <c r="AZ411" i="1"/>
  <c r="BY409" i="1"/>
  <c r="BY40" i="9" s="1"/>
  <c r="BW409" i="1"/>
  <c r="BW40" i="9" s="1"/>
  <c r="BV409" i="1"/>
  <c r="BV40" i="9" s="1"/>
  <c r="BU409" i="1"/>
  <c r="BU40" i="9" s="1"/>
  <c r="BT409" i="1"/>
  <c r="BT40" i="9" s="1"/>
  <c r="BS409" i="1"/>
  <c r="BS40" i="9" s="1"/>
  <c r="BR409" i="1"/>
  <c r="BR40" i="9" s="1"/>
  <c r="BQ409" i="1"/>
  <c r="BQ40" i="9" s="1"/>
  <c r="BP409" i="1"/>
  <c r="BP40" i="9" s="1"/>
  <c r="BO409" i="1"/>
  <c r="BO40" i="9" s="1"/>
  <c r="BN409" i="1"/>
  <c r="BN40" i="9" s="1"/>
  <c r="BM409" i="1"/>
  <c r="BM40" i="9" s="1"/>
  <c r="BL409" i="1"/>
  <c r="BK409" i="1"/>
  <c r="BK40" i="9" s="1"/>
  <c r="BJ409" i="1"/>
  <c r="BJ40" i="9" s="1"/>
  <c r="BI409" i="1"/>
  <c r="BI40" i="9" s="1"/>
  <c r="BH409" i="1"/>
  <c r="BH40" i="9" s="1"/>
  <c r="AY409" i="1"/>
  <c r="AX409" i="1"/>
  <c r="AX40" i="9" s="1"/>
  <c r="AW409" i="1"/>
  <c r="AW40" i="9" s="1"/>
  <c r="AV409" i="1"/>
  <c r="AV40" i="9" s="1"/>
  <c r="AU409" i="1"/>
  <c r="AU40" i="9" s="1"/>
  <c r="AT409" i="1"/>
  <c r="AT40" i="9" s="1"/>
  <c r="AS409" i="1"/>
  <c r="AS40" i="9" s="1"/>
  <c r="AR409" i="1"/>
  <c r="AR40" i="9" s="1"/>
  <c r="AQ409" i="1"/>
  <c r="AQ40" i="9" s="1"/>
  <c r="AP409" i="1"/>
  <c r="AP40" i="9" s="1"/>
  <c r="AO409" i="1"/>
  <c r="AO40" i="9" s="1"/>
  <c r="AN409" i="1"/>
  <c r="AN40" i="9" s="1"/>
  <c r="AM409" i="1"/>
  <c r="AM40" i="9" s="1"/>
  <c r="AL409" i="1"/>
  <c r="AL40" i="9" s="1"/>
  <c r="AK409" i="1"/>
  <c r="AK40" i="9" s="1"/>
  <c r="AJ409" i="1"/>
  <c r="AJ40" i="9" s="1"/>
  <c r="AI409" i="1"/>
  <c r="AI40" i="9" s="1"/>
  <c r="AH409" i="1"/>
  <c r="AH40" i="9" s="1"/>
  <c r="AG409" i="1"/>
  <c r="AG40" i="9" s="1"/>
  <c r="AF409" i="1"/>
  <c r="AF40" i="9" s="1"/>
  <c r="AE409" i="1"/>
  <c r="AE40" i="9" s="1"/>
  <c r="AC409" i="1"/>
  <c r="AC40" i="9" s="1"/>
  <c r="AB409" i="1"/>
  <c r="AB40" i="9" s="1"/>
  <c r="AA409" i="1"/>
  <c r="AA40" i="9" s="1"/>
  <c r="Y409" i="1"/>
  <c r="Y40" i="9" s="1"/>
  <c r="X409" i="1"/>
  <c r="X40" i="9" s="1"/>
  <c r="W409" i="1"/>
  <c r="W40" i="9" s="1"/>
  <c r="V409" i="1"/>
  <c r="V40" i="9" s="1"/>
  <c r="U409" i="1"/>
  <c r="U40" i="9" s="1"/>
  <c r="T409" i="1"/>
  <c r="T40" i="9" s="1"/>
  <c r="S409" i="1"/>
  <c r="S40" i="9" s="1"/>
  <c r="R409" i="1"/>
  <c r="R40" i="9" s="1"/>
  <c r="Q409" i="1"/>
  <c r="Q40" i="9" s="1"/>
  <c r="P409" i="1"/>
  <c r="P40" i="9" s="1"/>
  <c r="O409" i="1"/>
  <c r="O40" i="9" s="1"/>
  <c r="N409" i="1"/>
  <c r="N40" i="9" s="1"/>
  <c r="M409" i="1"/>
  <c r="M40" i="9" s="1"/>
  <c r="L409" i="1"/>
  <c r="L40" i="9" s="1"/>
  <c r="K409" i="1"/>
  <c r="J409" i="1"/>
  <c r="I409" i="1"/>
  <c r="H409" i="1"/>
  <c r="H40" i="9" s="1"/>
  <c r="G409" i="1"/>
  <c r="F409" i="1"/>
  <c r="F40" i="9" s="1"/>
  <c r="E409" i="1"/>
  <c r="D409" i="1"/>
  <c r="D40" i="9" s="1"/>
  <c r="C409" i="1"/>
  <c r="BY408" i="1"/>
  <c r="BY39" i="9" s="1"/>
  <c r="BX408" i="1"/>
  <c r="BX39" i="9" s="1"/>
  <c r="BY407" i="1"/>
  <c r="BY38" i="9" s="1"/>
  <c r="BX407" i="1"/>
  <c r="BX38" i="9" s="1"/>
  <c r="BW405" i="1"/>
  <c r="BW404" i="1" s="1"/>
  <c r="BV405" i="1"/>
  <c r="BU405" i="1"/>
  <c r="BU404" i="1" s="1"/>
  <c r="BT405" i="1"/>
  <c r="BT404" i="1" s="1"/>
  <c r="BT37" i="9" s="1"/>
  <c r="BS405" i="1"/>
  <c r="BR405" i="1"/>
  <c r="BR404" i="1" s="1"/>
  <c r="BQ405" i="1"/>
  <c r="BO405" i="1"/>
  <c r="BN405" i="1"/>
  <c r="BM405" i="1"/>
  <c r="BM404" i="1" s="1"/>
  <c r="BM37" i="9" s="1"/>
  <c r="BL405" i="1"/>
  <c r="BL404" i="1" s="1"/>
  <c r="BK405" i="1"/>
  <c r="BJ405" i="1"/>
  <c r="BJ404" i="1" s="1"/>
  <c r="BH405" i="1"/>
  <c r="BH404" i="1" s="1"/>
  <c r="BH37" i="9" s="1"/>
  <c r="AY405" i="1"/>
  <c r="AX405" i="1"/>
  <c r="AW405" i="1"/>
  <c r="AW404" i="1" s="1"/>
  <c r="AV405" i="1"/>
  <c r="AV404" i="1" s="1"/>
  <c r="AV37" i="9" s="1"/>
  <c r="AU405" i="1"/>
  <c r="AT405" i="1"/>
  <c r="AS405" i="1"/>
  <c r="AR405" i="1"/>
  <c r="AR404" i="1" s="1"/>
  <c r="AQ405" i="1"/>
  <c r="AQ404" i="1" s="1"/>
  <c r="AP405" i="1"/>
  <c r="AO405" i="1"/>
  <c r="AN405" i="1"/>
  <c r="AN404" i="1" s="1"/>
  <c r="AN37" i="9" s="1"/>
  <c r="AL405" i="1"/>
  <c r="AK405" i="1"/>
  <c r="AK404" i="1" s="1"/>
  <c r="AI405" i="1"/>
  <c r="AG405" i="1"/>
  <c r="AG404" i="1" s="1"/>
  <c r="AG37" i="9" s="1"/>
  <c r="AF405" i="1"/>
  <c r="AF404" i="1" s="1"/>
  <c r="AE405" i="1"/>
  <c r="AE404" i="1" s="1"/>
  <c r="AD405" i="1"/>
  <c r="AC405" i="1"/>
  <c r="AB405" i="1"/>
  <c r="AB404" i="1" s="1"/>
  <c r="AB37" i="9" s="1"/>
  <c r="AA405" i="1"/>
  <c r="AA404" i="1" s="1"/>
  <c r="Y405" i="1"/>
  <c r="Y404" i="1" s="1"/>
  <c r="W405" i="1"/>
  <c r="U405" i="1"/>
  <c r="T405" i="1"/>
  <c r="T404" i="1" s="1"/>
  <c r="S405" i="1"/>
  <c r="R405" i="1"/>
  <c r="Q405" i="1"/>
  <c r="P405" i="1"/>
  <c r="P404" i="1" s="1"/>
  <c r="P37" i="9" s="1"/>
  <c r="O405" i="1"/>
  <c r="O404" i="1" s="1"/>
  <c r="N405" i="1"/>
  <c r="M405" i="1"/>
  <c r="M404" i="1" s="1"/>
  <c r="L405" i="1"/>
  <c r="L404" i="1" s="1"/>
  <c r="K405" i="1"/>
  <c r="J405" i="1"/>
  <c r="H405" i="1"/>
  <c r="H404" i="1" s="1"/>
  <c r="G405" i="1"/>
  <c r="G404" i="1" s="1"/>
  <c r="F405" i="1"/>
  <c r="F404" i="1" s="1"/>
  <c r="E405" i="1"/>
  <c r="D405" i="1"/>
  <c r="D404" i="1" s="1"/>
  <c r="D37" i="9" s="1"/>
  <c r="C405" i="1"/>
  <c r="C404" i="1" s="1"/>
  <c r="BV404" i="1"/>
  <c r="BN404" i="1"/>
  <c r="BK404" i="1"/>
  <c r="BI404" i="1"/>
  <c r="AY404" i="1"/>
  <c r="AX404" i="1"/>
  <c r="AU404" i="1"/>
  <c r="AS404" i="1"/>
  <c r="AS37" i="9" s="1"/>
  <c r="AO404" i="1"/>
  <c r="AL404" i="1"/>
  <c r="AI404" i="1"/>
  <c r="AC404" i="1"/>
  <c r="W404" i="1"/>
  <c r="U404" i="1"/>
  <c r="U37" i="9" s="1"/>
  <c r="S404" i="1"/>
  <c r="R404" i="1"/>
  <c r="Q404" i="1"/>
  <c r="N404" i="1"/>
  <c r="K404" i="1"/>
  <c r="J404" i="1"/>
  <c r="E404" i="1"/>
  <c r="BY401" i="1"/>
  <c r="BX401" i="1"/>
  <c r="BY400" i="1"/>
  <c r="BW400" i="1"/>
  <c r="BW35" i="9" s="1"/>
  <c r="BV400" i="1"/>
  <c r="BV35" i="9" s="1"/>
  <c r="BU400" i="1"/>
  <c r="BU35" i="9" s="1"/>
  <c r="BT400" i="1"/>
  <c r="BT35" i="9" s="1"/>
  <c r="BR400" i="1"/>
  <c r="BR35" i="9" s="1"/>
  <c r="BQ400" i="1"/>
  <c r="BQ35" i="9" s="1"/>
  <c r="BP400" i="1"/>
  <c r="BP35" i="9" s="1"/>
  <c r="BO400" i="1"/>
  <c r="BO35" i="9" s="1"/>
  <c r="BN400" i="1"/>
  <c r="BN35" i="9" s="1"/>
  <c r="BM400" i="1"/>
  <c r="BM35" i="9" s="1"/>
  <c r="BL400" i="1"/>
  <c r="BL35" i="9" s="1"/>
  <c r="BK400" i="1"/>
  <c r="BK35" i="9" s="1"/>
  <c r="BJ400" i="1"/>
  <c r="BJ35" i="9" s="1"/>
  <c r="BI400" i="1"/>
  <c r="BI35" i="9" s="1"/>
  <c r="BH400" i="1"/>
  <c r="BH35" i="9" s="1"/>
  <c r="AW400" i="1"/>
  <c r="AW35" i="9" s="1"/>
  <c r="AV400" i="1"/>
  <c r="AV35" i="9" s="1"/>
  <c r="AU400" i="1"/>
  <c r="AU35" i="9" s="1"/>
  <c r="AS400" i="1"/>
  <c r="AS35" i="9" s="1"/>
  <c r="AR400" i="1"/>
  <c r="AR35" i="9" s="1"/>
  <c r="AQ400" i="1"/>
  <c r="AQ35" i="9" s="1"/>
  <c r="AO400" i="1"/>
  <c r="AO35" i="9" s="1"/>
  <c r="AN400" i="1"/>
  <c r="AN35" i="9" s="1"/>
  <c r="AM400" i="1"/>
  <c r="AM35" i="9" s="1"/>
  <c r="AK400" i="1"/>
  <c r="AK35" i="9" s="1"/>
  <c r="AJ400" i="1"/>
  <c r="AJ35" i="9" s="1"/>
  <c r="AI400" i="1"/>
  <c r="AI35" i="9" s="1"/>
  <c r="AG400" i="1"/>
  <c r="AG35" i="9" s="1"/>
  <c r="AF400" i="1"/>
  <c r="AF35" i="9" s="1"/>
  <c r="AE400" i="1"/>
  <c r="AE35" i="9" s="1"/>
  <c r="AC400" i="1"/>
  <c r="AC35" i="9" s="1"/>
  <c r="AB400" i="1"/>
  <c r="AB35" i="9" s="1"/>
  <c r="AA400" i="1"/>
  <c r="AA35" i="9" s="1"/>
  <c r="Y400" i="1"/>
  <c r="Y35" i="9" s="1"/>
  <c r="X400" i="1"/>
  <c r="X35" i="9" s="1"/>
  <c r="W400" i="1"/>
  <c r="W35" i="9" s="1"/>
  <c r="U400" i="1"/>
  <c r="U35" i="9" s="1"/>
  <c r="T400" i="1"/>
  <c r="T35" i="9" s="1"/>
  <c r="S400" i="1"/>
  <c r="S35" i="9" s="1"/>
  <c r="R400" i="1"/>
  <c r="R35" i="9" s="1"/>
  <c r="Q400" i="1"/>
  <c r="Q35" i="9" s="1"/>
  <c r="P400" i="1"/>
  <c r="P35" i="9" s="1"/>
  <c r="O400" i="1"/>
  <c r="O35" i="9" s="1"/>
  <c r="M400" i="1"/>
  <c r="M35" i="9" s="1"/>
  <c r="L400" i="1"/>
  <c r="L35" i="9" s="1"/>
  <c r="K400" i="1"/>
  <c r="K35" i="9" s="1"/>
  <c r="J400" i="1"/>
  <c r="J35" i="9" s="1"/>
  <c r="I400" i="1"/>
  <c r="I35" i="9" s="1"/>
  <c r="H400" i="1"/>
  <c r="H35" i="9" s="1"/>
  <c r="G400" i="1"/>
  <c r="G35" i="9" s="1"/>
  <c r="E400" i="1"/>
  <c r="E35" i="9" s="1"/>
  <c r="D400" i="1"/>
  <c r="D35" i="9" s="1"/>
  <c r="C400" i="1"/>
  <c r="C35" i="9" s="1"/>
  <c r="BT399" i="1"/>
  <c r="BS399" i="1"/>
  <c r="BR399" i="1"/>
  <c r="BQ399" i="1"/>
  <c r="BP399" i="1"/>
  <c r="BO399" i="1"/>
  <c r="BN399" i="1"/>
  <c r="BM399" i="1"/>
  <c r="BL399" i="1"/>
  <c r="BK399" i="1"/>
  <c r="BJ399" i="1"/>
  <c r="BI399" i="1"/>
  <c r="BH399" i="1"/>
  <c r="AK399" i="1"/>
  <c r="AJ399" i="1"/>
  <c r="AI399" i="1"/>
  <c r="AG399" i="1"/>
  <c r="AF399" i="1"/>
  <c r="AE399" i="1"/>
  <c r="AC399" i="1"/>
  <c r="AB399" i="1"/>
  <c r="AA399" i="1"/>
  <c r="Y399" i="1"/>
  <c r="X399" i="1"/>
  <c r="W399" i="1"/>
  <c r="U399" i="1"/>
  <c r="T399" i="1"/>
  <c r="S399" i="1"/>
  <c r="R399" i="1"/>
  <c r="Q399" i="1"/>
  <c r="P399" i="1"/>
  <c r="O399" i="1"/>
  <c r="M399" i="1"/>
  <c r="L399" i="1"/>
  <c r="K399" i="1"/>
  <c r="I399" i="1"/>
  <c r="H399" i="1"/>
  <c r="G399" i="1"/>
  <c r="E399" i="1"/>
  <c r="D399" i="1"/>
  <c r="C399" i="1"/>
  <c r="BI394" i="1"/>
  <c r="BI332" i="1" s="1"/>
  <c r="BH394" i="1"/>
  <c r="BW393" i="1"/>
  <c r="BW392" i="1" s="1"/>
  <c r="BV393" i="1"/>
  <c r="BV392" i="1" s="1"/>
  <c r="BU393" i="1"/>
  <c r="BT393" i="1"/>
  <c r="BS393" i="1"/>
  <c r="BR393" i="1"/>
  <c r="BR331" i="1" s="1"/>
  <c r="BQ393" i="1"/>
  <c r="BP393" i="1"/>
  <c r="BO393" i="1"/>
  <c r="BO392" i="1" s="1"/>
  <c r="BO330" i="1" s="1"/>
  <c r="BN393" i="1"/>
  <c r="BM393" i="1"/>
  <c r="BL393" i="1"/>
  <c r="BL392" i="1" s="1"/>
  <c r="BK393" i="1"/>
  <c r="BK392" i="1" s="1"/>
  <c r="BJ393" i="1"/>
  <c r="BJ392" i="1" s="1"/>
  <c r="BI393" i="1"/>
  <c r="BH393" i="1"/>
  <c r="AS393" i="1"/>
  <c r="AR393" i="1"/>
  <c r="AQ393" i="1"/>
  <c r="AQ392" i="1" s="1"/>
  <c r="AO393" i="1"/>
  <c r="AN393" i="1"/>
  <c r="AN392" i="1" s="1"/>
  <c r="AN330" i="1" s="1"/>
  <c r="AM393" i="1"/>
  <c r="AM392" i="1" s="1"/>
  <c r="AK393" i="1"/>
  <c r="AJ393" i="1"/>
  <c r="AJ392" i="1" s="1"/>
  <c r="AI393" i="1"/>
  <c r="AG393" i="1"/>
  <c r="AF393" i="1"/>
  <c r="AF392" i="1" s="1"/>
  <c r="AE393" i="1"/>
  <c r="AC393" i="1"/>
  <c r="AB393" i="1"/>
  <c r="AA393" i="1"/>
  <c r="AA392" i="1" s="1"/>
  <c r="AA330" i="1" s="1"/>
  <c r="Y393" i="1"/>
  <c r="Y392" i="1" s="1"/>
  <c r="X393" i="1"/>
  <c r="X392" i="1" s="1"/>
  <c r="W393" i="1"/>
  <c r="U393" i="1"/>
  <c r="T393" i="1"/>
  <c r="S393" i="1"/>
  <c r="R393" i="1"/>
  <c r="R392" i="1" s="1"/>
  <c r="R330" i="1" s="1"/>
  <c r="Q393" i="1"/>
  <c r="P393" i="1"/>
  <c r="O393" i="1"/>
  <c r="O392" i="1" s="1"/>
  <c r="N393" i="1"/>
  <c r="N392" i="1" s="1"/>
  <c r="M393" i="1"/>
  <c r="M392" i="1" s="1"/>
  <c r="L393" i="1"/>
  <c r="L392" i="1" s="1"/>
  <c r="K393" i="1"/>
  <c r="J393" i="1"/>
  <c r="J392" i="1" s="1"/>
  <c r="I393" i="1"/>
  <c r="H393" i="1"/>
  <c r="G393" i="1"/>
  <c r="F393" i="1"/>
  <c r="E393" i="1"/>
  <c r="E392" i="1" s="1"/>
  <c r="D393" i="1"/>
  <c r="C393" i="1"/>
  <c r="BR392" i="1"/>
  <c r="BR330" i="1" s="1"/>
  <c r="BQ392" i="1"/>
  <c r="BP392" i="1"/>
  <c r="BN392" i="1"/>
  <c r="AS392" i="1"/>
  <c r="AO392" i="1"/>
  <c r="AO330" i="1" s="1"/>
  <c r="AE392" i="1"/>
  <c r="AC392" i="1"/>
  <c r="AC330" i="1" s="1"/>
  <c r="S392" i="1"/>
  <c r="P392" i="1"/>
  <c r="H392" i="1"/>
  <c r="D392" i="1"/>
  <c r="BW387" i="1"/>
  <c r="BW32" i="9" s="1"/>
  <c r="BV387" i="1"/>
  <c r="BV32" i="9" s="1"/>
  <c r="BU387" i="1"/>
  <c r="BU32" i="9" s="1"/>
  <c r="BT387" i="1"/>
  <c r="BT32" i="9" s="1"/>
  <c r="BS387" i="1"/>
  <c r="BS32" i="9" s="1"/>
  <c r="BR387" i="1"/>
  <c r="BR32" i="9" s="1"/>
  <c r="BQ387" i="1"/>
  <c r="BP387" i="1"/>
  <c r="BP32" i="9" s="1"/>
  <c r="BO387" i="1"/>
  <c r="BO32" i="9" s="1"/>
  <c r="BN387" i="1"/>
  <c r="BN32" i="9" s="1"/>
  <c r="BM387" i="1"/>
  <c r="BM32" i="9" s="1"/>
  <c r="BL387" i="1"/>
  <c r="BK387" i="1"/>
  <c r="BK32" i="9" s="1"/>
  <c r="BJ387" i="1"/>
  <c r="BJ32" i="9" s="1"/>
  <c r="BI387" i="1"/>
  <c r="BI32" i="9" s="1"/>
  <c r="BH387" i="1"/>
  <c r="BH32" i="9" s="1"/>
  <c r="AY387" i="1"/>
  <c r="AY32" i="9" s="1"/>
  <c r="AX387" i="1"/>
  <c r="AX32" i="9" s="1"/>
  <c r="AW387" i="1"/>
  <c r="AW32" i="9" s="1"/>
  <c r="AV387" i="1"/>
  <c r="AV32" i="9" s="1"/>
  <c r="AU387" i="1"/>
  <c r="AU32" i="9" s="1"/>
  <c r="AT387" i="1"/>
  <c r="AT32" i="9" s="1"/>
  <c r="AS387" i="1"/>
  <c r="AS32" i="9" s="1"/>
  <c r="AR387" i="1"/>
  <c r="AQ387" i="1"/>
  <c r="AQ32" i="9" s="1"/>
  <c r="AP387" i="1"/>
  <c r="AP32" i="9" s="1"/>
  <c r="AO387" i="1"/>
  <c r="AO32" i="9" s="1"/>
  <c r="AN387" i="1"/>
  <c r="AN32" i="9" s="1"/>
  <c r="AM387" i="1"/>
  <c r="AM32" i="9" s="1"/>
  <c r="AL387" i="1"/>
  <c r="AL32" i="9" s="1"/>
  <c r="AK387" i="1"/>
  <c r="AK32" i="9" s="1"/>
  <c r="AJ387" i="1"/>
  <c r="AJ32" i="9" s="1"/>
  <c r="AI387" i="1"/>
  <c r="AI32" i="9" s="1"/>
  <c r="AH387" i="1"/>
  <c r="AH32" i="9" s="1"/>
  <c r="AG387" i="1"/>
  <c r="AG32" i="9" s="1"/>
  <c r="AF387" i="1"/>
  <c r="AE387" i="1"/>
  <c r="AE32" i="9" s="1"/>
  <c r="AC387" i="1"/>
  <c r="AC32" i="9" s="1"/>
  <c r="AB387" i="1"/>
  <c r="AB32" i="9" s="1"/>
  <c r="AA387" i="1"/>
  <c r="AA32" i="9" s="1"/>
  <c r="Y387" i="1"/>
  <c r="Y32" i="9" s="1"/>
  <c r="X387" i="1"/>
  <c r="X32" i="9" s="1"/>
  <c r="W387" i="1"/>
  <c r="W32" i="9" s="1"/>
  <c r="V387" i="1"/>
  <c r="V32" i="9" s="1"/>
  <c r="U387" i="1"/>
  <c r="U32" i="9" s="1"/>
  <c r="T387" i="1"/>
  <c r="S387" i="1"/>
  <c r="S32" i="9" s="1"/>
  <c r="R387" i="1"/>
  <c r="Q387" i="1"/>
  <c r="Q32" i="9" s="1"/>
  <c r="P387" i="1"/>
  <c r="P32" i="9" s="1"/>
  <c r="O387" i="1"/>
  <c r="O32" i="9" s="1"/>
  <c r="N387" i="1"/>
  <c r="N32" i="9" s="1"/>
  <c r="M387" i="1"/>
  <c r="M32" i="9" s="1"/>
  <c r="L387" i="1"/>
  <c r="L32" i="9" s="1"/>
  <c r="K387" i="1"/>
  <c r="K32" i="9" s="1"/>
  <c r="J387" i="1"/>
  <c r="J32" i="9" s="1"/>
  <c r="I387" i="1"/>
  <c r="I32" i="9" s="1"/>
  <c r="H387" i="1"/>
  <c r="G387" i="1"/>
  <c r="G32" i="9" s="1"/>
  <c r="F387" i="1"/>
  <c r="E387" i="1"/>
  <c r="E32" i="9" s="1"/>
  <c r="D387" i="1"/>
  <c r="D32" i="9" s="1"/>
  <c r="C387" i="1"/>
  <c r="C32" i="9" s="1"/>
  <c r="BW386" i="1"/>
  <c r="BW31" i="9" s="1"/>
  <c r="BV386" i="1"/>
  <c r="BU386" i="1"/>
  <c r="BU31" i="9" s="1"/>
  <c r="BT386" i="1"/>
  <c r="BT31" i="9" s="1"/>
  <c r="BS386" i="1"/>
  <c r="BS31" i="9" s="1"/>
  <c r="BR386" i="1"/>
  <c r="BR31" i="9" s="1"/>
  <c r="BQ386" i="1"/>
  <c r="BQ31" i="9" s="1"/>
  <c r="BP386" i="1"/>
  <c r="BP31" i="9" s="1"/>
  <c r="BO386" i="1"/>
  <c r="BN386" i="1"/>
  <c r="BN31" i="9" s="1"/>
  <c r="BM386" i="1"/>
  <c r="BM31" i="9" s="1"/>
  <c r="BL386" i="1"/>
  <c r="BL31" i="9" s="1"/>
  <c r="BK386" i="1"/>
  <c r="BK31" i="9" s="1"/>
  <c r="BJ386" i="1"/>
  <c r="BI386" i="1"/>
  <c r="BI31" i="9" s="1"/>
  <c r="BH386" i="1"/>
  <c r="BH31" i="9" s="1"/>
  <c r="AY386" i="1"/>
  <c r="AY31" i="9" s="1"/>
  <c r="AX386" i="1"/>
  <c r="AX31" i="9" s="1"/>
  <c r="AW386" i="1"/>
  <c r="AV386" i="1"/>
  <c r="AV31" i="9" s="1"/>
  <c r="AU386" i="1"/>
  <c r="AT386" i="1"/>
  <c r="AT31" i="9" s="1"/>
  <c r="AS386" i="1"/>
  <c r="AS31" i="9" s="1"/>
  <c r="AR386" i="1"/>
  <c r="AR31" i="9" s="1"/>
  <c r="AQ386" i="1"/>
  <c r="AQ31" i="9" s="1"/>
  <c r="AP386" i="1"/>
  <c r="AP31" i="9" s="1"/>
  <c r="AO386" i="1"/>
  <c r="AO31" i="9" s="1"/>
  <c r="AN386" i="1"/>
  <c r="AN31" i="9" s="1"/>
  <c r="AM386" i="1"/>
  <c r="AM31" i="9" s="1"/>
  <c r="AL386" i="1"/>
  <c r="AL31" i="9" s="1"/>
  <c r="AK386" i="1"/>
  <c r="AJ386" i="1"/>
  <c r="AJ31" i="9" s="1"/>
  <c r="AI386" i="1"/>
  <c r="AI31" i="9" s="1"/>
  <c r="AH386" i="1"/>
  <c r="AH31" i="9" s="1"/>
  <c r="AG386" i="1"/>
  <c r="AG31" i="9" s="1"/>
  <c r="AF386" i="1"/>
  <c r="AF31" i="9" s="1"/>
  <c r="AE386" i="1"/>
  <c r="AE31" i="9" s="1"/>
  <c r="AC386" i="1"/>
  <c r="AC31" i="9" s="1"/>
  <c r="AB386" i="1"/>
  <c r="AB31" i="9" s="1"/>
  <c r="AA386" i="1"/>
  <c r="AA31" i="9" s="1"/>
  <c r="Y386" i="1"/>
  <c r="X386" i="1"/>
  <c r="X31" i="9" s="1"/>
  <c r="W386" i="1"/>
  <c r="W31" i="9" s="1"/>
  <c r="V386" i="1"/>
  <c r="V31" i="9" s="1"/>
  <c r="U386" i="1"/>
  <c r="T386" i="1"/>
  <c r="T31" i="9" s="1"/>
  <c r="S386" i="1"/>
  <c r="S31" i="9" s="1"/>
  <c r="R386" i="1"/>
  <c r="R31" i="9" s="1"/>
  <c r="Q386" i="1"/>
  <c r="Q31" i="9" s="1"/>
  <c r="P386" i="1"/>
  <c r="P31" i="9" s="1"/>
  <c r="O386" i="1"/>
  <c r="O31" i="9" s="1"/>
  <c r="N386" i="1"/>
  <c r="N31" i="9" s="1"/>
  <c r="M386" i="1"/>
  <c r="L386" i="1"/>
  <c r="L31" i="9" s="1"/>
  <c r="K386" i="1"/>
  <c r="K31" i="9" s="1"/>
  <c r="J386" i="1"/>
  <c r="J31" i="9" s="1"/>
  <c r="I386" i="1"/>
  <c r="I31" i="9" s="1"/>
  <c r="H386" i="1"/>
  <c r="H31" i="9" s="1"/>
  <c r="G386" i="1"/>
  <c r="G31" i="9" s="1"/>
  <c r="F386" i="1"/>
  <c r="F31" i="9" s="1"/>
  <c r="E386" i="1"/>
  <c r="E31" i="9" s="1"/>
  <c r="D386" i="1"/>
  <c r="D31" i="9" s="1"/>
  <c r="C386" i="1"/>
  <c r="C31" i="9" s="1"/>
  <c r="BW385" i="1"/>
  <c r="BW30" i="9" s="1"/>
  <c r="BV385" i="1"/>
  <c r="BV30" i="9" s="1"/>
  <c r="BU385" i="1"/>
  <c r="BU30" i="9" s="1"/>
  <c r="BT385" i="1"/>
  <c r="BT30" i="9" s="1"/>
  <c r="BS385" i="1"/>
  <c r="BS30" i="9" s="1"/>
  <c r="BR385" i="1"/>
  <c r="BR30" i="9" s="1"/>
  <c r="BQ385" i="1"/>
  <c r="BQ30" i="9" s="1"/>
  <c r="BP385" i="1"/>
  <c r="BP30" i="9" s="1"/>
  <c r="BO385" i="1"/>
  <c r="BN385" i="1"/>
  <c r="BN30" i="9" s="1"/>
  <c r="BM385" i="1"/>
  <c r="BM30" i="9" s="1"/>
  <c r="BL385" i="1"/>
  <c r="BK385" i="1"/>
  <c r="BK30" i="9" s="1"/>
  <c r="BJ385" i="1"/>
  <c r="BJ30" i="9" s="1"/>
  <c r="BI385" i="1"/>
  <c r="BI30" i="9" s="1"/>
  <c r="BH385" i="1"/>
  <c r="BH30" i="9" s="1"/>
  <c r="AY385" i="1"/>
  <c r="AY30" i="9" s="1"/>
  <c r="AX385" i="1"/>
  <c r="AX30" i="9" s="1"/>
  <c r="AW385" i="1"/>
  <c r="AW30" i="9" s="1"/>
  <c r="AV385" i="1"/>
  <c r="AV30" i="9" s="1"/>
  <c r="AU385" i="1"/>
  <c r="AU30" i="9" s="1"/>
  <c r="AT385" i="1"/>
  <c r="AT30" i="9" s="1"/>
  <c r="AS385" i="1"/>
  <c r="AS30" i="9" s="1"/>
  <c r="AR385" i="1"/>
  <c r="AQ385" i="1"/>
  <c r="AQ30" i="9" s="1"/>
  <c r="AP385" i="1"/>
  <c r="AO385" i="1"/>
  <c r="AO30" i="9" s="1"/>
  <c r="AN385" i="1"/>
  <c r="AN30" i="9" s="1"/>
  <c r="AM385" i="1"/>
  <c r="AM30" i="9" s="1"/>
  <c r="AL385" i="1"/>
  <c r="AK385" i="1"/>
  <c r="AK30" i="9" s="1"/>
  <c r="AJ385" i="1"/>
  <c r="AJ30" i="9" s="1"/>
  <c r="AI385" i="1"/>
  <c r="AI30" i="9" s="1"/>
  <c r="AH385" i="1"/>
  <c r="AH30" i="9" s="1"/>
  <c r="AG385" i="1"/>
  <c r="AG30" i="9" s="1"/>
  <c r="AF385" i="1"/>
  <c r="AF30" i="9" s="1"/>
  <c r="AE385" i="1"/>
  <c r="AE30" i="9" s="1"/>
  <c r="AC385" i="1"/>
  <c r="AC30" i="9" s="1"/>
  <c r="AB385" i="1"/>
  <c r="AB30" i="9" s="1"/>
  <c r="AA385" i="1"/>
  <c r="AA30" i="9" s="1"/>
  <c r="Y385" i="1"/>
  <c r="Y30" i="9" s="1"/>
  <c r="X385" i="1"/>
  <c r="X30" i="9" s="1"/>
  <c r="W385" i="1"/>
  <c r="W30" i="9" s="1"/>
  <c r="V385" i="1"/>
  <c r="V30" i="9" s="1"/>
  <c r="U385" i="1"/>
  <c r="U30" i="9" s="1"/>
  <c r="T385" i="1"/>
  <c r="T30" i="9" s="1"/>
  <c r="S385" i="1"/>
  <c r="S30" i="9" s="1"/>
  <c r="R385" i="1"/>
  <c r="Q385" i="1"/>
  <c r="Q30" i="9" s="1"/>
  <c r="P385" i="1"/>
  <c r="P30" i="9" s="1"/>
  <c r="O385" i="1"/>
  <c r="O30" i="9" s="1"/>
  <c r="N385" i="1"/>
  <c r="N30" i="9" s="1"/>
  <c r="M385" i="1"/>
  <c r="M30" i="9" s="1"/>
  <c r="L385" i="1"/>
  <c r="L30" i="9" s="1"/>
  <c r="K385" i="1"/>
  <c r="K30" i="9" s="1"/>
  <c r="J385" i="1"/>
  <c r="J30" i="9" s="1"/>
  <c r="I385" i="1"/>
  <c r="I30" i="9" s="1"/>
  <c r="H385" i="1"/>
  <c r="H30" i="9" s="1"/>
  <c r="G385" i="1"/>
  <c r="G30" i="9" s="1"/>
  <c r="F385" i="1"/>
  <c r="E385" i="1"/>
  <c r="E30" i="9" s="1"/>
  <c r="D385" i="1"/>
  <c r="D30" i="9" s="1"/>
  <c r="C385" i="1"/>
  <c r="C30" i="9" s="1"/>
  <c r="BS383" i="1"/>
  <c r="BS388" i="1" s="1"/>
  <c r="BS326" i="1" s="1"/>
  <c r="BS56" i="9" s="1"/>
  <c r="AU383" i="1"/>
  <c r="AM383" i="1"/>
  <c r="AM388" i="1" s="1"/>
  <c r="AI383" i="1"/>
  <c r="X383" i="1"/>
  <c r="W383" i="1"/>
  <c r="W388" i="1" s="1"/>
  <c r="K383" i="1"/>
  <c r="K388" i="1" s="1"/>
  <c r="K326" i="1" s="1"/>
  <c r="K56" i="9" s="1"/>
  <c r="BW382" i="1"/>
  <c r="BW29" i="9" s="1"/>
  <c r="BV382" i="1"/>
  <c r="BV29" i="9" s="1"/>
  <c r="BU382" i="1"/>
  <c r="BT382" i="1"/>
  <c r="BT29" i="9" s="1"/>
  <c r="BS382" i="1"/>
  <c r="BS29" i="9" s="1"/>
  <c r="BR382" i="1"/>
  <c r="BR29" i="9" s="1"/>
  <c r="BQ382" i="1"/>
  <c r="BQ29" i="9" s="1"/>
  <c r="BP382" i="1"/>
  <c r="BP29" i="9" s="1"/>
  <c r="BO382" i="1"/>
  <c r="BO29" i="9" s="1"/>
  <c r="BN382" i="1"/>
  <c r="BN29" i="9" s="1"/>
  <c r="BM382" i="1"/>
  <c r="BL382" i="1"/>
  <c r="BL29" i="9" s="1"/>
  <c r="BK382" i="1"/>
  <c r="BK29" i="9" s="1"/>
  <c r="BJ382" i="1"/>
  <c r="BJ29" i="9" s="1"/>
  <c r="BI382" i="1"/>
  <c r="BI29" i="9" s="1"/>
  <c r="BH382" i="1"/>
  <c r="BH29" i="9" s="1"/>
  <c r="AY382" i="1"/>
  <c r="AY29" i="9" s="1"/>
  <c r="AX382" i="1"/>
  <c r="AX29" i="9" s="1"/>
  <c r="AW382" i="1"/>
  <c r="AW29" i="9" s="1"/>
  <c r="AV382" i="1"/>
  <c r="AV29" i="9" s="1"/>
  <c r="AU382" i="1"/>
  <c r="AU29" i="9" s="1"/>
  <c r="AT382" i="1"/>
  <c r="AT29" i="9" s="1"/>
  <c r="AS382" i="1"/>
  <c r="AS29" i="9" s="1"/>
  <c r="AR382" i="1"/>
  <c r="AR29" i="9" s="1"/>
  <c r="AQ382" i="1"/>
  <c r="AQ29" i="9" s="1"/>
  <c r="AP382" i="1"/>
  <c r="AP29" i="9" s="1"/>
  <c r="AO382" i="1"/>
  <c r="AO29" i="9" s="1"/>
  <c r="AN382" i="1"/>
  <c r="AM382" i="1"/>
  <c r="AM29" i="9" s="1"/>
  <c r="AL382" i="1"/>
  <c r="AK382" i="1"/>
  <c r="AK29" i="9" s="1"/>
  <c r="AJ382" i="1"/>
  <c r="AJ29" i="9" s="1"/>
  <c r="AI382" i="1"/>
  <c r="AI29" i="9" s="1"/>
  <c r="AH382" i="1"/>
  <c r="AG382" i="1"/>
  <c r="AG29" i="9" s="1"/>
  <c r="AF382" i="1"/>
  <c r="AF29" i="9" s="1"/>
  <c r="AE382" i="1"/>
  <c r="AE29" i="9" s="1"/>
  <c r="AC382" i="1"/>
  <c r="AB382" i="1"/>
  <c r="AA382" i="1"/>
  <c r="AA29" i="9" s="1"/>
  <c r="Y382" i="1"/>
  <c r="Y29" i="9" s="1"/>
  <c r="X382" i="1"/>
  <c r="X29" i="9" s="1"/>
  <c r="W382" i="1"/>
  <c r="W29" i="9" s="1"/>
  <c r="V382" i="1"/>
  <c r="U382" i="1"/>
  <c r="U29" i="9" s="1"/>
  <c r="T382" i="1"/>
  <c r="T29" i="9" s="1"/>
  <c r="S382" i="1"/>
  <c r="S29" i="9" s="1"/>
  <c r="R382" i="1"/>
  <c r="R29" i="9" s="1"/>
  <c r="Q382" i="1"/>
  <c r="Q29" i="9" s="1"/>
  <c r="P382" i="1"/>
  <c r="O382" i="1"/>
  <c r="O29" i="9" s="1"/>
  <c r="N382" i="1"/>
  <c r="M382" i="1"/>
  <c r="M29" i="9" s="1"/>
  <c r="L382" i="1"/>
  <c r="L29" i="9" s="1"/>
  <c r="K382" i="1"/>
  <c r="K29" i="9" s="1"/>
  <c r="J382" i="1"/>
  <c r="I382" i="1"/>
  <c r="I29" i="9" s="1"/>
  <c r="H382" i="1"/>
  <c r="H29" i="9" s="1"/>
  <c r="G382" i="1"/>
  <c r="G29" i="9" s="1"/>
  <c r="F382" i="1"/>
  <c r="F29" i="9" s="1"/>
  <c r="E382" i="1"/>
  <c r="E29" i="9" s="1"/>
  <c r="D382" i="1"/>
  <c r="C382" i="1"/>
  <c r="C29" i="9" s="1"/>
  <c r="BA380" i="1"/>
  <c r="AI380" i="1"/>
  <c r="A380" i="1"/>
  <c r="A379" i="1"/>
  <c r="BW378" i="1"/>
  <c r="BV378" i="1"/>
  <c r="BU378" i="1"/>
  <c r="BT378" i="1"/>
  <c r="BS378" i="1"/>
  <c r="BR378" i="1"/>
  <c r="BR383" i="1" s="1"/>
  <c r="BR388" i="1" s="1"/>
  <c r="BR389" i="1" s="1"/>
  <c r="BQ378" i="1"/>
  <c r="BQ330" i="1" s="1"/>
  <c r="BP378" i="1"/>
  <c r="BO378" i="1"/>
  <c r="BN378" i="1"/>
  <c r="BM378" i="1"/>
  <c r="BL378" i="1"/>
  <c r="BK378" i="1"/>
  <c r="BJ378" i="1"/>
  <c r="BI378" i="1"/>
  <c r="BH378" i="1"/>
  <c r="AY378" i="1"/>
  <c r="AY383" i="1" s="1"/>
  <c r="AX378" i="1"/>
  <c r="AW378" i="1"/>
  <c r="AV378" i="1"/>
  <c r="AV383" i="1" s="1"/>
  <c r="AV388" i="1" s="1"/>
  <c r="AV169" i="1" s="1"/>
  <c r="AU378" i="1"/>
  <c r="AT378" i="1"/>
  <c r="AS378" i="1"/>
  <c r="AS383" i="1" s="1"/>
  <c r="AS388" i="1" s="1"/>
  <c r="AS389" i="1" s="1"/>
  <c r="AR378" i="1"/>
  <c r="AR319" i="1" s="1"/>
  <c r="AR52" i="9" s="1"/>
  <c r="AQ378" i="1"/>
  <c r="AP378" i="1"/>
  <c r="AO378" i="1"/>
  <c r="AN378" i="1"/>
  <c r="AM378" i="1"/>
  <c r="AL378" i="1"/>
  <c r="AK378" i="1"/>
  <c r="AK325" i="1" s="1"/>
  <c r="AK55" i="9" s="1"/>
  <c r="AJ378" i="1"/>
  <c r="AJ383" i="1" s="1"/>
  <c r="AI378" i="1"/>
  <c r="AH378" i="1"/>
  <c r="AG378" i="1"/>
  <c r="AF378" i="1"/>
  <c r="AF324" i="1" s="1"/>
  <c r="AF54" i="9" s="1"/>
  <c r="AE378" i="1"/>
  <c r="AD378" i="1"/>
  <c r="AC378" i="1"/>
  <c r="AB378" i="1"/>
  <c r="AA378" i="1"/>
  <c r="AA383" i="1" s="1"/>
  <c r="AA388" i="1" s="1"/>
  <c r="Y378" i="1"/>
  <c r="X378" i="1"/>
  <c r="W378" i="1"/>
  <c r="V378" i="1"/>
  <c r="U378" i="1"/>
  <c r="U383" i="1" s="1"/>
  <c r="T378" i="1"/>
  <c r="S378" i="1"/>
  <c r="R378" i="1"/>
  <c r="Q378" i="1"/>
  <c r="P378" i="1"/>
  <c r="O378" i="1"/>
  <c r="N378" i="1"/>
  <c r="M378" i="1"/>
  <c r="L378" i="1"/>
  <c r="L319" i="1" s="1"/>
  <c r="L52" i="9" s="1"/>
  <c r="K378" i="1"/>
  <c r="J378" i="1"/>
  <c r="I378" i="1"/>
  <c r="I383" i="1" s="1"/>
  <c r="H378" i="1"/>
  <c r="G378" i="1"/>
  <c r="G330" i="1" s="1"/>
  <c r="F378" i="1"/>
  <c r="E378" i="1"/>
  <c r="E28" i="9" s="1"/>
  <c r="D378" i="1"/>
  <c r="C378" i="1"/>
  <c r="BP375" i="1"/>
  <c r="Y375" i="1"/>
  <c r="V375" i="1"/>
  <c r="U375" i="1"/>
  <c r="T375" i="1"/>
  <c r="S375" i="1"/>
  <c r="BU374" i="1"/>
  <c r="BT374" i="1"/>
  <c r="BS374" i="1"/>
  <c r="BR374" i="1"/>
  <c r="BQ374" i="1"/>
  <c r="AY374" i="1"/>
  <c r="AX374" i="1"/>
  <c r="AW374" i="1"/>
  <c r="AV374" i="1"/>
  <c r="AU374" i="1"/>
  <c r="AS374" i="1"/>
  <c r="AR374" i="1"/>
  <c r="AQ374" i="1"/>
  <c r="AN374" i="1"/>
  <c r="AN375" i="1" s="1"/>
  <c r="AM374" i="1"/>
  <c r="AL374" i="1"/>
  <c r="AK374" i="1"/>
  <c r="AK375" i="1" s="1"/>
  <c r="AJ374" i="1"/>
  <c r="AI374" i="1"/>
  <c r="AG374" i="1"/>
  <c r="AF374" i="1"/>
  <c r="AE374" i="1"/>
  <c r="AD374" i="1"/>
  <c r="AC374" i="1"/>
  <c r="AB374" i="1"/>
  <c r="AA374" i="1"/>
  <c r="Z374" i="1"/>
  <c r="Z375" i="1" s="1"/>
  <c r="Y374" i="1"/>
  <c r="X374" i="1"/>
  <c r="X375" i="1" s="1"/>
  <c r="W374" i="1"/>
  <c r="BW373" i="1"/>
  <c r="BV373" i="1"/>
  <c r="BT373" i="1"/>
  <c r="BS373" i="1"/>
  <c r="BR373" i="1"/>
  <c r="AJ373" i="1"/>
  <c r="AI373" i="1"/>
  <c r="AG373" i="1"/>
  <c r="AG375" i="1" s="1"/>
  <c r="AF373" i="1"/>
  <c r="AE373" i="1"/>
  <c r="AC373" i="1"/>
  <c r="AB373" i="1"/>
  <c r="W373" i="1"/>
  <c r="BV370" i="1"/>
  <c r="BU370" i="1"/>
  <c r="BT370" i="1"/>
  <c r="BS370" i="1"/>
  <c r="BQ370" i="1"/>
  <c r="BP370" i="1"/>
  <c r="BO370" i="1"/>
  <c r="BN370" i="1"/>
  <c r="BM370" i="1"/>
  <c r="BL370" i="1"/>
  <c r="BK370" i="1"/>
  <c r="BJ370" i="1"/>
  <c r="BI370" i="1"/>
  <c r="AS370" i="1"/>
  <c r="AR370" i="1"/>
  <c r="AQ370" i="1"/>
  <c r="AO370" i="1"/>
  <c r="AN370" i="1"/>
  <c r="AM370" i="1"/>
  <c r="AK370" i="1"/>
  <c r="AJ370" i="1"/>
  <c r="AI370" i="1"/>
  <c r="AG370" i="1"/>
  <c r="AF370" i="1"/>
  <c r="AE370" i="1"/>
  <c r="AA370" i="1"/>
  <c r="Y370" i="1"/>
  <c r="X370" i="1"/>
  <c r="W370" i="1"/>
  <c r="U370" i="1"/>
  <c r="T370" i="1"/>
  <c r="S370" i="1"/>
  <c r="Q370" i="1"/>
  <c r="P370" i="1"/>
  <c r="O370" i="1"/>
  <c r="M370" i="1"/>
  <c r="L370" i="1"/>
  <c r="K370" i="1"/>
  <c r="I370" i="1"/>
  <c r="H370" i="1"/>
  <c r="G370" i="1"/>
  <c r="E370" i="1"/>
  <c r="D370" i="1"/>
  <c r="C370" i="1"/>
  <c r="AT369" i="1"/>
  <c r="AT370" i="1" s="1"/>
  <c r="AP369" i="1"/>
  <c r="AP370" i="1" s="1"/>
  <c r="AL369" i="1"/>
  <c r="AH369" i="1"/>
  <c r="AD369" i="1"/>
  <c r="Z369" i="1"/>
  <c r="V369" i="1"/>
  <c r="R369" i="1"/>
  <c r="N369" i="1"/>
  <c r="J369" i="1"/>
  <c r="F369" i="1"/>
  <c r="AD368" i="1"/>
  <c r="Z368" i="1"/>
  <c r="Z370" i="1" s="1"/>
  <c r="V368" i="1"/>
  <c r="R368" i="1"/>
  <c r="N368" i="1"/>
  <c r="J368" i="1"/>
  <c r="F368" i="1"/>
  <c r="AT367" i="1"/>
  <c r="AP367" i="1"/>
  <c r="AL367" i="1"/>
  <c r="AH367" i="1"/>
  <c r="AC367" i="1"/>
  <c r="Z367" i="1"/>
  <c r="V367" i="1"/>
  <c r="R367" i="1"/>
  <c r="N367" i="1"/>
  <c r="N370" i="1" s="1"/>
  <c r="J367" i="1"/>
  <c r="F367" i="1"/>
  <c r="BO365" i="1"/>
  <c r="R365" i="1"/>
  <c r="Q365" i="1"/>
  <c r="P365" i="1"/>
  <c r="O365" i="1"/>
  <c r="CB357" i="1"/>
  <c r="CA357" i="1"/>
  <c r="BZ357" i="1"/>
  <c r="BY357" i="1"/>
  <c r="BX357" i="1"/>
  <c r="BF357" i="1"/>
  <c r="BE357" i="1"/>
  <c r="BD357" i="1"/>
  <c r="BC357" i="1"/>
  <c r="BB357" i="1"/>
  <c r="BA357" i="1"/>
  <c r="AZ357" i="1"/>
  <c r="BN355" i="1"/>
  <c r="AD354" i="1"/>
  <c r="AD409" i="1" s="1"/>
  <c r="AD40" i="9" s="1"/>
  <c r="Z354" i="1"/>
  <c r="Z409" i="1" s="1"/>
  <c r="Z40" i="9" s="1"/>
  <c r="AD352" i="1"/>
  <c r="AD404" i="1" s="1"/>
  <c r="Z352" i="1"/>
  <c r="Z404" i="1" s="1"/>
  <c r="G351" i="1"/>
  <c r="G353" i="1" s="1"/>
  <c r="G357" i="1" s="1"/>
  <c r="BS350" i="1"/>
  <c r="BS400" i="1" s="1"/>
  <c r="BS35" i="9" s="1"/>
  <c r="AL350" i="1"/>
  <c r="AH350" i="1"/>
  <c r="AH400" i="1" s="1"/>
  <c r="AH35" i="9" s="1"/>
  <c r="AD350" i="1"/>
  <c r="AD400" i="1" s="1"/>
  <c r="AD35" i="9" s="1"/>
  <c r="Z350" i="1"/>
  <c r="Z400" i="1" s="1"/>
  <c r="Z35" i="9" s="1"/>
  <c r="V350" i="1"/>
  <c r="V400" i="1" s="1"/>
  <c r="V35" i="9" s="1"/>
  <c r="N350" i="1"/>
  <c r="N400" i="1" s="1"/>
  <c r="N35" i="9" s="1"/>
  <c r="F350" i="1"/>
  <c r="F400" i="1" s="1"/>
  <c r="F35" i="9" s="1"/>
  <c r="AX349" i="1"/>
  <c r="AT349" i="1"/>
  <c r="AP349" i="1"/>
  <c r="AL349" i="1"/>
  <c r="BW348" i="1"/>
  <c r="BW399" i="1" s="1"/>
  <c r="BW34" i="9" s="1"/>
  <c r="BV348" i="1"/>
  <c r="BU348" i="1"/>
  <c r="BU399" i="1" s="1"/>
  <c r="BU34" i="9" s="1"/>
  <c r="AY348" i="1"/>
  <c r="AY350" i="1" s="1"/>
  <c r="AY400" i="1" s="1"/>
  <c r="AY35" i="9" s="1"/>
  <c r="AW348" i="1"/>
  <c r="AW399" i="1" s="1"/>
  <c r="AW34" i="9" s="1"/>
  <c r="AV348" i="1"/>
  <c r="AV399" i="1" s="1"/>
  <c r="AV34" i="9" s="1"/>
  <c r="AU348" i="1"/>
  <c r="AU399" i="1" s="1"/>
  <c r="AU34" i="9" s="1"/>
  <c r="AS348" i="1"/>
  <c r="AS399" i="1" s="1"/>
  <c r="AS34" i="9" s="1"/>
  <c r="AR348" i="1"/>
  <c r="AQ348" i="1"/>
  <c r="AQ399" i="1" s="1"/>
  <c r="AQ34" i="9" s="1"/>
  <c r="AO348" i="1"/>
  <c r="AN348" i="1"/>
  <c r="AM348" i="1"/>
  <c r="AL348" i="1"/>
  <c r="AL399" i="1" s="1"/>
  <c r="AH348" i="1"/>
  <c r="AH399" i="1" s="1"/>
  <c r="AD348" i="1"/>
  <c r="Z348" i="1"/>
  <c r="Z399" i="1" s="1"/>
  <c r="V348" i="1"/>
  <c r="V399" i="1" s="1"/>
  <c r="N348" i="1"/>
  <c r="J348" i="1"/>
  <c r="F348" i="1"/>
  <c r="AX347" i="1"/>
  <c r="AX697" i="1" s="1"/>
  <c r="AT347" i="1"/>
  <c r="AP347" i="1"/>
  <c r="AP697" i="1" s="1"/>
  <c r="AX346" i="1"/>
  <c r="AT346" i="1"/>
  <c r="AT699" i="1" s="1"/>
  <c r="AP346" i="1"/>
  <c r="AP699" i="1" s="1"/>
  <c r="AT345" i="1"/>
  <c r="AA345" i="1"/>
  <c r="AA351" i="1" s="1"/>
  <c r="AA353" i="1" s="1"/>
  <c r="J345" i="1"/>
  <c r="BW344" i="1"/>
  <c r="BV344" i="1"/>
  <c r="BU344" i="1"/>
  <c r="BU345" i="1" s="1"/>
  <c r="BT344" i="1"/>
  <c r="BS344" i="1"/>
  <c r="BS345" i="1" s="1"/>
  <c r="BR344" i="1"/>
  <c r="BQ344" i="1"/>
  <c r="BP344" i="1"/>
  <c r="BO344" i="1"/>
  <c r="BN344" i="1"/>
  <c r="BN345" i="1" s="1"/>
  <c r="BN351" i="1" s="1"/>
  <c r="BN353" i="1" s="1"/>
  <c r="BN360" i="1" s="1"/>
  <c r="BN365" i="1" s="1"/>
  <c r="BM344" i="1"/>
  <c r="BL344" i="1"/>
  <c r="BK344" i="1"/>
  <c r="BJ344" i="1"/>
  <c r="BI344" i="1"/>
  <c r="BI345" i="1" s="1"/>
  <c r="BI351" i="1" s="1"/>
  <c r="BI353" i="1" s="1"/>
  <c r="BH344" i="1"/>
  <c r="AY344" i="1"/>
  <c r="AY345" i="1" s="1"/>
  <c r="AX344" i="1"/>
  <c r="AW344" i="1"/>
  <c r="AV344" i="1"/>
  <c r="AU344" i="1"/>
  <c r="AT344" i="1"/>
  <c r="AS344" i="1"/>
  <c r="AR344" i="1"/>
  <c r="AQ344" i="1"/>
  <c r="AP344" i="1"/>
  <c r="AO344" i="1"/>
  <c r="AO345" i="1" s="1"/>
  <c r="AN344" i="1"/>
  <c r="AM344" i="1"/>
  <c r="AL344" i="1"/>
  <c r="AK344" i="1"/>
  <c r="AJ344" i="1"/>
  <c r="AI344" i="1"/>
  <c r="AH344" i="1"/>
  <c r="AG344" i="1"/>
  <c r="AF344" i="1"/>
  <c r="AE344" i="1"/>
  <c r="AC344" i="1"/>
  <c r="AC345" i="1" s="1"/>
  <c r="AC351" i="1" s="1"/>
  <c r="AC353" i="1" s="1"/>
  <c r="AB344" i="1"/>
  <c r="AA344" i="1"/>
  <c r="Y344" i="1"/>
  <c r="Y345" i="1" s="1"/>
  <c r="Y351" i="1" s="1"/>
  <c r="Y353" i="1" s="1"/>
  <c r="X344" i="1"/>
  <c r="W344" i="1"/>
  <c r="V344" i="1"/>
  <c r="V345" i="1" s="1"/>
  <c r="U344" i="1"/>
  <c r="T344" i="1"/>
  <c r="S344" i="1"/>
  <c r="R344" i="1"/>
  <c r="Q344" i="1"/>
  <c r="Q345" i="1" s="1"/>
  <c r="Q351" i="1" s="1"/>
  <c r="Q353" i="1" s="1"/>
  <c r="P344" i="1"/>
  <c r="O344" i="1"/>
  <c r="N344" i="1"/>
  <c r="M344" i="1"/>
  <c r="L344" i="1"/>
  <c r="K344" i="1"/>
  <c r="J344" i="1"/>
  <c r="I344" i="1"/>
  <c r="H344" i="1"/>
  <c r="G344" i="1"/>
  <c r="F344" i="1"/>
  <c r="E344" i="1"/>
  <c r="E345" i="1" s="1"/>
  <c r="E351" i="1" s="1"/>
  <c r="E353" i="1" s="1"/>
  <c r="D344" i="1"/>
  <c r="C344" i="1"/>
  <c r="AD343" i="1"/>
  <c r="AD385" i="1" s="1"/>
  <c r="Z343" i="1"/>
  <c r="Z385" i="1" s="1"/>
  <c r="AD342" i="1"/>
  <c r="AD386" i="1" s="1"/>
  <c r="Z342" i="1"/>
  <c r="Z386" i="1" s="1"/>
  <c r="AD341" i="1"/>
  <c r="AD387" i="1" s="1"/>
  <c r="Z341" i="1"/>
  <c r="BW340" i="1"/>
  <c r="BV340" i="1"/>
  <c r="BU340" i="1"/>
  <c r="BU320" i="1" s="1"/>
  <c r="BT340" i="1"/>
  <c r="BT320" i="1" s="1"/>
  <c r="BS340" i="1"/>
  <c r="BR340" i="1"/>
  <c r="BQ340" i="1"/>
  <c r="BQ345" i="1" s="1"/>
  <c r="BQ351" i="1" s="1"/>
  <c r="BQ353" i="1" s="1"/>
  <c r="BP340" i="1"/>
  <c r="BP320" i="1" s="1"/>
  <c r="BO340" i="1"/>
  <c r="BN340" i="1"/>
  <c r="BM340" i="1"/>
  <c r="BM148" i="1" s="1"/>
  <c r="BM149" i="1" s="1"/>
  <c r="BL340" i="1"/>
  <c r="BL345" i="1" s="1"/>
  <c r="BL351" i="1" s="1"/>
  <c r="BL353" i="1" s="1"/>
  <c r="BK340" i="1"/>
  <c r="BJ340" i="1"/>
  <c r="BI340" i="1"/>
  <c r="BI320" i="1" s="1"/>
  <c r="BH340" i="1"/>
  <c r="BH320" i="1" s="1"/>
  <c r="AY340" i="1"/>
  <c r="AX340" i="1"/>
  <c r="AW340" i="1"/>
  <c r="AV340" i="1"/>
  <c r="AU340" i="1"/>
  <c r="AT340" i="1"/>
  <c r="AS340" i="1"/>
  <c r="AS148" i="1" s="1"/>
  <c r="AS150" i="1" s="1"/>
  <c r="AR340" i="1"/>
  <c r="AR345" i="1" s="1"/>
  <c r="AQ340" i="1"/>
  <c r="AP340" i="1"/>
  <c r="AO340" i="1"/>
  <c r="AN340" i="1"/>
  <c r="AM340" i="1"/>
  <c r="AL340" i="1"/>
  <c r="AK340" i="1"/>
  <c r="AK320" i="1" s="1"/>
  <c r="AJ340" i="1"/>
  <c r="AI340" i="1"/>
  <c r="AH340" i="1"/>
  <c r="AG340" i="1"/>
  <c r="AG320" i="1" s="1"/>
  <c r="AF340" i="1"/>
  <c r="AF345" i="1" s="1"/>
  <c r="AF351" i="1" s="1"/>
  <c r="AF353" i="1" s="1"/>
  <c r="AE340" i="1"/>
  <c r="AC340" i="1"/>
  <c r="AB340" i="1"/>
  <c r="AB345" i="1" s="1"/>
  <c r="AB351" i="1" s="1"/>
  <c r="AB353" i="1" s="1"/>
  <c r="AA340" i="1"/>
  <c r="AA320" i="1" s="1"/>
  <c r="Y340" i="1"/>
  <c r="X340" i="1"/>
  <c r="X345" i="1" s="1"/>
  <c r="X351" i="1" s="1"/>
  <c r="X353" i="1" s="1"/>
  <c r="W340" i="1"/>
  <c r="V340" i="1"/>
  <c r="U340" i="1"/>
  <c r="T340" i="1"/>
  <c r="T345" i="1" s="1"/>
  <c r="T351" i="1" s="1"/>
  <c r="T353" i="1" s="1"/>
  <c r="S340" i="1"/>
  <c r="S345" i="1" s="1"/>
  <c r="S351" i="1" s="1"/>
  <c r="S353" i="1" s="1"/>
  <c r="R340" i="1"/>
  <c r="R345" i="1" s="1"/>
  <c r="R351" i="1" s="1"/>
  <c r="R353" i="1" s="1"/>
  <c r="Q340" i="1"/>
  <c r="P340" i="1"/>
  <c r="P345" i="1" s="1"/>
  <c r="P351" i="1" s="1"/>
  <c r="P353" i="1" s="1"/>
  <c r="O340" i="1"/>
  <c r="N340" i="1"/>
  <c r="M340" i="1"/>
  <c r="M320" i="1" s="1"/>
  <c r="L340" i="1"/>
  <c r="L320" i="1" s="1"/>
  <c r="K340" i="1"/>
  <c r="J340" i="1"/>
  <c r="J320" i="1" s="1"/>
  <c r="I340" i="1"/>
  <c r="H340" i="1"/>
  <c r="G340" i="1"/>
  <c r="G345" i="1" s="1"/>
  <c r="F340" i="1"/>
  <c r="F345" i="1" s="1"/>
  <c r="E340" i="1"/>
  <c r="D340" i="1"/>
  <c r="D345" i="1" s="1"/>
  <c r="D351" i="1" s="1"/>
  <c r="D353" i="1" s="1"/>
  <c r="C340" i="1"/>
  <c r="AD339" i="1"/>
  <c r="Z339" i="1"/>
  <c r="Z382" i="1" s="1"/>
  <c r="AD338" i="1"/>
  <c r="Z338" i="1"/>
  <c r="BW331" i="1"/>
  <c r="BU331" i="1"/>
  <c r="BS331" i="1"/>
  <c r="BP331" i="1"/>
  <c r="BO331" i="1"/>
  <c r="BN331" i="1"/>
  <c r="BI331" i="1"/>
  <c r="AS331" i="1"/>
  <c r="AQ331" i="1"/>
  <c r="AO331" i="1"/>
  <c r="AN331" i="1"/>
  <c r="AM331" i="1"/>
  <c r="AJ331" i="1"/>
  <c r="AF331" i="1"/>
  <c r="AE331" i="1"/>
  <c r="AC331" i="1"/>
  <c r="AA331" i="1"/>
  <c r="T331" i="1"/>
  <c r="S331" i="1"/>
  <c r="R331" i="1"/>
  <c r="Q331" i="1"/>
  <c r="P331" i="1"/>
  <c r="O331" i="1"/>
  <c r="N331" i="1"/>
  <c r="L331" i="1"/>
  <c r="J331" i="1"/>
  <c r="F331" i="1"/>
  <c r="E331" i="1"/>
  <c r="D331" i="1"/>
  <c r="C331" i="1"/>
  <c r="BP330" i="1"/>
  <c r="BN330" i="1"/>
  <c r="AS330" i="1"/>
  <c r="AQ330" i="1"/>
  <c r="AJ330" i="1"/>
  <c r="AF330" i="1"/>
  <c r="AE330" i="1"/>
  <c r="X330" i="1"/>
  <c r="M330" i="1"/>
  <c r="L330" i="1"/>
  <c r="H330" i="1"/>
  <c r="E330" i="1"/>
  <c r="W326" i="1"/>
  <c r="W56" i="9" s="1"/>
  <c r="BU325" i="1"/>
  <c r="BU55" i="9" s="1"/>
  <c r="BT325" i="1"/>
  <c r="BT55" i="9" s="1"/>
  <c r="BS325" i="1"/>
  <c r="BS55" i="9" s="1"/>
  <c r="BO325" i="1"/>
  <c r="BO55" i="9" s="1"/>
  <c r="BN325" i="1"/>
  <c r="BN55" i="9" s="1"/>
  <c r="BI325" i="1"/>
  <c r="BI55" i="9" s="1"/>
  <c r="BH325" i="1"/>
  <c r="BH55" i="9" s="1"/>
  <c r="AY325" i="1"/>
  <c r="AY55" i="9" s="1"/>
  <c r="AW325" i="1"/>
  <c r="AW55" i="9" s="1"/>
  <c r="AV325" i="1"/>
  <c r="AV55" i="9" s="1"/>
  <c r="AU325" i="1"/>
  <c r="AU55" i="9" s="1"/>
  <c r="AT325" i="1"/>
  <c r="AT55" i="9" s="1"/>
  <c r="AO325" i="1"/>
  <c r="AO55" i="9" s="1"/>
  <c r="AN325" i="1"/>
  <c r="AN55" i="9" s="1"/>
  <c r="AM325" i="1"/>
  <c r="AM55" i="9" s="1"/>
  <c r="AJ325" i="1"/>
  <c r="AJ55" i="9" s="1"/>
  <c r="AI325" i="1"/>
  <c r="AI55" i="9" s="1"/>
  <c r="AH325" i="1"/>
  <c r="AH55" i="9" s="1"/>
  <c r="AC325" i="1"/>
  <c r="AC55" i="9" s="1"/>
  <c r="AB325" i="1"/>
  <c r="AB55" i="9" s="1"/>
  <c r="AA325" i="1"/>
  <c r="AA55" i="9" s="1"/>
  <c r="W325" i="1"/>
  <c r="W55" i="9" s="1"/>
  <c r="V325" i="1"/>
  <c r="V55" i="9" s="1"/>
  <c r="Q325" i="1"/>
  <c r="Q55" i="9" s="1"/>
  <c r="P325" i="1"/>
  <c r="P55" i="9" s="1"/>
  <c r="O325" i="1"/>
  <c r="O55" i="9" s="1"/>
  <c r="M325" i="1"/>
  <c r="M55" i="9" s="1"/>
  <c r="K325" i="1"/>
  <c r="K55" i="9" s="1"/>
  <c r="J325" i="1"/>
  <c r="J55" i="9" s="1"/>
  <c r="E325" i="1"/>
  <c r="E55" i="9" s="1"/>
  <c r="D325" i="1"/>
  <c r="D55" i="9" s="1"/>
  <c r="C325" i="1"/>
  <c r="C55" i="9" s="1"/>
  <c r="BU324" i="1"/>
  <c r="BU54" i="9" s="1"/>
  <c r="BT324" i="1"/>
  <c r="BT54" i="9" s="1"/>
  <c r="BS324" i="1"/>
  <c r="BS54" i="9" s="1"/>
  <c r="BR324" i="1"/>
  <c r="BR54" i="9" s="1"/>
  <c r="BQ324" i="1"/>
  <c r="BQ54" i="9" s="1"/>
  <c r="BN324" i="1"/>
  <c r="BN54" i="9" s="1"/>
  <c r="BI324" i="1"/>
  <c r="BI54" i="9" s="1"/>
  <c r="BH324" i="1"/>
  <c r="BH54" i="9" s="1"/>
  <c r="AY324" i="1"/>
  <c r="AY54" i="9" s="1"/>
  <c r="AT324" i="1"/>
  <c r="AT54" i="9" s="1"/>
  <c r="AS324" i="1"/>
  <c r="AS54" i="9" s="1"/>
  <c r="AR324" i="1"/>
  <c r="AR54" i="9" s="1"/>
  <c r="AO324" i="1"/>
  <c r="AO54" i="9" s="1"/>
  <c r="AN324" i="1"/>
  <c r="AN54" i="9" s="1"/>
  <c r="AM324" i="1"/>
  <c r="AM54" i="9" s="1"/>
  <c r="AJ324" i="1"/>
  <c r="AJ54" i="9" s="1"/>
  <c r="AI324" i="1"/>
  <c r="AI54" i="9" s="1"/>
  <c r="AH324" i="1"/>
  <c r="AH54" i="9" s="1"/>
  <c r="AC324" i="1"/>
  <c r="AC54" i="9" s="1"/>
  <c r="AB324" i="1"/>
  <c r="AB54" i="9" s="1"/>
  <c r="AA324" i="1"/>
  <c r="AA54" i="9" s="1"/>
  <c r="W324" i="1"/>
  <c r="W54" i="9" s="1"/>
  <c r="V324" i="1"/>
  <c r="V54" i="9" s="1"/>
  <c r="T324" i="1"/>
  <c r="T54" i="9" s="1"/>
  <c r="R324" i="1"/>
  <c r="R54" i="9" s="1"/>
  <c r="P324" i="1"/>
  <c r="P54" i="9" s="1"/>
  <c r="O324" i="1"/>
  <c r="O54" i="9" s="1"/>
  <c r="K324" i="1"/>
  <c r="K54" i="9" s="1"/>
  <c r="J324" i="1"/>
  <c r="J54" i="9" s="1"/>
  <c r="I324" i="1"/>
  <c r="I54" i="9" s="1"/>
  <c r="F324" i="1"/>
  <c r="F54" i="9" s="1"/>
  <c r="D324" i="1"/>
  <c r="D54" i="9" s="1"/>
  <c r="BW323" i="1"/>
  <c r="BW53" i="9" s="1"/>
  <c r="BU323" i="1"/>
  <c r="BU53" i="9" s="1"/>
  <c r="BT323" i="1"/>
  <c r="BT53" i="9" s="1"/>
  <c r="BS323" i="1"/>
  <c r="BS53" i="9" s="1"/>
  <c r="BR323" i="1"/>
  <c r="BR53" i="9" s="1"/>
  <c r="BN323" i="1"/>
  <c r="BN53" i="9" s="1"/>
  <c r="BK323" i="1"/>
  <c r="BK53" i="9" s="1"/>
  <c r="BH323" i="1"/>
  <c r="BH53" i="9" s="1"/>
  <c r="AY323" i="1"/>
  <c r="AY53" i="9" s="1"/>
  <c r="AX323" i="1"/>
  <c r="AX53" i="9" s="1"/>
  <c r="AU323" i="1"/>
  <c r="AU53" i="9" s="1"/>
  <c r="AT323" i="1"/>
  <c r="AT53" i="9" s="1"/>
  <c r="AS323" i="1"/>
  <c r="AS53" i="9" s="1"/>
  <c r="AO323" i="1"/>
  <c r="AO53" i="9" s="1"/>
  <c r="AK323" i="1"/>
  <c r="AK53" i="9" s="1"/>
  <c r="AI323" i="1"/>
  <c r="AI53" i="9" s="1"/>
  <c r="AH323" i="1"/>
  <c r="AH53" i="9" s="1"/>
  <c r="AF323" i="1"/>
  <c r="AF53" i="9" s="1"/>
  <c r="AC323" i="1"/>
  <c r="AC53" i="9" s="1"/>
  <c r="AA323" i="1"/>
  <c r="AA53" i="9" s="1"/>
  <c r="Y323" i="1"/>
  <c r="Y53" i="9" s="1"/>
  <c r="W323" i="1"/>
  <c r="W53" i="9" s="1"/>
  <c r="V323" i="1"/>
  <c r="V53" i="9" s="1"/>
  <c r="U323" i="1"/>
  <c r="U53" i="9" s="1"/>
  <c r="T323" i="1"/>
  <c r="T53" i="9" s="1"/>
  <c r="Q323" i="1"/>
  <c r="Q53" i="9" s="1"/>
  <c r="O323" i="1"/>
  <c r="O53" i="9" s="1"/>
  <c r="N323" i="1"/>
  <c r="N53" i="9" s="1"/>
  <c r="M323" i="1"/>
  <c r="M53" i="9" s="1"/>
  <c r="L323" i="1"/>
  <c r="L53" i="9" s="1"/>
  <c r="K323" i="1"/>
  <c r="K53" i="9" s="1"/>
  <c r="J323" i="1"/>
  <c r="J53" i="9" s="1"/>
  <c r="E323" i="1"/>
  <c r="E53" i="9" s="1"/>
  <c r="C323" i="1"/>
  <c r="C53" i="9" s="1"/>
  <c r="BW320" i="1"/>
  <c r="BV320" i="1"/>
  <c r="BS320" i="1"/>
  <c r="BQ320" i="1"/>
  <c r="BN320" i="1"/>
  <c r="BM320" i="1"/>
  <c r="BL320" i="1"/>
  <c r="BK320" i="1"/>
  <c r="BJ320" i="1"/>
  <c r="AY320" i="1"/>
  <c r="AX320" i="1"/>
  <c r="AV320" i="1"/>
  <c r="AT320" i="1"/>
  <c r="AS320" i="1"/>
  <c r="AR320" i="1"/>
  <c r="AQ320" i="1"/>
  <c r="AP320" i="1"/>
  <c r="AO320" i="1"/>
  <c r="AM320" i="1"/>
  <c r="AL320" i="1"/>
  <c r="AH320" i="1"/>
  <c r="AF320" i="1"/>
  <c r="AE320" i="1"/>
  <c r="AC320" i="1"/>
  <c r="AB320" i="1"/>
  <c r="Y320" i="1"/>
  <c r="X320" i="1"/>
  <c r="V320" i="1"/>
  <c r="U320" i="1"/>
  <c r="T320" i="1"/>
  <c r="S320" i="1"/>
  <c r="R320" i="1"/>
  <c r="Q320" i="1"/>
  <c r="P320" i="1"/>
  <c r="N320" i="1"/>
  <c r="I320" i="1"/>
  <c r="G320" i="1"/>
  <c r="F320" i="1"/>
  <c r="E320" i="1"/>
  <c r="BT319" i="1"/>
  <c r="BT52" i="9" s="1"/>
  <c r="BS319" i="1"/>
  <c r="BS52" i="9" s="1"/>
  <c r="BR319" i="1"/>
  <c r="BR52" i="9" s="1"/>
  <c r="BQ319" i="1"/>
  <c r="BQ52" i="9" s="1"/>
  <c r="BO319" i="1"/>
  <c r="BO52" i="9" s="1"/>
  <c r="BN319" i="1"/>
  <c r="BN52" i="9" s="1"/>
  <c r="BL319" i="1"/>
  <c r="BL52" i="9" s="1"/>
  <c r="BJ319" i="1"/>
  <c r="BJ52" i="9" s="1"/>
  <c r="BH319" i="1"/>
  <c r="BH52" i="9" s="1"/>
  <c r="AY319" i="1"/>
  <c r="AY52" i="9" s="1"/>
  <c r="AV319" i="1"/>
  <c r="AV52" i="9" s="1"/>
  <c r="AU319" i="1"/>
  <c r="AU52" i="9" s="1"/>
  <c r="AT319" i="1"/>
  <c r="AT52" i="9" s="1"/>
  <c r="AS319" i="1"/>
  <c r="AS52" i="9" s="1"/>
  <c r="AQ319" i="1"/>
  <c r="AQ52" i="9" s="1"/>
  <c r="AM319" i="1"/>
  <c r="AM52" i="9" s="1"/>
  <c r="AJ319" i="1"/>
  <c r="AJ52" i="9" s="1"/>
  <c r="AI319" i="1"/>
  <c r="AI52" i="9" s="1"/>
  <c r="AG319" i="1"/>
  <c r="AG52" i="9" s="1"/>
  <c r="AF319" i="1"/>
  <c r="AF52" i="9" s="1"/>
  <c r="AE319" i="1"/>
  <c r="AE52" i="9" s="1"/>
  <c r="AA319" i="1"/>
  <c r="AA52" i="9" s="1"/>
  <c r="Y319" i="1"/>
  <c r="Y52" i="9" s="1"/>
  <c r="W319" i="1"/>
  <c r="W52" i="9" s="1"/>
  <c r="U319" i="1"/>
  <c r="U52" i="9" s="1"/>
  <c r="R319" i="1"/>
  <c r="R52" i="9" s="1"/>
  <c r="Q319" i="1"/>
  <c r="Q52" i="9" s="1"/>
  <c r="O319" i="1"/>
  <c r="O52" i="9" s="1"/>
  <c r="K319" i="1"/>
  <c r="K52" i="9" s="1"/>
  <c r="J319" i="1"/>
  <c r="J52" i="9" s="1"/>
  <c r="I319" i="1"/>
  <c r="I52" i="9" s="1"/>
  <c r="G319" i="1"/>
  <c r="G52" i="9" s="1"/>
  <c r="F319" i="1"/>
  <c r="F52" i="9" s="1"/>
  <c r="BW316" i="1"/>
  <c r="BV316" i="1"/>
  <c r="BU316" i="1"/>
  <c r="BT316" i="1"/>
  <c r="BS316" i="1"/>
  <c r="BR316" i="1"/>
  <c r="AT316" i="1"/>
  <c r="AS316" i="1"/>
  <c r="AR316" i="1"/>
  <c r="AQ316" i="1"/>
  <c r="AO316" i="1"/>
  <c r="AN316" i="1"/>
  <c r="AM316" i="1"/>
  <c r="AK316" i="1"/>
  <c r="AJ316" i="1"/>
  <c r="AI316" i="1"/>
  <c r="AH316" i="1"/>
  <c r="AG316" i="1"/>
  <c r="AF316" i="1"/>
  <c r="AE316" i="1"/>
  <c r="AC316" i="1"/>
  <c r="AB316" i="1"/>
  <c r="AA316" i="1"/>
  <c r="BW315" i="1"/>
  <c r="BV315" i="1"/>
  <c r="BU315" i="1"/>
  <c r="BT315" i="1"/>
  <c r="BS315" i="1"/>
  <c r="BR315" i="1"/>
  <c r="AW315" i="1"/>
  <c r="AV315" i="1"/>
  <c r="AU315" i="1"/>
  <c r="AS315" i="1"/>
  <c r="AR315" i="1"/>
  <c r="AQ315" i="1"/>
  <c r="AP315" i="1"/>
  <c r="AO315" i="1"/>
  <c r="AN315" i="1"/>
  <c r="AM315" i="1"/>
  <c r="AL315" i="1"/>
  <c r="AK315" i="1"/>
  <c r="AJ315" i="1"/>
  <c r="AI315" i="1"/>
  <c r="AG315" i="1"/>
  <c r="AF315" i="1"/>
  <c r="AE315" i="1"/>
  <c r="AD315" i="1"/>
  <c r="AC315" i="1"/>
  <c r="AB315" i="1"/>
  <c r="AA315" i="1"/>
  <c r="BW313" i="1"/>
  <c r="BV313" i="1"/>
  <c r="BU313" i="1"/>
  <c r="BT313" i="1"/>
  <c r="BS313" i="1"/>
  <c r="BR313" i="1"/>
  <c r="AT313" i="1"/>
  <c r="AS313" i="1"/>
  <c r="AR313" i="1"/>
  <c r="AQ313" i="1"/>
  <c r="AO313" i="1"/>
  <c r="AN313" i="1"/>
  <c r="AM313" i="1"/>
  <c r="AK313" i="1"/>
  <c r="AJ313" i="1"/>
  <c r="AI313" i="1"/>
  <c r="AH313" i="1"/>
  <c r="AG313" i="1"/>
  <c r="AF313" i="1"/>
  <c r="AE313" i="1"/>
  <c r="AC313" i="1"/>
  <c r="AB313" i="1"/>
  <c r="AA313" i="1"/>
  <c r="BW312" i="1"/>
  <c r="BV312" i="1"/>
  <c r="BU312" i="1"/>
  <c r="BT312" i="1"/>
  <c r="BS312" i="1"/>
  <c r="BR312" i="1"/>
  <c r="AS312" i="1"/>
  <c r="AR312" i="1"/>
  <c r="AQ312" i="1"/>
  <c r="AP312" i="1"/>
  <c r="AO312" i="1"/>
  <c r="AN312" i="1"/>
  <c r="AM312" i="1"/>
  <c r="AK312" i="1"/>
  <c r="AJ312" i="1"/>
  <c r="AI312" i="1"/>
  <c r="AH312" i="1"/>
  <c r="AG312" i="1"/>
  <c r="AF312" i="1"/>
  <c r="AE312" i="1"/>
  <c r="AC312" i="1"/>
  <c r="AB312" i="1"/>
  <c r="AA312" i="1"/>
  <c r="BW311" i="1"/>
  <c r="BV311" i="1"/>
  <c r="BU311" i="1"/>
  <c r="BT311" i="1"/>
  <c r="BS311" i="1"/>
  <c r="BR311" i="1"/>
  <c r="AW311" i="1"/>
  <c r="AV311" i="1"/>
  <c r="AU311" i="1"/>
  <c r="AS311" i="1"/>
  <c r="AR311" i="1"/>
  <c r="AQ311" i="1"/>
  <c r="AO311" i="1"/>
  <c r="AN311" i="1"/>
  <c r="AM311" i="1"/>
  <c r="AK311" i="1"/>
  <c r="AJ311" i="1"/>
  <c r="AI311" i="1"/>
  <c r="AG311" i="1"/>
  <c r="AF311" i="1"/>
  <c r="AE311" i="1"/>
  <c r="AC311" i="1"/>
  <c r="AB311" i="1"/>
  <c r="AA311" i="1"/>
  <c r="AX309" i="1"/>
  <c r="AT309" i="1"/>
  <c r="AP309" i="1"/>
  <c r="AP316" i="1" s="1"/>
  <c r="AL309" i="1"/>
  <c r="AL316" i="1" s="1"/>
  <c r="AH309" i="1"/>
  <c r="AD309" i="1"/>
  <c r="AD316" i="1" s="1"/>
  <c r="AX308" i="1"/>
  <c r="AX315" i="1" s="1"/>
  <c r="AT308" i="1"/>
  <c r="AT315" i="1" s="1"/>
  <c r="AP308" i="1"/>
  <c r="AL308" i="1"/>
  <c r="AH308" i="1"/>
  <c r="AH315" i="1" s="1"/>
  <c r="AD308" i="1"/>
  <c r="AX306" i="1"/>
  <c r="AT306" i="1"/>
  <c r="AP306" i="1"/>
  <c r="AP313" i="1" s="1"/>
  <c r="AL306" i="1"/>
  <c r="AL313" i="1" s="1"/>
  <c r="AH306" i="1"/>
  <c r="AD306" i="1"/>
  <c r="AD313" i="1" s="1"/>
  <c r="AX305" i="1"/>
  <c r="AT305" i="1"/>
  <c r="AT312" i="1" s="1"/>
  <c r="AP305" i="1"/>
  <c r="AL305" i="1"/>
  <c r="AL312" i="1" s="1"/>
  <c r="AH305" i="1"/>
  <c r="AD305" i="1"/>
  <c r="AD312" i="1" s="1"/>
  <c r="AX304" i="1"/>
  <c r="AX311" i="1" s="1"/>
  <c r="AT304" i="1"/>
  <c r="AT311" i="1" s="1"/>
  <c r="AP304" i="1"/>
  <c r="AP311" i="1" s="1"/>
  <c r="AL304" i="1"/>
  <c r="AL311" i="1" s="1"/>
  <c r="AH304" i="1"/>
  <c r="AH311" i="1" s="1"/>
  <c r="AD304" i="1"/>
  <c r="AD311" i="1" s="1"/>
  <c r="AS302" i="1"/>
  <c r="AI302" i="1"/>
  <c r="AX301" i="1"/>
  <c r="AT301" i="1"/>
  <c r="AP301" i="1"/>
  <c r="AL301" i="1"/>
  <c r="AH301" i="1"/>
  <c r="AD301" i="1"/>
  <c r="AX300" i="1"/>
  <c r="AT300" i="1"/>
  <c r="AP300" i="1"/>
  <c r="AL300" i="1"/>
  <c r="AH300" i="1"/>
  <c r="AD300" i="1"/>
  <c r="BW299" i="1"/>
  <c r="BW302" i="1" s="1"/>
  <c r="BV299" i="1"/>
  <c r="BV302" i="1" s="1"/>
  <c r="BU299" i="1"/>
  <c r="BU302" i="1" s="1"/>
  <c r="BT299" i="1"/>
  <c r="BT302" i="1" s="1"/>
  <c r="BS299" i="1"/>
  <c r="BS302" i="1" s="1"/>
  <c r="BR299" i="1"/>
  <c r="BR302" i="1" s="1"/>
  <c r="AS299" i="1"/>
  <c r="AR299" i="1"/>
  <c r="AR302" i="1" s="1"/>
  <c r="AQ299" i="1"/>
  <c r="AQ302" i="1" s="1"/>
  <c r="AO299" i="1"/>
  <c r="AO302" i="1" s="1"/>
  <c r="AN299" i="1"/>
  <c r="AN302" i="1" s="1"/>
  <c r="AM299" i="1"/>
  <c r="AM302" i="1" s="1"/>
  <c r="AK299" i="1"/>
  <c r="AK302" i="1" s="1"/>
  <c r="AJ299" i="1"/>
  <c r="AJ302" i="1" s="1"/>
  <c r="AI299" i="1"/>
  <c r="AG299" i="1"/>
  <c r="AG302" i="1" s="1"/>
  <c r="AF299" i="1"/>
  <c r="AF302" i="1" s="1"/>
  <c r="AE299" i="1"/>
  <c r="AE302" i="1" s="1"/>
  <c r="AC299" i="1"/>
  <c r="AC302" i="1" s="1"/>
  <c r="AB299" i="1"/>
  <c r="AB302" i="1" s="1"/>
  <c r="AA299" i="1"/>
  <c r="AA302" i="1" s="1"/>
  <c r="AT298" i="1"/>
  <c r="AT299" i="1" s="1"/>
  <c r="AP298" i="1"/>
  <c r="AL298" i="1"/>
  <c r="AH298" i="1"/>
  <c r="AD298" i="1"/>
  <c r="AT297" i="1"/>
  <c r="AP297" i="1"/>
  <c r="AL297" i="1"/>
  <c r="AH297" i="1"/>
  <c r="AD297" i="1"/>
  <c r="BU294" i="1"/>
  <c r="BT294" i="1"/>
  <c r="BR294" i="1"/>
  <c r="BO294" i="1"/>
  <c r="AU294" i="1"/>
  <c r="AR294" i="1"/>
  <c r="AI294" i="1"/>
  <c r="AB294" i="1"/>
  <c r="AA294" i="1"/>
  <c r="Z294" i="1"/>
  <c r="Q294" i="1"/>
  <c r="M294" i="1"/>
  <c r="H294" i="1"/>
  <c r="E294" i="1"/>
  <c r="AX293" i="1"/>
  <c r="AT293" i="1"/>
  <c r="AP293" i="1"/>
  <c r="AL293" i="1"/>
  <c r="AH293" i="1"/>
  <c r="AD293" i="1"/>
  <c r="Z293" i="1"/>
  <c r="V293" i="1"/>
  <c r="R293" i="1"/>
  <c r="N293" i="1"/>
  <c r="J293" i="1"/>
  <c r="F293" i="1"/>
  <c r="BW292" i="1"/>
  <c r="BW294" i="1" s="1"/>
  <c r="BV292" i="1"/>
  <c r="BV294" i="1" s="1"/>
  <c r="BU292" i="1"/>
  <c r="BT292" i="1"/>
  <c r="BS292" i="1"/>
  <c r="BS294" i="1" s="1"/>
  <c r="BR292" i="1"/>
  <c r="BQ292" i="1"/>
  <c r="BQ294" i="1" s="1"/>
  <c r="BP292" i="1"/>
  <c r="BP294" i="1" s="1"/>
  <c r="BO292" i="1"/>
  <c r="BN292" i="1"/>
  <c r="BN294" i="1" s="1"/>
  <c r="BM292" i="1"/>
  <c r="BM294" i="1" s="1"/>
  <c r="BL292" i="1"/>
  <c r="BL294" i="1" s="1"/>
  <c r="BK292" i="1"/>
  <c r="BK294" i="1" s="1"/>
  <c r="BJ292" i="1"/>
  <c r="BJ294" i="1" s="1"/>
  <c r="AW292" i="1"/>
  <c r="AW294" i="1" s="1"/>
  <c r="AV292" i="1"/>
  <c r="AV294" i="1" s="1"/>
  <c r="AU292" i="1"/>
  <c r="AS292" i="1"/>
  <c r="AS294" i="1" s="1"/>
  <c r="AR292" i="1"/>
  <c r="AQ292" i="1"/>
  <c r="AQ294" i="1" s="1"/>
  <c r="AO292" i="1"/>
  <c r="AO294" i="1" s="1"/>
  <c r="AN292" i="1"/>
  <c r="AN294" i="1" s="1"/>
  <c r="AM292" i="1"/>
  <c r="AM294" i="1" s="1"/>
  <c r="AK292" i="1"/>
  <c r="AK294" i="1" s="1"/>
  <c r="AJ292" i="1"/>
  <c r="AJ294" i="1" s="1"/>
  <c r="AI292" i="1"/>
  <c r="AG292" i="1"/>
  <c r="AG294" i="1" s="1"/>
  <c r="AF292" i="1"/>
  <c r="AF294" i="1" s="1"/>
  <c r="AE292" i="1"/>
  <c r="AE294" i="1" s="1"/>
  <c r="AC292" i="1"/>
  <c r="AC294" i="1" s="1"/>
  <c r="AB292" i="1"/>
  <c r="AA292" i="1"/>
  <c r="Y292" i="1"/>
  <c r="Y294" i="1" s="1"/>
  <c r="X292" i="1"/>
  <c r="X294" i="1" s="1"/>
  <c r="W292" i="1"/>
  <c r="W294" i="1" s="1"/>
  <c r="U292" i="1"/>
  <c r="U294" i="1" s="1"/>
  <c r="T292" i="1"/>
  <c r="T294" i="1" s="1"/>
  <c r="S292" i="1"/>
  <c r="S294" i="1" s="1"/>
  <c r="Q292" i="1"/>
  <c r="P292" i="1"/>
  <c r="P294" i="1" s="1"/>
  <c r="O292" i="1"/>
  <c r="O294" i="1" s="1"/>
  <c r="M292" i="1"/>
  <c r="L292" i="1"/>
  <c r="L294" i="1" s="1"/>
  <c r="K292" i="1"/>
  <c r="K294" i="1" s="1"/>
  <c r="J292" i="1"/>
  <c r="J294" i="1" s="1"/>
  <c r="I292" i="1"/>
  <c r="I294" i="1" s="1"/>
  <c r="H292" i="1"/>
  <c r="G292" i="1"/>
  <c r="G294" i="1" s="1"/>
  <c r="E292" i="1"/>
  <c r="D292" i="1"/>
  <c r="D294" i="1" s="1"/>
  <c r="C292" i="1"/>
  <c r="C294" i="1" s="1"/>
  <c r="AX291" i="1"/>
  <c r="AT291" i="1"/>
  <c r="AP291" i="1"/>
  <c r="AL291" i="1"/>
  <c r="AH291" i="1"/>
  <c r="AD291" i="1"/>
  <c r="Z291" i="1"/>
  <c r="V291" i="1"/>
  <c r="V292" i="1" s="1"/>
  <c r="R291" i="1"/>
  <c r="N291" i="1"/>
  <c r="J291" i="1"/>
  <c r="F291" i="1"/>
  <c r="AH290" i="1"/>
  <c r="AH292" i="1" s="1"/>
  <c r="AH294" i="1" s="1"/>
  <c r="AD290" i="1"/>
  <c r="Z290" i="1"/>
  <c r="V290" i="1"/>
  <c r="R290" i="1"/>
  <c r="N290" i="1"/>
  <c r="J290" i="1"/>
  <c r="F290" i="1"/>
  <c r="F292" i="1" s="1"/>
  <c r="AH289" i="1"/>
  <c r="AD289" i="1"/>
  <c r="Z289" i="1"/>
  <c r="V289" i="1"/>
  <c r="R289" i="1"/>
  <c r="N289" i="1"/>
  <c r="J289" i="1"/>
  <c r="F289" i="1"/>
  <c r="AX288" i="1"/>
  <c r="AT288" i="1"/>
  <c r="AP288" i="1"/>
  <c r="AL288" i="1"/>
  <c r="AH288" i="1"/>
  <c r="AD288" i="1"/>
  <c r="Z288" i="1"/>
  <c r="V288" i="1"/>
  <c r="R288" i="1"/>
  <c r="N288" i="1"/>
  <c r="J288" i="1"/>
  <c r="F288" i="1"/>
  <c r="AX287" i="1"/>
  <c r="AT287" i="1"/>
  <c r="AP287" i="1"/>
  <c r="AL287" i="1"/>
  <c r="AH287" i="1"/>
  <c r="AD287" i="1"/>
  <c r="Z287" i="1"/>
  <c r="V287" i="1"/>
  <c r="R287" i="1"/>
  <c r="N287" i="1"/>
  <c r="J287" i="1"/>
  <c r="F287" i="1"/>
  <c r="AX286" i="1"/>
  <c r="AT286" i="1"/>
  <c r="AP286" i="1"/>
  <c r="AL286" i="1"/>
  <c r="AH286" i="1"/>
  <c r="AD286" i="1"/>
  <c r="Z286" i="1"/>
  <c r="V286" i="1"/>
  <c r="R286" i="1"/>
  <c r="N286" i="1"/>
  <c r="J286" i="1"/>
  <c r="F286" i="1"/>
  <c r="AX285" i="1"/>
  <c r="AT285" i="1"/>
  <c r="AP285" i="1"/>
  <c r="AL285" i="1"/>
  <c r="AH285" i="1"/>
  <c r="AD285" i="1"/>
  <c r="Z285" i="1"/>
  <c r="V285" i="1"/>
  <c r="R285" i="1"/>
  <c r="N285" i="1"/>
  <c r="J285" i="1"/>
  <c r="F285" i="1"/>
  <c r="AX284" i="1"/>
  <c r="AT284" i="1"/>
  <c r="AP284" i="1"/>
  <c r="AL284" i="1"/>
  <c r="AH284" i="1"/>
  <c r="AD284" i="1"/>
  <c r="Z284" i="1"/>
  <c r="V284" i="1"/>
  <c r="R284" i="1"/>
  <c r="N284" i="1"/>
  <c r="J284" i="1"/>
  <c r="F284" i="1"/>
  <c r="AX283" i="1"/>
  <c r="AT283" i="1"/>
  <c r="AT292" i="1" s="1"/>
  <c r="AT294" i="1" s="1"/>
  <c r="AP283" i="1"/>
  <c r="AP292" i="1" s="1"/>
  <c r="AL283" i="1"/>
  <c r="AL292" i="1" s="1"/>
  <c r="AH283" i="1"/>
  <c r="AD283" i="1"/>
  <c r="Z283" i="1"/>
  <c r="Z292" i="1" s="1"/>
  <c r="V283" i="1"/>
  <c r="R283" i="1"/>
  <c r="N283" i="1"/>
  <c r="J283" i="1"/>
  <c r="F283" i="1"/>
  <c r="BV279" i="1"/>
  <c r="BU279" i="1"/>
  <c r="AT279" i="1"/>
  <c r="AS279" i="1"/>
  <c r="AR279" i="1"/>
  <c r="AQ279" i="1"/>
  <c r="AP279" i="1"/>
  <c r="BV276" i="1"/>
  <c r="BV280" i="1" s="1"/>
  <c r="BU276" i="1"/>
  <c r="AT276" i="1"/>
  <c r="AS276" i="1"/>
  <c r="AR276" i="1"/>
  <c r="AR280" i="1" s="1"/>
  <c r="AQ276" i="1"/>
  <c r="AP276" i="1"/>
  <c r="BV273" i="1"/>
  <c r="BU273" i="1"/>
  <c r="AT273" i="1"/>
  <c r="AS273" i="1"/>
  <c r="AR273" i="1"/>
  <c r="AQ273" i="1"/>
  <c r="AP273" i="1"/>
  <c r="BV270" i="1"/>
  <c r="BU270" i="1"/>
  <c r="AT270" i="1"/>
  <c r="AS270" i="1"/>
  <c r="AR270" i="1"/>
  <c r="AQ270" i="1"/>
  <c r="AP270" i="1"/>
  <c r="BV253" i="1"/>
  <c r="BU253" i="1"/>
  <c r="BT253" i="1"/>
  <c r="BS253" i="1"/>
  <c r="BR253" i="1"/>
  <c r="BQ253" i="1"/>
  <c r="BP253" i="1"/>
  <c r="BO253" i="1"/>
  <c r="BN253" i="1"/>
  <c r="BM253" i="1"/>
  <c r="BL253" i="1"/>
  <c r="BK253" i="1"/>
  <c r="BJ253" i="1"/>
  <c r="BI253" i="1"/>
  <c r="BV252" i="1"/>
  <c r="BU252" i="1"/>
  <c r="BT252" i="1"/>
  <c r="BS252" i="1"/>
  <c r="BR252" i="1"/>
  <c r="BQ252" i="1"/>
  <c r="BP252" i="1"/>
  <c r="BO252" i="1"/>
  <c r="BN252" i="1"/>
  <c r="BM252" i="1"/>
  <c r="BL252" i="1"/>
  <c r="BK252" i="1"/>
  <c r="BJ252" i="1"/>
  <c r="AL248" i="1"/>
  <c r="AH248" i="1"/>
  <c r="AD248" i="1"/>
  <c r="Z248" i="1"/>
  <c r="V248" i="1"/>
  <c r="R248" i="1"/>
  <c r="N248" i="1"/>
  <c r="AL247" i="1"/>
  <c r="AH247" i="1"/>
  <c r="AD247" i="1"/>
  <c r="Z247" i="1"/>
  <c r="V247" i="1"/>
  <c r="R247" i="1"/>
  <c r="N247" i="1"/>
  <c r="AL246" i="1"/>
  <c r="AH246" i="1"/>
  <c r="AD246" i="1"/>
  <c r="Z246" i="1"/>
  <c r="V246" i="1"/>
  <c r="R246" i="1"/>
  <c r="N246" i="1"/>
  <c r="BP245" i="1"/>
  <c r="V245" i="1" s="1"/>
  <c r="BO245" i="1"/>
  <c r="R245" i="1" s="1"/>
  <c r="BN245" i="1"/>
  <c r="BM245" i="1"/>
  <c r="BL245" i="1"/>
  <c r="BK245" i="1"/>
  <c r="AX245" i="1"/>
  <c r="AT245" i="1"/>
  <c r="AP245" i="1"/>
  <c r="AL245" i="1"/>
  <c r="AH245" i="1"/>
  <c r="AD245" i="1"/>
  <c r="Z245" i="1"/>
  <c r="Q245" i="1"/>
  <c r="P245" i="1"/>
  <c r="O245" i="1"/>
  <c r="N245" i="1"/>
  <c r="M245" i="1"/>
  <c r="L245" i="1"/>
  <c r="K245" i="1"/>
  <c r="J245" i="1"/>
  <c r="I245" i="1"/>
  <c r="H245" i="1"/>
  <c r="G245" i="1"/>
  <c r="AX244" i="1"/>
  <c r="AT244" i="1"/>
  <c r="AP244" i="1"/>
  <c r="AL244" i="1"/>
  <c r="AH244" i="1"/>
  <c r="AD244" i="1"/>
  <c r="Z244" i="1"/>
  <c r="V244" i="1"/>
  <c r="R244" i="1"/>
  <c r="N244" i="1"/>
  <c r="BS240" i="1"/>
  <c r="BR240" i="1"/>
  <c r="BQ240" i="1"/>
  <c r="BP240" i="1"/>
  <c r="BO240" i="1"/>
  <c r="BN240" i="1"/>
  <c r="BM240" i="1"/>
  <c r="BL240" i="1"/>
  <c r="BS239" i="1"/>
  <c r="BR239" i="1"/>
  <c r="BQ239" i="1"/>
  <c r="BP239" i="1"/>
  <c r="BO239" i="1"/>
  <c r="BN239" i="1"/>
  <c r="BM239" i="1"/>
  <c r="BL239" i="1"/>
  <c r="BK236" i="1"/>
  <c r="AT236" i="1"/>
  <c r="AL236" i="1"/>
  <c r="AK236" i="1"/>
  <c r="AH236" i="1"/>
  <c r="AB236" i="1"/>
  <c r="Y236" i="1"/>
  <c r="E236" i="1"/>
  <c r="D236" i="1"/>
  <c r="D237" i="1" s="1"/>
  <c r="BK235" i="1"/>
  <c r="AN235" i="1"/>
  <c r="AC235" i="1"/>
  <c r="P235" i="1"/>
  <c r="M235" i="1"/>
  <c r="D235" i="1"/>
  <c r="AN234" i="1"/>
  <c r="AC234" i="1"/>
  <c r="AB234" i="1"/>
  <c r="Z234" i="1"/>
  <c r="Y234" i="1"/>
  <c r="V234" i="1"/>
  <c r="P234" i="1"/>
  <c r="N234" i="1"/>
  <c r="M234" i="1"/>
  <c r="J234" i="1"/>
  <c r="D234" i="1"/>
  <c r="AN233" i="1"/>
  <c r="AL233" i="1"/>
  <c r="AK233" i="1"/>
  <c r="AB233" i="1"/>
  <c r="Y233" i="1"/>
  <c r="W233" i="1"/>
  <c r="V233" i="1"/>
  <c r="N233" i="1"/>
  <c r="M233" i="1"/>
  <c r="J233" i="1"/>
  <c r="I233" i="1"/>
  <c r="BS231" i="1"/>
  <c r="BS234" i="1" s="1"/>
  <c r="BK231" i="1"/>
  <c r="BK234" i="1" s="1"/>
  <c r="BJ231" i="1"/>
  <c r="BI231" i="1"/>
  <c r="AT231" i="1"/>
  <c r="AT235" i="1" s="1"/>
  <c r="AS231" i="1"/>
  <c r="AR231" i="1"/>
  <c r="AR234" i="1" s="1"/>
  <c r="AQ231" i="1"/>
  <c r="AP231" i="1"/>
  <c r="AO231" i="1"/>
  <c r="AN231" i="1"/>
  <c r="AN236" i="1" s="1"/>
  <c r="AM231" i="1"/>
  <c r="AL231" i="1"/>
  <c r="AL235" i="1" s="1"/>
  <c r="AK231" i="1"/>
  <c r="AK235" i="1" s="1"/>
  <c r="AJ231" i="1"/>
  <c r="AJ236" i="1" s="1"/>
  <c r="AI231" i="1"/>
  <c r="AI236" i="1" s="1"/>
  <c r="AH231" i="1"/>
  <c r="AH235" i="1" s="1"/>
  <c r="AG231" i="1"/>
  <c r="AF231" i="1"/>
  <c r="AF234" i="1" s="1"/>
  <c r="AE231" i="1"/>
  <c r="AD231" i="1"/>
  <c r="AC231" i="1"/>
  <c r="AB231" i="1"/>
  <c r="AB235" i="1" s="1"/>
  <c r="AA231" i="1"/>
  <c r="AA233" i="1" s="1"/>
  <c r="Z231" i="1"/>
  <c r="Y231" i="1"/>
  <c r="Y235" i="1" s="1"/>
  <c r="X231" i="1"/>
  <c r="W231" i="1"/>
  <c r="V231" i="1"/>
  <c r="V235" i="1" s="1"/>
  <c r="U231" i="1"/>
  <c r="T231" i="1"/>
  <c r="T234" i="1" s="1"/>
  <c r="S231" i="1"/>
  <c r="R231" i="1"/>
  <c r="Q231" i="1"/>
  <c r="Q233" i="1" s="1"/>
  <c r="P231" i="1"/>
  <c r="P236" i="1" s="1"/>
  <c r="O231" i="1"/>
  <c r="O234" i="1" s="1"/>
  <c r="N231" i="1"/>
  <c r="N235" i="1" s="1"/>
  <c r="M231" i="1"/>
  <c r="M236" i="1" s="1"/>
  <c r="L231" i="1"/>
  <c r="K231" i="1"/>
  <c r="J231" i="1"/>
  <c r="J235" i="1" s="1"/>
  <c r="I231" i="1"/>
  <c r="H231" i="1"/>
  <c r="H234" i="1" s="1"/>
  <c r="G231" i="1"/>
  <c r="G234" i="1" s="1"/>
  <c r="F231" i="1"/>
  <c r="E231" i="1"/>
  <c r="E233" i="1" s="1"/>
  <c r="D231" i="1"/>
  <c r="D233" i="1" s="1"/>
  <c r="C231" i="1"/>
  <c r="BV230" i="1"/>
  <c r="BU230" i="1"/>
  <c r="BT230" i="1"/>
  <c r="BS230" i="1"/>
  <c r="BR230" i="1"/>
  <c r="BQ230" i="1"/>
  <c r="BP230" i="1"/>
  <c r="BO230" i="1"/>
  <c r="BN230" i="1"/>
  <c r="BM230" i="1"/>
  <c r="BL230" i="1"/>
  <c r="BV229" i="1"/>
  <c r="BU229" i="1"/>
  <c r="BT229" i="1"/>
  <c r="BS229" i="1"/>
  <c r="BR229" i="1"/>
  <c r="BQ229" i="1"/>
  <c r="BP229" i="1"/>
  <c r="BO229" i="1"/>
  <c r="BN229" i="1"/>
  <c r="BM229" i="1"/>
  <c r="BL229" i="1"/>
  <c r="BV228" i="1"/>
  <c r="BU228" i="1"/>
  <c r="BU231" i="1" s="1"/>
  <c r="BT228" i="1"/>
  <c r="BS228" i="1"/>
  <c r="BR228" i="1"/>
  <c r="BQ228" i="1"/>
  <c r="BP228" i="1"/>
  <c r="BO228" i="1"/>
  <c r="BN228" i="1"/>
  <c r="BM228" i="1"/>
  <c r="BL228" i="1"/>
  <c r="BV227" i="1"/>
  <c r="BU227" i="1"/>
  <c r="BT227" i="1"/>
  <c r="BT231" i="1" s="1"/>
  <c r="BT234" i="1" s="1"/>
  <c r="BS227" i="1"/>
  <c r="BR227" i="1"/>
  <c r="BR231" i="1" s="1"/>
  <c r="BR7" i="1" s="1"/>
  <c r="BQ227" i="1"/>
  <c r="BP227" i="1"/>
  <c r="BO227" i="1"/>
  <c r="BN227" i="1"/>
  <c r="BM227" i="1"/>
  <c r="BL227" i="1"/>
  <c r="AL224" i="1"/>
  <c r="AG224" i="1"/>
  <c r="AD224" i="1"/>
  <c r="AA224" i="1"/>
  <c r="W224" i="1"/>
  <c r="U224" i="1"/>
  <c r="Q224" i="1"/>
  <c r="P224" i="1"/>
  <c r="O224" i="1"/>
  <c r="E224" i="1"/>
  <c r="D224" i="1"/>
  <c r="AI223" i="1"/>
  <c r="AG223" i="1"/>
  <c r="AF223" i="1"/>
  <c r="Z223" i="1"/>
  <c r="U223" i="1"/>
  <c r="S223" i="1"/>
  <c r="P223" i="1"/>
  <c r="O223" i="1"/>
  <c r="K223" i="1"/>
  <c r="G223" i="1"/>
  <c r="D223" i="1"/>
  <c r="AL222" i="1"/>
  <c r="AG222" i="1"/>
  <c r="AF222" i="1"/>
  <c r="W222" i="1"/>
  <c r="T222" i="1"/>
  <c r="S222" i="1"/>
  <c r="N222" i="1"/>
  <c r="G222" i="1"/>
  <c r="F222" i="1"/>
  <c r="AG221" i="1"/>
  <c r="AF221" i="1"/>
  <c r="X221" i="1"/>
  <c r="U221" i="1"/>
  <c r="U225" i="1" s="1"/>
  <c r="S221" i="1"/>
  <c r="Q221" i="1"/>
  <c r="E221" i="1"/>
  <c r="D221" i="1"/>
  <c r="C221" i="1"/>
  <c r="BK219" i="1"/>
  <c r="BK224" i="1" s="1"/>
  <c r="AT219" i="1"/>
  <c r="AS219" i="1"/>
  <c r="AS224" i="1" s="1"/>
  <c r="AR219" i="1"/>
  <c r="AR224" i="1" s="1"/>
  <c r="AQ219" i="1"/>
  <c r="AQ224" i="1" s="1"/>
  <c r="AP219" i="1"/>
  <c r="AP223" i="1" s="1"/>
  <c r="AO219" i="1"/>
  <c r="AO223" i="1" s="1"/>
  <c r="AN219" i="1"/>
  <c r="AN222" i="1" s="1"/>
  <c r="AM219" i="1"/>
  <c r="AM222" i="1" s="1"/>
  <c r="AL219" i="1"/>
  <c r="AL221" i="1" s="1"/>
  <c r="AK219" i="1"/>
  <c r="AK221" i="1" s="1"/>
  <c r="AJ219" i="1"/>
  <c r="AI219" i="1"/>
  <c r="AI221" i="1" s="1"/>
  <c r="AH219" i="1"/>
  <c r="AG219" i="1"/>
  <c r="AF219" i="1"/>
  <c r="AF224" i="1" s="1"/>
  <c r="AE219" i="1"/>
  <c r="AE224" i="1" s="1"/>
  <c r="AD219" i="1"/>
  <c r="AD222" i="1" s="1"/>
  <c r="AC219" i="1"/>
  <c r="AB219" i="1"/>
  <c r="AB222" i="1" s="1"/>
  <c r="AA219" i="1"/>
  <c r="AA222" i="1" s="1"/>
  <c r="Z219" i="1"/>
  <c r="Z221" i="1" s="1"/>
  <c r="Y219" i="1"/>
  <c r="Y221" i="1" s="1"/>
  <c r="X219" i="1"/>
  <c r="W219" i="1"/>
  <c r="W221" i="1" s="1"/>
  <c r="V219" i="1"/>
  <c r="U219" i="1"/>
  <c r="U222" i="1" s="1"/>
  <c r="T219" i="1"/>
  <c r="S219" i="1"/>
  <c r="S224" i="1" s="1"/>
  <c r="R219" i="1"/>
  <c r="R221" i="1" s="1"/>
  <c r="Q219" i="1"/>
  <c r="Q223" i="1" s="1"/>
  <c r="P219" i="1"/>
  <c r="P222" i="1" s="1"/>
  <c r="O219" i="1"/>
  <c r="N219" i="1"/>
  <c r="N221" i="1" s="1"/>
  <c r="M219" i="1"/>
  <c r="M221" i="1" s="1"/>
  <c r="L219" i="1"/>
  <c r="K219" i="1"/>
  <c r="K224" i="1" s="1"/>
  <c r="J219" i="1"/>
  <c r="I219" i="1"/>
  <c r="I224" i="1" s="1"/>
  <c r="H219" i="1"/>
  <c r="H224" i="1" s="1"/>
  <c r="G219" i="1"/>
  <c r="G224" i="1" s="1"/>
  <c r="F219" i="1"/>
  <c r="E219" i="1"/>
  <c r="E223" i="1" s="1"/>
  <c r="D219" i="1"/>
  <c r="D222" i="1" s="1"/>
  <c r="C219" i="1"/>
  <c r="BV218" i="1"/>
  <c r="BU218" i="1"/>
  <c r="BT218" i="1"/>
  <c r="BS218" i="1"/>
  <c r="BR218" i="1"/>
  <c r="BQ218" i="1"/>
  <c r="BP218" i="1"/>
  <c r="BO218" i="1"/>
  <c r="BN218" i="1"/>
  <c r="BM218" i="1"/>
  <c r="BL218" i="1"/>
  <c r="BK218" i="1"/>
  <c r="BJ218" i="1"/>
  <c r="BI218" i="1"/>
  <c r="BV217" i="1"/>
  <c r="BU217" i="1"/>
  <c r="BT217" i="1"/>
  <c r="BS217" i="1"/>
  <c r="BR217" i="1"/>
  <c r="BQ217" i="1"/>
  <c r="BP217" i="1"/>
  <c r="BO217" i="1"/>
  <c r="BN217" i="1"/>
  <c r="BM217" i="1"/>
  <c r="BL217" i="1"/>
  <c r="BK217" i="1"/>
  <c r="BK223" i="1" s="1"/>
  <c r="BJ217" i="1"/>
  <c r="BI217" i="1"/>
  <c r="BV216" i="1"/>
  <c r="BU216" i="1"/>
  <c r="BT216" i="1"/>
  <c r="BS216" i="1"/>
  <c r="BR216" i="1"/>
  <c r="BQ216" i="1"/>
  <c r="BP216" i="1"/>
  <c r="BO216" i="1"/>
  <c r="BN216" i="1"/>
  <c r="BM216" i="1"/>
  <c r="BL216" i="1"/>
  <c r="BK216" i="1"/>
  <c r="BJ216" i="1"/>
  <c r="BI216" i="1"/>
  <c r="BV215" i="1"/>
  <c r="BU215" i="1"/>
  <c r="BT215" i="1"/>
  <c r="BS215" i="1"/>
  <c r="BR215" i="1"/>
  <c r="BQ215" i="1"/>
  <c r="BP215" i="1"/>
  <c r="BO215" i="1"/>
  <c r="BN215" i="1"/>
  <c r="BM215" i="1"/>
  <c r="BL215" i="1"/>
  <c r="BK215" i="1"/>
  <c r="BJ215" i="1"/>
  <c r="BI215" i="1"/>
  <c r="BW211" i="1"/>
  <c r="BV211" i="1"/>
  <c r="BU211" i="1"/>
  <c r="BW210" i="1"/>
  <c r="BV210" i="1"/>
  <c r="BU210" i="1"/>
  <c r="BW204" i="1"/>
  <c r="BW207" i="1" s="1"/>
  <c r="BV204" i="1"/>
  <c r="BV207" i="1" s="1"/>
  <c r="BU204" i="1"/>
  <c r="BU207" i="1" s="1"/>
  <c r="BW196" i="1"/>
  <c r="BW195" i="1" s="1"/>
  <c r="BV196" i="1"/>
  <c r="BV195" i="1" s="1"/>
  <c r="BU196" i="1"/>
  <c r="BT196" i="1"/>
  <c r="BT195" i="1" s="1"/>
  <c r="BS196" i="1"/>
  <c r="BS195" i="1" s="1"/>
  <c r="BQ196" i="1"/>
  <c r="BP196" i="1"/>
  <c r="BO196" i="1"/>
  <c r="BO195" i="1" s="1"/>
  <c r="BN196" i="1"/>
  <c r="BM196" i="1"/>
  <c r="BM195" i="1" s="1"/>
  <c r="BL196" i="1"/>
  <c r="BL195" i="1" s="1"/>
  <c r="BK196" i="1"/>
  <c r="BK195" i="1" s="1"/>
  <c r="BJ196" i="1"/>
  <c r="BJ195" i="1" s="1"/>
  <c r="BI196" i="1"/>
  <c r="AY196" i="1"/>
  <c r="AY194" i="1" s="1"/>
  <c r="AX196" i="1"/>
  <c r="AV196" i="1"/>
  <c r="AV194" i="1" s="1"/>
  <c r="AU196" i="1"/>
  <c r="AU194" i="1" s="1"/>
  <c r="AU393" i="1" s="1"/>
  <c r="AT196" i="1"/>
  <c r="AT195" i="1" s="1"/>
  <c r="AS196" i="1"/>
  <c r="AS195" i="1" s="1"/>
  <c r="AR196" i="1"/>
  <c r="AR195" i="1" s="1"/>
  <c r="AQ196" i="1"/>
  <c r="AQ195" i="1" s="1"/>
  <c r="AP196" i="1"/>
  <c r="AO196" i="1"/>
  <c r="AO195" i="1" s="1"/>
  <c r="AN196" i="1"/>
  <c r="AM196" i="1"/>
  <c r="AL196" i="1"/>
  <c r="AK196" i="1"/>
  <c r="AK195" i="1" s="1"/>
  <c r="AJ196" i="1"/>
  <c r="AI196" i="1"/>
  <c r="AI195" i="1" s="1"/>
  <c r="AH196" i="1"/>
  <c r="AG196" i="1"/>
  <c r="AG195" i="1" s="1"/>
  <c r="AF196" i="1"/>
  <c r="AF195" i="1" s="1"/>
  <c r="AE196" i="1"/>
  <c r="AD196" i="1"/>
  <c r="AC196" i="1"/>
  <c r="AC195" i="1" s="1"/>
  <c r="AB196" i="1"/>
  <c r="AA196" i="1"/>
  <c r="Z196" i="1"/>
  <c r="Y196" i="1"/>
  <c r="X196" i="1"/>
  <c r="W196" i="1"/>
  <c r="V196" i="1"/>
  <c r="U196" i="1"/>
  <c r="T196" i="1"/>
  <c r="S196" i="1"/>
  <c r="R196" i="1"/>
  <c r="Q196" i="1"/>
  <c r="P196" i="1"/>
  <c r="O196" i="1"/>
  <c r="N196" i="1"/>
  <c r="M196" i="1"/>
  <c r="L196" i="1"/>
  <c r="K196" i="1"/>
  <c r="J196" i="1"/>
  <c r="I196" i="1"/>
  <c r="H196" i="1"/>
  <c r="G196" i="1"/>
  <c r="F196" i="1"/>
  <c r="E196" i="1"/>
  <c r="D196" i="1"/>
  <c r="C196" i="1"/>
  <c r="BY195" i="1"/>
  <c r="BX195" i="1"/>
  <c r="BU195" i="1"/>
  <c r="BQ195" i="1"/>
  <c r="BP195" i="1"/>
  <c r="V195" i="1" s="1"/>
  <c r="BN195" i="1"/>
  <c r="L195" i="1" s="1"/>
  <c r="L193" i="1" s="1"/>
  <c r="L881" i="1" s="1"/>
  <c r="BI195" i="1"/>
  <c r="AN195" i="1"/>
  <c r="AM195" i="1"/>
  <c r="AJ195" i="1"/>
  <c r="AE195" i="1"/>
  <c r="AD195" i="1"/>
  <c r="AB195" i="1"/>
  <c r="AA195" i="1"/>
  <c r="H195" i="1"/>
  <c r="AT194" i="1"/>
  <c r="AP194" i="1"/>
  <c r="AL194" i="1"/>
  <c r="AH194" i="1"/>
  <c r="AD194" i="1"/>
  <c r="Z194" i="1"/>
  <c r="V194" i="1"/>
  <c r="R194" i="1"/>
  <c r="R887" i="1" s="1"/>
  <c r="N194" i="1"/>
  <c r="N887" i="1" s="1"/>
  <c r="J194" i="1"/>
  <c r="J887" i="1" s="1"/>
  <c r="F194" i="1"/>
  <c r="F887" i="1" s="1"/>
  <c r="AX193" i="1"/>
  <c r="AX881" i="1" s="1"/>
  <c r="AT193" i="1"/>
  <c r="AP193" i="1"/>
  <c r="AP881" i="1" s="1"/>
  <c r="AL193" i="1"/>
  <c r="AL881" i="1" s="1"/>
  <c r="AH193" i="1"/>
  <c r="AH881" i="1" s="1"/>
  <c r="AD193" i="1"/>
  <c r="AD881" i="1" s="1"/>
  <c r="AX192" i="1"/>
  <c r="AX191" i="1" s="1"/>
  <c r="AT192" i="1"/>
  <c r="AP192" i="1"/>
  <c r="BW191" i="1"/>
  <c r="BV191" i="1"/>
  <c r="BU191" i="1"/>
  <c r="BT191" i="1"/>
  <c r="BS191" i="1"/>
  <c r="BR191" i="1"/>
  <c r="BQ191" i="1"/>
  <c r="AY191" i="1"/>
  <c r="AW191" i="1"/>
  <c r="AV191" i="1"/>
  <c r="AU191" i="1"/>
  <c r="AS191" i="1"/>
  <c r="AR191" i="1"/>
  <c r="AQ191" i="1"/>
  <c r="AO191" i="1"/>
  <c r="AN191" i="1"/>
  <c r="AM191" i="1"/>
  <c r="BW189" i="1"/>
  <c r="BV189" i="1"/>
  <c r="BU189" i="1"/>
  <c r="BT189" i="1"/>
  <c r="BS189" i="1"/>
  <c r="BR189" i="1"/>
  <c r="BQ189" i="1"/>
  <c r="BP189" i="1"/>
  <c r="BO189" i="1"/>
  <c r="BO677" i="1" s="1"/>
  <c r="BO678" i="1" s="1"/>
  <c r="BN189" i="1"/>
  <c r="BM189" i="1"/>
  <c r="BM677" i="1" s="1"/>
  <c r="BL189" i="1"/>
  <c r="BL677" i="1" s="1"/>
  <c r="BL678" i="1" s="1"/>
  <c r="BK189" i="1"/>
  <c r="BJ189" i="1"/>
  <c r="AY189" i="1"/>
  <c r="AW189" i="1"/>
  <c r="AW677" i="1" s="1"/>
  <c r="AV189" i="1"/>
  <c r="AU189" i="1"/>
  <c r="AS189" i="1"/>
  <c r="AR189" i="1"/>
  <c r="AQ189" i="1"/>
  <c r="AP189" i="1"/>
  <c r="AP677" i="1" s="1"/>
  <c r="AO189" i="1"/>
  <c r="AN189" i="1"/>
  <c r="AM189" i="1"/>
  <c r="AL189" i="1"/>
  <c r="AL677" i="1" s="1"/>
  <c r="AK189" i="1"/>
  <c r="AK677" i="1" s="1"/>
  <c r="AJ189" i="1"/>
  <c r="AI189" i="1"/>
  <c r="AG189" i="1"/>
  <c r="AF189" i="1"/>
  <c r="AE189" i="1"/>
  <c r="AC189" i="1"/>
  <c r="AB189" i="1"/>
  <c r="AA189" i="1"/>
  <c r="Y189" i="1"/>
  <c r="Y677" i="1" s="1"/>
  <c r="Y678" i="1" s="1"/>
  <c r="X189" i="1"/>
  <c r="W189" i="1"/>
  <c r="V189" i="1"/>
  <c r="U189" i="1"/>
  <c r="T189" i="1"/>
  <c r="S189" i="1"/>
  <c r="R189" i="1"/>
  <c r="R677" i="1" s="1"/>
  <c r="R678" i="1" s="1"/>
  <c r="Q189" i="1"/>
  <c r="P189" i="1"/>
  <c r="O189" i="1"/>
  <c r="N189" i="1"/>
  <c r="N677" i="1" s="1"/>
  <c r="M189" i="1"/>
  <c r="M677" i="1" s="1"/>
  <c r="M678" i="1" s="1"/>
  <c r="L189" i="1"/>
  <c r="K189" i="1"/>
  <c r="J189" i="1"/>
  <c r="I189" i="1"/>
  <c r="H189" i="1"/>
  <c r="G189" i="1"/>
  <c r="F189" i="1"/>
  <c r="F677" i="1" s="1"/>
  <c r="F678" i="1" s="1"/>
  <c r="E189" i="1"/>
  <c r="D189" i="1"/>
  <c r="C189" i="1"/>
  <c r="AX188" i="1"/>
  <c r="AT188" i="1"/>
  <c r="AH188" i="1"/>
  <c r="AD188" i="1"/>
  <c r="Z188" i="1"/>
  <c r="AX187" i="1"/>
  <c r="AT187" i="1"/>
  <c r="AH187" i="1"/>
  <c r="AD187" i="1"/>
  <c r="Z187" i="1"/>
  <c r="AX186" i="1"/>
  <c r="AT186" i="1"/>
  <c r="AH186" i="1"/>
  <c r="AD186" i="1"/>
  <c r="Z186" i="1"/>
  <c r="AX185" i="1"/>
  <c r="AT185" i="1"/>
  <c r="AH185" i="1"/>
  <c r="AD185" i="1"/>
  <c r="Z185" i="1"/>
  <c r="BB182" i="1"/>
  <c r="BB574" i="1" s="1"/>
  <c r="BA182" i="1"/>
  <c r="BA574" i="1" s="1"/>
  <c r="AZ182" i="1"/>
  <c r="AZ574" i="1" s="1"/>
  <c r="A182" i="1"/>
  <c r="AQ181" i="1"/>
  <c r="AQ575" i="1" s="1"/>
  <c r="AP181" i="1"/>
  <c r="AP575" i="1" s="1"/>
  <c r="P181" i="1"/>
  <c r="P575" i="1" s="1"/>
  <c r="A175" i="1"/>
  <c r="AS174" i="1"/>
  <c r="BR169" i="1"/>
  <c r="AS169" i="1"/>
  <c r="AS171" i="1" s="1"/>
  <c r="W169" i="1"/>
  <c r="K169" i="1"/>
  <c r="BU166" i="1"/>
  <c r="AY166" i="1"/>
  <c r="AN165" i="1"/>
  <c r="AE165" i="1"/>
  <c r="P165" i="1"/>
  <c r="BW164" i="1"/>
  <c r="BW165" i="1" s="1"/>
  <c r="BV164" i="1"/>
  <c r="BU164" i="1"/>
  <c r="BU165" i="1" s="1"/>
  <c r="BT164" i="1"/>
  <c r="BS164" i="1"/>
  <c r="BR164" i="1"/>
  <c r="BQ164" i="1"/>
  <c r="BQ166" i="1" s="1"/>
  <c r="BP164" i="1"/>
  <c r="BO164" i="1"/>
  <c r="BN164" i="1"/>
  <c r="BM164" i="1"/>
  <c r="BM165" i="1" s="1"/>
  <c r="BL164" i="1"/>
  <c r="BL166" i="1" s="1"/>
  <c r="BL167" i="1" s="1"/>
  <c r="BK164" i="1"/>
  <c r="BK165" i="1" s="1"/>
  <c r="BJ164" i="1"/>
  <c r="BI164" i="1"/>
  <c r="BH164" i="1"/>
  <c r="AY164" i="1"/>
  <c r="AX164" i="1"/>
  <c r="AX165" i="1" s="1"/>
  <c r="AW164" i="1"/>
  <c r="AV164" i="1"/>
  <c r="AU164" i="1"/>
  <c r="AT164" i="1"/>
  <c r="AS164" i="1"/>
  <c r="AS166" i="1" s="1"/>
  <c r="AR164" i="1"/>
  <c r="AQ164" i="1"/>
  <c r="AP164" i="1"/>
  <c r="AO164" i="1"/>
  <c r="AN164" i="1"/>
  <c r="AM164" i="1"/>
  <c r="AM166" i="1" s="1"/>
  <c r="AL164" i="1"/>
  <c r="AL165" i="1" s="1"/>
  <c r="AK164" i="1"/>
  <c r="AJ164" i="1"/>
  <c r="AI164" i="1"/>
  <c r="AH164" i="1"/>
  <c r="AG164" i="1"/>
  <c r="AG166" i="1" s="1"/>
  <c r="AF164" i="1"/>
  <c r="AE164" i="1"/>
  <c r="AC164" i="1"/>
  <c r="AB164" i="1"/>
  <c r="AB165" i="1" s="1"/>
  <c r="AA164" i="1"/>
  <c r="Z164" i="1"/>
  <c r="Y164" i="1"/>
  <c r="X164" i="1"/>
  <c r="W164" i="1"/>
  <c r="V164" i="1"/>
  <c r="U164" i="1"/>
  <c r="U166" i="1" s="1"/>
  <c r="T164" i="1"/>
  <c r="S164" i="1"/>
  <c r="R164" i="1"/>
  <c r="Q164" i="1"/>
  <c r="P164" i="1"/>
  <c r="O164" i="1"/>
  <c r="N164" i="1"/>
  <c r="M164" i="1"/>
  <c r="L164" i="1"/>
  <c r="K164" i="1"/>
  <c r="J164" i="1"/>
  <c r="I164" i="1"/>
  <c r="I166" i="1" s="1"/>
  <c r="H164" i="1"/>
  <c r="G164" i="1"/>
  <c r="F164" i="1"/>
  <c r="E164" i="1"/>
  <c r="D164" i="1"/>
  <c r="C164" i="1"/>
  <c r="BL161" i="1"/>
  <c r="AM161" i="1"/>
  <c r="AQ160" i="1"/>
  <c r="AE160" i="1"/>
  <c r="S160" i="1"/>
  <c r="P160" i="1"/>
  <c r="BW159" i="1"/>
  <c r="BV159" i="1"/>
  <c r="BU159" i="1"/>
  <c r="BU160" i="1" s="1"/>
  <c r="BT159" i="1"/>
  <c r="BS159" i="1"/>
  <c r="BR159" i="1"/>
  <c r="BQ159" i="1"/>
  <c r="BQ161" i="1" s="1"/>
  <c r="BP159" i="1"/>
  <c r="BO159" i="1"/>
  <c r="BO160" i="1" s="1"/>
  <c r="BN159" i="1"/>
  <c r="BM159" i="1"/>
  <c r="BM160" i="1" s="1"/>
  <c r="BL159" i="1"/>
  <c r="BK159" i="1"/>
  <c r="BJ159" i="1"/>
  <c r="BI159" i="1"/>
  <c r="BH159" i="1"/>
  <c r="AY159" i="1"/>
  <c r="AX159" i="1"/>
  <c r="AW159" i="1"/>
  <c r="AV159" i="1"/>
  <c r="AU159" i="1"/>
  <c r="AU161" i="1" s="1"/>
  <c r="AT159" i="1"/>
  <c r="AS159" i="1"/>
  <c r="AS161" i="1" s="1"/>
  <c r="AR159" i="1"/>
  <c r="AQ159" i="1"/>
  <c r="AP159" i="1"/>
  <c r="AP160" i="1" s="1"/>
  <c r="AO159" i="1"/>
  <c r="AN159" i="1"/>
  <c r="AN160" i="1" s="1"/>
  <c r="AM159" i="1"/>
  <c r="AL159" i="1"/>
  <c r="AL160" i="1" s="1"/>
  <c r="AK159" i="1"/>
  <c r="AJ159" i="1"/>
  <c r="AJ161" i="1" s="1"/>
  <c r="AI159" i="1"/>
  <c r="AI161" i="1" s="1"/>
  <c r="AH159" i="1"/>
  <c r="AG159" i="1"/>
  <c r="AG161" i="1" s="1"/>
  <c r="AF159" i="1"/>
  <c r="AE159" i="1"/>
  <c r="AD159" i="1"/>
  <c r="AD160" i="1" s="1"/>
  <c r="AC159" i="1"/>
  <c r="AB159" i="1"/>
  <c r="AB160" i="1" s="1"/>
  <c r="AA159" i="1"/>
  <c r="Z159" i="1"/>
  <c r="Z160" i="1" s="1"/>
  <c r="Y159" i="1"/>
  <c r="X159" i="1"/>
  <c r="X161" i="1" s="1"/>
  <c r="W159" i="1"/>
  <c r="W161" i="1" s="1"/>
  <c r="V159" i="1"/>
  <c r="U159" i="1"/>
  <c r="U161" i="1" s="1"/>
  <c r="T159" i="1"/>
  <c r="S159" i="1"/>
  <c r="R159" i="1"/>
  <c r="R160" i="1" s="1"/>
  <c r="Q159" i="1"/>
  <c r="P159" i="1"/>
  <c r="O159" i="1"/>
  <c r="N159" i="1"/>
  <c r="N160" i="1" s="1"/>
  <c r="M159" i="1"/>
  <c r="L159" i="1"/>
  <c r="L161" i="1" s="1"/>
  <c r="K159" i="1"/>
  <c r="K161" i="1" s="1"/>
  <c r="J159" i="1"/>
  <c r="I159" i="1"/>
  <c r="I161" i="1" s="1"/>
  <c r="H159" i="1"/>
  <c r="G159" i="1"/>
  <c r="F159" i="1"/>
  <c r="E159" i="1"/>
  <c r="D159" i="1"/>
  <c r="C159" i="1"/>
  <c r="BU156" i="1"/>
  <c r="BI156" i="1"/>
  <c r="AA156" i="1"/>
  <c r="BQ155" i="1"/>
  <c r="AB155" i="1"/>
  <c r="P155" i="1"/>
  <c r="G155" i="1"/>
  <c r="BW154" i="1"/>
  <c r="BV154" i="1"/>
  <c r="BV155" i="1" s="1"/>
  <c r="BU154" i="1"/>
  <c r="BT154" i="1"/>
  <c r="BS154" i="1"/>
  <c r="BS156" i="1" s="1"/>
  <c r="BR154" i="1"/>
  <c r="BR155" i="1" s="1"/>
  <c r="BQ154" i="1"/>
  <c r="BQ156" i="1" s="1"/>
  <c r="BP154" i="1"/>
  <c r="BO154" i="1"/>
  <c r="BN154" i="1"/>
  <c r="BN155" i="1" s="1"/>
  <c r="BM154" i="1"/>
  <c r="BL154" i="1"/>
  <c r="BK154" i="1"/>
  <c r="BJ154" i="1"/>
  <c r="BJ155" i="1" s="1"/>
  <c r="BI154" i="1"/>
  <c r="BH154" i="1"/>
  <c r="AY154" i="1"/>
  <c r="AY156" i="1" s="1"/>
  <c r="AX154" i="1"/>
  <c r="AW154" i="1"/>
  <c r="AV154" i="1"/>
  <c r="AU154" i="1"/>
  <c r="AT154" i="1"/>
  <c r="AT156" i="1" s="1"/>
  <c r="AS154" i="1"/>
  <c r="AR154" i="1"/>
  <c r="AR155" i="1" s="1"/>
  <c r="AQ154" i="1"/>
  <c r="AP154" i="1"/>
  <c r="AO154" i="1"/>
  <c r="AN154" i="1"/>
  <c r="AN155" i="1" s="1"/>
  <c r="AM154" i="1"/>
  <c r="AM156" i="1" s="1"/>
  <c r="AL154" i="1"/>
  <c r="AK154" i="1"/>
  <c r="AJ154" i="1"/>
  <c r="AI154" i="1"/>
  <c r="AH154" i="1"/>
  <c r="AH156" i="1" s="1"/>
  <c r="AG154" i="1"/>
  <c r="AF154" i="1"/>
  <c r="AF155" i="1" s="1"/>
  <c r="AE154" i="1"/>
  <c r="AD154" i="1"/>
  <c r="AD155" i="1" s="1"/>
  <c r="AC154" i="1"/>
  <c r="AB154" i="1"/>
  <c r="AA154" i="1"/>
  <c r="AE155" i="1" s="1"/>
  <c r="Z154" i="1"/>
  <c r="Y154" i="1"/>
  <c r="X154" i="1"/>
  <c r="W154" i="1"/>
  <c r="V154" i="1"/>
  <c r="V156" i="1" s="1"/>
  <c r="U154" i="1"/>
  <c r="T154" i="1"/>
  <c r="T155" i="1" s="1"/>
  <c r="S154" i="1"/>
  <c r="R154" i="1"/>
  <c r="Q154" i="1"/>
  <c r="P154" i="1"/>
  <c r="O154" i="1"/>
  <c r="O156" i="1" s="1"/>
  <c r="N154" i="1"/>
  <c r="M154" i="1"/>
  <c r="L154" i="1"/>
  <c r="K154" i="1"/>
  <c r="J154" i="1"/>
  <c r="J156" i="1" s="1"/>
  <c r="I154" i="1"/>
  <c r="H154" i="1"/>
  <c r="H155" i="1" s="1"/>
  <c r="G154" i="1"/>
  <c r="F154" i="1"/>
  <c r="E154" i="1"/>
  <c r="D154" i="1"/>
  <c r="C154" i="1"/>
  <c r="C156" i="1" s="1"/>
  <c r="BT150" i="1"/>
  <c r="BL150" i="1"/>
  <c r="BH150" i="1"/>
  <c r="AT150" i="1"/>
  <c r="N150" i="1"/>
  <c r="K150" i="1"/>
  <c r="AO149" i="1"/>
  <c r="AE149" i="1"/>
  <c r="BW148" i="1"/>
  <c r="BV148" i="1"/>
  <c r="BU148" i="1"/>
  <c r="BU150" i="1" s="1"/>
  <c r="BT148" i="1"/>
  <c r="BS148" i="1"/>
  <c r="BR148" i="1"/>
  <c r="BQ148" i="1"/>
  <c r="BQ150" i="1" s="1"/>
  <c r="BP148" i="1"/>
  <c r="BN148" i="1"/>
  <c r="BN149" i="1" s="1"/>
  <c r="BL148" i="1"/>
  <c r="BK148" i="1"/>
  <c r="BJ148" i="1"/>
  <c r="BI148" i="1"/>
  <c r="BI150" i="1" s="1"/>
  <c r="BH148" i="1"/>
  <c r="AY148" i="1"/>
  <c r="AY150" i="1" s="1"/>
  <c r="AX148" i="1"/>
  <c r="AW148" i="1"/>
  <c r="AW150" i="1" s="1"/>
  <c r="AV148" i="1"/>
  <c r="AT148" i="1"/>
  <c r="AR148" i="1"/>
  <c r="AQ148" i="1"/>
  <c r="AQ149" i="1" s="1"/>
  <c r="AP148" i="1"/>
  <c r="AO148" i="1"/>
  <c r="AO150" i="1" s="1"/>
  <c r="AN148" i="1"/>
  <c r="AM148" i="1"/>
  <c r="AL148" i="1"/>
  <c r="AL150" i="1" s="1"/>
  <c r="AK148" i="1"/>
  <c r="AK150" i="1" s="1"/>
  <c r="AJ148" i="1"/>
  <c r="AJ150" i="1" s="1"/>
  <c r="AH148" i="1"/>
  <c r="AF148" i="1"/>
  <c r="AE148" i="1"/>
  <c r="AC148" i="1"/>
  <c r="AB148" i="1"/>
  <c r="AB149" i="1" s="1"/>
  <c r="AA148" i="1"/>
  <c r="Y148" i="1"/>
  <c r="Y150" i="1" s="1"/>
  <c r="Y152" i="1" s="1"/>
  <c r="X148" i="1"/>
  <c r="W148" i="1"/>
  <c r="W150" i="1" s="1"/>
  <c r="V148" i="1"/>
  <c r="V150" i="1" s="1"/>
  <c r="U148" i="1"/>
  <c r="U150" i="1" s="1"/>
  <c r="U152" i="1" s="1"/>
  <c r="T148" i="1"/>
  <c r="S148" i="1"/>
  <c r="R148" i="1"/>
  <c r="Q148" i="1"/>
  <c r="Q150" i="1" s="1"/>
  <c r="Q152" i="1" s="1"/>
  <c r="P148" i="1"/>
  <c r="P149" i="1" s="1"/>
  <c r="N148" i="1"/>
  <c r="N149" i="1" s="1"/>
  <c r="M148" i="1"/>
  <c r="M150" i="1" s="1"/>
  <c r="M152" i="1" s="1"/>
  <c r="L148" i="1"/>
  <c r="K148" i="1"/>
  <c r="J148" i="1"/>
  <c r="J150" i="1" s="1"/>
  <c r="I148" i="1"/>
  <c r="I150" i="1" s="1"/>
  <c r="I152" i="1" s="1"/>
  <c r="H148" i="1"/>
  <c r="G148" i="1"/>
  <c r="F148" i="1"/>
  <c r="E148" i="1"/>
  <c r="E150" i="1" s="1"/>
  <c r="D148" i="1"/>
  <c r="BW147" i="1"/>
  <c r="BW181" i="1" s="1"/>
  <c r="BW575" i="1" s="1"/>
  <c r="BV147" i="1"/>
  <c r="BV181" i="1" s="1"/>
  <c r="BV575" i="1" s="1"/>
  <c r="BU147" i="1"/>
  <c r="BU181" i="1" s="1"/>
  <c r="BU575" i="1" s="1"/>
  <c r="BT147" i="1"/>
  <c r="BT181" i="1" s="1"/>
  <c r="BT575" i="1" s="1"/>
  <c r="BS147" i="1"/>
  <c r="BR147" i="1"/>
  <c r="BQ147" i="1"/>
  <c r="BP147" i="1"/>
  <c r="BO147" i="1"/>
  <c r="BN147" i="1"/>
  <c r="BM147" i="1"/>
  <c r="BL147" i="1"/>
  <c r="BK147" i="1"/>
  <c r="BK181" i="1" s="1"/>
  <c r="BK575" i="1" s="1"/>
  <c r="BJ147" i="1"/>
  <c r="BJ181" i="1" s="1"/>
  <c r="BJ575" i="1" s="1"/>
  <c r="BI147" i="1"/>
  <c r="BI181" i="1" s="1"/>
  <c r="BI575" i="1" s="1"/>
  <c r="BH147" i="1"/>
  <c r="BH181" i="1" s="1"/>
  <c r="BH575" i="1" s="1"/>
  <c r="AY147" i="1"/>
  <c r="AX147" i="1"/>
  <c r="AX181" i="1" s="1"/>
  <c r="AX575" i="1" s="1"/>
  <c r="AW147" i="1"/>
  <c r="AV147" i="1"/>
  <c r="AU147" i="1"/>
  <c r="AT147" i="1"/>
  <c r="AS147" i="1"/>
  <c r="AR147" i="1"/>
  <c r="AQ147" i="1"/>
  <c r="AP147" i="1"/>
  <c r="AO147" i="1"/>
  <c r="AO181" i="1" s="1"/>
  <c r="AO575" i="1" s="1"/>
  <c r="AN147" i="1"/>
  <c r="AN181" i="1" s="1"/>
  <c r="AN575" i="1" s="1"/>
  <c r="AM147" i="1"/>
  <c r="AL147" i="1"/>
  <c r="AL181" i="1" s="1"/>
  <c r="AL575" i="1" s="1"/>
  <c r="AK147" i="1"/>
  <c r="AJ147" i="1"/>
  <c r="AI147" i="1"/>
  <c r="AH147" i="1"/>
  <c r="AG147" i="1"/>
  <c r="AF147" i="1"/>
  <c r="AE147" i="1"/>
  <c r="AD147" i="1"/>
  <c r="AC147" i="1"/>
  <c r="AC181" i="1" s="1"/>
  <c r="AC575" i="1" s="1"/>
  <c r="AB147" i="1"/>
  <c r="AB181" i="1" s="1"/>
  <c r="AB575" i="1" s="1"/>
  <c r="AA147" i="1"/>
  <c r="Z147" i="1"/>
  <c r="Z181" i="1" s="1"/>
  <c r="Z575" i="1" s="1"/>
  <c r="Y147" i="1"/>
  <c r="X147" i="1"/>
  <c r="W147" i="1"/>
  <c r="V147" i="1"/>
  <c r="U147" i="1"/>
  <c r="T147" i="1"/>
  <c r="S147" i="1"/>
  <c r="R147" i="1"/>
  <c r="R181" i="1" s="1"/>
  <c r="R575" i="1" s="1"/>
  <c r="Q147" i="1"/>
  <c r="P147" i="1"/>
  <c r="O147" i="1"/>
  <c r="N147" i="1"/>
  <c r="N181" i="1" s="1"/>
  <c r="N575" i="1" s="1"/>
  <c r="M147" i="1"/>
  <c r="L147" i="1"/>
  <c r="K147" i="1"/>
  <c r="J147" i="1"/>
  <c r="I147" i="1"/>
  <c r="H147" i="1"/>
  <c r="G147" i="1"/>
  <c r="F147" i="1"/>
  <c r="E147" i="1"/>
  <c r="E181" i="1" s="1"/>
  <c r="E575" i="1" s="1"/>
  <c r="D147" i="1"/>
  <c r="D181" i="1" s="1"/>
  <c r="D575" i="1" s="1"/>
  <c r="C147" i="1"/>
  <c r="BW146" i="1"/>
  <c r="BW166" i="1" s="1"/>
  <c r="BV146" i="1"/>
  <c r="BU146" i="1"/>
  <c r="BT146" i="1"/>
  <c r="BS146" i="1"/>
  <c r="BR146" i="1"/>
  <c r="BQ146" i="1"/>
  <c r="BP146" i="1"/>
  <c r="BO146" i="1"/>
  <c r="BN146" i="1"/>
  <c r="BM146" i="1"/>
  <c r="BM156" i="1" s="1"/>
  <c r="BL146" i="1"/>
  <c r="BK146" i="1"/>
  <c r="BK166" i="1" s="1"/>
  <c r="BJ146" i="1"/>
  <c r="BI146" i="1"/>
  <c r="BH146" i="1"/>
  <c r="AY146" i="1"/>
  <c r="AX146" i="1"/>
  <c r="AX166" i="1" s="1"/>
  <c r="BB166" i="1" s="1"/>
  <c r="AW146" i="1"/>
  <c r="AV146" i="1"/>
  <c r="AU146" i="1"/>
  <c r="AT146" i="1"/>
  <c r="AS146" i="1"/>
  <c r="AR146" i="1"/>
  <c r="AQ146" i="1"/>
  <c r="AP146" i="1"/>
  <c r="AO146" i="1"/>
  <c r="AN146" i="1"/>
  <c r="AM146" i="1"/>
  <c r="AL146" i="1"/>
  <c r="AL166" i="1" s="1"/>
  <c r="AK146" i="1"/>
  <c r="AJ146" i="1"/>
  <c r="AJ156" i="1" s="1"/>
  <c r="AI146" i="1"/>
  <c r="AH146" i="1"/>
  <c r="AG146" i="1"/>
  <c r="AF146" i="1"/>
  <c r="AE146" i="1"/>
  <c r="AD146" i="1"/>
  <c r="AC146" i="1"/>
  <c r="AB146" i="1"/>
  <c r="AB156" i="1" s="1"/>
  <c r="AA146" i="1"/>
  <c r="AA161" i="1" s="1"/>
  <c r="Z146" i="1"/>
  <c r="Z161" i="1" s="1"/>
  <c r="Y146" i="1"/>
  <c r="X146" i="1"/>
  <c r="X166" i="1" s="1"/>
  <c r="W146" i="1"/>
  <c r="V146" i="1"/>
  <c r="U146" i="1"/>
  <c r="T146" i="1"/>
  <c r="S146" i="1"/>
  <c r="R146" i="1"/>
  <c r="Q146" i="1"/>
  <c r="P146" i="1"/>
  <c r="O146" i="1"/>
  <c r="O166" i="1" s="1"/>
  <c r="N146" i="1"/>
  <c r="N161" i="1" s="1"/>
  <c r="M146" i="1"/>
  <c r="L146" i="1"/>
  <c r="L156" i="1" s="1"/>
  <c r="K146" i="1"/>
  <c r="J146" i="1"/>
  <c r="I146" i="1"/>
  <c r="H146" i="1"/>
  <c r="G146" i="1"/>
  <c r="F146" i="1"/>
  <c r="E146" i="1"/>
  <c r="D146" i="1"/>
  <c r="C146" i="1"/>
  <c r="BR142" i="1"/>
  <c r="BL142" i="1"/>
  <c r="AS142" i="1"/>
  <c r="BS141" i="1"/>
  <c r="BR141" i="1"/>
  <c r="AO141" i="1"/>
  <c r="AN141" i="1"/>
  <c r="AM141" i="1"/>
  <c r="BW140" i="1"/>
  <c r="BV140" i="1"/>
  <c r="BU140" i="1"/>
  <c r="AS140" i="1"/>
  <c r="AG140" i="1"/>
  <c r="AW139" i="1"/>
  <c r="AV139" i="1"/>
  <c r="AA139" i="1"/>
  <c r="Y139" i="1"/>
  <c r="X139" i="1"/>
  <c r="BQ138" i="1"/>
  <c r="X138" i="1"/>
  <c r="BQ137" i="1"/>
  <c r="BL137" i="1"/>
  <c r="BL143" i="1" s="1"/>
  <c r="AE137" i="1"/>
  <c r="AC137" i="1"/>
  <c r="AB137" i="1"/>
  <c r="P137" i="1"/>
  <c r="P143" i="1" s="1"/>
  <c r="O137" i="1"/>
  <c r="D137" i="1"/>
  <c r="D143" i="1" s="1"/>
  <c r="BW135" i="1"/>
  <c r="BW139" i="1" s="1"/>
  <c r="BV135" i="1"/>
  <c r="BV139" i="1" s="1"/>
  <c r="BU135" i="1"/>
  <c r="BU139" i="1" s="1"/>
  <c r="BT135" i="1"/>
  <c r="BS135" i="1"/>
  <c r="BS140" i="1" s="1"/>
  <c r="BR135" i="1"/>
  <c r="BQ135" i="1"/>
  <c r="BQ142" i="1" s="1"/>
  <c r="BP135" i="1"/>
  <c r="BP141" i="1" s="1"/>
  <c r="BO135" i="1"/>
  <c r="BO137" i="1" s="1"/>
  <c r="BN135" i="1"/>
  <c r="BM135" i="1"/>
  <c r="BL135" i="1"/>
  <c r="BK135" i="1"/>
  <c r="BK142" i="1" s="1"/>
  <c r="BJ135" i="1"/>
  <c r="BJ142" i="1" s="1"/>
  <c r="BI135" i="1"/>
  <c r="BH135" i="1"/>
  <c r="AW135" i="1"/>
  <c r="AW142" i="1" s="1"/>
  <c r="AV135" i="1"/>
  <c r="AV141" i="1" s="1"/>
  <c r="AU135" i="1"/>
  <c r="AU139" i="1" s="1"/>
  <c r="AT135" i="1"/>
  <c r="AT140" i="1" s="1"/>
  <c r="AS135" i="1"/>
  <c r="AR135" i="1"/>
  <c r="AR142" i="1" s="1"/>
  <c r="AQ135" i="1"/>
  <c r="AQ142" i="1" s="1"/>
  <c r="AO135" i="1"/>
  <c r="AO142" i="1" s="1"/>
  <c r="AN135" i="1"/>
  <c r="AN142" i="1" s="1"/>
  <c r="AM135" i="1"/>
  <c r="AM142" i="1" s="1"/>
  <c r="AK135" i="1"/>
  <c r="AJ135" i="1"/>
  <c r="AI135" i="1"/>
  <c r="AI139" i="1" s="1"/>
  <c r="AG135" i="1"/>
  <c r="AF135" i="1"/>
  <c r="AE135" i="1"/>
  <c r="AE142" i="1" s="1"/>
  <c r="AC135" i="1"/>
  <c r="AC142" i="1" s="1"/>
  <c r="AB135" i="1"/>
  <c r="AB142" i="1" s="1"/>
  <c r="AA135" i="1"/>
  <c r="Y135" i="1"/>
  <c r="Y137" i="1" s="1"/>
  <c r="X135" i="1"/>
  <c r="X141" i="1" s="1"/>
  <c r="W135" i="1"/>
  <c r="W139" i="1" s="1"/>
  <c r="V135" i="1"/>
  <c r="U135" i="1"/>
  <c r="T135" i="1"/>
  <c r="S135" i="1"/>
  <c r="Q135" i="1"/>
  <c r="Q142" i="1" s="1"/>
  <c r="P135" i="1"/>
  <c r="P142" i="1" s="1"/>
  <c r="O135" i="1"/>
  <c r="O142" i="1" s="1"/>
  <c r="M135" i="1"/>
  <c r="M142" i="1" s="1"/>
  <c r="L135" i="1"/>
  <c r="L137" i="1" s="1"/>
  <c r="K135" i="1"/>
  <c r="K137" i="1" s="1"/>
  <c r="I135" i="1"/>
  <c r="I137" i="1" s="1"/>
  <c r="H135" i="1"/>
  <c r="H137" i="1" s="1"/>
  <c r="G135" i="1"/>
  <c r="E135" i="1"/>
  <c r="D135" i="1"/>
  <c r="D142" i="1" s="1"/>
  <c r="C135" i="1"/>
  <c r="C142" i="1" s="1"/>
  <c r="AX134" i="1"/>
  <c r="AT134" i="1"/>
  <c r="AP134" i="1"/>
  <c r="AL134" i="1"/>
  <c r="AH134" i="1"/>
  <c r="AD134" i="1"/>
  <c r="Z134" i="1"/>
  <c r="V134" i="1"/>
  <c r="R134" i="1"/>
  <c r="N134" i="1"/>
  <c r="J134" i="1"/>
  <c r="F134" i="1"/>
  <c r="AX133" i="1"/>
  <c r="AT133" i="1"/>
  <c r="AP133" i="1"/>
  <c r="AL133" i="1"/>
  <c r="AH133" i="1"/>
  <c r="AD133" i="1"/>
  <c r="Z133" i="1"/>
  <c r="V133" i="1"/>
  <c r="AX132" i="1"/>
  <c r="AT132" i="1"/>
  <c r="AP132" i="1"/>
  <c r="AL132" i="1"/>
  <c r="AH132" i="1"/>
  <c r="AD132" i="1"/>
  <c r="Z132" i="1"/>
  <c r="V132" i="1"/>
  <c r="AX131" i="1"/>
  <c r="AT131" i="1"/>
  <c r="AP131" i="1"/>
  <c r="AL131" i="1"/>
  <c r="AH131" i="1"/>
  <c r="AD131" i="1"/>
  <c r="Z131" i="1"/>
  <c r="V131" i="1"/>
  <c r="BV130" i="1"/>
  <c r="BV138" i="1" s="1"/>
  <c r="BU130" i="1"/>
  <c r="BT130" i="1"/>
  <c r="BS130" i="1"/>
  <c r="BS138" i="1" s="1"/>
  <c r="BR130" i="1"/>
  <c r="BQ130" i="1"/>
  <c r="BP130" i="1"/>
  <c r="BP138" i="1" s="1"/>
  <c r="AS130" i="1"/>
  <c r="AS138" i="1" s="1"/>
  <c r="AR130" i="1"/>
  <c r="AR138" i="1" s="1"/>
  <c r="AQ130" i="1"/>
  <c r="AO130" i="1"/>
  <c r="AO138" i="1" s="1"/>
  <c r="AN130" i="1"/>
  <c r="AN138" i="1" s="1"/>
  <c r="AM130" i="1"/>
  <c r="AM138" i="1" s="1"/>
  <c r="AK130" i="1"/>
  <c r="AJ130" i="1"/>
  <c r="AI130" i="1"/>
  <c r="AI138" i="1" s="1"/>
  <c r="AG130" i="1"/>
  <c r="AF130" i="1"/>
  <c r="AE130" i="1"/>
  <c r="AE138" i="1" s="1"/>
  <c r="AC130" i="1"/>
  <c r="AC138" i="1" s="1"/>
  <c r="AB130" i="1"/>
  <c r="AB138" i="1" s="1"/>
  <c r="AA130" i="1"/>
  <c r="AA138" i="1" s="1"/>
  <c r="Y130" i="1"/>
  <c r="X130" i="1"/>
  <c r="W130" i="1"/>
  <c r="U130" i="1"/>
  <c r="T130" i="1"/>
  <c r="S130" i="1"/>
  <c r="AT129" i="1"/>
  <c r="AP129" i="1"/>
  <c r="AL129" i="1"/>
  <c r="AH129" i="1"/>
  <c r="AD129" i="1"/>
  <c r="Z129" i="1"/>
  <c r="V129" i="1"/>
  <c r="R129" i="1"/>
  <c r="N129" i="1"/>
  <c r="J129" i="1"/>
  <c r="F129" i="1"/>
  <c r="F135" i="1" s="1"/>
  <c r="F142" i="1" s="1"/>
  <c r="AW126" i="1"/>
  <c r="AT126" i="1"/>
  <c r="AS126" i="1"/>
  <c r="AK126" i="1"/>
  <c r="AG126" i="1"/>
  <c r="Y126" i="1"/>
  <c r="V126" i="1"/>
  <c r="U126" i="1"/>
  <c r="N126" i="1"/>
  <c r="J126" i="1"/>
  <c r="I126" i="1"/>
  <c r="F126" i="1"/>
  <c r="AS125" i="1"/>
  <c r="AO125" i="1"/>
  <c r="AN125" i="1"/>
  <c r="U125" i="1"/>
  <c r="P125" i="1"/>
  <c r="L125" i="1"/>
  <c r="I125" i="1"/>
  <c r="AS124" i="1"/>
  <c r="AG124" i="1"/>
  <c r="U124" i="1"/>
  <c r="S124" i="1"/>
  <c r="I124" i="1"/>
  <c r="AT123" i="1"/>
  <c r="AS123" i="1"/>
  <c r="AG123" i="1"/>
  <c r="AE123" i="1"/>
  <c r="V123" i="1"/>
  <c r="U123" i="1"/>
  <c r="J123" i="1"/>
  <c r="I123" i="1"/>
  <c r="BU121" i="1"/>
  <c r="BU123" i="1" s="1"/>
  <c r="BI121" i="1"/>
  <c r="BH121" i="1"/>
  <c r="AY121" i="1"/>
  <c r="AY123" i="1" s="1"/>
  <c r="AX121" i="1"/>
  <c r="AX126" i="1" s="1"/>
  <c r="AW121" i="1"/>
  <c r="AW125" i="1" s="1"/>
  <c r="AV121" i="1"/>
  <c r="AV124" i="1" s="1"/>
  <c r="AU121" i="1"/>
  <c r="AU123" i="1" s="1"/>
  <c r="AT121" i="1"/>
  <c r="AT125" i="1" s="1"/>
  <c r="AS121" i="1"/>
  <c r="AS241" i="1" s="1"/>
  <c r="AR121" i="1"/>
  <c r="AR126" i="1" s="1"/>
  <c r="AQ121" i="1"/>
  <c r="AP121" i="1"/>
  <c r="AO121" i="1"/>
  <c r="AN121" i="1"/>
  <c r="AM121" i="1"/>
  <c r="AM123" i="1" s="1"/>
  <c r="AL121" i="1"/>
  <c r="AK121" i="1"/>
  <c r="AJ121" i="1"/>
  <c r="AJ123" i="1" s="1"/>
  <c r="AI121" i="1"/>
  <c r="AI123" i="1" s="1"/>
  <c r="AH121" i="1"/>
  <c r="AG121" i="1"/>
  <c r="AG241" i="1" s="1"/>
  <c r="AF121" i="1"/>
  <c r="AF241" i="1" s="1"/>
  <c r="AE121" i="1"/>
  <c r="AE241" i="1" s="1"/>
  <c r="AD121" i="1"/>
  <c r="AC121" i="1"/>
  <c r="AB121" i="1"/>
  <c r="AB125" i="1" s="1"/>
  <c r="AA121" i="1"/>
  <c r="AA125" i="1" s="1"/>
  <c r="Z121" i="1"/>
  <c r="Z126" i="1" s="1"/>
  <c r="Y121" i="1"/>
  <c r="Y125" i="1" s="1"/>
  <c r="X121" i="1"/>
  <c r="X241" i="1" s="1"/>
  <c r="W121" i="1"/>
  <c r="V121" i="1"/>
  <c r="U121" i="1"/>
  <c r="U241" i="1" s="1"/>
  <c r="T121" i="1"/>
  <c r="T241" i="1" s="1"/>
  <c r="S121" i="1"/>
  <c r="S241" i="1" s="1"/>
  <c r="R121" i="1"/>
  <c r="Q121" i="1"/>
  <c r="Q125" i="1" s="1"/>
  <c r="P121" i="1"/>
  <c r="O121" i="1"/>
  <c r="O126" i="1" s="1"/>
  <c r="N121" i="1"/>
  <c r="M121" i="1"/>
  <c r="M125" i="1" s="1"/>
  <c r="L121" i="1"/>
  <c r="K121" i="1"/>
  <c r="K123" i="1" s="1"/>
  <c r="J121" i="1"/>
  <c r="J125" i="1" s="1"/>
  <c r="I121" i="1"/>
  <c r="I241" i="1" s="1"/>
  <c r="H121" i="1"/>
  <c r="G121" i="1"/>
  <c r="F121" i="1"/>
  <c r="E121" i="1"/>
  <c r="D121" i="1"/>
  <c r="D125" i="1" s="1"/>
  <c r="C121" i="1"/>
  <c r="BW120" i="1"/>
  <c r="BV120" i="1"/>
  <c r="BU120" i="1"/>
  <c r="BT120" i="1"/>
  <c r="BS120" i="1"/>
  <c r="BR120" i="1"/>
  <c r="BQ120" i="1"/>
  <c r="BP120" i="1"/>
  <c r="BO120" i="1"/>
  <c r="BO121" i="1" s="1"/>
  <c r="BO126" i="1" s="1"/>
  <c r="BN120" i="1"/>
  <c r="BM120" i="1"/>
  <c r="BL120" i="1"/>
  <c r="BW119" i="1"/>
  <c r="BV119" i="1"/>
  <c r="BU119" i="1"/>
  <c r="BT119" i="1"/>
  <c r="BS119" i="1"/>
  <c r="BR119" i="1"/>
  <c r="BQ119" i="1"/>
  <c r="BP119" i="1"/>
  <c r="BO119" i="1"/>
  <c r="BN119" i="1"/>
  <c r="BM119" i="1"/>
  <c r="BL119" i="1"/>
  <c r="BJ119" i="1"/>
  <c r="BW118" i="1"/>
  <c r="BV118" i="1"/>
  <c r="BU118" i="1"/>
  <c r="BT118" i="1"/>
  <c r="BS118" i="1"/>
  <c r="BR118" i="1"/>
  <c r="BQ118" i="1"/>
  <c r="BP118" i="1"/>
  <c r="BO118" i="1"/>
  <c r="BN118" i="1"/>
  <c r="BM118" i="1"/>
  <c r="BL118" i="1"/>
  <c r="BW117" i="1"/>
  <c r="BV117" i="1"/>
  <c r="BU117" i="1"/>
  <c r="BT117" i="1"/>
  <c r="BS117" i="1"/>
  <c r="BR117" i="1"/>
  <c r="BQ117" i="1"/>
  <c r="BP117" i="1"/>
  <c r="BO117" i="1"/>
  <c r="BN117" i="1"/>
  <c r="BM117" i="1"/>
  <c r="BL117" i="1"/>
  <c r="BK117" i="1"/>
  <c r="AM114" i="1"/>
  <c r="AL114" i="1"/>
  <c r="AK114" i="1"/>
  <c r="R114" i="1"/>
  <c r="J114" i="1"/>
  <c r="C114" i="1"/>
  <c r="AT113" i="1"/>
  <c r="AS113" i="1"/>
  <c r="AR113" i="1"/>
  <c r="AQ113" i="1"/>
  <c r="I113" i="1"/>
  <c r="H113" i="1"/>
  <c r="AU112" i="1"/>
  <c r="AN112" i="1"/>
  <c r="AH112" i="1"/>
  <c r="AG112" i="1"/>
  <c r="V112" i="1"/>
  <c r="U112" i="1"/>
  <c r="J112" i="1"/>
  <c r="AV111" i="1"/>
  <c r="AT111" i="1"/>
  <c r="AQ111" i="1"/>
  <c r="AH111" i="1"/>
  <c r="AA111" i="1"/>
  <c r="Z111" i="1"/>
  <c r="V111" i="1"/>
  <c r="S111" i="1"/>
  <c r="L111" i="1"/>
  <c r="J111" i="1"/>
  <c r="BK109" i="1"/>
  <c r="BK81" i="1" s="1"/>
  <c r="BK38" i="1" s="1"/>
  <c r="BK7" i="11" s="1"/>
  <c r="BK9" i="11" s="1"/>
  <c r="BK10" i="11" s="1"/>
  <c r="BK41" i="1" s="1"/>
  <c r="BK14" i="9" s="1"/>
  <c r="BJ109" i="1"/>
  <c r="BJ111" i="1" s="1"/>
  <c r="AY109" i="1"/>
  <c r="AY114" i="1" s="1"/>
  <c r="AX109" i="1"/>
  <c r="AX114" i="1" s="1"/>
  <c r="AW109" i="1"/>
  <c r="AW114" i="1" s="1"/>
  <c r="AV109" i="1"/>
  <c r="AU109" i="1"/>
  <c r="AT109" i="1"/>
  <c r="AT114" i="1" s="1"/>
  <c r="AS109" i="1"/>
  <c r="AR109" i="1"/>
  <c r="AR111" i="1" s="1"/>
  <c r="AQ109" i="1"/>
  <c r="AQ112" i="1" s="1"/>
  <c r="AP109" i="1"/>
  <c r="AO109" i="1"/>
  <c r="AN109" i="1"/>
  <c r="AN111" i="1" s="1"/>
  <c r="AM109" i="1"/>
  <c r="AM111" i="1" s="1"/>
  <c r="AL109" i="1"/>
  <c r="AL111" i="1" s="1"/>
  <c r="AK109" i="1"/>
  <c r="AK113" i="1" s="1"/>
  <c r="AJ109" i="1"/>
  <c r="AJ111" i="1" s="1"/>
  <c r="AI109" i="1"/>
  <c r="AH109" i="1"/>
  <c r="AH114" i="1" s="1"/>
  <c r="AG109" i="1"/>
  <c r="AF109" i="1"/>
  <c r="AE109" i="1"/>
  <c r="AE114" i="1" s="1"/>
  <c r="AD109" i="1"/>
  <c r="AD81" i="1" s="1"/>
  <c r="AC109" i="1"/>
  <c r="AB109" i="1"/>
  <c r="AB114" i="1" s="1"/>
  <c r="AA109" i="1"/>
  <c r="AA114" i="1" s="1"/>
  <c r="Z109" i="1"/>
  <c r="Z114" i="1" s="1"/>
  <c r="Y109" i="1"/>
  <c r="Y112" i="1" s="1"/>
  <c r="X109" i="1"/>
  <c r="X112" i="1" s="1"/>
  <c r="W109" i="1"/>
  <c r="V109" i="1"/>
  <c r="U109" i="1"/>
  <c r="T109" i="1"/>
  <c r="T113" i="1" s="1"/>
  <c r="S109" i="1"/>
  <c r="S114" i="1" s="1"/>
  <c r="R109" i="1"/>
  <c r="R81" i="1" s="1"/>
  <c r="Q109" i="1"/>
  <c r="Q114" i="1" s="1"/>
  <c r="P109" i="1"/>
  <c r="P114" i="1" s="1"/>
  <c r="O109" i="1"/>
  <c r="O114" i="1" s="1"/>
  <c r="N109" i="1"/>
  <c r="N114" i="1" s="1"/>
  <c r="M109" i="1"/>
  <c r="M112" i="1" s="1"/>
  <c r="L109" i="1"/>
  <c r="L81" i="1" s="1"/>
  <c r="K109" i="1"/>
  <c r="J109" i="1"/>
  <c r="J113" i="1" s="1"/>
  <c r="I109" i="1"/>
  <c r="H109" i="1"/>
  <c r="H111" i="1" s="1"/>
  <c r="G109" i="1"/>
  <c r="G112" i="1" s="1"/>
  <c r="F109" i="1"/>
  <c r="F81" i="1" s="1"/>
  <c r="E109" i="1"/>
  <c r="D109" i="1"/>
  <c r="D111" i="1" s="1"/>
  <c r="C109" i="1"/>
  <c r="C111" i="1" s="1"/>
  <c r="BW108" i="1"/>
  <c r="BV108" i="1"/>
  <c r="BU108" i="1"/>
  <c r="BU114" i="1" s="1"/>
  <c r="BT108" i="1"/>
  <c r="BS108" i="1"/>
  <c r="BR108" i="1"/>
  <c r="BQ108" i="1"/>
  <c r="BP108" i="1"/>
  <c r="BO108" i="1"/>
  <c r="BN108" i="1"/>
  <c r="BM108" i="1"/>
  <c r="BL108" i="1"/>
  <c r="BK108" i="1"/>
  <c r="BK120" i="1" s="1"/>
  <c r="BJ108" i="1"/>
  <c r="BJ120" i="1" s="1"/>
  <c r="BW107" i="1"/>
  <c r="BW109" i="1" s="1"/>
  <c r="BW113" i="1" s="1"/>
  <c r="BV107" i="1"/>
  <c r="BU107" i="1"/>
  <c r="BU113" i="1" s="1"/>
  <c r="BT107" i="1"/>
  <c r="BS107" i="1"/>
  <c r="BR107" i="1"/>
  <c r="BQ107" i="1"/>
  <c r="BP107" i="1"/>
  <c r="BO107" i="1"/>
  <c r="BN107" i="1"/>
  <c r="BM107" i="1"/>
  <c r="BL107" i="1"/>
  <c r="BK107" i="1"/>
  <c r="BK119" i="1" s="1"/>
  <c r="BJ107" i="1"/>
  <c r="BW106" i="1"/>
  <c r="BV106" i="1"/>
  <c r="BU106" i="1"/>
  <c r="BU112" i="1" s="1"/>
  <c r="BT106" i="1"/>
  <c r="BS106" i="1"/>
  <c r="BR106" i="1"/>
  <c r="BQ106" i="1"/>
  <c r="BP106" i="1"/>
  <c r="BO106" i="1"/>
  <c r="BN106" i="1"/>
  <c r="BM106" i="1"/>
  <c r="BL106" i="1"/>
  <c r="BK106" i="1"/>
  <c r="BK118" i="1" s="1"/>
  <c r="BJ106" i="1"/>
  <c r="BJ118" i="1" s="1"/>
  <c r="BW105" i="1"/>
  <c r="BV105" i="1"/>
  <c r="BV109" i="1" s="1"/>
  <c r="BV114" i="1" s="1"/>
  <c r="BU105" i="1"/>
  <c r="BU111" i="1" s="1"/>
  <c r="BU115" i="1" s="1"/>
  <c r="BT105" i="1"/>
  <c r="BS105" i="1"/>
  <c r="BR105" i="1"/>
  <c r="BQ105" i="1"/>
  <c r="BP105" i="1"/>
  <c r="BO105" i="1"/>
  <c r="BO109" i="1" s="1"/>
  <c r="BO81" i="1" s="1"/>
  <c r="BN105" i="1"/>
  <c r="BM105" i="1"/>
  <c r="BL105" i="1"/>
  <c r="BK105" i="1"/>
  <c r="BJ105" i="1"/>
  <c r="BJ117" i="1" s="1"/>
  <c r="BW102" i="1"/>
  <c r="BV102" i="1"/>
  <c r="BU102" i="1"/>
  <c r="BT102" i="1"/>
  <c r="BS102" i="1"/>
  <c r="BR102" i="1"/>
  <c r="AY102" i="1"/>
  <c r="AX102" i="1"/>
  <c r="AW102" i="1"/>
  <c r="AV102" i="1"/>
  <c r="AU102" i="1"/>
  <c r="AT102" i="1"/>
  <c r="AS102" i="1"/>
  <c r="AR102" i="1"/>
  <c r="AQ102" i="1"/>
  <c r="AP102" i="1"/>
  <c r="AO102" i="1"/>
  <c r="AN102" i="1"/>
  <c r="AM102" i="1"/>
  <c r="AL102" i="1"/>
  <c r="AK102" i="1"/>
  <c r="AJ102" i="1"/>
  <c r="AI102" i="1"/>
  <c r="AH102" i="1"/>
  <c r="AY98" i="1"/>
  <c r="BS97" i="1"/>
  <c r="AY97" i="1"/>
  <c r="AY99" i="1" s="1"/>
  <c r="AU97" i="1"/>
  <c r="AI97" i="1"/>
  <c r="BW95" i="1"/>
  <c r="BW98" i="1" s="1"/>
  <c r="BV95" i="1"/>
  <c r="BU95" i="1"/>
  <c r="BT95" i="1"/>
  <c r="BS95" i="1"/>
  <c r="BR95" i="1"/>
  <c r="AY95" i="1"/>
  <c r="AX95" i="1"/>
  <c r="AW95" i="1"/>
  <c r="AV95" i="1"/>
  <c r="AV963" i="1" s="1"/>
  <c r="AU95" i="1"/>
  <c r="AT95" i="1"/>
  <c r="AS95" i="1"/>
  <c r="AS963" i="1" s="1"/>
  <c r="AR95" i="1"/>
  <c r="AQ95" i="1"/>
  <c r="AP95" i="1"/>
  <c r="AO95" i="1"/>
  <c r="AO98" i="1" s="1"/>
  <c r="AN95" i="1"/>
  <c r="AN98" i="1" s="1"/>
  <c r="AM95" i="1"/>
  <c r="AM963" i="1" s="1"/>
  <c r="AL95" i="1"/>
  <c r="AK95" i="1"/>
  <c r="AJ95" i="1"/>
  <c r="AI95" i="1"/>
  <c r="AH95" i="1"/>
  <c r="BQ85" i="1"/>
  <c r="BO85" i="1"/>
  <c r="BN85" i="1"/>
  <c r="BM85" i="1"/>
  <c r="BL85" i="1"/>
  <c r="BK85" i="1"/>
  <c r="BJ85" i="1"/>
  <c r="AV85" i="1"/>
  <c r="AV90" i="1" s="1"/>
  <c r="AG85" i="1"/>
  <c r="AF85" i="1"/>
  <c r="AE85" i="1"/>
  <c r="AC85" i="1"/>
  <c r="AA85" i="1"/>
  <c r="Y85" i="1"/>
  <c r="X85" i="1"/>
  <c r="W85" i="1"/>
  <c r="U85" i="1"/>
  <c r="T85" i="1"/>
  <c r="S85" i="1"/>
  <c r="Q85" i="1"/>
  <c r="P85" i="1"/>
  <c r="O85" i="1"/>
  <c r="L85" i="1"/>
  <c r="K85" i="1"/>
  <c r="I85" i="1"/>
  <c r="F85" i="1"/>
  <c r="E85" i="1"/>
  <c r="D85" i="1"/>
  <c r="C85" i="1"/>
  <c r="BW83" i="1"/>
  <c r="BW199" i="1" s="1"/>
  <c r="BV83" i="1"/>
  <c r="BV85" i="1" s="1"/>
  <c r="BU83" i="1"/>
  <c r="BT83" i="1"/>
  <c r="BT101" i="1" s="1"/>
  <c r="BS83" i="1"/>
  <c r="BS101" i="1" s="1"/>
  <c r="BR83" i="1"/>
  <c r="BR101" i="1" s="1"/>
  <c r="AY83" i="1"/>
  <c r="AX83" i="1"/>
  <c r="AX101" i="1" s="1"/>
  <c r="AW83" i="1"/>
  <c r="AW101" i="1" s="1"/>
  <c r="AV83" i="1"/>
  <c r="AV101" i="1" s="1"/>
  <c r="AU83" i="1"/>
  <c r="AU101" i="1" s="1"/>
  <c r="AT83" i="1"/>
  <c r="AT101" i="1" s="1"/>
  <c r="AS83" i="1"/>
  <c r="AS101" i="1" s="1"/>
  <c r="AR83" i="1"/>
  <c r="AR101" i="1" s="1"/>
  <c r="AQ83" i="1"/>
  <c r="AQ101" i="1" s="1"/>
  <c r="AP83" i="1"/>
  <c r="AP101" i="1" s="1"/>
  <c r="AO83" i="1"/>
  <c r="AO101" i="1" s="1"/>
  <c r="AN83" i="1"/>
  <c r="AM83" i="1"/>
  <c r="AL83" i="1"/>
  <c r="AL101" i="1" s="1"/>
  <c r="AK83" i="1"/>
  <c r="AK101" i="1" s="1"/>
  <c r="AJ83" i="1"/>
  <c r="AJ101" i="1" s="1"/>
  <c r="AI83" i="1"/>
  <c r="AI101" i="1" s="1"/>
  <c r="AH83" i="1"/>
  <c r="AH101" i="1" s="1"/>
  <c r="BJ81" i="1"/>
  <c r="BJ38" i="1" s="1"/>
  <c r="BK40" i="1" s="1"/>
  <c r="BK15" i="9" s="1"/>
  <c r="AG81" i="1"/>
  <c r="AG38" i="1" s="1"/>
  <c r="AG7" i="11" s="1"/>
  <c r="AG9" i="11" s="1"/>
  <c r="AF81" i="1"/>
  <c r="AC81" i="1"/>
  <c r="AC38" i="1" s="1"/>
  <c r="AB81" i="1"/>
  <c r="AA81" i="1"/>
  <c r="Z81" i="1"/>
  <c r="V81" i="1"/>
  <c r="V38" i="1" s="1"/>
  <c r="V7" i="11" s="1"/>
  <c r="V9" i="11" s="1"/>
  <c r="U81" i="1"/>
  <c r="U38" i="1" s="1"/>
  <c r="U7" i="11" s="1"/>
  <c r="U9" i="11" s="1"/>
  <c r="T81" i="1"/>
  <c r="T38" i="1" s="1"/>
  <c r="T7" i="11" s="1"/>
  <c r="T9" i="11" s="1"/>
  <c r="Q81" i="1"/>
  <c r="Q38" i="1" s="1"/>
  <c r="P81" i="1"/>
  <c r="O81" i="1"/>
  <c r="N81" i="1"/>
  <c r="J81" i="1"/>
  <c r="J38" i="1" s="1"/>
  <c r="J7" i="11" s="1"/>
  <c r="J9" i="11" s="1"/>
  <c r="I81" i="1"/>
  <c r="I38" i="1" s="1"/>
  <c r="I7" i="11" s="1"/>
  <c r="I9" i="11" s="1"/>
  <c r="H81" i="1"/>
  <c r="E81" i="1"/>
  <c r="E38" i="1" s="1"/>
  <c r="E7" i="11" s="1"/>
  <c r="E9" i="11" s="1"/>
  <c r="E10" i="11" s="1"/>
  <c r="E41" i="1" s="1"/>
  <c r="E14" i="9" s="1"/>
  <c r="D81" i="1"/>
  <c r="C81" i="1"/>
  <c r="AY79" i="1"/>
  <c r="AX79" i="1"/>
  <c r="AW79" i="1"/>
  <c r="AV79" i="1"/>
  <c r="AU79" i="1"/>
  <c r="AT79" i="1"/>
  <c r="AS79" i="1"/>
  <c r="AR79" i="1"/>
  <c r="AQ79" i="1"/>
  <c r="AP79" i="1"/>
  <c r="AO79" i="1"/>
  <c r="AN79" i="1"/>
  <c r="AM79" i="1"/>
  <c r="BW78" i="1"/>
  <c r="BV78" i="1"/>
  <c r="BU78" i="1"/>
  <c r="BT78" i="1"/>
  <c r="BS78" i="1"/>
  <c r="BR78" i="1"/>
  <c r="BQ78" i="1"/>
  <c r="AY78" i="1"/>
  <c r="AW78" i="1"/>
  <c r="AV78" i="1"/>
  <c r="AU78" i="1"/>
  <c r="AS78" i="1"/>
  <c r="AR78" i="1"/>
  <c r="AQ78" i="1"/>
  <c r="AO78" i="1"/>
  <c r="AN78" i="1"/>
  <c r="AM78" i="1"/>
  <c r="AK78" i="1"/>
  <c r="AJ78" i="1"/>
  <c r="AI78" i="1"/>
  <c r="AG78" i="1"/>
  <c r="AF78" i="1"/>
  <c r="AE78" i="1"/>
  <c r="AC78" i="1"/>
  <c r="AB78" i="1"/>
  <c r="AA78" i="1"/>
  <c r="CB75" i="1"/>
  <c r="CA75" i="1"/>
  <c r="BF75" i="1"/>
  <c r="BE75" i="1"/>
  <c r="BD75" i="1"/>
  <c r="BW72" i="1"/>
  <c r="BV72" i="1"/>
  <c r="BU72" i="1"/>
  <c r="BV73" i="1" s="1"/>
  <c r="BT72" i="1"/>
  <c r="BT73" i="1" s="1"/>
  <c r="BS72" i="1"/>
  <c r="BR72" i="1"/>
  <c r="AY72" i="1"/>
  <c r="AX72" i="1"/>
  <c r="AX73" i="1" s="1"/>
  <c r="AW72" i="1"/>
  <c r="AV72" i="1"/>
  <c r="AU72" i="1"/>
  <c r="AU73" i="1" s="1"/>
  <c r="AT72" i="1"/>
  <c r="AT74" i="1" s="1"/>
  <c r="AS72" i="1"/>
  <c r="AS73" i="1" s="1"/>
  <c r="AR72" i="1"/>
  <c r="AR74" i="1" s="1"/>
  <c r="AQ72" i="1"/>
  <c r="AP72" i="1"/>
  <c r="AO72" i="1"/>
  <c r="AN72" i="1"/>
  <c r="AR73" i="1" s="1"/>
  <c r="AM72" i="1"/>
  <c r="AL72" i="1"/>
  <c r="AL73" i="1" s="1"/>
  <c r="AK72" i="1"/>
  <c r="AJ72" i="1"/>
  <c r="AI72" i="1"/>
  <c r="AH72" i="1"/>
  <c r="AH74" i="1" s="1"/>
  <c r="BS71" i="1"/>
  <c r="AV71" i="1"/>
  <c r="AO71" i="1"/>
  <c r="AJ71" i="1"/>
  <c r="BW67" i="1"/>
  <c r="BW69" i="1" s="1"/>
  <c r="BV67" i="1"/>
  <c r="BU67" i="1"/>
  <c r="BU69" i="1" s="1"/>
  <c r="BT67" i="1"/>
  <c r="BT69" i="1" s="1"/>
  <c r="BS67" i="1"/>
  <c r="BR67" i="1"/>
  <c r="BR71" i="1" s="1"/>
  <c r="BB67" i="1"/>
  <c r="AY67" i="1"/>
  <c r="AX67" i="1"/>
  <c r="AX71" i="1" s="1"/>
  <c r="AW67" i="1"/>
  <c r="BA67" i="1" s="1"/>
  <c r="AV67" i="1"/>
  <c r="AZ67" i="1" s="1"/>
  <c r="AU67" i="1"/>
  <c r="AT67" i="1"/>
  <c r="AS67" i="1"/>
  <c r="AR67" i="1"/>
  <c r="AQ67" i="1"/>
  <c r="AQ71" i="1" s="1"/>
  <c r="AP67" i="1"/>
  <c r="AO67" i="1"/>
  <c r="AO74" i="1" s="1"/>
  <c r="AN67" i="1"/>
  <c r="AM67" i="1"/>
  <c r="AL67" i="1"/>
  <c r="AL71" i="1" s="1"/>
  <c r="AK67" i="1"/>
  <c r="AJ67" i="1"/>
  <c r="AI67" i="1"/>
  <c r="AH67" i="1"/>
  <c r="BW61" i="1"/>
  <c r="BV61" i="1"/>
  <c r="BW62" i="1" s="1"/>
  <c r="BU61" i="1"/>
  <c r="BT61" i="1"/>
  <c r="BS61" i="1"/>
  <c r="BS62" i="1" s="1"/>
  <c r="BR61" i="1"/>
  <c r="AY61" i="1"/>
  <c r="AY62" i="1" s="1"/>
  <c r="AX61" i="1"/>
  <c r="AX62" i="1" s="1"/>
  <c r="AW61" i="1"/>
  <c r="AW62" i="1" s="1"/>
  <c r="AV61" i="1"/>
  <c r="AU61" i="1"/>
  <c r="AT61" i="1"/>
  <c r="AS61" i="1"/>
  <c r="AR61" i="1"/>
  <c r="AR62" i="1" s="1"/>
  <c r="AQ61" i="1"/>
  <c r="AU62" i="1" s="1"/>
  <c r="AP61" i="1"/>
  <c r="AO61" i="1"/>
  <c r="AN61" i="1"/>
  <c r="AM61" i="1"/>
  <c r="AM62" i="1" s="1"/>
  <c r="AL61" i="1"/>
  <c r="AL62" i="1" s="1"/>
  <c r="AK61" i="1"/>
  <c r="AJ61" i="1"/>
  <c r="AN62" i="1" s="1"/>
  <c r="AI61" i="1"/>
  <c r="AH61" i="1"/>
  <c r="AY58" i="1"/>
  <c r="AY25" i="9" s="1"/>
  <c r="AX58" i="1"/>
  <c r="AX25" i="9" s="1"/>
  <c r="AW58" i="1"/>
  <c r="AW25" i="9" s="1"/>
  <c r="AV58" i="1"/>
  <c r="AV25" i="9" s="1"/>
  <c r="AU58" i="1"/>
  <c r="AU25" i="9" s="1"/>
  <c r="AT58" i="1"/>
  <c r="AT25" i="9" s="1"/>
  <c r="AS58" i="1"/>
  <c r="AS25" i="9" s="1"/>
  <c r="AR58" i="1"/>
  <c r="AR25" i="9" s="1"/>
  <c r="AQ58" i="1"/>
  <c r="AQ25" i="9" s="1"/>
  <c r="BF57" i="1"/>
  <c r="BF24" i="9" s="1"/>
  <c r="BC57" i="1"/>
  <c r="BC24" i="9" s="1"/>
  <c r="BB57" i="1"/>
  <c r="BB24" i="9" s="1"/>
  <c r="BA57" i="1"/>
  <c r="BA24" i="9" s="1"/>
  <c r="AZ57" i="1"/>
  <c r="AZ24" i="9" s="1"/>
  <c r="BT55" i="1"/>
  <c r="AK55" i="1"/>
  <c r="BW54" i="1"/>
  <c r="BW23" i="9" s="1"/>
  <c r="BV54" i="1"/>
  <c r="BV23" i="9" s="1"/>
  <c r="BU54" i="1"/>
  <c r="BU23" i="9" s="1"/>
  <c r="BT54" i="1"/>
  <c r="BT23" i="9" s="1"/>
  <c r="BS54" i="1"/>
  <c r="BS23" i="9" s="1"/>
  <c r="BR54" i="1"/>
  <c r="BR23" i="9" s="1"/>
  <c r="AY54" i="1"/>
  <c r="AY23" i="9" s="1"/>
  <c r="AW54" i="1"/>
  <c r="AW23" i="9" s="1"/>
  <c r="AV54" i="1"/>
  <c r="AV23" i="9" s="1"/>
  <c r="AU54" i="1"/>
  <c r="AU23" i="9" s="1"/>
  <c r="AS54" i="1"/>
  <c r="AS23" i="9" s="1"/>
  <c r="AR54" i="1"/>
  <c r="AR23" i="9" s="1"/>
  <c r="AQ54" i="1"/>
  <c r="AQ23" i="9" s="1"/>
  <c r="AO54" i="1"/>
  <c r="AO23" i="9" s="1"/>
  <c r="AN54" i="1"/>
  <c r="AN23" i="9" s="1"/>
  <c r="AM54" i="1"/>
  <c r="AM23" i="9" s="1"/>
  <c r="AK54" i="1"/>
  <c r="AK23" i="9" s="1"/>
  <c r="AJ54" i="1"/>
  <c r="AJ23" i="9" s="1"/>
  <c r="AI54" i="1"/>
  <c r="AI23" i="9" s="1"/>
  <c r="AG54" i="1"/>
  <c r="AG23" i="9" s="1"/>
  <c r="AF54" i="1"/>
  <c r="AF23" i="9" s="1"/>
  <c r="AE54" i="1"/>
  <c r="AE23" i="9" s="1"/>
  <c r="AX53" i="1"/>
  <c r="AX78" i="1" s="1"/>
  <c r="AT53" i="1"/>
  <c r="AT14" i="1" s="1"/>
  <c r="AP53" i="1"/>
  <c r="AP22" i="9" s="1"/>
  <c r="AL53" i="1"/>
  <c r="AL22" i="9" s="1"/>
  <c r="AH53" i="1"/>
  <c r="AH22" i="9" s="1"/>
  <c r="AD53" i="1"/>
  <c r="AD22" i="9" s="1"/>
  <c r="BY52" i="1"/>
  <c r="AX52" i="1"/>
  <c r="AW52" i="1"/>
  <c r="AV52" i="1"/>
  <c r="AR52" i="1"/>
  <c r="AK52" i="1"/>
  <c r="AJ52" i="1"/>
  <c r="BX51" i="1"/>
  <c r="BW51" i="1"/>
  <c r="BV51" i="1"/>
  <c r="BV55" i="1" s="1"/>
  <c r="BU51" i="1"/>
  <c r="BU55" i="1" s="1"/>
  <c r="BT51" i="1"/>
  <c r="BT52" i="1" s="1"/>
  <c r="BS51" i="1"/>
  <c r="BS55" i="1" s="1"/>
  <c r="BR51" i="1"/>
  <c r="BR55" i="1" s="1"/>
  <c r="AZ51" i="1"/>
  <c r="AZ53" i="1" s="1"/>
  <c r="AY51" i="1"/>
  <c r="AY55" i="1" s="1"/>
  <c r="AX51" i="1"/>
  <c r="AW51" i="1"/>
  <c r="AW55" i="1" s="1"/>
  <c r="AV51" i="1"/>
  <c r="AV55" i="1" s="1"/>
  <c r="AU51" i="1"/>
  <c r="AU52" i="1" s="1"/>
  <c r="AT51" i="1"/>
  <c r="AT55" i="1" s="1"/>
  <c r="AS51" i="1"/>
  <c r="AS52" i="1" s="1"/>
  <c r="AR51" i="1"/>
  <c r="AR55" i="1" s="1"/>
  <c r="AQ51" i="1"/>
  <c r="AQ55" i="1" s="1"/>
  <c r="AP51" i="1"/>
  <c r="AO51" i="1"/>
  <c r="AO55" i="1" s="1"/>
  <c r="AN51" i="1"/>
  <c r="AM51" i="1"/>
  <c r="AM55" i="1" s="1"/>
  <c r="AL51" i="1"/>
  <c r="AK51" i="1"/>
  <c r="AJ51" i="1"/>
  <c r="AJ55" i="1" s="1"/>
  <c r="AI51" i="1"/>
  <c r="AI52" i="1" s="1"/>
  <c r="AH51" i="1"/>
  <c r="AG51" i="1"/>
  <c r="AG52" i="1" s="1"/>
  <c r="AF51" i="1"/>
  <c r="AF55" i="1" s="1"/>
  <c r="AE51" i="1"/>
  <c r="AE55" i="1" s="1"/>
  <c r="AD51" i="1"/>
  <c r="AC51" i="1"/>
  <c r="AC55" i="1" s="1"/>
  <c r="AB51" i="1"/>
  <c r="AA51" i="1"/>
  <c r="AA55" i="1" s="1"/>
  <c r="AP45" i="1"/>
  <c r="AP16" i="9" s="1"/>
  <c r="BW43" i="1"/>
  <c r="BW45" i="1" s="1"/>
  <c r="BW16" i="9" s="1"/>
  <c r="BV43" i="1"/>
  <c r="BU43" i="1"/>
  <c r="BT43" i="1"/>
  <c r="BT45" i="1" s="1"/>
  <c r="BT16" i="9" s="1"/>
  <c r="BS43" i="1"/>
  <c r="BR43" i="1"/>
  <c r="AY43" i="1"/>
  <c r="AX43" i="1"/>
  <c r="AW43" i="1"/>
  <c r="AV43" i="1"/>
  <c r="AV45" i="1" s="1"/>
  <c r="AV16" i="9" s="1"/>
  <c r="AU43" i="1"/>
  <c r="AT43" i="1"/>
  <c r="AT45" i="1" s="1"/>
  <c r="AT16" i="9" s="1"/>
  <c r="AS43" i="1"/>
  <c r="AS45" i="1" s="1"/>
  <c r="AS16" i="9" s="1"/>
  <c r="AR43" i="1"/>
  <c r="AQ43" i="1"/>
  <c r="AP43" i="1"/>
  <c r="AO43" i="1"/>
  <c r="AO45" i="1" s="1"/>
  <c r="AO16" i="9" s="1"/>
  <c r="AN43" i="1"/>
  <c r="AM43" i="1"/>
  <c r="AL43" i="1"/>
  <c r="AK43" i="1"/>
  <c r="AJ43" i="1"/>
  <c r="AI43" i="1"/>
  <c r="AH43" i="1"/>
  <c r="A43" i="1"/>
  <c r="AV39" i="1"/>
  <c r="AP39" i="1"/>
  <c r="BW38" i="1"/>
  <c r="BW7" i="11" s="1"/>
  <c r="BW9" i="11" s="1"/>
  <c r="BV38" i="1"/>
  <c r="BV7" i="11" s="1"/>
  <c r="BV9" i="11" s="1"/>
  <c r="BV10" i="11" s="1"/>
  <c r="BV41" i="1" s="1"/>
  <c r="BV14" i="9" s="1"/>
  <c r="BU38" i="1"/>
  <c r="BU7" i="11" s="1"/>
  <c r="BU9" i="11" s="1"/>
  <c r="BT38" i="1"/>
  <c r="BT7" i="11" s="1"/>
  <c r="BT9" i="11" s="1"/>
  <c r="BS38" i="1"/>
  <c r="BS7" i="11" s="1"/>
  <c r="BS9" i="11" s="1"/>
  <c r="BR38" i="1"/>
  <c r="BO38" i="1"/>
  <c r="BO7" i="11" s="1"/>
  <c r="BO9" i="11" s="1"/>
  <c r="AY38" i="1"/>
  <c r="AY7" i="11" s="1"/>
  <c r="AY9" i="11" s="1"/>
  <c r="AY10" i="11" s="1"/>
  <c r="AY41" i="1" s="1"/>
  <c r="AY14" i="9" s="1"/>
  <c r="AX38" i="1"/>
  <c r="AX7" i="11" s="1"/>
  <c r="AX9" i="11" s="1"/>
  <c r="AX10" i="11" s="1"/>
  <c r="AX41" i="1" s="1"/>
  <c r="AX14" i="9" s="1"/>
  <c r="AW38" i="1"/>
  <c r="AW7" i="11" s="1"/>
  <c r="AW9" i="11" s="1"/>
  <c r="AV38" i="1"/>
  <c r="AV7" i="11" s="1"/>
  <c r="AV9" i="11" s="1"/>
  <c r="AU38" i="1"/>
  <c r="AU7" i="11" s="1"/>
  <c r="AU9" i="11" s="1"/>
  <c r="AT38" i="1"/>
  <c r="AT7" i="11" s="1"/>
  <c r="AT9" i="11" s="1"/>
  <c r="AS38" i="1"/>
  <c r="AS7" i="11" s="1"/>
  <c r="AS9" i="11" s="1"/>
  <c r="AS10" i="11" s="1"/>
  <c r="AS41" i="1" s="1"/>
  <c r="AS14" i="9" s="1"/>
  <c r="AR38" i="1"/>
  <c r="AR7" i="11" s="1"/>
  <c r="AR9" i="11" s="1"/>
  <c r="AQ38" i="1"/>
  <c r="AQ7" i="11" s="1"/>
  <c r="AQ9" i="11" s="1"/>
  <c r="AP38" i="1"/>
  <c r="AP7" i="11" s="1"/>
  <c r="AP9" i="11" s="1"/>
  <c r="AO38" i="1"/>
  <c r="AO7" i="11" s="1"/>
  <c r="AO9" i="11" s="1"/>
  <c r="AN38" i="1"/>
  <c r="AN7" i="11" s="1"/>
  <c r="AN9" i="11" s="1"/>
  <c r="AM38" i="1"/>
  <c r="AL38" i="1"/>
  <c r="AL7" i="11" s="1"/>
  <c r="AL9" i="11" s="1"/>
  <c r="AL10" i="11" s="1"/>
  <c r="AL41" i="1" s="1"/>
  <c r="AL14" i="9" s="1"/>
  <c r="AK38" i="1"/>
  <c r="AK7" i="11" s="1"/>
  <c r="AK9" i="11" s="1"/>
  <c r="AJ38" i="1"/>
  <c r="AI38" i="1"/>
  <c r="AI7" i="11" s="1"/>
  <c r="AI9" i="11" s="1"/>
  <c r="AH38" i="1"/>
  <c r="AH7" i="11" s="1"/>
  <c r="AH9" i="11" s="1"/>
  <c r="AF38" i="1"/>
  <c r="AF7" i="11" s="1"/>
  <c r="AF9" i="11" s="1"/>
  <c r="AD38" i="1"/>
  <c r="AB38" i="1"/>
  <c r="AB7" i="11" s="1"/>
  <c r="AB9" i="11" s="1"/>
  <c r="AA38" i="1"/>
  <c r="Z38" i="1"/>
  <c r="Z7" i="11" s="1"/>
  <c r="Z9" i="11" s="1"/>
  <c r="Z10" i="11" s="1"/>
  <c r="Z41" i="1" s="1"/>
  <c r="Z14" i="9" s="1"/>
  <c r="R38" i="1"/>
  <c r="R7" i="11" s="1"/>
  <c r="R9" i="11" s="1"/>
  <c r="P38" i="1"/>
  <c r="P7" i="11" s="1"/>
  <c r="P9" i="11" s="1"/>
  <c r="O38" i="1"/>
  <c r="O7" i="11" s="1"/>
  <c r="O9" i="11" s="1"/>
  <c r="N38" i="1"/>
  <c r="N7" i="11" s="1"/>
  <c r="N9" i="11" s="1"/>
  <c r="N10" i="11" s="1"/>
  <c r="N41" i="1" s="1"/>
  <c r="N14" i="9" s="1"/>
  <c r="L38" i="1"/>
  <c r="L7" i="11" s="1"/>
  <c r="L9" i="11" s="1"/>
  <c r="H38" i="1"/>
  <c r="H7" i="11" s="1"/>
  <c r="H9" i="11" s="1"/>
  <c r="F38" i="1"/>
  <c r="F7" i="11" s="1"/>
  <c r="F9" i="11" s="1"/>
  <c r="F10" i="11" s="1"/>
  <c r="F41" i="1" s="1"/>
  <c r="F14" i="9" s="1"/>
  <c r="D38" i="1"/>
  <c r="D7" i="11" s="1"/>
  <c r="D9" i="11" s="1"/>
  <c r="D10" i="11" s="1"/>
  <c r="D41" i="1" s="1"/>
  <c r="D14" i="9" s="1"/>
  <c r="C38" i="1"/>
  <c r="C7" i="11" s="1"/>
  <c r="C9" i="11" s="1"/>
  <c r="C10" i="11" s="1"/>
  <c r="C41" i="1" s="1"/>
  <c r="C14" i="9" s="1"/>
  <c r="A38" i="1"/>
  <c r="R35" i="1"/>
  <c r="BT33" i="1"/>
  <c r="BQ33" i="1"/>
  <c r="BN33" i="1"/>
  <c r="BN35" i="1" s="1"/>
  <c r="BL33" i="1"/>
  <c r="AR33" i="1"/>
  <c r="AQ33" i="1"/>
  <c r="AF33" i="1"/>
  <c r="AC33" i="1"/>
  <c r="AB33" i="1"/>
  <c r="AB35" i="1" s="1"/>
  <c r="AA33" i="1"/>
  <c r="Y33" i="1"/>
  <c r="X33" i="1"/>
  <c r="V33" i="1"/>
  <c r="V35" i="1" s="1"/>
  <c r="T33" i="1"/>
  <c r="S33" i="1"/>
  <c r="R33" i="1"/>
  <c r="Q33" i="1"/>
  <c r="P33" i="1"/>
  <c r="P35" i="1" s="1"/>
  <c r="J33" i="1"/>
  <c r="J35" i="1" s="1"/>
  <c r="G33" i="1"/>
  <c r="F33" i="1"/>
  <c r="F35" i="1" s="1"/>
  <c r="E33" i="1"/>
  <c r="D33" i="1"/>
  <c r="BW32" i="1"/>
  <c r="BV32" i="1"/>
  <c r="BU32" i="1"/>
  <c r="BT32" i="1"/>
  <c r="BS32" i="1"/>
  <c r="BR32" i="1"/>
  <c r="AY32" i="1"/>
  <c r="AX32" i="1"/>
  <c r="AW32" i="1"/>
  <c r="AV32" i="1"/>
  <c r="AU32" i="1"/>
  <c r="AT32" i="1"/>
  <c r="AS32" i="1"/>
  <c r="AR32" i="1"/>
  <c r="AQ32" i="1"/>
  <c r="AP32" i="1"/>
  <c r="AO32" i="1"/>
  <c r="AN32" i="1"/>
  <c r="AM32" i="1"/>
  <c r="AL32" i="1"/>
  <c r="AK32" i="1"/>
  <c r="AJ32" i="1"/>
  <c r="AI32" i="1"/>
  <c r="AH32" i="1"/>
  <c r="BW31" i="1"/>
  <c r="BW33" i="1" s="1"/>
  <c r="BV31" i="1"/>
  <c r="BV33" i="1" s="1"/>
  <c r="BU31" i="1"/>
  <c r="BU33" i="1" s="1"/>
  <c r="BT31" i="1"/>
  <c r="BS31" i="1"/>
  <c r="BS33" i="1" s="1"/>
  <c r="BR31" i="1"/>
  <c r="BR33" i="1" s="1"/>
  <c r="AY31" i="1"/>
  <c r="AY33" i="1" s="1"/>
  <c r="AX31" i="1"/>
  <c r="AX33" i="1" s="1"/>
  <c r="AW31" i="1"/>
  <c r="AW33" i="1" s="1"/>
  <c r="AV31" i="1"/>
  <c r="AV33" i="1" s="1"/>
  <c r="AU31" i="1"/>
  <c r="AU33" i="1" s="1"/>
  <c r="AT31" i="1"/>
  <c r="AT33" i="1" s="1"/>
  <c r="AS31" i="1"/>
  <c r="AS33" i="1" s="1"/>
  <c r="AR31" i="1"/>
  <c r="AQ31" i="1"/>
  <c r="AP31" i="1"/>
  <c r="AP33" i="1" s="1"/>
  <c r="AO31" i="1"/>
  <c r="AO33" i="1" s="1"/>
  <c r="AN31" i="1"/>
  <c r="AM31" i="1"/>
  <c r="AM33" i="1" s="1"/>
  <c r="AL31" i="1"/>
  <c r="AL33" i="1" s="1"/>
  <c r="AK31" i="1"/>
  <c r="AK33" i="1" s="1"/>
  <c r="AJ31" i="1"/>
  <c r="AJ33" i="1" s="1"/>
  <c r="AI31" i="1"/>
  <c r="AI33" i="1" s="1"/>
  <c r="AH31" i="1"/>
  <c r="AH33" i="1" s="1"/>
  <c r="A29" i="1"/>
  <c r="A20" i="9" s="1"/>
  <c r="BI28" i="1"/>
  <c r="BI19" i="9" s="1"/>
  <c r="AG28" i="1"/>
  <c r="AG19" i="9" s="1"/>
  <c r="P28" i="1"/>
  <c r="P19" i="9" s="1"/>
  <c r="A26" i="1"/>
  <c r="BQ25" i="1"/>
  <c r="BQ28" i="1" s="1"/>
  <c r="BQ19" i="9" s="1"/>
  <c r="BP25" i="1"/>
  <c r="BO25" i="1"/>
  <c r="BN25" i="1"/>
  <c r="BM25" i="1"/>
  <c r="BL25" i="1"/>
  <c r="BM28" i="1" s="1"/>
  <c r="BM19" i="9" s="1"/>
  <c r="BK25" i="1"/>
  <c r="BJ25" i="1"/>
  <c r="BI25" i="1"/>
  <c r="BH25" i="1"/>
  <c r="AG25" i="1"/>
  <c r="AF25" i="1"/>
  <c r="AE25" i="1"/>
  <c r="AE28" i="1" s="1"/>
  <c r="AE19" i="9" s="1"/>
  <c r="AD25" i="1"/>
  <c r="AC25" i="1"/>
  <c r="AB25" i="1"/>
  <c r="AB28" i="1" s="1"/>
  <c r="AB19" i="9" s="1"/>
  <c r="AA25" i="1"/>
  <c r="AA28" i="1" s="1"/>
  <c r="AA19" i="9" s="1"/>
  <c r="Y25" i="1"/>
  <c r="X25" i="1"/>
  <c r="W25" i="1"/>
  <c r="V25" i="1"/>
  <c r="U25" i="1"/>
  <c r="U28" i="1" s="1"/>
  <c r="U19" i="9" s="1"/>
  <c r="T25" i="1"/>
  <c r="S25" i="1"/>
  <c r="S28" i="1" s="1"/>
  <c r="S19" i="9" s="1"/>
  <c r="R25" i="1"/>
  <c r="Q25" i="1"/>
  <c r="Q35" i="1" s="1"/>
  <c r="P25" i="1"/>
  <c r="O25" i="1"/>
  <c r="O28" i="1" s="1"/>
  <c r="O19" i="9" s="1"/>
  <c r="N25" i="1"/>
  <c r="N28" i="1" s="1"/>
  <c r="N19" i="9" s="1"/>
  <c r="M25" i="1"/>
  <c r="L25" i="1"/>
  <c r="K25" i="1"/>
  <c r="J25" i="1"/>
  <c r="J27" i="1" s="1"/>
  <c r="I25" i="1"/>
  <c r="I28" i="1" s="1"/>
  <c r="I19" i="9" s="1"/>
  <c r="H25" i="1"/>
  <c r="G25" i="1"/>
  <c r="G28" i="1" s="1"/>
  <c r="G19" i="9" s="1"/>
  <c r="F25" i="1"/>
  <c r="E25" i="1"/>
  <c r="D25" i="1"/>
  <c r="C25" i="1"/>
  <c r="D27" i="1" s="1"/>
  <c r="BT23" i="1"/>
  <c r="BT18" i="9" s="1"/>
  <c r="BW21" i="1"/>
  <c r="BV21" i="1"/>
  <c r="BV23" i="1" s="1"/>
  <c r="BV18" i="9" s="1"/>
  <c r="BU21" i="1"/>
  <c r="BT21" i="1"/>
  <c r="BS21" i="1"/>
  <c r="BR21" i="1"/>
  <c r="BB21" i="1"/>
  <c r="AY21" i="1"/>
  <c r="AX21" i="1"/>
  <c r="AW21" i="1"/>
  <c r="AV21" i="1"/>
  <c r="AW22" i="1" s="1"/>
  <c r="AU21" i="1"/>
  <c r="AT21" i="1"/>
  <c r="AT23" i="1" s="1"/>
  <c r="AT18" i="9" s="1"/>
  <c r="AS21" i="1"/>
  <c r="AR21" i="1"/>
  <c r="AV23" i="1" s="1"/>
  <c r="AV18" i="9" s="1"/>
  <c r="AQ21" i="1"/>
  <c r="AU23" i="1" s="1"/>
  <c r="AU18" i="9" s="1"/>
  <c r="AP21" i="1"/>
  <c r="AO21" i="1"/>
  <c r="AS23" i="1" s="1"/>
  <c r="AS18" i="9" s="1"/>
  <c r="AN21" i="1"/>
  <c r="AN23" i="1" s="1"/>
  <c r="AN18" i="9" s="1"/>
  <c r="AM21" i="1"/>
  <c r="AL21" i="1"/>
  <c r="AK21" i="1"/>
  <c r="AJ21" i="1"/>
  <c r="AK22" i="1" s="1"/>
  <c r="AI21" i="1"/>
  <c r="AH21" i="1"/>
  <c r="AL23" i="1" s="1"/>
  <c r="AL18" i="9" s="1"/>
  <c r="BF15" i="1"/>
  <c r="BC15" i="1"/>
  <c r="BB15" i="1"/>
  <c r="BA15" i="1"/>
  <c r="AY15" i="1"/>
  <c r="AX15" i="1"/>
  <c r="AW15" i="1"/>
  <c r="AV15" i="1"/>
  <c r="AU15" i="1"/>
  <c r="AT15" i="1"/>
  <c r="AS15" i="1"/>
  <c r="AR15" i="1"/>
  <c r="AQ15" i="1"/>
  <c r="AP15" i="1"/>
  <c r="AO15" i="1"/>
  <c r="AN15" i="1"/>
  <c r="AM15" i="1"/>
  <c r="BW14" i="1"/>
  <c r="BV14" i="1"/>
  <c r="BU14" i="1"/>
  <c r="BT14" i="1"/>
  <c r="BS14" i="1"/>
  <c r="BR14" i="1"/>
  <c r="BQ14" i="1"/>
  <c r="AY14" i="1"/>
  <c r="AX14" i="1"/>
  <c r="AW14" i="1"/>
  <c r="AV14" i="1"/>
  <c r="AU14" i="1"/>
  <c r="AS14" i="1"/>
  <c r="AR14" i="1"/>
  <c r="AQ14" i="1"/>
  <c r="AP14" i="1"/>
  <c r="AO14" i="1"/>
  <c r="AN14" i="1"/>
  <c r="AM14" i="1"/>
  <c r="AL14" i="1"/>
  <c r="AK14" i="1"/>
  <c r="AJ14" i="1"/>
  <c r="AI14" i="1"/>
  <c r="AG14" i="1"/>
  <c r="AF14" i="1"/>
  <c r="AE14" i="1"/>
  <c r="AD14" i="1"/>
  <c r="AC14" i="1"/>
  <c r="AB14" i="1"/>
  <c r="AA14" i="1"/>
  <c r="A14" i="1"/>
  <c r="AS12" i="1"/>
  <c r="Z11" i="1"/>
  <c r="M11" i="1"/>
  <c r="BK10" i="1"/>
  <c r="AT10" i="1"/>
  <c r="AT12" i="1" s="1"/>
  <c r="AS10" i="1"/>
  <c r="AR10" i="1"/>
  <c r="AR11" i="1" s="1"/>
  <c r="AQ10" i="1"/>
  <c r="AQ12" i="1" s="1"/>
  <c r="AP10" i="1"/>
  <c r="AO10" i="1"/>
  <c r="AP11" i="1" s="1"/>
  <c r="AN10" i="1"/>
  <c r="AM10" i="1"/>
  <c r="AM12" i="1" s="1"/>
  <c r="AL10" i="1"/>
  <c r="AL11" i="1" s="1"/>
  <c r="AK10" i="1"/>
  <c r="AK11" i="1" s="1"/>
  <c r="AJ10" i="1"/>
  <c r="AI10" i="1"/>
  <c r="AH10" i="1"/>
  <c r="AG10" i="1"/>
  <c r="AG12" i="1" s="1"/>
  <c r="AF10" i="1"/>
  <c r="AE10" i="1"/>
  <c r="AD10" i="1"/>
  <c r="AC10" i="1"/>
  <c r="AD11" i="1" s="1"/>
  <c r="AB10" i="1"/>
  <c r="AA10" i="1"/>
  <c r="AA12" i="1" s="1"/>
  <c r="Z10" i="1"/>
  <c r="AA11" i="1" s="1"/>
  <c r="Y10" i="1"/>
  <c r="Y11" i="1" s="1"/>
  <c r="X10" i="1"/>
  <c r="W10" i="1"/>
  <c r="V10" i="1"/>
  <c r="U10" i="1"/>
  <c r="T10" i="1"/>
  <c r="S10" i="1"/>
  <c r="R10" i="1"/>
  <c r="Q10" i="1"/>
  <c r="R11" i="1" s="1"/>
  <c r="P10" i="1"/>
  <c r="O10" i="1"/>
  <c r="O12" i="1" s="1"/>
  <c r="N10" i="1"/>
  <c r="N11" i="1" s="1"/>
  <c r="M10" i="1"/>
  <c r="L10" i="1"/>
  <c r="K10" i="1"/>
  <c r="J10" i="1"/>
  <c r="I10" i="1"/>
  <c r="H10" i="1"/>
  <c r="H11" i="1" s="1"/>
  <c r="G10" i="1"/>
  <c r="G12" i="1" s="1"/>
  <c r="F10" i="1"/>
  <c r="E10" i="1"/>
  <c r="F11" i="1" s="1"/>
  <c r="D10" i="1"/>
  <c r="C10" i="1"/>
  <c r="AS9" i="1"/>
  <c r="AQ9" i="1"/>
  <c r="S9" i="1"/>
  <c r="I9" i="1"/>
  <c r="G9" i="1"/>
  <c r="AC8" i="1"/>
  <c r="L8" i="1"/>
  <c r="K8" i="1"/>
  <c r="BT7" i="1"/>
  <c r="BS7" i="1"/>
  <c r="BK7" i="1"/>
  <c r="BK9" i="1" s="1"/>
  <c r="BJ7" i="1"/>
  <c r="BJ9" i="1" s="1"/>
  <c r="BI7" i="1"/>
  <c r="AT7" i="1"/>
  <c r="AS7" i="1"/>
  <c r="AR7" i="1"/>
  <c r="AR9" i="1" s="1"/>
  <c r="AQ7" i="1"/>
  <c r="AP7" i="1"/>
  <c r="AP9" i="1" s="1"/>
  <c r="AO7" i="1"/>
  <c r="AN7" i="1"/>
  <c r="AM7" i="1"/>
  <c r="AN8" i="1" s="1"/>
  <c r="AL7" i="1"/>
  <c r="AK7" i="1"/>
  <c r="AK9" i="1" s="1"/>
  <c r="AJ7" i="1"/>
  <c r="AJ8" i="1" s="1"/>
  <c r="AI7" i="1"/>
  <c r="AI8" i="1" s="1"/>
  <c r="AH7" i="1"/>
  <c r="AG7" i="1"/>
  <c r="AF7" i="1"/>
  <c r="AE7" i="1"/>
  <c r="AD7" i="1"/>
  <c r="AD8" i="1" s="1"/>
  <c r="AC7" i="1"/>
  <c r="AB7" i="1"/>
  <c r="AA7" i="1"/>
  <c r="Z7" i="1"/>
  <c r="Y7" i="1"/>
  <c r="Y9" i="1" s="1"/>
  <c r="X7" i="1"/>
  <c r="X8" i="1" s="1"/>
  <c r="W7" i="1"/>
  <c r="W8" i="1" s="1"/>
  <c r="V7" i="1"/>
  <c r="U7" i="1"/>
  <c r="T7" i="1"/>
  <c r="S7" i="1"/>
  <c r="R7" i="1"/>
  <c r="R9" i="1" s="1"/>
  <c r="Q7" i="1"/>
  <c r="P7" i="1"/>
  <c r="O7" i="1"/>
  <c r="P8" i="1" s="1"/>
  <c r="N7" i="1"/>
  <c r="M7" i="1"/>
  <c r="M9" i="1" s="1"/>
  <c r="L7" i="1"/>
  <c r="K7" i="1"/>
  <c r="J7" i="1"/>
  <c r="I7" i="1"/>
  <c r="H7" i="1"/>
  <c r="G7" i="1"/>
  <c r="F7" i="1"/>
  <c r="F8" i="1" s="1"/>
  <c r="E7" i="1"/>
  <c r="D7" i="1"/>
  <c r="C7" i="1"/>
  <c r="D8" i="1" s="1"/>
  <c r="CB5" i="1"/>
  <c r="BY5" i="1"/>
  <c r="BD5" i="1"/>
  <c r="BC5" i="1"/>
  <c r="A5" i="1"/>
  <c r="BI4" i="1"/>
  <c r="BI3" i="1" s="1"/>
  <c r="A4" i="1"/>
  <c r="BH2" i="1"/>
  <c r="BH3" i="1" s="1"/>
  <c r="BH1072" i="1" s="1"/>
  <c r="H16" i="7"/>
  <c r="H13" i="7"/>
  <c r="H11" i="7"/>
  <c r="H9" i="7"/>
  <c r="N41" i="10"/>
  <c r="D44" i="10"/>
  <c r="D156" i="10"/>
  <c r="N16" i="10"/>
  <c r="D137" i="10"/>
  <c r="N90" i="10"/>
  <c r="D16" i="10"/>
  <c r="D20" i="10"/>
  <c r="N84" i="10"/>
  <c r="D110" i="10"/>
  <c r="N143" i="10"/>
  <c r="D77" i="10"/>
  <c r="D29" i="10"/>
  <c r="D93" i="10"/>
  <c r="N96" i="10"/>
  <c r="N50" i="10"/>
  <c r="D7" i="10"/>
  <c r="D153" i="10"/>
  <c r="D100" i="10"/>
  <c r="D134" i="10"/>
  <c r="D63" i="10"/>
  <c r="N29" i="10"/>
  <c r="D72" i="10"/>
  <c r="D122" i="10"/>
  <c r="D96" i="10"/>
  <c r="D41" i="10"/>
  <c r="D126" i="10"/>
  <c r="D69" i="10"/>
  <c r="D17" i="10"/>
  <c r="D83" i="10"/>
  <c r="N83" i="10"/>
  <c r="D38" i="10"/>
  <c r="D114" i="10"/>
  <c r="D32" i="10"/>
  <c r="D57" i="10"/>
  <c r="D54" i="10"/>
  <c r="D87" i="10"/>
  <c r="D118" i="10"/>
  <c r="D75" i="10"/>
  <c r="N106" i="10"/>
  <c r="D97" i="10"/>
  <c r="D26" i="10"/>
  <c r="D143" i="10"/>
  <c r="D106" i="10"/>
  <c r="D48" i="10"/>
  <c r="D141" i="10"/>
  <c r="D104" i="10"/>
  <c r="D50" i="10"/>
  <c r="N57" i="10"/>
  <c r="D131" i="10"/>
  <c r="D147" i="10"/>
  <c r="D151" i="10"/>
  <c r="D35" i="10"/>
  <c r="D160" i="10"/>
  <c r="N77" i="10"/>
  <c r="N69" i="10"/>
  <c r="D157" i="10"/>
  <c r="D22" i="10"/>
  <c r="D90" i="10"/>
  <c r="N22" i="10"/>
  <c r="D84" i="10"/>
  <c r="N35" i="10"/>
  <c r="D13" i="10"/>
  <c r="D66" i="10"/>
  <c r="D80" i="10"/>
  <c r="N63" i="10"/>
  <c r="D60" i="10"/>
  <c r="D10" i="10"/>
  <c r="O165" i="13" l="1"/>
  <c r="W215" i="13"/>
  <c r="F23" i="13"/>
  <c r="L135" i="13"/>
  <c r="L8" i="13"/>
  <c r="K135" i="13"/>
  <c r="K8" i="13"/>
  <c r="P166" i="13"/>
  <c r="S159" i="13"/>
  <c r="T155" i="13"/>
  <c r="N164" i="13"/>
  <c r="Q147" i="13"/>
  <c r="S155" i="13"/>
  <c r="Q155" i="13"/>
  <c r="G103" i="13"/>
  <c r="I63" i="13"/>
  <c r="R159" i="13"/>
  <c r="R147" i="13"/>
  <c r="F62" i="13"/>
  <c r="H12" i="13"/>
  <c r="P165" i="13"/>
  <c r="Q163" i="13"/>
  <c r="I155" i="13"/>
  <c r="N165" i="13"/>
  <c r="L30" i="13"/>
  <c r="M30" i="13" s="1"/>
  <c r="M31" i="13" s="1"/>
  <c r="S147" i="13"/>
  <c r="M165" i="13"/>
  <c r="L165" i="13"/>
  <c r="O159" i="13"/>
  <c r="O167" i="13" s="1"/>
  <c r="O166" i="13"/>
  <c r="R151" i="13"/>
  <c r="L166" i="13"/>
  <c r="P164" i="13"/>
  <c r="W71" i="13"/>
  <c r="X215" i="13"/>
  <c r="R163" i="13"/>
  <c r="R155" i="13"/>
  <c r="M164" i="13"/>
  <c r="I146" i="13"/>
  <c r="K34" i="13"/>
  <c r="L33" i="13"/>
  <c r="J155" i="13"/>
  <c r="G154" i="13"/>
  <c r="G151" i="13"/>
  <c r="J25" i="13"/>
  <c r="P158" i="13"/>
  <c r="Q159" i="13" s="1"/>
  <c r="F155" i="13"/>
  <c r="T151" i="13"/>
  <c r="G25" i="13"/>
  <c r="M7" i="13"/>
  <c r="L158" i="13"/>
  <c r="I7" i="13"/>
  <c r="J8" i="13" s="1"/>
  <c r="P159" i="13"/>
  <c r="P167" i="13" s="1"/>
  <c r="Z157" i="13"/>
  <c r="F158" i="13"/>
  <c r="J151" i="13"/>
  <c r="T270" i="14"/>
  <c r="T275" i="14" s="1"/>
  <c r="L241" i="14"/>
  <c r="L228" i="14"/>
  <c r="Y211" i="14"/>
  <c r="Q106" i="14"/>
  <c r="J146" i="13"/>
  <c r="Y245" i="14"/>
  <c r="M241" i="14"/>
  <c r="M255" i="14" s="1"/>
  <c r="M262" i="14" s="1"/>
  <c r="J117" i="14"/>
  <c r="J147" i="13"/>
  <c r="M245" i="14"/>
  <c r="V247" i="14"/>
  <c r="V207" i="14"/>
  <c r="V132" i="14"/>
  <c r="U89" i="14"/>
  <c r="V79" i="14"/>
  <c r="Z145" i="13"/>
  <c r="W61" i="13"/>
  <c r="G23" i="13"/>
  <c r="Y244" i="14"/>
  <c r="Z119" i="14"/>
  <c r="Z137" i="14" s="1"/>
  <c r="AB27" i="14"/>
  <c r="N158" i="13"/>
  <c r="Y145" i="13"/>
  <c r="H60" i="13"/>
  <c r="M244" i="14"/>
  <c r="U210" i="14"/>
  <c r="N145" i="14"/>
  <c r="T31" i="14"/>
  <c r="S241" i="14"/>
  <c r="L63" i="14"/>
  <c r="G58" i="14"/>
  <c r="H63" i="13"/>
  <c r="I64" i="13" s="1"/>
  <c r="R228" i="14"/>
  <c r="K159" i="13"/>
  <c r="I147" i="13"/>
  <c r="G66" i="13"/>
  <c r="F12" i="13"/>
  <c r="R254" i="14"/>
  <c r="Y214" i="14"/>
  <c r="Q94" i="14"/>
  <c r="J107" i="13"/>
  <c r="M254" i="14"/>
  <c r="P253" i="14"/>
  <c r="P245" i="14"/>
  <c r="P244" i="14"/>
  <c r="X214" i="14"/>
  <c r="X215" i="14" s="1"/>
  <c r="Z136" i="14"/>
  <c r="O117" i="14"/>
  <c r="Y26" i="14"/>
  <c r="Y163" i="14" s="1"/>
  <c r="F159" i="13"/>
  <c r="F66" i="13"/>
  <c r="Y247" i="14"/>
  <c r="H159" i="13"/>
  <c r="H107" i="13"/>
  <c r="N241" i="14"/>
  <c r="R248" i="14" s="1"/>
  <c r="N214" i="14"/>
  <c r="N215" i="14" s="1"/>
  <c r="Q89" i="14"/>
  <c r="W31" i="14"/>
  <c r="G90" i="13"/>
  <c r="Y209" i="14"/>
  <c r="Q99" i="14"/>
  <c r="W93" i="14"/>
  <c r="M76" i="14"/>
  <c r="M77" i="14" s="1"/>
  <c r="S99" i="14"/>
  <c r="W218" i="13"/>
  <c r="W74" i="13"/>
  <c r="G62" i="13"/>
  <c r="I12" i="13"/>
  <c r="U270" i="14"/>
  <c r="U275" i="14" s="1"/>
  <c r="R241" i="14"/>
  <c r="AA241" i="14"/>
  <c r="AA248" i="14" s="1"/>
  <c r="Y210" i="14"/>
  <c r="K158" i="13"/>
  <c r="H154" i="13"/>
  <c r="Y248" i="14"/>
  <c r="P241" i="14"/>
  <c r="T248" i="14" s="1"/>
  <c r="T228" i="14"/>
  <c r="J126" i="14"/>
  <c r="K56" i="14"/>
  <c r="K58" i="14" s="1"/>
  <c r="K59" i="14" s="1"/>
  <c r="X26" i="14"/>
  <c r="X163" i="14" s="1"/>
  <c r="Q20" i="14"/>
  <c r="U19" i="14"/>
  <c r="U161" i="14" s="1"/>
  <c r="I19" i="14"/>
  <c r="H155" i="13"/>
  <c r="X153" i="13"/>
  <c r="H147" i="13"/>
  <c r="E117" i="13"/>
  <c r="E120" i="13" s="1"/>
  <c r="W65" i="13"/>
  <c r="J62" i="13"/>
  <c r="K25" i="13"/>
  <c r="G12" i="13"/>
  <c r="M248" i="14"/>
  <c r="X207" i="14"/>
  <c r="S75" i="14"/>
  <c r="W72" i="14"/>
  <c r="G155" i="13"/>
  <c r="I62" i="13"/>
  <c r="X253" i="14"/>
  <c r="L253" i="14"/>
  <c r="V210" i="14"/>
  <c r="G141" i="14"/>
  <c r="O90" i="14"/>
  <c r="O91" i="14" s="1"/>
  <c r="V72" i="14"/>
  <c r="V35" i="14"/>
  <c r="O20" i="14"/>
  <c r="S19" i="14"/>
  <c r="S161" i="14" s="1"/>
  <c r="W149" i="13"/>
  <c r="H62" i="13"/>
  <c r="X209" i="14"/>
  <c r="R123" i="14"/>
  <c r="F128" i="14"/>
  <c r="W120" i="14"/>
  <c r="K120" i="14"/>
  <c r="Q69" i="14"/>
  <c r="U35" i="14"/>
  <c r="U36" i="14" s="1"/>
  <c r="Q29" i="14"/>
  <c r="N20" i="14"/>
  <c r="R19" i="14"/>
  <c r="R161" i="14" s="1"/>
  <c r="F151" i="13"/>
  <c r="W83" i="13"/>
  <c r="V252" i="14"/>
  <c r="J248" i="14"/>
  <c r="V254" i="14"/>
  <c r="V246" i="14"/>
  <c r="J246" i="14"/>
  <c r="V244" i="14"/>
  <c r="J244" i="14"/>
  <c r="N137" i="14"/>
  <c r="P75" i="14"/>
  <c r="T35" i="14"/>
  <c r="M158" i="13"/>
  <c r="F154" i="13"/>
  <c r="K146" i="13"/>
  <c r="AU204" i="14"/>
  <c r="V209" i="14"/>
  <c r="W144" i="14"/>
  <c r="U133" i="14"/>
  <c r="Q126" i="14"/>
  <c r="W75" i="14"/>
  <c r="O94" i="14"/>
  <c r="O95" i="14" s="1"/>
  <c r="Y38" i="14"/>
  <c r="Y39" i="14" s="1"/>
  <c r="M38" i="14"/>
  <c r="M39" i="14" s="1"/>
  <c r="AA29" i="14"/>
  <c r="W30" i="14"/>
  <c r="L20" i="14"/>
  <c r="M117" i="14"/>
  <c r="P106" i="14"/>
  <c r="Q76" i="14"/>
  <c r="N69" i="14"/>
  <c r="N70" i="14" s="1"/>
  <c r="I60" i="13"/>
  <c r="J23" i="13"/>
  <c r="W38" i="14"/>
  <c r="W39" i="14" s="1"/>
  <c r="F25" i="13"/>
  <c r="I23" i="13"/>
  <c r="V140" i="14"/>
  <c r="J140" i="14"/>
  <c r="Q136" i="14"/>
  <c r="P136" i="14"/>
  <c r="N126" i="14"/>
  <c r="N120" i="14"/>
  <c r="V86" i="14"/>
  <c r="S79" i="14"/>
  <c r="T75" i="14"/>
  <c r="X30" i="14"/>
  <c r="J159" i="13"/>
  <c r="X74" i="13"/>
  <c r="AA251" i="14"/>
  <c r="V141" i="14"/>
  <c r="T86" i="14"/>
  <c r="I159" i="13"/>
  <c r="J158" i="13"/>
  <c r="E107" i="13"/>
  <c r="O241" i="14"/>
  <c r="S248" i="14" s="1"/>
  <c r="R94" i="14"/>
  <c r="J58" i="14"/>
  <c r="M41" i="14"/>
  <c r="I158" i="13"/>
  <c r="R75" i="14"/>
  <c r="I58" i="14"/>
  <c r="P254" i="14"/>
  <c r="P252" i="14"/>
  <c r="P251" i="14"/>
  <c r="Z144" i="14"/>
  <c r="N144" i="14"/>
  <c r="F141" i="14"/>
  <c r="Z132" i="14"/>
  <c r="S86" i="14"/>
  <c r="E67" i="13"/>
  <c r="E82" i="13" s="1"/>
  <c r="P248" i="14"/>
  <c r="AA254" i="14"/>
  <c r="O254" i="14"/>
  <c r="AA246" i="14"/>
  <c r="O253" i="14"/>
  <c r="AA252" i="14"/>
  <c r="O245" i="14"/>
  <c r="AA244" i="14"/>
  <c r="O251" i="14"/>
  <c r="O145" i="14"/>
  <c r="R86" i="14"/>
  <c r="W94" i="14"/>
  <c r="T68" i="14"/>
  <c r="Z27" i="14"/>
  <c r="J66" i="13"/>
  <c r="P214" i="14"/>
  <c r="V208" i="14"/>
  <c r="U208" i="14"/>
  <c r="E147" i="14"/>
  <c r="E154" i="14" s="1"/>
  <c r="O136" i="14"/>
  <c r="J132" i="14"/>
  <c r="U106" i="14"/>
  <c r="R93" i="14"/>
  <c r="U94" i="14"/>
  <c r="U95" i="14" s="1"/>
  <c r="M31" i="14"/>
  <c r="M222" i="14" s="1"/>
  <c r="W77" i="13"/>
  <c r="S244" i="14"/>
  <c r="O214" i="14"/>
  <c r="AT202" i="14"/>
  <c r="R128" i="14"/>
  <c r="W89" i="14"/>
  <c r="T69" i="14"/>
  <c r="S35" i="14"/>
  <c r="X20" i="14"/>
  <c r="AA255" i="14"/>
  <c r="AA262" i="14" s="1"/>
  <c r="H248" i="14"/>
  <c r="H247" i="14"/>
  <c r="T246" i="14"/>
  <c r="T244" i="14"/>
  <c r="H244" i="14"/>
  <c r="Z228" i="14"/>
  <c r="P93" i="14"/>
  <c r="V89" i="14"/>
  <c r="W86" i="14"/>
  <c r="T76" i="14"/>
  <c r="D58" i="14"/>
  <c r="R35" i="14"/>
  <c r="R36" i="14" s="1"/>
  <c r="I161" i="13"/>
  <c r="X71" i="13"/>
  <c r="X65" i="13"/>
  <c r="H23" i="13"/>
  <c r="S247" i="14"/>
  <c r="S246" i="14"/>
  <c r="Y99" i="14"/>
  <c r="S137" i="14"/>
  <c r="G137" i="14"/>
  <c r="T99" i="14"/>
  <c r="D431" i="1"/>
  <c r="BR431" i="1"/>
  <c r="U431" i="1"/>
  <c r="AB431" i="1"/>
  <c r="AX431" i="1"/>
  <c r="N431" i="1"/>
  <c r="T431" i="1"/>
  <c r="BQ93" i="9"/>
  <c r="AG709" i="1"/>
  <c r="P709" i="1"/>
  <c r="BT709" i="1"/>
  <c r="AN431" i="1"/>
  <c r="AR431" i="1"/>
  <c r="P431" i="1"/>
  <c r="AS431" i="1"/>
  <c r="Q431" i="1"/>
  <c r="AW431" i="1"/>
  <c r="E431" i="1"/>
  <c r="AC431" i="1"/>
  <c r="BL431" i="1"/>
  <c r="H431" i="1"/>
  <c r="AF431" i="1"/>
  <c r="BU431" i="1"/>
  <c r="H709" i="1"/>
  <c r="AR709" i="1"/>
  <c r="BL709" i="1"/>
  <c r="I431" i="1"/>
  <c r="AG431" i="1"/>
  <c r="M431" i="1"/>
  <c r="C709" i="1"/>
  <c r="O709" i="1"/>
  <c r="AA709" i="1"/>
  <c r="AM709" i="1"/>
  <c r="AY725" i="1"/>
  <c r="AN709" i="1"/>
  <c r="J161" i="13"/>
  <c r="K155" i="13"/>
  <c r="W153" i="13"/>
  <c r="I151" i="13"/>
  <c r="G147" i="13"/>
  <c r="I90" i="13"/>
  <c r="H66" i="13"/>
  <c r="I66" i="13"/>
  <c r="I248" i="14"/>
  <c r="I255" i="14"/>
  <c r="I259" i="14" s="1"/>
  <c r="Q254" i="14"/>
  <c r="Q247" i="14"/>
  <c r="Q253" i="14"/>
  <c r="Q246" i="14"/>
  <c r="U246" i="14"/>
  <c r="U253" i="14"/>
  <c r="I253" i="14"/>
  <c r="I246" i="14"/>
  <c r="Q245" i="14"/>
  <c r="U245" i="14"/>
  <c r="Q252" i="14"/>
  <c r="U252" i="14"/>
  <c r="I252" i="14"/>
  <c r="I245" i="14"/>
  <c r="U251" i="14"/>
  <c r="Q244" i="14"/>
  <c r="U244" i="14"/>
  <c r="Q241" i="14"/>
  <c r="Q251" i="14"/>
  <c r="I244" i="14"/>
  <c r="I251" i="14"/>
  <c r="V90" i="14"/>
  <c r="V93" i="14"/>
  <c r="Y19" i="14"/>
  <c r="Y161" i="14" s="1"/>
  <c r="Z20" i="14"/>
  <c r="Z22" i="14" s="1"/>
  <c r="Q19" i="14"/>
  <c r="Q161" i="14" s="1"/>
  <c r="M19" i="14"/>
  <c r="M161" i="14" s="1"/>
  <c r="E63" i="14"/>
  <c r="E58" i="14"/>
  <c r="J90" i="13"/>
  <c r="H161" i="13"/>
  <c r="J150" i="13"/>
  <c r="H146" i="13"/>
  <c r="AV197" i="14"/>
  <c r="Z211" i="14"/>
  <c r="Q63" i="14"/>
  <c r="Q214" i="14"/>
  <c r="G161" i="13"/>
  <c r="H158" i="13"/>
  <c r="K154" i="13"/>
  <c r="I150" i="13"/>
  <c r="G146" i="13"/>
  <c r="F107" i="13"/>
  <c r="F90" i="13"/>
  <c r="M144" i="14"/>
  <c r="M145" i="14"/>
  <c r="H103" i="13"/>
  <c r="I103" i="13"/>
  <c r="H90" i="13"/>
  <c r="F161" i="13"/>
  <c r="G158" i="13"/>
  <c r="J154" i="13"/>
  <c r="H150" i="13"/>
  <c r="F146" i="13"/>
  <c r="I67" i="13"/>
  <c r="I216" i="13" s="1"/>
  <c r="H25" i="13"/>
  <c r="I25" i="13"/>
  <c r="AV200" i="14"/>
  <c r="Z207" i="14"/>
  <c r="E161" i="13"/>
  <c r="I154" i="13"/>
  <c r="G150" i="13"/>
  <c r="V99" i="14"/>
  <c r="R99" i="14"/>
  <c r="P20" i="14"/>
  <c r="P21" i="14" s="1"/>
  <c r="P162" i="14" s="1"/>
  <c r="X27" i="14"/>
  <c r="N159" i="13"/>
  <c r="N167" i="13" s="1"/>
  <c r="AT204" i="14"/>
  <c r="X211" i="14"/>
  <c r="S123" i="14"/>
  <c r="O123" i="14"/>
  <c r="R29" i="14"/>
  <c r="Z30" i="14"/>
  <c r="R31" i="14"/>
  <c r="E90" i="13"/>
  <c r="M159" i="13"/>
  <c r="M167" i="13" s="1"/>
  <c r="Y157" i="13"/>
  <c r="Z149" i="13"/>
  <c r="X145" i="13"/>
  <c r="G107" i="13"/>
  <c r="W80" i="13"/>
  <c r="F60" i="13"/>
  <c r="G60" i="13"/>
  <c r="F63" i="13"/>
  <c r="G63" i="13"/>
  <c r="L159" i="13"/>
  <c r="L167" i="13" s="1"/>
  <c r="O158" i="13"/>
  <c r="X157" i="13"/>
  <c r="Y149" i="13"/>
  <c r="K147" i="13"/>
  <c r="W145" i="13"/>
  <c r="E155" i="14"/>
  <c r="H151" i="13"/>
  <c r="W157" i="13"/>
  <c r="Z153" i="13"/>
  <c r="X149" i="13"/>
  <c r="X218" i="13"/>
  <c r="Y153" i="13"/>
  <c r="K151" i="13"/>
  <c r="I254" i="14"/>
  <c r="X208" i="14"/>
  <c r="Y147" i="14"/>
  <c r="Y156" i="14" s="1"/>
  <c r="M133" i="14"/>
  <c r="J63" i="13"/>
  <c r="J12" i="13"/>
  <c r="M147" i="14"/>
  <c r="M154" i="14" s="1"/>
  <c r="U136" i="14"/>
  <c r="I136" i="14"/>
  <c r="M132" i="14"/>
  <c r="Q132" i="14"/>
  <c r="P126" i="14"/>
  <c r="O99" i="14"/>
  <c r="S82" i="14"/>
  <c r="P79" i="14"/>
  <c r="S68" i="14"/>
  <c r="J60" i="13"/>
  <c r="K23" i="13"/>
  <c r="Y207" i="14"/>
  <c r="N128" i="14"/>
  <c r="Y133" i="14"/>
  <c r="U75" i="14"/>
  <c r="X32" i="14"/>
  <c r="AA31" i="14"/>
  <c r="AA222" i="14" s="1"/>
  <c r="AA20" i="14"/>
  <c r="L215" i="14"/>
  <c r="J128" i="14"/>
  <c r="J129" i="14" s="1"/>
  <c r="M128" i="14"/>
  <c r="M149" i="14" s="1"/>
  <c r="AA133" i="14"/>
  <c r="K133" i="14"/>
  <c r="U83" i="14"/>
  <c r="W19" i="14"/>
  <c r="W161" i="14" s="1"/>
  <c r="AB61" i="14"/>
  <c r="X228" i="14"/>
  <c r="R38" i="14"/>
  <c r="R39" i="14" s="1"/>
  <c r="M20" i="14"/>
  <c r="Q21" i="14" s="1"/>
  <c r="Q162" i="14" s="1"/>
  <c r="X77" i="13"/>
  <c r="S228" i="14"/>
  <c r="W228" i="14"/>
  <c r="V211" i="14"/>
  <c r="U144" i="14"/>
  <c r="K140" i="14"/>
  <c r="AA145" i="14"/>
  <c r="O126" i="14"/>
  <c r="S83" i="14"/>
  <c r="S76" i="14"/>
  <c r="X80" i="13"/>
  <c r="Z145" i="14"/>
  <c r="Q90" i="14"/>
  <c r="U91" i="14" s="1"/>
  <c r="Q82" i="14"/>
  <c r="Y31" i="14"/>
  <c r="W20" i="14"/>
  <c r="X83" i="13"/>
  <c r="X59" i="13"/>
  <c r="U228" i="14"/>
  <c r="AQ201" i="14"/>
  <c r="K144" i="14"/>
  <c r="Y145" i="14"/>
  <c r="V20" i="14"/>
  <c r="V21" i="14" s="1"/>
  <c r="V144" i="14"/>
  <c r="P83" i="14"/>
  <c r="P84" i="14" s="1"/>
  <c r="V241" i="14"/>
  <c r="V255" i="14" s="1"/>
  <c r="Q144" i="14"/>
  <c r="S140" i="14"/>
  <c r="T132" i="14"/>
  <c r="H132" i="14"/>
  <c r="S126" i="14"/>
  <c r="X137" i="14"/>
  <c r="H120" i="14"/>
  <c r="U117" i="14"/>
  <c r="T89" i="14"/>
  <c r="O76" i="14"/>
  <c r="O77" i="14" s="1"/>
  <c r="V106" i="14"/>
  <c r="Z107" i="14" s="1"/>
  <c r="P69" i="14"/>
  <c r="P70" i="14" s="1"/>
  <c r="N228" i="14"/>
  <c r="W147" i="14"/>
  <c r="W154" i="14" s="1"/>
  <c r="K132" i="14"/>
  <c r="O69" i="14"/>
  <c r="O70" i="14" s="1"/>
  <c r="Q147" i="14"/>
  <c r="Q155" i="14" s="1"/>
  <c r="V147" i="14"/>
  <c r="V154" i="14" s="1"/>
  <c r="J214" i="14"/>
  <c r="K215" i="14" s="1"/>
  <c r="AA261" i="14"/>
  <c r="W153" i="14"/>
  <c r="H59" i="14"/>
  <c r="R129" i="14"/>
  <c r="P228" i="14"/>
  <c r="U211" i="14"/>
  <c r="G63" i="14"/>
  <c r="Y259" i="14"/>
  <c r="AA247" i="14"/>
  <c r="Y215" i="14"/>
  <c r="M215" i="14"/>
  <c r="T147" i="14"/>
  <c r="Y136" i="14"/>
  <c r="V68" i="14"/>
  <c r="W35" i="14"/>
  <c r="Y20" i="14"/>
  <c r="Y22" i="14" s="1"/>
  <c r="S69" i="14"/>
  <c r="F58" i="14"/>
  <c r="Z254" i="14"/>
  <c r="N253" i="14"/>
  <c r="V251" i="14"/>
  <c r="U247" i="14"/>
  <c r="P246" i="14"/>
  <c r="V214" i="14"/>
  <c r="T209" i="14"/>
  <c r="K147" i="14"/>
  <c r="K155" i="14" s="1"/>
  <c r="J145" i="14"/>
  <c r="Y140" i="14"/>
  <c r="M140" i="14"/>
  <c r="W126" i="14"/>
  <c r="T145" i="14"/>
  <c r="H126" i="14"/>
  <c r="X122" i="14"/>
  <c r="X141" i="14" s="1"/>
  <c r="T106" i="14"/>
  <c r="T107" i="14" s="1"/>
  <c r="R90" i="14"/>
  <c r="V91" i="14" s="1"/>
  <c r="Q86" i="14"/>
  <c r="W79" i="14"/>
  <c r="U76" i="14"/>
  <c r="U77" i="14" s="1"/>
  <c r="U72" i="14"/>
  <c r="R69" i="14"/>
  <c r="R70" i="14" s="1"/>
  <c r="R68" i="14"/>
  <c r="T33" i="14"/>
  <c r="AB29" i="14"/>
  <c r="V26" i="14"/>
  <c r="V163" i="14" s="1"/>
  <c r="I20" i="14"/>
  <c r="I21" i="14" s="1"/>
  <c r="I22" i="14" s="1"/>
  <c r="V270" i="14"/>
  <c r="V275" i="14" s="1"/>
  <c r="Y261" i="14"/>
  <c r="AA253" i="14"/>
  <c r="O246" i="14"/>
  <c r="J245" i="14"/>
  <c r="C244" i="14"/>
  <c r="X254" i="14"/>
  <c r="L246" i="14"/>
  <c r="X252" i="14"/>
  <c r="AC252" i="14" s="1"/>
  <c r="L252" i="14"/>
  <c r="Q228" i="14"/>
  <c r="Y228" i="14"/>
  <c r="M228" i="14"/>
  <c r="U214" i="14"/>
  <c r="I214" i="14"/>
  <c r="I147" i="14"/>
  <c r="I156" i="14" s="1"/>
  <c r="I145" i="14"/>
  <c r="I144" i="14"/>
  <c r="J133" i="14"/>
  <c r="I132" i="14"/>
  <c r="V126" i="14"/>
  <c r="K126" i="14"/>
  <c r="T133" i="14"/>
  <c r="S106" i="14"/>
  <c r="U93" i="14"/>
  <c r="P86" i="14"/>
  <c r="S72" i="14"/>
  <c r="T38" i="14"/>
  <c r="T39" i="14" s="1"/>
  <c r="P31" i="14"/>
  <c r="P222" i="14" s="1"/>
  <c r="U26" i="14"/>
  <c r="U163" i="14" s="1"/>
  <c r="H21" i="14"/>
  <c r="H22" i="14" s="1"/>
  <c r="S90" i="14"/>
  <c r="S91" i="14" s="1"/>
  <c r="Z253" i="14"/>
  <c r="AC253" i="14" s="1"/>
  <c r="W248" i="14"/>
  <c r="K247" i="14"/>
  <c r="K246" i="14"/>
  <c r="W245" i="14"/>
  <c r="K245" i="14"/>
  <c r="W251" i="14"/>
  <c r="K251" i="14"/>
  <c r="T214" i="14"/>
  <c r="H214" i="14"/>
  <c r="AA208" i="14"/>
  <c r="AR197" i="14"/>
  <c r="H147" i="14"/>
  <c r="H154" i="14" s="1"/>
  <c r="H145" i="14"/>
  <c r="I133" i="14"/>
  <c r="U126" i="14"/>
  <c r="R126" i="14"/>
  <c r="J123" i="14"/>
  <c r="P120" i="14"/>
  <c r="D128" i="14"/>
  <c r="G128" i="14"/>
  <c r="R106" i="14"/>
  <c r="T93" i="14"/>
  <c r="U79" i="14"/>
  <c r="R72" i="14"/>
  <c r="AA61" i="14"/>
  <c r="O31" i="14"/>
  <c r="X29" i="14"/>
  <c r="T19" i="14"/>
  <c r="T161" i="14" s="1"/>
  <c r="H19" i="14"/>
  <c r="C259" i="14"/>
  <c r="C267" i="14" s="1"/>
  <c r="C274" i="14" s="1"/>
  <c r="U254" i="14"/>
  <c r="K253" i="14"/>
  <c r="P247" i="14"/>
  <c r="S214" i="14"/>
  <c r="G214" i="14"/>
  <c r="G215" i="14" s="1"/>
  <c r="Y208" i="14"/>
  <c r="Q153" i="14"/>
  <c r="Q148" i="14"/>
  <c r="M136" i="14"/>
  <c r="M123" i="14"/>
  <c r="AA137" i="14"/>
  <c r="W117" i="14"/>
  <c r="S93" i="14"/>
  <c r="R89" i="14"/>
  <c r="V83" i="14"/>
  <c r="W82" i="14"/>
  <c r="T79" i="14"/>
  <c r="R76" i="14"/>
  <c r="R77" i="14" s="1"/>
  <c r="P38" i="14"/>
  <c r="P39" i="14" s="1"/>
  <c r="T29" i="14"/>
  <c r="R21" i="14"/>
  <c r="R162" i="14" s="1"/>
  <c r="S20" i="14"/>
  <c r="AA228" i="14"/>
  <c r="P255" i="14"/>
  <c r="P262" i="14" s="1"/>
  <c r="J253" i="14"/>
  <c r="O252" i="14"/>
  <c r="O247" i="14"/>
  <c r="V228" i="14"/>
  <c r="X222" i="14"/>
  <c r="R214" i="14"/>
  <c r="R215" i="14" s="1"/>
  <c r="AW203" i="14"/>
  <c r="W207" i="14"/>
  <c r="Q156" i="14"/>
  <c r="M153" i="14"/>
  <c r="Y132" i="14"/>
  <c r="V117" i="14"/>
  <c r="Q77" i="14"/>
  <c r="Q38" i="14"/>
  <c r="Q39" i="14" s="1"/>
  <c r="T20" i="14"/>
  <c r="AB22" i="14" s="1"/>
  <c r="M150" i="14"/>
  <c r="W26" i="14"/>
  <c r="W163" i="14" s="1"/>
  <c r="C262" i="14"/>
  <c r="W253" i="14"/>
  <c r="AA245" i="14"/>
  <c r="T210" i="14"/>
  <c r="M156" i="14"/>
  <c r="W145" i="14"/>
  <c r="Y144" i="14"/>
  <c r="T140" i="14"/>
  <c r="H140" i="14"/>
  <c r="Y119" i="14"/>
  <c r="Y137" i="14" s="1"/>
  <c r="P117" i="14"/>
  <c r="Q93" i="14"/>
  <c r="P89" i="14"/>
  <c r="T83" i="14"/>
  <c r="T84" i="14" s="1"/>
  <c r="P76" i="14"/>
  <c r="P77" i="14" s="1"/>
  <c r="Q72" i="14"/>
  <c r="AA35" i="14"/>
  <c r="AA36" i="14" s="1"/>
  <c r="O35" i="14"/>
  <c r="O36" i="14" s="1"/>
  <c r="H26" i="14"/>
  <c r="K241" i="14"/>
  <c r="K255" i="14" s="1"/>
  <c r="K262" i="14" s="1"/>
  <c r="O228" i="14"/>
  <c r="V253" i="14"/>
  <c r="K252" i="14"/>
  <c r="J247" i="14"/>
  <c r="U207" i="14"/>
  <c r="V145" i="14"/>
  <c r="X144" i="14"/>
  <c r="L144" i="14"/>
  <c r="P140" i="14"/>
  <c r="W133" i="14"/>
  <c r="X132" i="14"/>
  <c r="L132" i="14"/>
  <c r="V128" i="14"/>
  <c r="V129" i="14" s="1"/>
  <c r="L120" i="14"/>
  <c r="N117" i="14"/>
  <c r="T94" i="14"/>
  <c r="W99" i="14"/>
  <c r="AA38" i="14"/>
  <c r="AA39" i="14" s="1"/>
  <c r="O38" i="14"/>
  <c r="O39" i="14" s="1"/>
  <c r="P19" i="14"/>
  <c r="P161" i="14" s="1"/>
  <c r="W270" i="14"/>
  <c r="W275" i="14" s="1"/>
  <c r="J252" i="14"/>
  <c r="J251" i="14"/>
  <c r="V245" i="14"/>
  <c r="Z247" i="14"/>
  <c r="N247" i="14"/>
  <c r="Z246" i="14"/>
  <c r="N246" i="14"/>
  <c r="Z245" i="14"/>
  <c r="N245" i="14"/>
  <c r="Z251" i="14"/>
  <c r="N251" i="14"/>
  <c r="AR203" i="14"/>
  <c r="U145" i="14"/>
  <c r="V133" i="14"/>
  <c r="U132" i="14"/>
  <c r="M126" i="14"/>
  <c r="Q123" i="14"/>
  <c r="S94" i="14"/>
  <c r="W95" i="14" s="1"/>
  <c r="W90" i="14"/>
  <c r="W91" i="14" s="1"/>
  <c r="R83" i="14"/>
  <c r="Y30" i="14"/>
  <c r="W27" i="14"/>
  <c r="J255" i="14"/>
  <c r="W211" i="14"/>
  <c r="Z208" i="14"/>
  <c r="U147" i="14"/>
  <c r="U156" i="14" s="1"/>
  <c r="J141" i="14"/>
  <c r="P90" i="14"/>
  <c r="P91" i="14" s="1"/>
  <c r="U86" i="14"/>
  <c r="Q83" i="14"/>
  <c r="Q79" i="14"/>
  <c r="V94" i="14"/>
  <c r="V95" i="14" s="1"/>
  <c r="V69" i="14"/>
  <c r="V70" i="14" s="1"/>
  <c r="U27" i="14"/>
  <c r="AB49" i="14"/>
  <c r="AB56" i="14" s="1"/>
  <c r="AK431" i="1"/>
  <c r="AN548" i="1"/>
  <c r="C431" i="1"/>
  <c r="AL431" i="1"/>
  <c r="BM431" i="1"/>
  <c r="E709" i="1"/>
  <c r="Q709" i="1"/>
  <c r="AC709" i="1"/>
  <c r="AO709" i="1"/>
  <c r="BU709" i="1"/>
  <c r="V431" i="1"/>
  <c r="G431" i="1"/>
  <c r="Y431" i="1"/>
  <c r="AO431" i="1"/>
  <c r="BT431" i="1"/>
  <c r="BO93" i="9"/>
  <c r="Z431" i="1"/>
  <c r="I709" i="1"/>
  <c r="U709" i="1"/>
  <c r="AS709" i="1"/>
  <c r="BM709" i="1"/>
  <c r="AB709" i="1"/>
  <c r="J431" i="1"/>
  <c r="AT431" i="1"/>
  <c r="BK431" i="1"/>
  <c r="T709" i="1"/>
  <c r="AH431" i="1"/>
  <c r="U274" i="14"/>
  <c r="Y258" i="14"/>
  <c r="X255" i="14"/>
  <c r="X260" i="14" s="1"/>
  <c r="L255" i="14"/>
  <c r="L262" i="14" s="1"/>
  <c r="W254" i="14"/>
  <c r="K254" i="14"/>
  <c r="T251" i="14"/>
  <c r="H251" i="14"/>
  <c r="W246" i="14"/>
  <c r="T245" i="14"/>
  <c r="H245" i="14"/>
  <c r="Z215" i="14"/>
  <c r="T211" i="14"/>
  <c r="Z209" i="14"/>
  <c r="W208" i="14"/>
  <c r="T207" i="14"/>
  <c r="W151" i="14"/>
  <c r="W150" i="14"/>
  <c r="P144" i="14"/>
  <c r="P145" i="14"/>
  <c r="D145" i="14"/>
  <c r="X147" i="14"/>
  <c r="X155" i="14" s="1"/>
  <c r="X140" i="14"/>
  <c r="L147" i="14"/>
  <c r="L140" i="14"/>
  <c r="L141" i="14"/>
  <c r="W136" i="14"/>
  <c r="W137" i="14"/>
  <c r="K136" i="14"/>
  <c r="K137" i="14"/>
  <c r="M90" i="14"/>
  <c r="M91" i="14" s="1"/>
  <c r="W68" i="14"/>
  <c r="S36" i="14"/>
  <c r="S41" i="14"/>
  <c r="X19" i="14"/>
  <c r="X161" i="14" s="1"/>
  <c r="AA209" i="14"/>
  <c r="T274" i="14"/>
  <c r="W255" i="14"/>
  <c r="W262" i="14" s="1"/>
  <c r="T252" i="14"/>
  <c r="H252" i="14"/>
  <c r="S251" i="14"/>
  <c r="S245" i="14"/>
  <c r="AU203" i="14"/>
  <c r="AR202" i="14"/>
  <c r="AQ197" i="14"/>
  <c r="AT194" i="14"/>
  <c r="AQ193" i="14"/>
  <c r="V150" i="14"/>
  <c r="V153" i="14"/>
  <c r="V155" i="14"/>
  <c r="V156" i="14"/>
  <c r="V136" i="14"/>
  <c r="V137" i="14"/>
  <c r="J136" i="14"/>
  <c r="J137" i="14"/>
  <c r="M120" i="14"/>
  <c r="M137" i="14"/>
  <c r="X116" i="14"/>
  <c r="T128" i="14"/>
  <c r="T117" i="14"/>
  <c r="H128" i="14"/>
  <c r="H117" i="14"/>
  <c r="W106" i="14"/>
  <c r="W107" i="14" s="1"/>
  <c r="V75" i="14"/>
  <c r="F145" i="14"/>
  <c r="P68" i="14"/>
  <c r="L99" i="14"/>
  <c r="V19" i="14"/>
  <c r="V161" i="14" s="1"/>
  <c r="U276" i="14"/>
  <c r="Y260" i="14"/>
  <c r="T253" i="14"/>
  <c r="H253" i="14"/>
  <c r="S252" i="14"/>
  <c r="X247" i="14"/>
  <c r="L247" i="14"/>
  <c r="R245" i="14"/>
  <c r="S128" i="14"/>
  <c r="S117" i="14"/>
  <c r="U107" i="14"/>
  <c r="Y107" i="14"/>
  <c r="R79" i="14"/>
  <c r="N94" i="14"/>
  <c r="U68" i="14"/>
  <c r="T36" i="14"/>
  <c r="V30" i="14"/>
  <c r="V38" i="14"/>
  <c r="V39" i="14" s="1"/>
  <c r="V29" i="14"/>
  <c r="V31" i="14"/>
  <c r="Z29" i="14"/>
  <c r="Q31" i="14"/>
  <c r="Q26" i="14"/>
  <c r="Q163" i="14" s="1"/>
  <c r="Q35" i="14"/>
  <c r="Y27" i="14"/>
  <c r="O19" i="14"/>
  <c r="O161" i="14" s="1"/>
  <c r="J144" i="14"/>
  <c r="M42" i="14"/>
  <c r="M233" i="14" s="1"/>
  <c r="M46" i="14"/>
  <c r="U21" i="14"/>
  <c r="U162" i="14" s="1"/>
  <c r="Z21" i="14"/>
  <c r="X246" i="14"/>
  <c r="M69" i="14"/>
  <c r="M70" i="14" s="1"/>
  <c r="J19" i="14"/>
  <c r="J20" i="14"/>
  <c r="J21" i="14" s="1"/>
  <c r="J22" i="14" s="1"/>
  <c r="T276" i="14"/>
  <c r="T254" i="14"/>
  <c r="H254" i="14"/>
  <c r="S253" i="14"/>
  <c r="W247" i="14"/>
  <c r="H246" i="14"/>
  <c r="Z244" i="14"/>
  <c r="N244" i="14"/>
  <c r="Z210" i="14"/>
  <c r="W209" i="14"/>
  <c r="T208" i="14"/>
  <c r="T150" i="14"/>
  <c r="T153" i="14"/>
  <c r="T155" i="14"/>
  <c r="T156" i="14"/>
  <c r="O137" i="14"/>
  <c r="T136" i="14"/>
  <c r="T137" i="14"/>
  <c r="T154" i="14"/>
  <c r="H136" i="14"/>
  <c r="H137" i="14"/>
  <c r="R41" i="14"/>
  <c r="U38" i="14"/>
  <c r="U39" i="14" s="1"/>
  <c r="U29" i="14"/>
  <c r="U31" i="14"/>
  <c r="Y29" i="14"/>
  <c r="P26" i="14"/>
  <c r="P163" i="14" s="1"/>
  <c r="P35" i="14"/>
  <c r="T26" i="14"/>
  <c r="T163" i="14" s="1"/>
  <c r="N19" i="14"/>
  <c r="N161" i="14" s="1"/>
  <c r="L254" i="14"/>
  <c r="Y21" i="14"/>
  <c r="T255" i="14"/>
  <c r="H255" i="14"/>
  <c r="H262" i="14" s="1"/>
  <c r="S254" i="14"/>
  <c r="S132" i="14"/>
  <c r="S133" i="14"/>
  <c r="S147" i="14"/>
  <c r="W148" i="14" s="1"/>
  <c r="G133" i="14"/>
  <c r="G147" i="14"/>
  <c r="G156" i="14" s="1"/>
  <c r="X125" i="14"/>
  <c r="X145" i="14" s="1"/>
  <c r="T126" i="14"/>
  <c r="T120" i="14"/>
  <c r="Q128" i="14"/>
  <c r="Q117" i="14"/>
  <c r="Q133" i="14"/>
  <c r="E128" i="14"/>
  <c r="E133" i="14"/>
  <c r="N106" i="14"/>
  <c r="R82" i="14"/>
  <c r="AB33" i="14"/>
  <c r="AB32" i="14"/>
  <c r="K20" i="14"/>
  <c r="K21" i="14" s="1"/>
  <c r="K22" i="14" s="1"/>
  <c r="U273" i="14"/>
  <c r="S255" i="14"/>
  <c r="S262" i="14" s="1"/>
  <c r="X248" i="14"/>
  <c r="L248" i="14"/>
  <c r="R246" i="14"/>
  <c r="X244" i="14"/>
  <c r="L244" i="14"/>
  <c r="M230" i="14"/>
  <c r="M231" i="14" s="1"/>
  <c r="AA211" i="14"/>
  <c r="X210" i="14"/>
  <c r="U209" i="14"/>
  <c r="AA207" i="14"/>
  <c r="N136" i="14"/>
  <c r="R132" i="14"/>
  <c r="R133" i="14"/>
  <c r="R147" i="14"/>
  <c r="F133" i="14"/>
  <c r="F147" i="14"/>
  <c r="L123" i="14"/>
  <c r="L128" i="14"/>
  <c r="S120" i="14"/>
  <c r="L117" i="14"/>
  <c r="O106" i="14"/>
  <c r="S89" i="14"/>
  <c r="W83" i="14"/>
  <c r="W84" i="14" s="1"/>
  <c r="AB42" i="14"/>
  <c r="AA32" i="14"/>
  <c r="S29" i="14"/>
  <c r="S31" i="14"/>
  <c r="W29" i="14"/>
  <c r="AA30" i="14"/>
  <c r="Z26" i="14"/>
  <c r="Z163" i="14" s="1"/>
  <c r="Z35" i="14"/>
  <c r="Z31" i="14"/>
  <c r="N35" i="14"/>
  <c r="R26" i="14"/>
  <c r="R163" i="14" s="1"/>
  <c r="V27" i="14"/>
  <c r="N31" i="14"/>
  <c r="L19" i="14"/>
  <c r="L161" i="14" s="1"/>
  <c r="T273" i="14"/>
  <c r="T247" i="14"/>
  <c r="W244" i="14"/>
  <c r="K244" i="14"/>
  <c r="T215" i="14"/>
  <c r="W156" i="14"/>
  <c r="AA122" i="14"/>
  <c r="AA128" i="14" s="1"/>
  <c r="W141" i="14"/>
  <c r="W123" i="14"/>
  <c r="W128" i="14"/>
  <c r="K141" i="14"/>
  <c r="K123" i="14"/>
  <c r="K128" i="14"/>
  <c r="K117" i="14"/>
  <c r="P99" i="14"/>
  <c r="V76" i="14"/>
  <c r="P72" i="14"/>
  <c r="L94" i="14"/>
  <c r="L95" i="14" s="1"/>
  <c r="N147" i="14"/>
  <c r="N140" i="14"/>
  <c r="N141" i="14"/>
  <c r="C247" i="14"/>
  <c r="J147" i="14"/>
  <c r="J154" i="14" s="1"/>
  <c r="D137" i="14"/>
  <c r="H133" i="14"/>
  <c r="P132" i="14"/>
  <c r="P133" i="14"/>
  <c r="P147" i="14"/>
  <c r="T148" i="14" s="1"/>
  <c r="D133" i="14"/>
  <c r="D147" i="14"/>
  <c r="D156" i="14" s="1"/>
  <c r="D130" i="14"/>
  <c r="P128" i="14"/>
  <c r="Q120" i="14"/>
  <c r="P94" i="14"/>
  <c r="W69" i="14"/>
  <c r="Y41" i="14"/>
  <c r="X36" i="14"/>
  <c r="X41" i="14"/>
  <c r="L36" i="14"/>
  <c r="L41" i="14"/>
  <c r="X21" i="14"/>
  <c r="AB21" i="14"/>
  <c r="R156" i="14"/>
  <c r="R144" i="14"/>
  <c r="R145" i="14"/>
  <c r="X251" i="14"/>
  <c r="L251" i="14"/>
  <c r="X245" i="14"/>
  <c r="L245" i="14"/>
  <c r="O128" i="14"/>
  <c r="L126" i="14"/>
  <c r="Y122" i="14"/>
  <c r="U141" i="14"/>
  <c r="U123" i="14"/>
  <c r="U128" i="14"/>
  <c r="I141" i="14"/>
  <c r="I123" i="14"/>
  <c r="I128" i="14"/>
  <c r="I117" i="14"/>
  <c r="L106" i="14"/>
  <c r="O83" i="14"/>
  <c r="O84" i="14" s="1"/>
  <c r="M106" i="14"/>
  <c r="Q75" i="14"/>
  <c r="W36" i="14"/>
  <c r="Z147" i="14"/>
  <c r="Z140" i="14"/>
  <c r="Z141" i="14"/>
  <c r="Z133" i="14"/>
  <c r="H150" i="14"/>
  <c r="H153" i="14"/>
  <c r="H156" i="14"/>
  <c r="S144" i="14"/>
  <c r="S145" i="14"/>
  <c r="G145" i="14"/>
  <c r="AA147" i="14"/>
  <c r="AA155" i="14" s="1"/>
  <c r="AA140" i="14"/>
  <c r="O147" i="14"/>
  <c r="O140" i="14"/>
  <c r="O141" i="14"/>
  <c r="AA136" i="14"/>
  <c r="AA99" i="14"/>
  <c r="M94" i="14"/>
  <c r="T91" i="14"/>
  <c r="N83" i="14"/>
  <c r="N84" i="14" s="1"/>
  <c r="W76" i="14"/>
  <c r="W77" i="14" s="1"/>
  <c r="U69" i="14"/>
  <c r="U70" i="14" s="1"/>
  <c r="V36" i="14"/>
  <c r="AA19" i="14"/>
  <c r="AA161" i="14" s="1"/>
  <c r="N90" i="14"/>
  <c r="N91" i="14" s="1"/>
  <c r="M83" i="14"/>
  <c r="M84" i="14" s="1"/>
  <c r="T72" i="14"/>
  <c r="S26" i="14"/>
  <c r="S163" i="14" s="1"/>
  <c r="Q145" i="14"/>
  <c r="M141" i="14"/>
  <c r="U137" i="14"/>
  <c r="I137" i="14"/>
  <c r="V123" i="14"/>
  <c r="AA26" i="14"/>
  <c r="AA163" i="14" s="1"/>
  <c r="O26" i="14"/>
  <c r="O163" i="14" s="1"/>
  <c r="L145" i="14"/>
  <c r="T141" i="14"/>
  <c r="H141" i="14"/>
  <c r="P137" i="14"/>
  <c r="L133" i="14"/>
  <c r="J709" i="1"/>
  <c r="V709" i="1"/>
  <c r="AH709" i="1"/>
  <c r="AT709" i="1"/>
  <c r="AQ431" i="1"/>
  <c r="AE709" i="1"/>
  <c r="AQ709" i="1"/>
  <c r="BK709" i="1"/>
  <c r="BW709" i="1"/>
  <c r="BV725" i="1"/>
  <c r="AD431" i="1"/>
  <c r="AD476" i="1" s="1"/>
  <c r="AD489" i="1" s="1"/>
  <c r="M709" i="1"/>
  <c r="Y709" i="1"/>
  <c r="AK709" i="1"/>
  <c r="AW709" i="1"/>
  <c r="D709" i="1"/>
  <c r="BN93" i="9"/>
  <c r="AE431" i="1"/>
  <c r="Z709" i="1"/>
  <c r="BR709" i="1"/>
  <c r="K162" i="13"/>
  <c r="R431" i="1"/>
  <c r="BW431" i="1"/>
  <c r="S725" i="1"/>
  <c r="AP431" i="1"/>
  <c r="F431" i="1"/>
  <c r="AU725" i="1"/>
  <c r="AU709" i="1" s="1"/>
  <c r="S12" i="1"/>
  <c r="W12" i="1"/>
  <c r="H12" i="1"/>
  <c r="O10" i="11"/>
  <c r="O41" i="1" s="1"/>
  <c r="O14" i="9" s="1"/>
  <c r="AK8" i="1"/>
  <c r="BN28" i="1"/>
  <c r="BN19" i="9" s="1"/>
  <c r="AN33" i="1"/>
  <c r="P9" i="1"/>
  <c r="E8" i="1"/>
  <c r="Q9" i="1"/>
  <c r="AC9" i="1"/>
  <c r="AO9" i="1"/>
  <c r="AP8" i="1"/>
  <c r="F27" i="1"/>
  <c r="R27" i="1"/>
  <c r="AD27" i="1"/>
  <c r="BP28" i="1"/>
  <c r="BP19" i="9" s="1"/>
  <c r="AD28" i="1"/>
  <c r="AJ7" i="11"/>
  <c r="AJ9" i="11" s="1"/>
  <c r="AJ39" i="1"/>
  <c r="L39" i="1"/>
  <c r="AB55" i="1"/>
  <c r="AB52" i="1"/>
  <c r="AN55" i="1"/>
  <c r="AN52" i="1"/>
  <c r="AH115" i="1"/>
  <c r="K162" i="1"/>
  <c r="W162" i="1"/>
  <c r="AI162" i="1"/>
  <c r="AU162" i="1"/>
  <c r="T11" i="1"/>
  <c r="AN89" i="1"/>
  <c r="I127" i="1"/>
  <c r="M8" i="1"/>
  <c r="AN44" i="1"/>
  <c r="AR45" i="1"/>
  <c r="AR16" i="9" s="1"/>
  <c r="BU235" i="1"/>
  <c r="BU7" i="1"/>
  <c r="BU9" i="1" s="1"/>
  <c r="AJ9" i="1"/>
  <c r="BJ4" i="1"/>
  <c r="BJ3" i="1" s="1"/>
  <c r="AS8" i="1"/>
  <c r="O40" i="1"/>
  <c r="O15" i="9" s="1"/>
  <c r="I10" i="11"/>
  <c r="I41" i="1" s="1"/>
  <c r="I14" i="9" s="1"/>
  <c r="AC7" i="11"/>
  <c r="AC9" i="11" s="1"/>
  <c r="AC40" i="1"/>
  <c r="AC15" i="9" s="1"/>
  <c r="F123" i="1"/>
  <c r="F125" i="1"/>
  <c r="F124" i="1"/>
  <c r="R241" i="1"/>
  <c r="R123" i="1"/>
  <c r="R127" i="1" s="1"/>
  <c r="R126" i="1"/>
  <c r="R125" i="1"/>
  <c r="R124" i="1"/>
  <c r="AD241" i="1"/>
  <c r="AD125" i="1"/>
  <c r="AD124" i="1"/>
  <c r="AD123" i="1"/>
  <c r="AD126" i="1"/>
  <c r="AP241" i="1"/>
  <c r="AP124" i="1"/>
  <c r="AP125" i="1"/>
  <c r="AP123" i="1"/>
  <c r="AP127" i="1" s="1"/>
  <c r="AP126" i="1"/>
  <c r="AX150" i="1"/>
  <c r="AX152" i="1" s="1"/>
  <c r="AX149" i="1"/>
  <c r="AM157" i="1"/>
  <c r="AE12" i="1"/>
  <c r="AE11" i="1"/>
  <c r="AI12" i="1"/>
  <c r="AF12" i="1"/>
  <c r="AF11" i="1"/>
  <c r="L9" i="1"/>
  <c r="M12" i="1"/>
  <c r="I12" i="1"/>
  <c r="Y12" i="1"/>
  <c r="AS11" i="1"/>
  <c r="BS23" i="1"/>
  <c r="H27" i="1"/>
  <c r="AM7" i="11"/>
  <c r="AM9" i="11" s="1"/>
  <c r="AM10" i="11" s="1"/>
  <c r="AM41" i="1" s="1"/>
  <c r="AM14" i="9" s="1"/>
  <c r="AM40" i="1"/>
  <c r="AM15" i="9" s="1"/>
  <c r="I8" i="1"/>
  <c r="U8" i="1"/>
  <c r="AG8" i="1"/>
  <c r="AG9" i="1"/>
  <c r="Q8" i="1"/>
  <c r="U9" i="1"/>
  <c r="V27" i="1"/>
  <c r="J9" i="1"/>
  <c r="V9" i="1"/>
  <c r="AH9" i="1"/>
  <c r="AT9" i="1"/>
  <c r="R8" i="1"/>
  <c r="AD9" i="1"/>
  <c r="AM11" i="1"/>
  <c r="AJ22" i="1"/>
  <c r="AV22" i="1"/>
  <c r="BU23" i="1"/>
  <c r="BU18" i="9" s="1"/>
  <c r="K27" i="1"/>
  <c r="W27" i="1"/>
  <c r="T27" i="1"/>
  <c r="AA7" i="11"/>
  <c r="AA9" i="11" s="1"/>
  <c r="AA10" i="11" s="1"/>
  <c r="AA41" i="1" s="1"/>
  <c r="AA14" i="9" s="1"/>
  <c r="AA40" i="1"/>
  <c r="AA15" i="9" s="1"/>
  <c r="AO40" i="1"/>
  <c r="AO15" i="9" s="1"/>
  <c r="BB68" i="1"/>
  <c r="BF67" i="1"/>
  <c r="AN85" i="1"/>
  <c r="AY152" i="1"/>
  <c r="X9" i="1"/>
  <c r="AK12" i="1"/>
  <c r="L12" i="1"/>
  <c r="X12" i="1"/>
  <c r="AJ12" i="1"/>
  <c r="G11" i="1"/>
  <c r="AQ11" i="1"/>
  <c r="D35" i="1"/>
  <c r="BR7" i="11"/>
  <c r="BR9" i="11" s="1"/>
  <c r="BR10" i="11" s="1"/>
  <c r="BR41" i="1" s="1"/>
  <c r="BR14" i="9" s="1"/>
  <c r="BR47" i="1"/>
  <c r="AY40" i="1"/>
  <c r="AY15" i="9" s="1"/>
  <c r="AH55" i="1"/>
  <c r="AH52" i="1"/>
  <c r="BW52" i="1"/>
  <c r="BW55" i="1"/>
  <c r="AO75" i="1"/>
  <c r="AG10" i="11"/>
  <c r="AG41" i="1" s="1"/>
  <c r="AG14" i="9" s="1"/>
  <c r="AL152" i="1"/>
  <c r="AP195" i="1"/>
  <c r="Y8" i="1"/>
  <c r="K28" i="1"/>
  <c r="K19" i="9" s="1"/>
  <c r="AD7" i="11"/>
  <c r="AD9" i="11" s="1"/>
  <c r="AD39" i="1"/>
  <c r="AJ141" i="1"/>
  <c r="AJ139" i="1"/>
  <c r="BT139" i="1"/>
  <c r="BT143" i="1" s="1"/>
  <c r="BT142" i="1"/>
  <c r="BT137" i="1"/>
  <c r="BT141" i="1"/>
  <c r="BT140" i="1"/>
  <c r="G166" i="1"/>
  <c r="G165" i="1"/>
  <c r="S166" i="1"/>
  <c r="S167" i="1" s="1"/>
  <c r="S165" i="1"/>
  <c r="AH139" i="1"/>
  <c r="AH130" i="1"/>
  <c r="AH135" i="1"/>
  <c r="G142" i="1"/>
  <c r="G143" i="1" s="1"/>
  <c r="G137" i="1"/>
  <c r="G85" i="1"/>
  <c r="V139" i="1"/>
  <c r="V85" i="1"/>
  <c r="K12" i="1"/>
  <c r="AQ23" i="1"/>
  <c r="AQ18" i="9" s="1"/>
  <c r="R28" i="1"/>
  <c r="R19" i="9" s="1"/>
  <c r="BQ35" i="1"/>
  <c r="AN45" i="1"/>
  <c r="AN16" i="9" s="1"/>
  <c r="Q7" i="11"/>
  <c r="Q9" i="11" s="1"/>
  <c r="Q40" i="1"/>
  <c r="Q15" i="9" s="1"/>
  <c r="BL155" i="1"/>
  <c r="BL156" i="1"/>
  <c r="AZ84" i="1"/>
  <c r="AZ71" i="1"/>
  <c r="AZ72" i="1"/>
  <c r="AZ94" i="1" s="1"/>
  <c r="AZ32" i="1" s="1"/>
  <c r="BD67" i="1"/>
  <c r="BD21" i="1" s="1"/>
  <c r="AQ115" i="1"/>
  <c r="AB8" i="1"/>
  <c r="AE9" i="1"/>
  <c r="AI44" i="1"/>
  <c r="AU44" i="1"/>
  <c r="AZ22" i="1"/>
  <c r="BS9" i="1"/>
  <c r="D11" i="1"/>
  <c r="P11" i="1"/>
  <c r="AB11" i="1"/>
  <c r="AN11" i="1"/>
  <c r="O11" i="1"/>
  <c r="T12" i="1"/>
  <c r="AZ21" i="1"/>
  <c r="AZ23" i="1" s="1"/>
  <c r="AZ18" i="9" s="1"/>
  <c r="AB9" i="1"/>
  <c r="AN9" i="1"/>
  <c r="BT9" i="1"/>
  <c r="AO8" i="1"/>
  <c r="S11" i="1"/>
  <c r="U12" i="1"/>
  <c r="AZ15" i="1"/>
  <c r="E35" i="1"/>
  <c r="AC35" i="1"/>
  <c r="BO28" i="1"/>
  <c r="BO19" i="9" s="1"/>
  <c r="W28" i="1"/>
  <c r="W19" i="9" s="1"/>
  <c r="U10" i="11"/>
  <c r="U41" i="1" s="1"/>
  <c r="U14" i="9" s="1"/>
  <c r="BL112" i="1"/>
  <c r="BL109" i="1"/>
  <c r="K114" i="1"/>
  <c r="K112" i="1"/>
  <c r="K81" i="1"/>
  <c r="K38" i="1" s="1"/>
  <c r="K7" i="11" s="1"/>
  <c r="K9" i="11" s="1"/>
  <c r="K111" i="1"/>
  <c r="W114" i="1"/>
  <c r="W111" i="1"/>
  <c r="W81" i="1"/>
  <c r="W38" i="1" s="1"/>
  <c r="W7" i="11" s="1"/>
  <c r="W9" i="11" s="1"/>
  <c r="W112" i="1"/>
  <c r="AI114" i="1"/>
  <c r="AI111" i="1"/>
  <c r="AI112" i="1"/>
  <c r="AU114" i="1"/>
  <c r="AU111" i="1"/>
  <c r="N8" i="1"/>
  <c r="Z8" i="1"/>
  <c r="AL8" i="1"/>
  <c r="R12" i="1"/>
  <c r="AD12" i="1"/>
  <c r="AP12" i="1"/>
  <c r="AW23" i="1"/>
  <c r="AW18" i="9" s="1"/>
  <c r="H28" i="1"/>
  <c r="H19" i="9" s="1"/>
  <c r="T28" i="1"/>
  <c r="T19" i="9" s="1"/>
  <c r="AF28" i="1"/>
  <c r="AF19" i="9" s="1"/>
  <c r="BV45" i="1"/>
  <c r="BV16" i="9" s="1"/>
  <c r="AT52" i="1"/>
  <c r="AS62" i="1"/>
  <c r="AO68" i="1"/>
  <c r="AN71" i="1"/>
  <c r="AK74" i="1"/>
  <c r="AW73" i="1"/>
  <c r="G81" i="1"/>
  <c r="G38" i="1" s="1"/>
  <c r="G7" i="11" s="1"/>
  <c r="G9" i="11" s="1"/>
  <c r="S81" i="1"/>
  <c r="S38" i="1" s="1"/>
  <c r="S7" i="11" s="1"/>
  <c r="S9" i="11" s="1"/>
  <c r="AE81" i="1"/>
  <c r="AE38" i="1" s="1"/>
  <c r="AE7" i="11" s="1"/>
  <c r="AE9" i="11" s="1"/>
  <c r="AM89" i="1"/>
  <c r="AM91" i="1" s="1"/>
  <c r="AY89" i="1"/>
  <c r="H85" i="1"/>
  <c r="AM85" i="1"/>
  <c r="AM90" i="1" s="1"/>
  <c r="BP85" i="1"/>
  <c r="AN97" i="1"/>
  <c r="V114" i="1"/>
  <c r="V113" i="1"/>
  <c r="AK111" i="1"/>
  <c r="AK115" i="1" s="1"/>
  <c r="S112" i="1"/>
  <c r="AT112" i="1"/>
  <c r="AH113" i="1"/>
  <c r="X123" i="1"/>
  <c r="AV125" i="1"/>
  <c r="AQ138" i="1"/>
  <c r="AD130" i="1"/>
  <c r="E142" i="1"/>
  <c r="E137" i="1"/>
  <c r="AW141" i="1"/>
  <c r="AB157" i="1"/>
  <c r="K181" i="1"/>
  <c r="K575" i="1" s="1"/>
  <c r="W181" i="1"/>
  <c r="W575" i="1" s="1"/>
  <c r="AI181" i="1"/>
  <c r="AI575" i="1" s="1"/>
  <c r="AU181" i="1"/>
  <c r="AU575" i="1" s="1"/>
  <c r="AU581" i="1" s="1"/>
  <c r="BO181" i="1"/>
  <c r="BO575" i="1" s="1"/>
  <c r="AH150" i="1"/>
  <c r="AW152" i="1"/>
  <c r="BS149" i="1"/>
  <c r="BS150" i="1"/>
  <c r="S155" i="1"/>
  <c r="AE166" i="1"/>
  <c r="AE167" i="1" s="1"/>
  <c r="AQ166" i="1"/>
  <c r="AQ167" i="1" s="1"/>
  <c r="AQ165" i="1"/>
  <c r="G193" i="1"/>
  <c r="G881" i="1" s="1"/>
  <c r="G195" i="1"/>
  <c r="I195" i="1"/>
  <c r="J195" i="1"/>
  <c r="L223" i="1"/>
  <c r="L222" i="1"/>
  <c r="L224" i="1"/>
  <c r="L221" i="1"/>
  <c r="L225" i="1" s="1"/>
  <c r="X223" i="1"/>
  <c r="X224" i="1"/>
  <c r="X222" i="1"/>
  <c r="AJ222" i="1"/>
  <c r="AJ223" i="1"/>
  <c r="AJ224" i="1"/>
  <c r="AJ221" i="1"/>
  <c r="AJ225" i="1" s="1"/>
  <c r="N225" i="1"/>
  <c r="BT236" i="1"/>
  <c r="L236" i="1"/>
  <c r="L234" i="1"/>
  <c r="L235" i="1"/>
  <c r="L233" i="1"/>
  <c r="L237" i="1" s="1"/>
  <c r="X236" i="1"/>
  <c r="X235" i="1"/>
  <c r="BJ236" i="1"/>
  <c r="BJ235" i="1"/>
  <c r="AQ68" i="1"/>
  <c r="AP85" i="1"/>
  <c r="BS85" i="1"/>
  <c r="BS88" i="1" s="1"/>
  <c r="AK963" i="1"/>
  <c r="AW963" i="1"/>
  <c r="M111" i="1"/>
  <c r="M115" i="1" s="1"/>
  <c r="AT115" i="1"/>
  <c r="AW112" i="1"/>
  <c r="G126" i="1"/>
  <c r="G124" i="1"/>
  <c r="G123" i="1"/>
  <c r="AQ126" i="1"/>
  <c r="AQ124" i="1"/>
  <c r="AF123" i="1"/>
  <c r="AL130" i="1"/>
  <c r="V141" i="1"/>
  <c r="AK142" i="1"/>
  <c r="AK137" i="1"/>
  <c r="AK152" i="1"/>
  <c r="AY149" i="1"/>
  <c r="BU152" i="1"/>
  <c r="N152" i="1"/>
  <c r="BL152" i="1"/>
  <c r="I193" i="1"/>
  <c r="I881" i="1" s="1"/>
  <c r="AV171" i="1"/>
  <c r="BS99" i="1"/>
  <c r="BL113" i="1"/>
  <c r="S115" i="1"/>
  <c r="H126" i="1"/>
  <c r="H124" i="1"/>
  <c r="AG127" i="1"/>
  <c r="BV149" i="1"/>
  <c r="BV150" i="1"/>
  <c r="BV152" i="1" s="1"/>
  <c r="BT152" i="1"/>
  <c r="BQ160" i="1"/>
  <c r="AQ581" i="1"/>
  <c r="AD225" i="1"/>
  <c r="C236" i="1"/>
  <c r="C235" i="1"/>
  <c r="C233" i="1"/>
  <c r="C237" i="1" s="1"/>
  <c r="AA236" i="1"/>
  <c r="AA234" i="1"/>
  <c r="AM234" i="1"/>
  <c r="AM235" i="1"/>
  <c r="AM236" i="1"/>
  <c r="AM233" i="1"/>
  <c r="AM237" i="1" s="1"/>
  <c r="AS152" i="1"/>
  <c r="I331" i="1"/>
  <c r="I392" i="1"/>
  <c r="I330" i="1" s="1"/>
  <c r="U392" i="1"/>
  <c r="U330" i="1" s="1"/>
  <c r="U331" i="1"/>
  <c r="AK392" i="1"/>
  <c r="AK330" i="1" s="1"/>
  <c r="AK331" i="1"/>
  <c r="BM392" i="1"/>
  <c r="BM331" i="1"/>
  <c r="Z12" i="1"/>
  <c r="AL12" i="1"/>
  <c r="BW23" i="1"/>
  <c r="BW18" i="9" s="1"/>
  <c r="L27" i="1"/>
  <c r="X27" i="1"/>
  <c r="BS10" i="11"/>
  <c r="BS41" i="1" s="1"/>
  <c r="BS14" i="9" s="1"/>
  <c r="AJ47" i="1"/>
  <c r="AR68" i="1"/>
  <c r="BR74" i="1"/>
  <c r="AX85" i="1"/>
  <c r="AV87" i="1"/>
  <c r="AY963" i="1"/>
  <c r="BW97" i="1"/>
  <c r="BW99" i="1" s="1"/>
  <c r="BO112" i="1"/>
  <c r="BW114" i="1"/>
  <c r="V115" i="1"/>
  <c r="AW111" i="1"/>
  <c r="AW115" i="1" s="1"/>
  <c r="AE112" i="1"/>
  <c r="AQ114" i="1"/>
  <c r="H123" i="1"/>
  <c r="T124" i="1"/>
  <c r="AF138" i="1"/>
  <c r="Y142" i="1"/>
  <c r="Y138" i="1"/>
  <c r="AN137" i="1"/>
  <c r="Y141" i="1"/>
  <c r="C181" i="1"/>
  <c r="C575" i="1" s="1"/>
  <c r="AM149" i="1"/>
  <c r="AM150" i="1"/>
  <c r="AM152" i="1" s="1"/>
  <c r="BI152" i="1"/>
  <c r="BW149" i="1"/>
  <c r="BW150" i="1"/>
  <c r="BW152" i="1" s="1"/>
  <c r="K156" i="1"/>
  <c r="K157" i="1" s="1"/>
  <c r="W156" i="1"/>
  <c r="W157" i="1" s="1"/>
  <c r="O161" i="1"/>
  <c r="BQ165" i="1"/>
  <c r="O236" i="1"/>
  <c r="V294" i="1"/>
  <c r="N12" i="1"/>
  <c r="K9" i="1"/>
  <c r="W9" i="1"/>
  <c r="AI9" i="1"/>
  <c r="AQ8" i="1"/>
  <c r="K11" i="1"/>
  <c r="W11" i="1"/>
  <c r="AI11" i="1"/>
  <c r="AH14" i="1"/>
  <c r="AP23" i="1"/>
  <c r="AP18" i="9" s="1"/>
  <c r="BB23" i="1"/>
  <c r="BB18" i="9" s="1"/>
  <c r="M27" i="1"/>
  <c r="Y27" i="1"/>
  <c r="AF27" i="1"/>
  <c r="AA35" i="1"/>
  <c r="BT10" i="11"/>
  <c r="BT41" i="1" s="1"/>
  <c r="BT14" i="9" s="1"/>
  <c r="AL44" i="1"/>
  <c r="AW45" i="1"/>
  <c r="AW16" i="9" s="1"/>
  <c r="AF52" i="1"/>
  <c r="AT62" i="1"/>
  <c r="AS71" i="1"/>
  <c r="BS69" i="1"/>
  <c r="AT73" i="1"/>
  <c r="BS73" i="1"/>
  <c r="X81" i="1"/>
  <c r="X38" i="1" s="1"/>
  <c r="M85" i="1"/>
  <c r="AB85" i="1"/>
  <c r="AY85" i="1"/>
  <c r="AM98" i="1"/>
  <c r="X111" i="1"/>
  <c r="AW113" i="1"/>
  <c r="V125" i="1"/>
  <c r="V241" i="1"/>
  <c r="AH241" i="1"/>
  <c r="AH126" i="1"/>
  <c r="AH123" i="1"/>
  <c r="U127" i="1"/>
  <c r="AV126" i="1"/>
  <c r="AG138" i="1"/>
  <c r="BR138" i="1"/>
  <c r="AA142" i="1"/>
  <c r="AA137" i="1"/>
  <c r="C137" i="1"/>
  <c r="AO137" i="1"/>
  <c r="AA141" i="1"/>
  <c r="AT142" i="1"/>
  <c r="BM157" i="1"/>
  <c r="AB581" i="1"/>
  <c r="AN581" i="1"/>
  <c r="AN149" i="1"/>
  <c r="BJ149" i="1"/>
  <c r="BJ150" i="1"/>
  <c r="BJ152" i="1" s="1"/>
  <c r="Q149" i="1"/>
  <c r="X156" i="1"/>
  <c r="AY161" i="1"/>
  <c r="L166" i="1"/>
  <c r="AC233" i="1"/>
  <c r="AC237" i="1" s="1"/>
  <c r="AC236" i="1"/>
  <c r="AO233" i="1"/>
  <c r="AO234" i="1"/>
  <c r="C234" i="1"/>
  <c r="Q236" i="1"/>
  <c r="AI320" i="1"/>
  <c r="AI345" i="1"/>
  <c r="AI351" i="1" s="1"/>
  <c r="AI353" i="1" s="1"/>
  <c r="AI357" i="1" s="1"/>
  <c r="AI148" i="1"/>
  <c r="AI150" i="1" s="1"/>
  <c r="AU320" i="1"/>
  <c r="AU345" i="1"/>
  <c r="AU351" i="1" s="1"/>
  <c r="AU353" i="1" s="1"/>
  <c r="AU148" i="1"/>
  <c r="AU150" i="1" s="1"/>
  <c r="BO345" i="1"/>
  <c r="BO148" i="1"/>
  <c r="BO149" i="1" s="1"/>
  <c r="BO320" i="1"/>
  <c r="AL45" i="1"/>
  <c r="AL16" i="9" s="1"/>
  <c r="AX45" i="1"/>
  <c r="AX16" i="9" s="1"/>
  <c r="AL55" i="1"/>
  <c r="AX55" i="1"/>
  <c r="AH71" i="1"/>
  <c r="AT71" i="1"/>
  <c r="AQ73" i="1"/>
  <c r="M81" i="1"/>
  <c r="M38" i="1" s="1"/>
  <c r="M7" i="11" s="1"/>
  <c r="M9" i="11" s="1"/>
  <c r="Y81" i="1"/>
  <c r="Y38" i="1" s="1"/>
  <c r="Y7" i="11" s="1"/>
  <c r="Y9" i="11" s="1"/>
  <c r="BS963" i="1"/>
  <c r="BS98" i="1"/>
  <c r="Y111" i="1"/>
  <c r="BV111" i="1"/>
  <c r="M113" i="1"/>
  <c r="AQ123" i="1"/>
  <c r="AA124" i="1"/>
  <c r="X125" i="1"/>
  <c r="AQ137" i="1"/>
  <c r="AK139" i="1"/>
  <c r="AB141" i="1"/>
  <c r="AO581" i="1"/>
  <c r="AO152" i="1"/>
  <c r="BK149" i="1"/>
  <c r="BK150" i="1"/>
  <c r="BK152" i="1" s="1"/>
  <c r="AQ155" i="1"/>
  <c r="F223" i="1"/>
  <c r="F221" i="1"/>
  <c r="R223" i="1"/>
  <c r="R222" i="1"/>
  <c r="R224" i="1"/>
  <c r="AD223" i="1"/>
  <c r="AD221" i="1"/>
  <c r="AP224" i="1"/>
  <c r="AV62" i="1"/>
  <c r="AI74" i="1"/>
  <c r="AU69" i="1"/>
  <c r="BU71" i="1"/>
  <c r="AV88" i="1"/>
  <c r="AP98" i="1"/>
  <c r="AP97" i="1"/>
  <c r="BT963" i="1"/>
  <c r="BT109" i="1"/>
  <c r="BT114" i="1" s="1"/>
  <c r="S113" i="1"/>
  <c r="L241" i="1"/>
  <c r="L123" i="1"/>
  <c r="L126" i="1"/>
  <c r="AJ241" i="1"/>
  <c r="AJ126" i="1"/>
  <c r="AR123" i="1"/>
  <c r="AE124" i="1"/>
  <c r="AJ125" i="1"/>
  <c r="AJ138" i="1"/>
  <c r="BT138" i="1"/>
  <c r="M137" i="1"/>
  <c r="AK141" i="1"/>
  <c r="BP142" i="1"/>
  <c r="AD181" i="1"/>
  <c r="AD575" i="1" s="1"/>
  <c r="AP149" i="1"/>
  <c r="N156" i="1"/>
  <c r="N157" i="1" s="1"/>
  <c r="Z156" i="1"/>
  <c r="Z157" i="1" s="1"/>
  <c r="AL156" i="1"/>
  <c r="AL157" i="1" s="1"/>
  <c r="AX156" i="1"/>
  <c r="BB156" i="1" s="1"/>
  <c r="Q160" i="1"/>
  <c r="AC160" i="1"/>
  <c r="AO160" i="1"/>
  <c r="BI160" i="1"/>
  <c r="BI161" i="1"/>
  <c r="BR166" i="1"/>
  <c r="X225" i="1"/>
  <c r="AL225" i="1"/>
  <c r="N237" i="1"/>
  <c r="BV69" i="1"/>
  <c r="BW71" i="1"/>
  <c r="BV74" i="1"/>
  <c r="AJ89" i="1"/>
  <c r="H112" i="1"/>
  <c r="AJ112" i="1"/>
  <c r="M114" i="1"/>
  <c r="S123" i="1"/>
  <c r="AF124" i="1"/>
  <c r="X126" i="1"/>
  <c r="J137" i="1"/>
  <c r="J143" i="1" s="1"/>
  <c r="AK138" i="1"/>
  <c r="BP137" i="1"/>
  <c r="AV161" i="1"/>
  <c r="AZ161" i="1" s="1"/>
  <c r="AV156" i="1"/>
  <c r="AZ156" i="1" s="1"/>
  <c r="AV166" i="1"/>
  <c r="AZ166" i="1" s="1"/>
  <c r="G181" i="1"/>
  <c r="G575" i="1" s="1"/>
  <c r="AL149" i="1"/>
  <c r="O157" i="1"/>
  <c r="BJ160" i="1"/>
  <c r="BV160" i="1"/>
  <c r="BU161" i="1"/>
  <c r="N166" i="1"/>
  <c r="N167" i="1" s="1"/>
  <c r="R165" i="1"/>
  <c r="Z166" i="1"/>
  <c r="Z167" i="1" s="1"/>
  <c r="AM167" i="1"/>
  <c r="O233" i="1"/>
  <c r="O237" i="1" s="1"/>
  <c r="O235" i="1"/>
  <c r="AP324" i="1"/>
  <c r="AP54" i="9" s="1"/>
  <c r="AP325" i="1"/>
  <c r="AP55" i="9" s="1"/>
  <c r="BJ383" i="1"/>
  <c r="BJ323" i="1"/>
  <c r="BJ53" i="9" s="1"/>
  <c r="BJ330" i="1"/>
  <c r="BJ331" i="1"/>
  <c r="BJ325" i="1"/>
  <c r="BJ55" i="9" s="1"/>
  <c r="BV383" i="1"/>
  <c r="BV388" i="1" s="1"/>
  <c r="BV319" i="1"/>
  <c r="BV52" i="9" s="1"/>
  <c r="BV323" i="1"/>
  <c r="BV53" i="9" s="1"/>
  <c r="BV331" i="1"/>
  <c r="BV330" i="1"/>
  <c r="BV325" i="1"/>
  <c r="BV55" i="9" s="1"/>
  <c r="AM880" i="1"/>
  <c r="BU880" i="1"/>
  <c r="BU894" i="1" s="1"/>
  <c r="BS45" i="1"/>
  <c r="BS16" i="9" s="1"/>
  <c r="AL52" i="1"/>
  <c r="AO69" i="1"/>
  <c r="BW74" i="1"/>
  <c r="AV89" i="1"/>
  <c r="AV91" i="1" s="1"/>
  <c r="BV963" i="1"/>
  <c r="G113" i="1"/>
  <c r="G111" i="1"/>
  <c r="G115" i="1" s="1"/>
  <c r="G114" i="1"/>
  <c r="AE111" i="1"/>
  <c r="AE115" i="1" s="1"/>
  <c r="AK112" i="1"/>
  <c r="Y113" i="1"/>
  <c r="T123" i="1"/>
  <c r="W138" i="1"/>
  <c r="AC150" i="1"/>
  <c r="AC149" i="1"/>
  <c r="BP150" i="1"/>
  <c r="BP149" i="1"/>
  <c r="AM73" i="1"/>
  <c r="AJ85" i="1"/>
  <c r="BW963" i="1"/>
  <c r="T111" i="1"/>
  <c r="T112" i="1"/>
  <c r="AF111" i="1"/>
  <c r="AF112" i="1"/>
  <c r="AE113" i="1"/>
  <c r="C125" i="1"/>
  <c r="C126" i="1"/>
  <c r="AV123" i="1"/>
  <c r="AV127" i="1" s="1"/>
  <c r="AR124" i="1"/>
  <c r="AA126" i="1"/>
  <c r="C143" i="1"/>
  <c r="S142" i="1"/>
  <c r="S141" i="1"/>
  <c r="BQ140" i="1"/>
  <c r="BQ141" i="1"/>
  <c r="Q137" i="1"/>
  <c r="Q143" i="1" s="1"/>
  <c r="BU142" i="1"/>
  <c r="N162" i="1"/>
  <c r="Z162" i="1"/>
  <c r="AL167" i="1"/>
  <c r="I181" i="1"/>
  <c r="I575" i="1" s="1"/>
  <c r="U181" i="1"/>
  <c r="U575" i="1" s="1"/>
  <c r="AG181" i="1"/>
  <c r="AG575" i="1" s="1"/>
  <c r="AG581" i="1" s="1"/>
  <c r="AS181" i="1"/>
  <c r="AS575" i="1" s="1"/>
  <c r="BM181" i="1"/>
  <c r="BM575" i="1" s="1"/>
  <c r="R149" i="1"/>
  <c r="AO165" i="1"/>
  <c r="BI165" i="1"/>
  <c r="BI166" i="1"/>
  <c r="AH189" i="1"/>
  <c r="AT221" i="1"/>
  <c r="AT225" i="1" s="1"/>
  <c r="AT224" i="1"/>
  <c r="AT222" i="1"/>
  <c r="AT223" i="1"/>
  <c r="AA235" i="1"/>
  <c r="P10" i="11"/>
  <c r="P41" i="1" s="1"/>
  <c r="P14" i="9" s="1"/>
  <c r="AN10" i="11"/>
  <c r="AN41" i="1" s="1"/>
  <c r="AN14" i="9" s="1"/>
  <c r="BV40" i="1"/>
  <c r="BV15" i="9" s="1"/>
  <c r="AQ45" i="1"/>
  <c r="AQ16" i="9" s="1"/>
  <c r="BU45" i="1"/>
  <c r="BU16" i="9" s="1"/>
  <c r="BR63" i="1"/>
  <c r="AM74" i="1"/>
  <c r="AY74" i="1"/>
  <c r="AJ74" i="1"/>
  <c r="AV73" i="1"/>
  <c r="AQ74" i="1"/>
  <c r="AL85" i="1"/>
  <c r="AH963" i="1"/>
  <c r="AT963" i="1"/>
  <c r="J115" i="1"/>
  <c r="AR112" i="1"/>
  <c r="AF113" i="1"/>
  <c r="C124" i="1"/>
  <c r="AS127" i="1"/>
  <c r="J142" i="1"/>
  <c r="J135" i="1"/>
  <c r="J85" i="1" s="1"/>
  <c r="BR139" i="1"/>
  <c r="BR137" i="1"/>
  <c r="S137" i="1"/>
  <c r="BU137" i="1"/>
  <c r="BR140" i="1"/>
  <c r="AQ141" i="1"/>
  <c r="C166" i="1"/>
  <c r="C161" i="1"/>
  <c r="AA166" i="1"/>
  <c r="AA167" i="1" s="1"/>
  <c r="AA150" i="1"/>
  <c r="AA152" i="1" s="1"/>
  <c r="J181" i="1"/>
  <c r="J575" i="1" s="1"/>
  <c r="V181" i="1"/>
  <c r="V575" i="1" s="1"/>
  <c r="AH181" i="1"/>
  <c r="AH575" i="1" s="1"/>
  <c r="AT181" i="1"/>
  <c r="AT575" i="1" s="1"/>
  <c r="BN181" i="1"/>
  <c r="BN575" i="1" s="1"/>
  <c r="AV150" i="1"/>
  <c r="BR150" i="1"/>
  <c r="F181" i="1"/>
  <c r="F575" i="1" s="1"/>
  <c r="R155" i="1"/>
  <c r="AP155" i="1"/>
  <c r="Q165" i="1"/>
  <c r="AC165" i="1"/>
  <c r="AP165" i="1"/>
  <c r="AT189" i="1"/>
  <c r="W225" i="1"/>
  <c r="Q225" i="1"/>
  <c r="K236" i="1"/>
  <c r="K233" i="1"/>
  <c r="K237" i="1" s="1"/>
  <c r="K235" i="1"/>
  <c r="K234" i="1"/>
  <c r="W236" i="1"/>
  <c r="W234" i="1"/>
  <c r="BI236" i="1"/>
  <c r="BI235" i="1"/>
  <c r="C345" i="1"/>
  <c r="C320" i="1"/>
  <c r="C148" i="1"/>
  <c r="C150" i="1" s="1"/>
  <c r="O345" i="1"/>
  <c r="O320" i="1"/>
  <c r="O148" i="1"/>
  <c r="BU963" i="1"/>
  <c r="BO113" i="1"/>
  <c r="S138" i="1"/>
  <c r="AM139" i="1"/>
  <c r="M171" i="1"/>
  <c r="Y171" i="1"/>
  <c r="AK171" i="1"/>
  <c r="AK172" i="1" s="1"/>
  <c r="AW166" i="1"/>
  <c r="BL181" i="1"/>
  <c r="BL575" i="1" s="1"/>
  <c r="AA149" i="1"/>
  <c r="BT149" i="1"/>
  <c r="BP155" i="1"/>
  <c r="BS161" i="1"/>
  <c r="K166" i="1"/>
  <c r="W166" i="1"/>
  <c r="AI166" i="1"/>
  <c r="AU166" i="1"/>
  <c r="BO165" i="1"/>
  <c r="BS169" i="1"/>
  <c r="BS171" i="1" s="1"/>
  <c r="BS172" i="1" s="1"/>
  <c r="AK678" i="1"/>
  <c r="AW678" i="1"/>
  <c r="K221" i="1"/>
  <c r="K225" i="1" s="1"/>
  <c r="Z222" i="1"/>
  <c r="Z225" i="1" s="1"/>
  <c r="N223" i="1"/>
  <c r="AL223" i="1"/>
  <c r="Z224" i="1"/>
  <c r="BP231" i="1"/>
  <c r="AF236" i="1"/>
  <c r="G331" i="1"/>
  <c r="AL30" i="9"/>
  <c r="AL323" i="1"/>
  <c r="AL53" i="9" s="1"/>
  <c r="U31" i="9"/>
  <c r="U324" i="1"/>
  <c r="U54" i="9" s="1"/>
  <c r="AU31" i="9"/>
  <c r="AU324" i="1"/>
  <c r="AU54" i="9" s="1"/>
  <c r="BO31" i="9"/>
  <c r="BO324" i="1"/>
  <c r="BO54" i="9" s="1"/>
  <c r="F32" i="9"/>
  <c r="F325" i="1"/>
  <c r="F55" i="9" s="1"/>
  <c r="R32" i="9"/>
  <c r="R325" i="1"/>
  <c r="R55" i="9" s="1"/>
  <c r="BL32" i="9"/>
  <c r="BL325" i="1"/>
  <c r="BL55" i="9" s="1"/>
  <c r="D7" i="9"/>
  <c r="D960" i="1"/>
  <c r="BM7" i="9"/>
  <c r="BM960" i="1"/>
  <c r="BS895" i="1"/>
  <c r="BS893" i="1"/>
  <c r="BH161" i="1"/>
  <c r="BI162" i="1" s="1"/>
  <c r="BT161" i="1"/>
  <c r="AJ166" i="1"/>
  <c r="AC223" i="1"/>
  <c r="AC224" i="1"/>
  <c r="E222" i="1"/>
  <c r="AC222" i="1"/>
  <c r="M237" i="1"/>
  <c r="AN237" i="1"/>
  <c r="AH237" i="1"/>
  <c r="AP280" i="1"/>
  <c r="AL294" i="1"/>
  <c r="F294" i="1"/>
  <c r="AP299" i="1"/>
  <c r="AP302" i="1" s="1"/>
  <c r="BI319" i="1"/>
  <c r="BI52" i="9" s="1"/>
  <c r="AN345" i="1"/>
  <c r="AN320" i="1"/>
  <c r="BI383" i="1"/>
  <c r="BI388" i="1" s="1"/>
  <c r="BI169" i="1" s="1"/>
  <c r="AB331" i="1"/>
  <c r="AB392" i="1"/>
  <c r="AR331" i="1"/>
  <c r="AR392" i="1"/>
  <c r="AR330" i="1" s="1"/>
  <c r="BU29" i="9"/>
  <c r="BU383" i="1"/>
  <c r="BU388" i="1" s="1"/>
  <c r="BU169" i="1" s="1"/>
  <c r="BU319" i="1"/>
  <c r="BU52" i="9" s="1"/>
  <c r="L383" i="1"/>
  <c r="L324" i="1"/>
  <c r="L54" i="9" s="1"/>
  <c r="L325" i="1"/>
  <c r="L55" i="9" s="1"/>
  <c r="X324" i="1"/>
  <c r="X54" i="9" s="1"/>
  <c r="X323" i="1"/>
  <c r="X53" i="9" s="1"/>
  <c r="X331" i="1"/>
  <c r="AK532" i="1"/>
  <c r="AK383" i="1"/>
  <c r="AK388" i="1" s="1"/>
  <c r="AK169" i="1" s="1"/>
  <c r="AK319" i="1"/>
  <c r="AK52" i="9" s="1"/>
  <c r="AW383" i="1"/>
  <c r="AW388" i="1" s="1"/>
  <c r="AW319" i="1"/>
  <c r="AW52" i="9" s="1"/>
  <c r="AW323" i="1"/>
  <c r="AW53" i="9" s="1"/>
  <c r="AC29" i="9"/>
  <c r="AC319" i="1"/>
  <c r="AC52" i="9" s="1"/>
  <c r="AF857" i="1"/>
  <c r="AF674" i="1"/>
  <c r="AF71" i="9" s="1"/>
  <c r="AS857" i="1"/>
  <c r="AS674" i="1"/>
  <c r="AS71" i="9" s="1"/>
  <c r="T857" i="1"/>
  <c r="T674" i="1"/>
  <c r="T71" i="9" s="1"/>
  <c r="BX847" i="1"/>
  <c r="AY674" i="1"/>
  <c r="AY71" i="9" s="1"/>
  <c r="Z692" i="1"/>
  <c r="Z693" i="1"/>
  <c r="R692" i="1"/>
  <c r="R693" i="1"/>
  <c r="R943" i="1"/>
  <c r="AK241" i="1"/>
  <c r="BU138" i="1"/>
  <c r="O143" i="1"/>
  <c r="AC141" i="1"/>
  <c r="L181" i="1"/>
  <c r="L575" i="1" s="1"/>
  <c r="X181" i="1"/>
  <c r="X575" i="1" s="1"/>
  <c r="AJ181" i="1"/>
  <c r="AJ575" i="1" s="1"/>
  <c r="AV181" i="1"/>
  <c r="AV575" i="1" s="1"/>
  <c r="BP181" i="1"/>
  <c r="BP575" i="1" s="1"/>
  <c r="G149" i="1"/>
  <c r="S149" i="1"/>
  <c r="BL149" i="1"/>
  <c r="BH156" i="1"/>
  <c r="BI157" i="1" s="1"/>
  <c r="BT156" i="1"/>
  <c r="G161" i="1"/>
  <c r="S161" i="1"/>
  <c r="AE161" i="1"/>
  <c r="AE162" i="1" s="1"/>
  <c r="AQ161" i="1"/>
  <c r="BK161" i="1"/>
  <c r="BW161" i="1"/>
  <c r="BS166" i="1"/>
  <c r="BS167" i="1" s="1"/>
  <c r="T224" i="1"/>
  <c r="T223" i="1"/>
  <c r="S225" i="1"/>
  <c r="K222" i="1"/>
  <c r="AI224" i="1"/>
  <c r="P233" i="1"/>
  <c r="P237" i="1" s="1"/>
  <c r="AK234" i="1"/>
  <c r="AX292" i="1"/>
  <c r="AX294" i="1" s="1"/>
  <c r="R292" i="1"/>
  <c r="R294" i="1" s="1"/>
  <c r="AX302" i="1"/>
  <c r="AO319" i="1"/>
  <c r="AO52" i="9" s="1"/>
  <c r="BQ323" i="1"/>
  <c r="BQ53" i="9" s="1"/>
  <c r="BQ331" i="1"/>
  <c r="M383" i="1"/>
  <c r="M388" i="1" s="1"/>
  <c r="M169" i="1" s="1"/>
  <c r="M331" i="1"/>
  <c r="M319" i="1"/>
  <c r="M52" i="9" s="1"/>
  <c r="Y383" i="1"/>
  <c r="Y388" i="1" s="1"/>
  <c r="Y169" i="1" s="1"/>
  <c r="Y532" i="1"/>
  <c r="Y331" i="1"/>
  <c r="Y330" i="1"/>
  <c r="Y325" i="1"/>
  <c r="Y55" i="9" s="1"/>
  <c r="V508" i="1"/>
  <c r="AH508" i="1"/>
  <c r="AJ963" i="1"/>
  <c r="AB111" i="1"/>
  <c r="D112" i="1"/>
  <c r="AG125" i="1"/>
  <c r="M126" i="1"/>
  <c r="AM137" i="1"/>
  <c r="AR140" i="1"/>
  <c r="AE141" i="1"/>
  <c r="BJ166" i="1"/>
  <c r="BJ167" i="1" s="1"/>
  <c r="BV166" i="1"/>
  <c r="BV167" i="1" s="1"/>
  <c r="M181" i="1"/>
  <c r="M575" i="1" s="1"/>
  <c r="Y181" i="1"/>
  <c r="Y575" i="1" s="1"/>
  <c r="AK181" i="1"/>
  <c r="AK575" i="1" s="1"/>
  <c r="AW181" i="1"/>
  <c r="AW575" i="1" s="1"/>
  <c r="AG148" i="1"/>
  <c r="AG150" i="1" s="1"/>
  <c r="AG152" i="1" s="1"/>
  <c r="Q155" i="1"/>
  <c r="AC155" i="1"/>
  <c r="AO155" i="1"/>
  <c r="BI155" i="1"/>
  <c r="BU155" i="1"/>
  <c r="BL160" i="1"/>
  <c r="G160" i="1"/>
  <c r="BH166" i="1"/>
  <c r="BI167" i="1" s="1"/>
  <c r="BT166" i="1"/>
  <c r="T221" i="1"/>
  <c r="T225" i="1" s="1"/>
  <c r="AI222" i="1"/>
  <c r="W223" i="1"/>
  <c r="N224" i="1"/>
  <c r="Z236" i="1"/>
  <c r="Z233" i="1"/>
  <c r="AL234" i="1"/>
  <c r="Z235" i="1"/>
  <c r="N236" i="1"/>
  <c r="AT280" i="1"/>
  <c r="AL299" i="1"/>
  <c r="AL302" i="1" s="1"/>
  <c r="AP319" i="1"/>
  <c r="AP52" i="9" s="1"/>
  <c r="AJ323" i="1"/>
  <c r="AJ53" i="9" s="1"/>
  <c r="BN357" i="1"/>
  <c r="J370" i="1"/>
  <c r="AG330" i="1"/>
  <c r="O383" i="1"/>
  <c r="O388" i="1" s="1"/>
  <c r="AR30" i="9"/>
  <c r="AR323" i="1"/>
  <c r="AR53" i="9" s="1"/>
  <c r="BL30" i="9"/>
  <c r="BL323" i="1"/>
  <c r="BL53" i="9" s="1"/>
  <c r="O181" i="1"/>
  <c r="O575" i="1" s="1"/>
  <c r="AA181" i="1"/>
  <c r="AA575" i="1" s="1"/>
  <c r="AM181" i="1"/>
  <c r="AM575" i="1" s="1"/>
  <c r="AY181" i="1"/>
  <c r="AY575" i="1" s="1"/>
  <c r="BS181" i="1"/>
  <c r="BS575" i="1" s="1"/>
  <c r="G156" i="1"/>
  <c r="S156" i="1"/>
  <c r="S157" i="1" s="1"/>
  <c r="AE156" i="1"/>
  <c r="AQ156" i="1"/>
  <c r="BK156" i="1"/>
  <c r="BW156" i="1"/>
  <c r="J161" i="1"/>
  <c r="V161" i="1"/>
  <c r="AH161" i="1"/>
  <c r="AT161" i="1"/>
  <c r="BN160" i="1"/>
  <c r="AD164" i="1"/>
  <c r="AD165" i="1" s="1"/>
  <c r="BJ165" i="1"/>
  <c r="BV165" i="1"/>
  <c r="AS177" i="1"/>
  <c r="AI225" i="1"/>
  <c r="Q222" i="1"/>
  <c r="AA223" i="1"/>
  <c r="AO224" i="1"/>
  <c r="Y237" i="1"/>
  <c r="N292" i="1"/>
  <c r="N294" i="1" s="1"/>
  <c r="AD292" i="1"/>
  <c r="AD294" i="1" s="1"/>
  <c r="C319" i="1"/>
  <c r="C52" i="9" s="1"/>
  <c r="X319" i="1"/>
  <c r="X52" i="9" s="1"/>
  <c r="H345" i="1"/>
  <c r="H320" i="1"/>
  <c r="AK345" i="1"/>
  <c r="AK351" i="1" s="1"/>
  <c r="AK353" i="1" s="1"/>
  <c r="AH29" i="9"/>
  <c r="AH383" i="1"/>
  <c r="AH388" i="1" s="1"/>
  <c r="AH319" i="1"/>
  <c r="AH52" i="9" s="1"/>
  <c r="L150" i="1"/>
  <c r="X150" i="1"/>
  <c r="BQ152" i="1"/>
  <c r="BM155" i="1"/>
  <c r="BP160" i="1"/>
  <c r="BL165" i="1"/>
  <c r="K171" i="1"/>
  <c r="AD189" i="1"/>
  <c r="T195" i="1"/>
  <c r="H193" i="1"/>
  <c r="H881" i="1" s="1"/>
  <c r="T193" i="1"/>
  <c r="T881" i="1" s="1"/>
  <c r="D225" i="1"/>
  <c r="AC221" i="1"/>
  <c r="AC225" i="1" s="1"/>
  <c r="AB237" i="1"/>
  <c r="AJ345" i="1"/>
  <c r="AJ351" i="1" s="1"/>
  <c r="AJ353" i="1" s="1"/>
  <c r="AJ320" i="1"/>
  <c r="AV345" i="1"/>
  <c r="AV351" i="1" s="1"/>
  <c r="AV353" i="1" s="1"/>
  <c r="BP345" i="1"/>
  <c r="Z30" i="9"/>
  <c r="Z323" i="1"/>
  <c r="Z53" i="9" s="1"/>
  <c r="BH345" i="1"/>
  <c r="BH351" i="1" s="1"/>
  <c r="BH353" i="1" s="1"/>
  <c r="J29" i="9"/>
  <c r="J383" i="1"/>
  <c r="J388" i="1" s="1"/>
  <c r="J169" i="1" s="1"/>
  <c r="J171" i="1" s="1"/>
  <c r="V29" i="9"/>
  <c r="V383" i="1"/>
  <c r="V319" i="1"/>
  <c r="V52" i="9" s="1"/>
  <c r="E225" i="1"/>
  <c r="AF225" i="1"/>
  <c r="AD299" i="1"/>
  <c r="AD302" i="1" s="1"/>
  <c r="Z378" i="1"/>
  <c r="Z25" i="1" s="1"/>
  <c r="Z28" i="1" s="1"/>
  <c r="Z19" i="9" s="1"/>
  <c r="Z340" i="1"/>
  <c r="K320" i="1"/>
  <c r="K345" i="1"/>
  <c r="W320" i="1"/>
  <c r="W345" i="1"/>
  <c r="AW345" i="1"/>
  <c r="AW320" i="1"/>
  <c r="AW351" i="1"/>
  <c r="AW353" i="1" s="1"/>
  <c r="S330" i="1"/>
  <c r="S319" i="1"/>
  <c r="S52" i="9" s="1"/>
  <c r="BL383" i="1"/>
  <c r="BL388" i="1" s="1"/>
  <c r="BL324" i="1"/>
  <c r="BL54" i="9" s="1"/>
  <c r="AI156" i="1"/>
  <c r="AI157" i="1" s="1"/>
  <c r="AU156" i="1"/>
  <c r="AU157" i="1" s="1"/>
  <c r="BO155" i="1"/>
  <c r="AX161" i="1"/>
  <c r="BB161" i="1" s="1"/>
  <c r="BR161" i="1"/>
  <c r="BR162" i="1" s="1"/>
  <c r="J166" i="1"/>
  <c r="V166" i="1"/>
  <c r="AH166" i="1"/>
  <c r="AT166" i="1"/>
  <c r="BN165" i="1"/>
  <c r="W171" i="1"/>
  <c r="BR171" i="1"/>
  <c r="J193" i="1"/>
  <c r="J881" i="1" s="1"/>
  <c r="C222" i="1"/>
  <c r="C223" i="1"/>
  <c r="C225" i="1" s="1"/>
  <c r="C224" i="1"/>
  <c r="O222" i="1"/>
  <c r="O221" i="1"/>
  <c r="O225" i="1" s="1"/>
  <c r="AG225" i="1"/>
  <c r="BP236" i="1"/>
  <c r="AR235" i="1"/>
  <c r="D320" i="1"/>
  <c r="BL331" i="1"/>
  <c r="L345" i="1"/>
  <c r="H324" i="1"/>
  <c r="H54" i="9" s="1"/>
  <c r="H319" i="1"/>
  <c r="H52" i="9" s="1"/>
  <c r="H323" i="1"/>
  <c r="H53" i="9" s="1"/>
  <c r="H331" i="1"/>
  <c r="T319" i="1"/>
  <c r="T52" i="9" s="1"/>
  <c r="T330" i="1"/>
  <c r="AG383" i="1"/>
  <c r="AG388" i="1" s="1"/>
  <c r="AG169" i="1" s="1"/>
  <c r="AG171" i="1" s="1"/>
  <c r="AG331" i="1"/>
  <c r="AG323" i="1"/>
  <c r="AG53" i="9" s="1"/>
  <c r="BM324" i="1"/>
  <c r="BM54" i="9" s="1"/>
  <c r="BM325" i="1"/>
  <c r="BM55" i="9" s="1"/>
  <c r="AT383" i="1"/>
  <c r="AT388" i="1" s="1"/>
  <c r="BV503" i="1"/>
  <c r="AP294" i="1"/>
  <c r="AT302" i="1"/>
  <c r="AG324" i="1"/>
  <c r="AG54" i="9" s="1"/>
  <c r="AV324" i="1"/>
  <c r="AV54" i="9" s="1"/>
  <c r="N345" i="1"/>
  <c r="N33" i="1" s="1"/>
  <c r="N35" i="1" s="1"/>
  <c r="AM345" i="1"/>
  <c r="V370" i="1"/>
  <c r="AJ388" i="1"/>
  <c r="AJ169" i="1" s="1"/>
  <c r="AJ171" i="1" s="1"/>
  <c r="AI388" i="1"/>
  <c r="AT513" i="1"/>
  <c r="AT508" i="1" s="1"/>
  <c r="BT625" i="1"/>
  <c r="BV701" i="1"/>
  <c r="BV702" i="1" s="1"/>
  <c r="AF709" i="1"/>
  <c r="BL10" i="9"/>
  <c r="BI841" i="1"/>
  <c r="BX837" i="1"/>
  <c r="BX668" i="1" s="1"/>
  <c r="AY920" i="1"/>
  <c r="AH919" i="1"/>
  <c r="AH690" i="1"/>
  <c r="V943" i="1"/>
  <c r="P943" i="1"/>
  <c r="P692" i="1"/>
  <c r="BK476" i="1"/>
  <c r="BK489" i="1" s="1"/>
  <c r="BV518" i="1"/>
  <c r="P695" i="1"/>
  <c r="AR695" i="1"/>
  <c r="BN725" i="1"/>
  <c r="BN709" i="1" s="1"/>
  <c r="BN431" i="1"/>
  <c r="R845" i="1"/>
  <c r="R788" i="1"/>
  <c r="BO841" i="1"/>
  <c r="M106" i="9"/>
  <c r="M944" i="1"/>
  <c r="AC106" i="9"/>
  <c r="AC944" i="1"/>
  <c r="AC953" i="1" s="1"/>
  <c r="V692" i="1"/>
  <c r="V693" i="1"/>
  <c r="V695" i="1" s="1"/>
  <c r="AH370" i="1"/>
  <c r="AY388" i="1"/>
  <c r="AU388" i="1"/>
  <c r="BW440" i="1"/>
  <c r="AY437" i="1"/>
  <c r="AY440" i="1" s="1"/>
  <c r="BK463" i="1"/>
  <c r="BL487" i="1"/>
  <c r="X513" i="1"/>
  <c r="X508" i="1" s="1"/>
  <c r="AJ513" i="1"/>
  <c r="AJ508" i="1" s="1"/>
  <c r="AW513" i="1"/>
  <c r="AW508" i="1" s="1"/>
  <c r="K725" i="1"/>
  <c r="K709" i="1" s="1"/>
  <c r="K431" i="1"/>
  <c r="W725" i="1"/>
  <c r="W709" i="1" s="1"/>
  <c r="W431" i="1"/>
  <c r="AI725" i="1"/>
  <c r="AI709" i="1" s="1"/>
  <c r="AI431" i="1"/>
  <c r="BO725" i="1"/>
  <c r="BO709" i="1" s="1"/>
  <c r="BO431" i="1"/>
  <c r="AV815" i="1"/>
  <c r="R669" i="1"/>
  <c r="R70" i="9" s="1"/>
  <c r="AP695" i="1"/>
  <c r="AP678" i="1"/>
  <c r="G221" i="1"/>
  <c r="G225" i="1" s="1"/>
  <c r="AH234" i="1"/>
  <c r="E319" i="1"/>
  <c r="E52" i="9" s="1"/>
  <c r="BI323" i="1"/>
  <c r="BI53" i="9" s="1"/>
  <c r="C324" i="1"/>
  <c r="C54" i="9" s="1"/>
  <c r="AE345" i="1"/>
  <c r="AQ345" i="1"/>
  <c r="AQ351" i="1" s="1"/>
  <c r="AQ353" i="1" s="1"/>
  <c r="AQ357" i="1" s="1"/>
  <c r="BK345" i="1"/>
  <c r="BW345" i="1"/>
  <c r="BW351" i="1" s="1"/>
  <c r="BW353" i="1" s="1"/>
  <c r="AL370" i="1"/>
  <c r="C383" i="1"/>
  <c r="C388" i="1" s="1"/>
  <c r="BH383" i="1"/>
  <c r="BH388" i="1" s="1"/>
  <c r="BH332" i="1"/>
  <c r="BT383" i="1"/>
  <c r="BT388" i="1" s="1"/>
  <c r="L725" i="1"/>
  <c r="L709" i="1" s="1"/>
  <c r="L431" i="1"/>
  <c r="X725" i="1"/>
  <c r="X709" i="1" s="1"/>
  <c r="X431" i="1"/>
  <c r="AJ725" i="1"/>
  <c r="AJ709" i="1" s="1"/>
  <c r="AJ431" i="1"/>
  <c r="AV725" i="1"/>
  <c r="AV709" i="1" s="1"/>
  <c r="AV431" i="1"/>
  <c r="BP725" i="1"/>
  <c r="BP709" i="1" s="1"/>
  <c r="BP431" i="1"/>
  <c r="AP746" i="1"/>
  <c r="AP758" i="1" s="1"/>
  <c r="F746" i="1"/>
  <c r="F758" i="1" s="1"/>
  <c r="D815" i="1"/>
  <c r="D659" i="1" s="1"/>
  <c r="D827" i="1"/>
  <c r="D661" i="1" s="1"/>
  <c r="D660" i="1" s="1"/>
  <c r="L841" i="1"/>
  <c r="AV857" i="1"/>
  <c r="BQ857" i="1"/>
  <c r="BX888" i="1"/>
  <c r="AD909" i="1"/>
  <c r="K920" i="1"/>
  <c r="AA920" i="1"/>
  <c r="AT931" i="1"/>
  <c r="AH931" i="1"/>
  <c r="BH944" i="1"/>
  <c r="AO953" i="1"/>
  <c r="I323" i="1"/>
  <c r="I53" i="9" s="1"/>
  <c r="AM323" i="1"/>
  <c r="AM53" i="9" s="1"/>
  <c r="F392" i="1"/>
  <c r="F330" i="1" s="1"/>
  <c r="BR476" i="1"/>
  <c r="BR489" i="1" s="1"/>
  <c r="BP503" i="1"/>
  <c r="AR702" i="1"/>
  <c r="BQ725" i="1"/>
  <c r="BQ709" i="1" s="1"/>
  <c r="BQ431" i="1"/>
  <c r="AR63" i="9"/>
  <c r="S889" i="1"/>
  <c r="P966" i="1"/>
  <c r="AB920" i="1"/>
  <c r="BS944" i="1"/>
  <c r="BS953" i="1" s="1"/>
  <c r="AJ1038" i="1"/>
  <c r="AJ1037" i="1"/>
  <c r="AJ1033" i="1"/>
  <c r="AJ1031" i="1"/>
  <c r="AJ1034" i="1"/>
  <c r="AJ1032" i="1"/>
  <c r="AJ1030" i="1"/>
  <c r="AJ1035" i="1"/>
  <c r="AJ1027" i="1"/>
  <c r="AJ1028" i="1"/>
  <c r="BB667" i="1"/>
  <c r="BB618" i="1" s="1"/>
  <c r="BB380" i="1"/>
  <c r="AJ1029" i="1"/>
  <c r="AO625" i="1"/>
  <c r="G709" i="1"/>
  <c r="AX625" i="1"/>
  <c r="BK815" i="1"/>
  <c r="AA857" i="1"/>
  <c r="BP857" i="1"/>
  <c r="BP165" i="1"/>
  <c r="AH233" i="1"/>
  <c r="AS280" i="1"/>
  <c r="AQ280" i="1"/>
  <c r="AH345" i="1"/>
  <c r="F370" i="1"/>
  <c r="BK383" i="1"/>
  <c r="BK388" i="1" s="1"/>
  <c r="BK331" i="1"/>
  <c r="BW383" i="1"/>
  <c r="BW388" i="1" s="1"/>
  <c r="AB513" i="1"/>
  <c r="AB508" i="1" s="1"/>
  <c r="AW815" i="1"/>
  <c r="BR841" i="1"/>
  <c r="BR665" i="1"/>
  <c r="AY919" i="1"/>
  <c r="AZ918" i="1"/>
  <c r="BA918" i="1" s="1"/>
  <c r="BB918" i="1" s="1"/>
  <c r="BX918" i="1" s="1"/>
  <c r="BC918" i="1" s="1"/>
  <c r="BD918" i="1" s="1"/>
  <c r="BE918" i="1" s="1"/>
  <c r="BF918" i="1" s="1"/>
  <c r="BY918" i="1" s="1"/>
  <c r="BZ918" i="1" s="1"/>
  <c r="CA918" i="1" s="1"/>
  <c r="CB918" i="1" s="1"/>
  <c r="AG857" i="1"/>
  <c r="AG674" i="1"/>
  <c r="AG71" i="9" s="1"/>
  <c r="BO857" i="1"/>
  <c r="BO674" i="1"/>
  <c r="BO71" i="9" s="1"/>
  <c r="AP951" i="1"/>
  <c r="I388" i="1"/>
  <c r="U388" i="1"/>
  <c r="AR513" i="1"/>
  <c r="AR508" i="1" s="1"/>
  <c r="C857" i="1"/>
  <c r="C674" i="1"/>
  <c r="C71" i="9" s="1"/>
  <c r="S857" i="1"/>
  <c r="S674" i="1"/>
  <c r="S71" i="9" s="1"/>
  <c r="AI857" i="1"/>
  <c r="AI674" i="1"/>
  <c r="AI71" i="9" s="1"/>
  <c r="C886" i="1"/>
  <c r="C889" i="1" s="1"/>
  <c r="BL886" i="1"/>
  <c r="BL895" i="1" s="1"/>
  <c r="AY886" i="1"/>
  <c r="BX886" i="1"/>
  <c r="AV323" i="1"/>
  <c r="AV53" i="9" s="1"/>
  <c r="M345" i="1"/>
  <c r="AL345" i="1"/>
  <c r="AX345" i="1"/>
  <c r="R370" i="1"/>
  <c r="BY411" i="1"/>
  <c r="AG498" i="1"/>
  <c r="BV498" i="1"/>
  <c r="AX640" i="1"/>
  <c r="AU640" i="1"/>
  <c r="BW640" i="1"/>
  <c r="AH695" i="1"/>
  <c r="V803" i="1"/>
  <c r="V746" i="1"/>
  <c r="V758" i="1" s="1"/>
  <c r="V815" i="1"/>
  <c r="V659" i="1" s="1"/>
  <c r="V62" i="9" s="1"/>
  <c r="C815" i="1"/>
  <c r="C659" i="1" s="1"/>
  <c r="Q815" i="1"/>
  <c r="Q392" i="1"/>
  <c r="Q330" i="1" s="1"/>
  <c r="BP815" i="1"/>
  <c r="BP659" i="1" s="1"/>
  <c r="BP895" i="1"/>
  <c r="BP893" i="1"/>
  <c r="BI895" i="1"/>
  <c r="BI897" i="1"/>
  <c r="BM889" i="1"/>
  <c r="AE920" i="1"/>
  <c r="BC939" i="1"/>
  <c r="BX694" i="1"/>
  <c r="BX9" i="9" s="1"/>
  <c r="AF375" i="1"/>
  <c r="P330" i="1"/>
  <c r="F413" i="1"/>
  <c r="F487" i="1"/>
  <c r="R473" i="1"/>
  <c r="E487" i="1"/>
  <c r="BS503" i="1"/>
  <c r="Z508" i="1"/>
  <c r="AC513" i="1"/>
  <c r="AC508" i="1" s="1"/>
  <c r="AP513" i="1"/>
  <c r="AP508" i="1" s="1"/>
  <c r="AN7" i="9"/>
  <c r="AN960" i="1"/>
  <c r="BU700" i="1"/>
  <c r="AS695" i="1"/>
  <c r="AY701" i="1"/>
  <c r="BV709" i="1"/>
  <c r="BQ10" i="9"/>
  <c r="AC815" i="1"/>
  <c r="AU815" i="1"/>
  <c r="AU659" i="1" s="1"/>
  <c r="AU662" i="1" s="1"/>
  <c r="BS897" i="1"/>
  <c r="AC1038" i="1"/>
  <c r="AC1037" i="1"/>
  <c r="AC1033" i="1"/>
  <c r="AC1031" i="1"/>
  <c r="AC1035" i="1"/>
  <c r="AC1029" i="1"/>
  <c r="AM1032" i="1"/>
  <c r="BL330" i="1"/>
  <c r="BX411" i="1"/>
  <c r="G487" i="1"/>
  <c r="H487" i="1"/>
  <c r="BS498" i="1"/>
  <c r="S513" i="1"/>
  <c r="AV513" i="1"/>
  <c r="AV508" i="1" s="1"/>
  <c r="BQ518" i="1"/>
  <c r="AT695" i="1"/>
  <c r="BM695" i="1"/>
  <c r="AY841" i="1"/>
  <c r="AA841" i="1"/>
  <c r="BA841" i="1"/>
  <c r="L857" i="1"/>
  <c r="AB674" i="1"/>
  <c r="AB71" i="9" s="1"/>
  <c r="BW857" i="1"/>
  <c r="BW674" i="1"/>
  <c r="BW71" i="9" s="1"/>
  <c r="D673" i="1"/>
  <c r="D72" i="9" s="1"/>
  <c r="AW673" i="1"/>
  <c r="AW72" i="9" s="1"/>
  <c r="X920" i="1"/>
  <c r="AP935" i="1"/>
  <c r="J330" i="1"/>
  <c r="AM330" i="1"/>
  <c r="R487" i="1"/>
  <c r="I487" i="1"/>
  <c r="K487" i="1"/>
  <c r="BA620" i="1"/>
  <c r="BA621" i="1" s="1"/>
  <c r="E695" i="1"/>
  <c r="BO695" i="1"/>
  <c r="U815" i="1"/>
  <c r="AE63" i="9"/>
  <c r="O857" i="1"/>
  <c r="BM857" i="1"/>
  <c r="BX848" i="1"/>
  <c r="BX673" i="1" s="1"/>
  <c r="BX72" i="9" s="1"/>
  <c r="D857" i="1"/>
  <c r="BQ909" i="1"/>
  <c r="Z908" i="1"/>
  <c r="AW944" i="1"/>
  <c r="AW953" i="1" s="1"/>
  <c r="AF1038" i="1"/>
  <c r="AF1035" i="1"/>
  <c r="AF1033" i="1"/>
  <c r="AF1031" i="1"/>
  <c r="AF1037" i="1"/>
  <c r="AF1027" i="1"/>
  <c r="AR1038" i="1"/>
  <c r="AR1031" i="1"/>
  <c r="AR1029" i="1"/>
  <c r="AR1033" i="1"/>
  <c r="AR1037" i="1"/>
  <c r="BV1037" i="1"/>
  <c r="BV1033" i="1"/>
  <c r="BV1031" i="1"/>
  <c r="BV1027" i="1"/>
  <c r="BV545" i="1" s="1"/>
  <c r="BV1038" i="1"/>
  <c r="BV1032" i="1"/>
  <c r="BV1034" i="1"/>
  <c r="BV1028" i="1"/>
  <c r="BV546" i="1" s="1"/>
  <c r="BV1029" i="1"/>
  <c r="BV1036" i="1"/>
  <c r="BV1030" i="1"/>
  <c r="BV1035" i="1"/>
  <c r="AM1028" i="1"/>
  <c r="AM546" i="1" s="1"/>
  <c r="AJ375" i="1"/>
  <c r="AB375" i="1"/>
  <c r="C392" i="1"/>
  <c r="C330" i="1" s="1"/>
  <c r="O330" i="1"/>
  <c r="BS392" i="1"/>
  <c r="BS330" i="1" s="1"/>
  <c r="BH411" i="1"/>
  <c r="BW518" i="1"/>
  <c r="Y513" i="1"/>
  <c r="Y508" i="1" s="1"/>
  <c r="AK513" i="1"/>
  <c r="AK508" i="1" s="1"/>
  <c r="J10" i="9"/>
  <c r="V10" i="9"/>
  <c r="AT669" i="1"/>
  <c r="AT70" i="9" s="1"/>
  <c r="R857" i="1"/>
  <c r="AI815" i="1"/>
  <c r="AI659" i="1" s="1"/>
  <c r="AI62" i="9" s="1"/>
  <c r="AM815" i="1"/>
  <c r="AM659" i="1" s="1"/>
  <c r="BH63" i="9"/>
  <c r="BT63" i="9"/>
  <c r="BH841" i="1"/>
  <c r="BT841" i="1"/>
  <c r="BS841" i="1"/>
  <c r="E674" i="1"/>
  <c r="E71" i="9" s="1"/>
  <c r="U857" i="1"/>
  <c r="BM897" i="1"/>
  <c r="AT690" i="1"/>
  <c r="AT909" i="1"/>
  <c r="AG920" i="1"/>
  <c r="AF106" i="9"/>
  <c r="AF944" i="1"/>
  <c r="AP345" i="1"/>
  <c r="BJ345" i="1"/>
  <c r="BV345" i="1"/>
  <c r="N440" i="1"/>
  <c r="F473" i="1"/>
  <c r="AR498" i="1"/>
  <c r="BT498" i="1"/>
  <c r="AI625" i="1"/>
  <c r="AX695" i="1"/>
  <c r="M695" i="1"/>
  <c r="K10" i="9"/>
  <c r="W10" i="9"/>
  <c r="AI10" i="9"/>
  <c r="AU10" i="9"/>
  <c r="AY791" i="1"/>
  <c r="BM815" i="1"/>
  <c r="AS841" i="1"/>
  <c r="H841" i="1"/>
  <c r="AM841" i="1"/>
  <c r="AU841" i="1"/>
  <c r="G857" i="1"/>
  <c r="BR673" i="1"/>
  <c r="BR72" i="9" s="1"/>
  <c r="Q857" i="1"/>
  <c r="BT857" i="1"/>
  <c r="I889" i="1"/>
  <c r="BL920" i="1"/>
  <c r="AR1035" i="1"/>
  <c r="BI392" i="1"/>
  <c r="BI330" i="1" s="1"/>
  <c r="BU392" i="1"/>
  <c r="BU330" i="1" s="1"/>
  <c r="R440" i="1"/>
  <c r="D487" i="1"/>
  <c r="AU498" i="1"/>
  <c r="AF498" i="1"/>
  <c r="AA513" i="1"/>
  <c r="AV701" i="1"/>
  <c r="S709" i="1"/>
  <c r="AA815" i="1"/>
  <c r="AA659" i="1" s="1"/>
  <c r="Y63" i="9"/>
  <c r="AM63" i="9"/>
  <c r="BU665" i="1"/>
  <c r="BU619" i="1" s="1"/>
  <c r="BX839" i="1"/>
  <c r="BX669" i="1" s="1"/>
  <c r="BX70" i="9" s="1"/>
  <c r="H857" i="1"/>
  <c r="AV920" i="1"/>
  <c r="BM920" i="1"/>
  <c r="AW920" i="1"/>
  <c r="BS919" i="1"/>
  <c r="BS920" i="1" s="1"/>
  <c r="AL943" i="1"/>
  <c r="AM1031" i="1"/>
  <c r="AM1034" i="1"/>
  <c r="AM1027" i="1"/>
  <c r="AM545" i="1" s="1"/>
  <c r="AM548" i="1" s="1"/>
  <c r="AM1033" i="1"/>
  <c r="AM1029" i="1"/>
  <c r="AY1038" i="1"/>
  <c r="AY1034" i="1"/>
  <c r="AY1029" i="1"/>
  <c r="AY1033" i="1"/>
  <c r="AY1031" i="1"/>
  <c r="AY1030" i="1"/>
  <c r="AF1029" i="1"/>
  <c r="F440" i="1"/>
  <c r="L487" i="1"/>
  <c r="BQ503" i="1"/>
  <c r="AL513" i="1"/>
  <c r="AL508" i="1" s="1"/>
  <c r="T513" i="1"/>
  <c r="AF513" i="1"/>
  <c r="C10" i="9"/>
  <c r="O10" i="9"/>
  <c r="AA10" i="9"/>
  <c r="AM10" i="9"/>
  <c r="AY10" i="9"/>
  <c r="BV791" i="1"/>
  <c r="BH791" i="1"/>
  <c r="BH794" i="1" s="1"/>
  <c r="BI793" i="1" s="1"/>
  <c r="X791" i="1"/>
  <c r="X794" i="1" s="1"/>
  <c r="BL815" i="1"/>
  <c r="BL659" i="1" s="1"/>
  <c r="BV665" i="1"/>
  <c r="BV619" i="1" s="1"/>
  <c r="AR640" i="1" s="1"/>
  <c r="AI841" i="1"/>
  <c r="BV841" i="1"/>
  <c r="BR857" i="1"/>
  <c r="AJ897" i="1"/>
  <c r="AA880" i="1"/>
  <c r="BR880" i="1"/>
  <c r="AK889" i="1"/>
  <c r="T106" i="9"/>
  <c r="T944" i="1"/>
  <c r="AV548" i="1"/>
  <c r="CB625" i="1"/>
  <c r="BI695" i="1"/>
  <c r="AM701" i="1"/>
  <c r="AM702" i="1" s="1"/>
  <c r="F709" i="1"/>
  <c r="R709" i="1"/>
  <c r="AD709" i="1"/>
  <c r="AP709" i="1"/>
  <c r="L10" i="9"/>
  <c r="X10" i="9"/>
  <c r="AJ10" i="9"/>
  <c r="AV10" i="9"/>
  <c r="AG791" i="1"/>
  <c r="AG815" i="1"/>
  <c r="AJ815" i="1"/>
  <c r="BJ815" i="1"/>
  <c r="AE815" i="1"/>
  <c r="AE659" i="1" s="1"/>
  <c r="Q63" i="9"/>
  <c r="I841" i="1"/>
  <c r="AN841" i="1"/>
  <c r="K674" i="1"/>
  <c r="K71" i="9" s="1"/>
  <c r="BJ857" i="1"/>
  <c r="BJ674" i="1"/>
  <c r="BJ71" i="9" s="1"/>
  <c r="BV857" i="1"/>
  <c r="X857" i="1"/>
  <c r="BK920" i="1"/>
  <c r="X106" i="9"/>
  <c r="X944" i="1"/>
  <c r="Q944" i="1"/>
  <c r="Q953" i="1" s="1"/>
  <c r="AD1043" i="1"/>
  <c r="AD1051" i="1"/>
  <c r="AD599" i="1" s="1"/>
  <c r="AD1047" i="1"/>
  <c r="AD1045" i="1"/>
  <c r="AP1053" i="1"/>
  <c r="AP1052" i="1"/>
  <c r="AP600" i="1" s="1"/>
  <c r="AP1047" i="1"/>
  <c r="AP1043" i="1"/>
  <c r="BT1048" i="1"/>
  <c r="BT1047" i="1"/>
  <c r="BT1051" i="1"/>
  <c r="BT599" i="1" s="1"/>
  <c r="BT604" i="1" s="1"/>
  <c r="AT1045" i="1"/>
  <c r="AT1047" i="1"/>
  <c r="AE1043" i="1"/>
  <c r="AF1046" i="1"/>
  <c r="AE1048" i="1"/>
  <c r="H10" i="9"/>
  <c r="T10" i="9"/>
  <c r="AF10" i="9"/>
  <c r="AR10" i="9"/>
  <c r="BK10" i="9"/>
  <c r="BW10" i="9"/>
  <c r="BN791" i="1"/>
  <c r="AL788" i="1"/>
  <c r="Y815" i="1"/>
  <c r="BW815" i="1"/>
  <c r="AQ815" i="1"/>
  <c r="BQ815" i="1"/>
  <c r="G815" i="1"/>
  <c r="G659" i="1" s="1"/>
  <c r="C841" i="1"/>
  <c r="Q841" i="1"/>
  <c r="AO841" i="1"/>
  <c r="BI857" i="1"/>
  <c r="W857" i="1"/>
  <c r="BH857" i="1"/>
  <c r="AN857" i="1"/>
  <c r="AM857" i="1"/>
  <c r="BK894" i="1"/>
  <c r="AG897" i="1"/>
  <c r="S920" i="1"/>
  <c r="AQ920" i="1"/>
  <c r="AR944" i="1"/>
  <c r="AL951" i="1"/>
  <c r="AQ1043" i="1"/>
  <c r="AG1045" i="1"/>
  <c r="AE1050" i="1"/>
  <c r="BS1053" i="1"/>
  <c r="AE1045" i="1"/>
  <c r="BT1043" i="1"/>
  <c r="AR1045" i="1"/>
  <c r="BR1043" i="1"/>
  <c r="Q83" i="10"/>
  <c r="P83" i="10"/>
  <c r="Q77" i="10"/>
  <c r="P77" i="10"/>
  <c r="Q50" i="10"/>
  <c r="P50" i="10"/>
  <c r="Q35" i="10"/>
  <c r="P35" i="10"/>
  <c r="Q69" i="10"/>
  <c r="P69" i="10"/>
  <c r="Q16" i="10"/>
  <c r="P16" i="10"/>
  <c r="Q84" i="10"/>
  <c r="P84" i="10"/>
  <c r="Q90" i="10"/>
  <c r="P90" i="10"/>
  <c r="Q106" i="10"/>
  <c r="P106" i="10"/>
  <c r="Q143" i="10"/>
  <c r="P143" i="10"/>
  <c r="P29" i="10"/>
  <c r="Q29" i="10"/>
  <c r="Q57" i="10"/>
  <c r="P57" i="10"/>
  <c r="P22" i="10"/>
  <c r="Q22" i="10"/>
  <c r="P41" i="10"/>
  <c r="Q41" i="10"/>
  <c r="P63" i="10"/>
  <c r="Q63" i="10"/>
  <c r="Q96" i="10"/>
  <c r="P96" i="10"/>
  <c r="AJ17" i="1"/>
  <c r="AJ63" i="1"/>
  <c r="AJ57" i="1"/>
  <c r="AJ60" i="1"/>
  <c r="AM75" i="1"/>
  <c r="AQ75" i="1"/>
  <c r="BC75" i="1"/>
  <c r="BX84" i="1"/>
  <c r="AN99" i="1"/>
  <c r="AZ102" i="1"/>
  <c r="AP99" i="1"/>
  <c r="BV17" i="11"/>
  <c r="BV90" i="1"/>
  <c r="BV88" i="1"/>
  <c r="BV87" i="1"/>
  <c r="BK125" i="1"/>
  <c r="AZ22" i="9"/>
  <c r="AZ14" i="1"/>
  <c r="AZ55" i="1"/>
  <c r="AZ47" i="1" s="1"/>
  <c r="BA51" i="1"/>
  <c r="AZ78" i="1"/>
  <c r="AZ54" i="1"/>
  <c r="AZ23" i="9" s="1"/>
  <c r="BK121" i="1"/>
  <c r="AL115" i="1"/>
  <c r="BQ123" i="1"/>
  <c r="BH1078" i="1"/>
  <c r="BH1090" i="1"/>
  <c r="BH1088" i="1" s="1"/>
  <c r="BH721" i="1" s="1"/>
  <c r="BH1085" i="1"/>
  <c r="BH1076" i="1"/>
  <c r="BH1074" i="1" s="1"/>
  <c r="BH719" i="1" s="1"/>
  <c r="BH1083" i="1"/>
  <c r="BH1081" i="1" s="1"/>
  <c r="BH720" i="1" s="1"/>
  <c r="BH1092" i="1"/>
  <c r="BA68" i="1"/>
  <c r="BA21" i="1"/>
  <c r="BA72" i="1"/>
  <c r="BA71" i="1" s="1"/>
  <c r="BA84" i="1"/>
  <c r="BE67" i="1"/>
  <c r="BW75" i="1"/>
  <c r="AM115" i="1"/>
  <c r="A4" i="11"/>
  <c r="B1123" i="1"/>
  <c r="A4" i="12"/>
  <c r="BK4" i="1"/>
  <c r="CB1059" i="1"/>
  <c r="AT22" i="1"/>
  <c r="N27" i="1"/>
  <c r="Z27" i="1"/>
  <c r="J28" i="1"/>
  <c r="J19" i="9" s="1"/>
  <c r="V28" i="1"/>
  <c r="V19" i="9" s="1"/>
  <c r="X35" i="1"/>
  <c r="H10" i="11"/>
  <c r="H41" i="1" s="1"/>
  <c r="H14" i="9" s="1"/>
  <c r="T10" i="11"/>
  <c r="T41" i="1" s="1"/>
  <c r="T14" i="9" s="1"/>
  <c r="AF10" i="11"/>
  <c r="AF41" i="1" s="1"/>
  <c r="AF14" i="9" s="1"/>
  <c r="AR10" i="11"/>
  <c r="AR41" i="1" s="1"/>
  <c r="AR14" i="9" s="1"/>
  <c r="F39" i="1"/>
  <c r="R39" i="1"/>
  <c r="I40" i="1"/>
  <c r="I15" i="9" s="1"/>
  <c r="U40" i="1"/>
  <c r="U15" i="9" s="1"/>
  <c r="AG40" i="1"/>
  <c r="AS40" i="1"/>
  <c r="AS15" i="9" s="1"/>
  <c r="AJ44" i="1"/>
  <c r="AV44" i="1"/>
  <c r="AI47" i="1"/>
  <c r="AI63" i="1" s="1"/>
  <c r="AU47" i="1"/>
  <c r="AU63" i="1" s="1"/>
  <c r="BE57" i="1"/>
  <c r="AS68" i="1"/>
  <c r="AV69" i="1"/>
  <c r="AI71" i="1"/>
  <c r="AU71" i="1"/>
  <c r="AY73" i="1"/>
  <c r="BW73" i="1"/>
  <c r="AN74" i="1"/>
  <c r="AN75" i="1" s="1"/>
  <c r="M17" i="11"/>
  <c r="M19" i="11" s="1"/>
  <c r="M962" i="1"/>
  <c r="Y17" i="11"/>
  <c r="Y19" i="11" s="1"/>
  <c r="Y962" i="1"/>
  <c r="AK85" i="1"/>
  <c r="AW85" i="1"/>
  <c r="BL17" i="11"/>
  <c r="BL19" i="11" s="1"/>
  <c r="BL20" i="11" s="1"/>
  <c r="BL29" i="1" s="1"/>
  <c r="BL20" i="9" s="1"/>
  <c r="BS87" i="1"/>
  <c r="AV97" i="1"/>
  <c r="AV99" i="1" s="1"/>
  <c r="AV98" i="1"/>
  <c r="AY103" i="1"/>
  <c r="BT111" i="1"/>
  <c r="AB113" i="1"/>
  <c r="BV113" i="1"/>
  <c r="BK114" i="1"/>
  <c r="BP124" i="1"/>
  <c r="BO125" i="1"/>
  <c r="BN121" i="1"/>
  <c r="BN124" i="1" s="1"/>
  <c r="E241" i="1"/>
  <c r="E124" i="1"/>
  <c r="E123" i="1"/>
  <c r="E126" i="1"/>
  <c r="Q124" i="1"/>
  <c r="Q241" i="1"/>
  <c r="Q123" i="1"/>
  <c r="Q127" i="1" s="1"/>
  <c r="Q126" i="1"/>
  <c r="AC124" i="1"/>
  <c r="AC123" i="1"/>
  <c r="AC241" i="1"/>
  <c r="AC126" i="1"/>
  <c r="AO124" i="1"/>
  <c r="AO123" i="1"/>
  <c r="AO127" i="1" s="1"/>
  <c r="AO126" i="1"/>
  <c r="AO241" i="1"/>
  <c r="T139" i="1"/>
  <c r="T141" i="1"/>
  <c r="T137" i="1"/>
  <c r="BR143" i="1"/>
  <c r="AH142" i="1"/>
  <c r="AW167" i="1"/>
  <c r="BA166" i="1"/>
  <c r="BN166" i="1"/>
  <c r="BN161" i="1"/>
  <c r="BN156" i="1"/>
  <c r="BN157" i="1" s="1"/>
  <c r="AL581" i="1"/>
  <c r="AX581" i="1"/>
  <c r="H161" i="1"/>
  <c r="H162" i="1" s="1"/>
  <c r="L160" i="1"/>
  <c r="H160" i="1"/>
  <c r="T161" i="1"/>
  <c r="X160" i="1"/>
  <c r="T160" i="1"/>
  <c r="AF161" i="1"/>
  <c r="AJ160" i="1"/>
  <c r="AF160" i="1"/>
  <c r="AR161" i="1"/>
  <c r="AV160" i="1"/>
  <c r="AR160" i="1"/>
  <c r="BK162" i="1"/>
  <c r="BL162" i="1"/>
  <c r="G167" i="1"/>
  <c r="P355" i="1"/>
  <c r="P357" i="1"/>
  <c r="AJ355" i="1"/>
  <c r="AJ357" i="1"/>
  <c r="C104" i="9"/>
  <c r="C326" i="1"/>
  <c r="C56" i="9" s="1"/>
  <c r="C389" i="1"/>
  <c r="C402" i="1"/>
  <c r="C406" i="1" s="1"/>
  <c r="C169" i="1"/>
  <c r="C171" i="1" s="1"/>
  <c r="AA104" i="9"/>
  <c r="AA326" i="1"/>
  <c r="AA56" i="9" s="1"/>
  <c r="AA389" i="1"/>
  <c r="AA402" i="1"/>
  <c r="AA406" i="1" s="1"/>
  <c r="AA395" i="1"/>
  <c r="AA169" i="1"/>
  <c r="AY104" i="9"/>
  <c r="AY326" i="1"/>
  <c r="AY56" i="9" s="1"/>
  <c r="AY389" i="1"/>
  <c r="AY169" i="1"/>
  <c r="N9" i="1"/>
  <c r="Z9" i="1"/>
  <c r="AL9" i="1"/>
  <c r="P12" i="1"/>
  <c r="AB12" i="1"/>
  <c r="AN12" i="1"/>
  <c r="AI22" i="1"/>
  <c r="AU22" i="1"/>
  <c r="AX23" i="1"/>
  <c r="AX18" i="9" s="1"/>
  <c r="O27" i="1"/>
  <c r="AA27" i="1"/>
  <c r="Y35" i="1"/>
  <c r="BL35" i="1"/>
  <c r="G39" i="1"/>
  <c r="S39" i="1"/>
  <c r="AE39" i="1"/>
  <c r="AQ39" i="1"/>
  <c r="J40" i="1"/>
  <c r="J15" i="9" s="1"/>
  <c r="V40" i="1"/>
  <c r="V15" i="9" s="1"/>
  <c r="AH40" i="1"/>
  <c r="AH15" i="9" s="1"/>
  <c r="AT40" i="1"/>
  <c r="AT15" i="9" s="1"/>
  <c r="AK44" i="1"/>
  <c r="AW44" i="1"/>
  <c r="AU45" i="1"/>
  <c r="AU16" i="9" s="1"/>
  <c r="AV47" i="1"/>
  <c r="BS47" i="1"/>
  <c r="AA52" i="1"/>
  <c r="AM52" i="1"/>
  <c r="AY52" i="1"/>
  <c r="BX52" i="1" s="1"/>
  <c r="BX53" i="1" s="1"/>
  <c r="AG55" i="1"/>
  <c r="AS55" i="1"/>
  <c r="AO62" i="1"/>
  <c r="AT68" i="1"/>
  <c r="AW69" i="1"/>
  <c r="AN73" i="1"/>
  <c r="AZ73" i="1"/>
  <c r="BS74" i="1"/>
  <c r="BS75" i="1" s="1"/>
  <c r="AL17" i="11"/>
  <c r="AL19" i="11" s="1"/>
  <c r="AL962" i="1"/>
  <c r="AL90" i="1"/>
  <c r="AX17" i="11"/>
  <c r="AX90" i="1"/>
  <c r="BM17" i="11"/>
  <c r="BM19" i="11" s="1"/>
  <c r="AY101" i="1"/>
  <c r="E112" i="1"/>
  <c r="E111" i="1"/>
  <c r="Q112" i="1"/>
  <c r="Q111" i="1"/>
  <c r="AC112" i="1"/>
  <c r="AC111" i="1"/>
  <c r="AO112" i="1"/>
  <c r="AO111" i="1"/>
  <c r="AC113" i="1"/>
  <c r="BQ121" i="1"/>
  <c r="BQ124" i="1"/>
  <c r="BP121" i="1"/>
  <c r="BP126" i="1" s="1"/>
  <c r="BP125" i="1"/>
  <c r="AX140" i="1"/>
  <c r="U139" i="1"/>
  <c r="U141" i="1"/>
  <c r="U137" i="1"/>
  <c r="BF166" i="1"/>
  <c r="BO166" i="1"/>
  <c r="BO161" i="1"/>
  <c r="BO162" i="1" s="1"/>
  <c r="BO156" i="1"/>
  <c r="BO157" i="1" s="1"/>
  <c r="AH596" i="1"/>
  <c r="AS162" i="1"/>
  <c r="H166" i="1"/>
  <c r="H167" i="1" s="1"/>
  <c r="L165" i="1"/>
  <c r="H165" i="1"/>
  <c r="T166" i="1"/>
  <c r="X165" i="1"/>
  <c r="T165" i="1"/>
  <c r="AF166" i="1"/>
  <c r="AJ165" i="1"/>
  <c r="AF165" i="1"/>
  <c r="AR166" i="1"/>
  <c r="AV165" i="1"/>
  <c r="AR165" i="1"/>
  <c r="G8" i="1"/>
  <c r="S8" i="1"/>
  <c r="AE8" i="1"/>
  <c r="O9" i="1"/>
  <c r="AA9" i="1"/>
  <c r="AM9" i="1"/>
  <c r="I11" i="1"/>
  <c r="U11" i="1"/>
  <c r="AG11" i="1"/>
  <c r="Q12" i="1"/>
  <c r="AC12" i="1"/>
  <c r="AO12" i="1"/>
  <c r="AM23" i="1"/>
  <c r="AM18" i="9" s="1"/>
  <c r="AY23" i="1"/>
  <c r="AY18" i="9" s="1"/>
  <c r="P27" i="1"/>
  <c r="AB27" i="1"/>
  <c r="L28" i="1"/>
  <c r="L19" i="9" s="1"/>
  <c r="X28" i="1"/>
  <c r="X19" i="9" s="1"/>
  <c r="J10" i="11"/>
  <c r="J41" i="1" s="1"/>
  <c r="J14" i="9" s="1"/>
  <c r="V10" i="11"/>
  <c r="V41" i="1" s="1"/>
  <c r="V14" i="9" s="1"/>
  <c r="AH10" i="11"/>
  <c r="AH41" i="1" s="1"/>
  <c r="AH14" i="9" s="1"/>
  <c r="AT10" i="11"/>
  <c r="AT41" i="1" s="1"/>
  <c r="AT14" i="9" s="1"/>
  <c r="H39" i="1"/>
  <c r="T39" i="1"/>
  <c r="AF39" i="1"/>
  <c r="AR39" i="1"/>
  <c r="K40" i="1"/>
  <c r="K15" i="9" s="1"/>
  <c r="W40" i="1"/>
  <c r="W15" i="9" s="1"/>
  <c r="AI40" i="1"/>
  <c r="AI15" i="9" s="1"/>
  <c r="AU40" i="1"/>
  <c r="AU15" i="9" s="1"/>
  <c r="AX44" i="1"/>
  <c r="AK47" i="1"/>
  <c r="AW47" i="1"/>
  <c r="BT47" i="1"/>
  <c r="BR52" i="1"/>
  <c r="AT22" i="9"/>
  <c r="AT30" i="11"/>
  <c r="AT32" i="11" s="1"/>
  <c r="BR57" i="1"/>
  <c r="AP62" i="1"/>
  <c r="AI68" i="1"/>
  <c r="AU68" i="1"/>
  <c r="AL69" i="1"/>
  <c r="AX69" i="1"/>
  <c r="AK71" i="1"/>
  <c r="AW71" i="1"/>
  <c r="BT71" i="1"/>
  <c r="AO73" i="1"/>
  <c r="AP74" i="1"/>
  <c r="AP75" i="1" s="1"/>
  <c r="BT74" i="1"/>
  <c r="BT75" i="1" s="1"/>
  <c r="AL78" i="1"/>
  <c r="C17" i="11"/>
  <c r="C19" i="11" s="1"/>
  <c r="C20" i="11" s="1"/>
  <c r="C29" i="1" s="1"/>
  <c r="C20" i="9" s="1"/>
  <c r="C962" i="1"/>
  <c r="O17" i="11"/>
  <c r="O19" i="11" s="1"/>
  <c r="O962" i="1"/>
  <c r="AA17" i="11"/>
  <c r="AA19" i="11" s="1"/>
  <c r="AA962" i="1"/>
  <c r="AM17" i="11"/>
  <c r="AM962" i="1"/>
  <c r="AY17" i="11"/>
  <c r="AY962" i="1"/>
  <c r="BN17" i="11"/>
  <c r="BN19" i="11" s="1"/>
  <c r="BN20" i="11" s="1"/>
  <c r="BN29" i="1" s="1"/>
  <c r="BN20" i="9" s="1"/>
  <c r="AY90" i="1"/>
  <c r="AY91" i="1" s="1"/>
  <c r="BO114" i="1"/>
  <c r="F112" i="1"/>
  <c r="F111" i="1"/>
  <c r="R112" i="1"/>
  <c r="R111" i="1"/>
  <c r="AD112" i="1"/>
  <c r="AD111" i="1"/>
  <c r="AP112" i="1"/>
  <c r="AP111" i="1"/>
  <c r="AD113" i="1"/>
  <c r="BR124" i="1"/>
  <c r="BQ125" i="1"/>
  <c r="BP241" i="1"/>
  <c r="BS241" i="1"/>
  <c r="BR121" i="1"/>
  <c r="AK143" i="1"/>
  <c r="AL596" i="1"/>
  <c r="AK596" i="1"/>
  <c r="AI596" i="1"/>
  <c r="BT581" i="1"/>
  <c r="BT596" i="1"/>
  <c r="AL604" i="1"/>
  <c r="AJ596" i="1"/>
  <c r="BQ149" i="1"/>
  <c r="V162" i="1"/>
  <c r="AH162" i="1"/>
  <c r="BQ181" i="1"/>
  <c r="BQ575" i="1" s="1"/>
  <c r="L897" i="1"/>
  <c r="R193" i="1"/>
  <c r="R881" i="1" s="1"/>
  <c r="R355" i="1"/>
  <c r="R357" i="1"/>
  <c r="BW355" i="1"/>
  <c r="BW357" i="1"/>
  <c r="H8" i="1"/>
  <c r="T8" i="1"/>
  <c r="AF8" i="1"/>
  <c r="AR8" i="1"/>
  <c r="J11" i="1"/>
  <c r="V11" i="1"/>
  <c r="AH11" i="1"/>
  <c r="AT11" i="1"/>
  <c r="E27" i="1"/>
  <c r="Q27" i="1"/>
  <c r="AC27" i="1"/>
  <c r="M28" i="1"/>
  <c r="M19" i="9" s="1"/>
  <c r="Y28" i="1"/>
  <c r="Y19" i="9" s="1"/>
  <c r="K10" i="11"/>
  <c r="K41" i="1" s="1"/>
  <c r="K14" i="9" s="1"/>
  <c r="W10" i="11"/>
  <c r="W41" i="1" s="1"/>
  <c r="W14" i="9" s="1"/>
  <c r="AI10" i="11"/>
  <c r="AI41" i="1" s="1"/>
  <c r="AI14" i="9" s="1"/>
  <c r="AU10" i="11"/>
  <c r="AU41" i="1" s="1"/>
  <c r="AU14" i="9" s="1"/>
  <c r="I39" i="1"/>
  <c r="U39" i="1"/>
  <c r="AG39" i="1"/>
  <c r="AS39" i="1"/>
  <c r="L40" i="1"/>
  <c r="L15" i="9" s="1"/>
  <c r="X40" i="1"/>
  <c r="X15" i="9" s="1"/>
  <c r="AJ40" i="1"/>
  <c r="AJ15" i="9" s="1"/>
  <c r="AV40" i="1"/>
  <c r="AV15" i="9" s="1"/>
  <c r="BS40" i="1"/>
  <c r="BS15" i="9" s="1"/>
  <c r="AM44" i="1"/>
  <c r="AY44" i="1"/>
  <c r="AL47" i="1"/>
  <c r="AX47" i="1"/>
  <c r="BU47" i="1"/>
  <c r="AC52" i="1"/>
  <c r="AO52" i="1"/>
  <c r="BS52" i="1"/>
  <c r="AX22" i="9"/>
  <c r="AX30" i="11"/>
  <c r="AP54" i="1"/>
  <c r="AP23" i="9" s="1"/>
  <c r="AI55" i="1"/>
  <c r="AU55" i="1"/>
  <c r="AQ62" i="1"/>
  <c r="AJ68" i="1"/>
  <c r="AV68" i="1"/>
  <c r="AM69" i="1"/>
  <c r="AY69" i="1"/>
  <c r="AP73" i="1"/>
  <c r="BU74" i="1"/>
  <c r="BU75" i="1" s="1"/>
  <c r="D17" i="11"/>
  <c r="D19" i="11" s="1"/>
  <c r="D20" i="11" s="1"/>
  <c r="D29" i="1" s="1"/>
  <c r="D20" i="9" s="1"/>
  <c r="D962" i="1"/>
  <c r="P17" i="11"/>
  <c r="P19" i="11" s="1"/>
  <c r="P962" i="1"/>
  <c r="AB17" i="11"/>
  <c r="AB19" i="11" s="1"/>
  <c r="AB962" i="1"/>
  <c r="AN17" i="11"/>
  <c r="AN962" i="1"/>
  <c r="BO17" i="11"/>
  <c r="BO19" i="11" s="1"/>
  <c r="BO962" i="1"/>
  <c r="BR963" i="1"/>
  <c r="BR103" i="1"/>
  <c r="BR98" i="1"/>
  <c r="BR97" i="1"/>
  <c r="BR99" i="1" s="1"/>
  <c r="AJ97" i="1"/>
  <c r="AJ103" i="1"/>
  <c r="BT112" i="1"/>
  <c r="D114" i="1"/>
  <c r="AN114" i="1"/>
  <c r="BQ126" i="1"/>
  <c r="BS121" i="1"/>
  <c r="BS126" i="1" s="1"/>
  <c r="BO124" i="1"/>
  <c r="AP135" i="1"/>
  <c r="AP130" i="1"/>
  <c r="AP138" i="1" s="1"/>
  <c r="AP139" i="1"/>
  <c r="Z135" i="1"/>
  <c r="BU143" i="1"/>
  <c r="D150" i="1"/>
  <c r="D166" i="1"/>
  <c r="D161" i="1"/>
  <c r="P150" i="1"/>
  <c r="P152" i="1" s="1"/>
  <c r="P166" i="1"/>
  <c r="P167" i="1" s="1"/>
  <c r="P161" i="1"/>
  <c r="P162" i="1" s="1"/>
  <c r="AB150" i="1"/>
  <c r="AB152" i="1" s="1"/>
  <c r="AB166" i="1"/>
  <c r="AB167" i="1" s="1"/>
  <c r="AB161" i="1"/>
  <c r="AB162" i="1" s="1"/>
  <c r="AN150" i="1"/>
  <c r="AN152" i="1" s="1"/>
  <c r="AN166" i="1"/>
  <c r="AN167" i="1" s="1"/>
  <c r="AN161" i="1"/>
  <c r="AN162" i="1" s="1"/>
  <c r="AM596" i="1"/>
  <c r="BU596" i="1"/>
  <c r="AP596" i="1"/>
  <c r="AO596" i="1"/>
  <c r="BU604" i="1"/>
  <c r="AN596" i="1"/>
  <c r="BU581" i="1"/>
  <c r="BF156" i="1"/>
  <c r="AN156" i="1"/>
  <c r="AN157" i="1" s="1"/>
  <c r="O162" i="1"/>
  <c r="J167" i="1"/>
  <c r="BJ677" i="1"/>
  <c r="BJ678" i="1" s="1"/>
  <c r="BJ394" i="1"/>
  <c r="BJ332" i="1" s="1"/>
  <c r="BV677" i="1"/>
  <c r="BV678" i="1" s="1"/>
  <c r="BV394" i="1"/>
  <c r="BV332" i="1" s="1"/>
  <c r="G897" i="1"/>
  <c r="BR235" i="1"/>
  <c r="BR236" i="1"/>
  <c r="S357" i="1"/>
  <c r="S355" i="1"/>
  <c r="AV355" i="1"/>
  <c r="AV357" i="1"/>
  <c r="BH2" i="12"/>
  <c r="BH2" i="11"/>
  <c r="AL22" i="1"/>
  <c r="AX22" i="1"/>
  <c r="AO23" i="1"/>
  <c r="AO18" i="9" s="1"/>
  <c r="BL28" i="1"/>
  <c r="BL19" i="9" s="1"/>
  <c r="L10" i="11"/>
  <c r="L41" i="1" s="1"/>
  <c r="L14" i="9" s="1"/>
  <c r="AJ10" i="11"/>
  <c r="AJ41" i="1" s="1"/>
  <c r="AJ14" i="9" s="1"/>
  <c r="AV10" i="11"/>
  <c r="AV41" i="1" s="1"/>
  <c r="AV14" i="9" s="1"/>
  <c r="J39" i="1"/>
  <c r="V39" i="1"/>
  <c r="AH39" i="1"/>
  <c r="AT39" i="1"/>
  <c r="M40" i="1"/>
  <c r="M15" i="9" s="1"/>
  <c r="Y40" i="1"/>
  <c r="Y15" i="9" s="1"/>
  <c r="AK40" i="1"/>
  <c r="AK15" i="9" s="1"/>
  <c r="AW40" i="1"/>
  <c r="AW15" i="9" s="1"/>
  <c r="BT40" i="1"/>
  <c r="BT15" i="9" s="1"/>
  <c r="AM47" i="1"/>
  <c r="AY47" i="1"/>
  <c r="BV47" i="1"/>
  <c r="AD52" i="1"/>
  <c r="AP52" i="1"/>
  <c r="AK68" i="1"/>
  <c r="AW68" i="1"/>
  <c r="AN69" i="1"/>
  <c r="AM71" i="1"/>
  <c r="AY71" i="1"/>
  <c r="BV71" i="1"/>
  <c r="BB84" i="1"/>
  <c r="E17" i="11"/>
  <c r="E19" i="11" s="1"/>
  <c r="E20" i="11" s="1"/>
  <c r="E29" i="1" s="1"/>
  <c r="E20" i="9" s="1"/>
  <c r="E962" i="1"/>
  <c r="Q17" i="11"/>
  <c r="Q19" i="11" s="1"/>
  <c r="Q20" i="11" s="1"/>
  <c r="Q29" i="1" s="1"/>
  <c r="Q20" i="9" s="1"/>
  <c r="Q962" i="1"/>
  <c r="AC17" i="11"/>
  <c r="AC19" i="11" s="1"/>
  <c r="AC20" i="11" s="1"/>
  <c r="AC29" i="1" s="1"/>
  <c r="AC20" i="9" s="1"/>
  <c r="AC962" i="1"/>
  <c r="AO85" i="1"/>
  <c r="BP17" i="11"/>
  <c r="BP19" i="11" s="1"/>
  <c r="BP20" i="11" s="1"/>
  <c r="BP29" i="1" s="1"/>
  <c r="BP20" i="9" s="1"/>
  <c r="AI963" i="1"/>
  <c r="AI98" i="1"/>
  <c r="AI99" i="1" s="1"/>
  <c r="AU963" i="1"/>
  <c r="AU98" i="1"/>
  <c r="AU99" i="1" s="1"/>
  <c r="AM97" i="1"/>
  <c r="AM99" i="1" s="1"/>
  <c r="AJ98" i="1"/>
  <c r="AM103" i="1"/>
  <c r="BK111" i="1"/>
  <c r="BW111" i="1"/>
  <c r="BR109" i="1"/>
  <c r="BR113" i="1" s="1"/>
  <c r="N111" i="1"/>
  <c r="N115" i="1" s="1"/>
  <c r="AX111" i="1"/>
  <c r="P113" i="1"/>
  <c r="BJ113" i="1"/>
  <c r="E114" i="1"/>
  <c r="Y114" i="1"/>
  <c r="Y115" i="1" s="1"/>
  <c r="AO114" i="1"/>
  <c r="BT121" i="1"/>
  <c r="BT125" i="1" s="1"/>
  <c r="BU124" i="1"/>
  <c r="BU127" i="1" s="1"/>
  <c r="AH138" i="1"/>
  <c r="AT130" i="1"/>
  <c r="AT138" i="1" s="1"/>
  <c r="AT139" i="1"/>
  <c r="AD135" i="1"/>
  <c r="AD138" i="1" s="1"/>
  <c r="H142" i="1"/>
  <c r="H143" i="1" s="1"/>
  <c r="E166" i="1"/>
  <c r="I167" i="1" s="1"/>
  <c r="E161" i="1"/>
  <c r="I162" i="1" s="1"/>
  <c r="E156" i="1"/>
  <c r="Q166" i="1"/>
  <c r="Q167" i="1" s="1"/>
  <c r="Q161" i="1"/>
  <c r="Q162" i="1" s="1"/>
  <c r="Q156" i="1"/>
  <c r="AC166" i="1"/>
  <c r="AG167" i="1" s="1"/>
  <c r="AC161" i="1"/>
  <c r="AG162" i="1" s="1"/>
  <c r="AC156" i="1"/>
  <c r="AO166" i="1"/>
  <c r="AS167" i="1" s="1"/>
  <c r="AO161" i="1"/>
  <c r="AO156" i="1"/>
  <c r="AT596" i="1"/>
  <c r="BV581" i="1"/>
  <c r="AV604" i="1"/>
  <c r="AS596" i="1"/>
  <c r="AR596" i="1"/>
  <c r="BV596" i="1"/>
  <c r="AQ596" i="1"/>
  <c r="X162" i="1"/>
  <c r="K167" i="1"/>
  <c r="W167" i="1"/>
  <c r="AI167" i="1"/>
  <c r="AU167" i="1"/>
  <c r="O167" i="1"/>
  <c r="H897" i="1"/>
  <c r="T897" i="1"/>
  <c r="F195" i="1"/>
  <c r="F193" i="1" s="1"/>
  <c r="F881" i="1" s="1"/>
  <c r="E195" i="1"/>
  <c r="E193" i="1" s="1"/>
  <c r="E881" i="1" s="1"/>
  <c r="D195" i="1"/>
  <c r="D193" i="1" s="1"/>
  <c r="D881" i="1" s="1"/>
  <c r="C195" i="1"/>
  <c r="C193" i="1" s="1"/>
  <c r="C881" i="1" s="1"/>
  <c r="BV199" i="1"/>
  <c r="R225" i="1"/>
  <c r="BR233" i="1"/>
  <c r="J8" i="1"/>
  <c r="V8" i="1"/>
  <c r="AH8" i="1"/>
  <c r="AT8" i="1"/>
  <c r="L11" i="1"/>
  <c r="X11" i="1"/>
  <c r="AJ11" i="1"/>
  <c r="AR12" i="1"/>
  <c r="AM22" i="1"/>
  <c r="AY22" i="1"/>
  <c r="G27" i="1"/>
  <c r="S27" i="1"/>
  <c r="AE27" i="1"/>
  <c r="M10" i="11"/>
  <c r="M41" i="1" s="1"/>
  <c r="M14" i="9" s="1"/>
  <c r="Y10" i="11"/>
  <c r="Y41" i="1" s="1"/>
  <c r="Y14" i="9" s="1"/>
  <c r="AK10" i="11"/>
  <c r="AK41" i="1" s="1"/>
  <c r="AK14" i="9" s="1"/>
  <c r="AW10" i="11"/>
  <c r="AW41" i="1" s="1"/>
  <c r="AW14" i="9" s="1"/>
  <c r="K39" i="1"/>
  <c r="W39" i="1"/>
  <c r="AI39" i="1"/>
  <c r="AU39" i="1"/>
  <c r="N40" i="1"/>
  <c r="N15" i="9" s="1"/>
  <c r="Z40" i="1"/>
  <c r="Z15" i="9" s="1"/>
  <c r="AL40" i="1"/>
  <c r="AL15" i="9" s="1"/>
  <c r="AX40" i="1"/>
  <c r="AX15" i="9" s="1"/>
  <c r="BU40" i="1"/>
  <c r="BU15" i="9" s="1"/>
  <c r="AO44" i="1"/>
  <c r="AM45" i="1"/>
  <c r="AM16" i="9" s="1"/>
  <c r="AY45" i="1"/>
  <c r="AY16" i="9" s="1"/>
  <c r="AN47" i="1"/>
  <c r="BW47" i="1"/>
  <c r="AE52" i="1"/>
  <c r="AQ52" i="1"/>
  <c r="BU52" i="1"/>
  <c r="AL68" i="1"/>
  <c r="AX68" i="1"/>
  <c r="AS74" i="1"/>
  <c r="AS75" i="1" s="1"/>
  <c r="AZ79" i="1"/>
  <c r="F17" i="11"/>
  <c r="F19" i="11" s="1"/>
  <c r="F20" i="11" s="1"/>
  <c r="F29" i="1" s="1"/>
  <c r="F20" i="9" s="1"/>
  <c r="F962" i="1"/>
  <c r="AP17" i="11"/>
  <c r="AP962" i="1"/>
  <c r="BQ17" i="11"/>
  <c r="BQ19" i="11" s="1"/>
  <c r="BQ20" i="11" s="1"/>
  <c r="BQ29" i="1" s="1"/>
  <c r="BQ20" i="9" s="1"/>
  <c r="AM101" i="1"/>
  <c r="AN103" i="1"/>
  <c r="BL111" i="1"/>
  <c r="BT113" i="1"/>
  <c r="BR114" i="1"/>
  <c r="I111" i="1"/>
  <c r="I115" i="1" s="1"/>
  <c r="I114" i="1"/>
  <c r="U111" i="1"/>
  <c r="U114" i="1"/>
  <c r="AG111" i="1"/>
  <c r="AG114" i="1"/>
  <c r="AS111" i="1"/>
  <c r="AS114" i="1"/>
  <c r="BS109" i="1"/>
  <c r="O111" i="1"/>
  <c r="AY111" i="1"/>
  <c r="Q113" i="1"/>
  <c r="AG113" i="1"/>
  <c r="BK113" i="1"/>
  <c r="F114" i="1"/>
  <c r="AP114" i="1"/>
  <c r="AY125" i="1"/>
  <c r="AY126" i="1"/>
  <c r="T138" i="1"/>
  <c r="AH141" i="1"/>
  <c r="BW143" i="1"/>
  <c r="AV143" i="1"/>
  <c r="I142" i="1"/>
  <c r="I143" i="1" s="1"/>
  <c r="BO142" i="1"/>
  <c r="BO143" i="1" s="1"/>
  <c r="F166" i="1"/>
  <c r="F161" i="1"/>
  <c r="J162" i="1" s="1"/>
  <c r="F156" i="1"/>
  <c r="R166" i="1"/>
  <c r="R167" i="1" s="1"/>
  <c r="R161" i="1"/>
  <c r="R162" i="1" s="1"/>
  <c r="R156" i="1"/>
  <c r="R157" i="1" s="1"/>
  <c r="AD166" i="1"/>
  <c r="AD167" i="1" s="1"/>
  <c r="AD161" i="1"/>
  <c r="AD162" i="1" s="1"/>
  <c r="AD156" i="1"/>
  <c r="AD157" i="1" s="1"/>
  <c r="AP166" i="1"/>
  <c r="AP167" i="1" s="1"/>
  <c r="AP161" i="1"/>
  <c r="AP156" i="1"/>
  <c r="AP157" i="1" s="1"/>
  <c r="BW581" i="1"/>
  <c r="AX596" i="1"/>
  <c r="AX604" i="1"/>
  <c r="AV596" i="1"/>
  <c r="AU596" i="1"/>
  <c r="BW596" i="1"/>
  <c r="AW596" i="1"/>
  <c r="BO150" i="1"/>
  <c r="BO152" i="1" s="1"/>
  <c r="BR156" i="1"/>
  <c r="BR157" i="1" s="1"/>
  <c r="BR181" i="1"/>
  <c r="BR575" i="1" s="1"/>
  <c r="AG596" i="1" s="1"/>
  <c r="BC156" i="1"/>
  <c r="AY157" i="1"/>
  <c r="AX157" i="1"/>
  <c r="AA162" i="1"/>
  <c r="X167" i="1"/>
  <c r="I897" i="1"/>
  <c r="BL219" i="1"/>
  <c r="BJ222" i="1"/>
  <c r="J224" i="1"/>
  <c r="J223" i="1"/>
  <c r="J222" i="1"/>
  <c r="J221" i="1"/>
  <c r="V224" i="1"/>
  <c r="V223" i="1"/>
  <c r="V222" i="1"/>
  <c r="V221" i="1"/>
  <c r="AH224" i="1"/>
  <c r="AH223" i="1"/>
  <c r="AH222" i="1"/>
  <c r="AH221" i="1"/>
  <c r="BR47" i="9"/>
  <c r="BR129" i="9" s="1"/>
  <c r="BR327" i="1"/>
  <c r="BR57" i="9" s="1"/>
  <c r="BR174" i="1"/>
  <c r="E7" i="8"/>
  <c r="M160" i="10"/>
  <c r="B160" i="10"/>
  <c r="B154" i="10"/>
  <c r="M153" i="10"/>
  <c r="B143" i="10"/>
  <c r="M134" i="10"/>
  <c r="M107" i="10"/>
  <c r="M128" i="10"/>
  <c r="B128" i="10"/>
  <c r="B144" i="10"/>
  <c r="B2" i="9"/>
  <c r="B106" i="10"/>
  <c r="M96" i="10"/>
  <c r="B84" i="10"/>
  <c r="M63" i="10"/>
  <c r="B17" i="10"/>
  <c r="B153" i="10"/>
  <c r="B134" i="10"/>
  <c r="B107" i="10"/>
  <c r="B90" i="10"/>
  <c r="B69" i="10"/>
  <c r="B50" i="10"/>
  <c r="M41" i="10"/>
  <c r="M22" i="10"/>
  <c r="M106" i="10"/>
  <c r="M83" i="10"/>
  <c r="M77" i="10"/>
  <c r="M51" i="10"/>
  <c r="B41" i="10"/>
  <c r="B22" i="10"/>
  <c r="M16" i="10"/>
  <c r="A5" i="11"/>
  <c r="B57" i="10"/>
  <c r="M29" i="10"/>
  <c r="B1118" i="1"/>
  <c r="M143" i="10"/>
  <c r="B51" i="10"/>
  <c r="B35" i="10"/>
  <c r="M10" i="10"/>
  <c r="M97" i="10"/>
  <c r="B83" i="10"/>
  <c r="B77" i="10"/>
  <c r="M23" i="10"/>
  <c r="B16" i="10"/>
  <c r="M90" i="10"/>
  <c r="M84" i="10"/>
  <c r="M69" i="10"/>
  <c r="M50" i="10"/>
  <c r="M35" i="10"/>
  <c r="B97" i="10"/>
  <c r="B23" i="10"/>
  <c r="M144" i="10"/>
  <c r="B29" i="10"/>
  <c r="A5" i="12"/>
  <c r="M154" i="10"/>
  <c r="M57" i="10"/>
  <c r="B96" i="10"/>
  <c r="B10" i="10"/>
  <c r="B63" i="10"/>
  <c r="M17" i="10"/>
  <c r="AN22" i="1"/>
  <c r="AP44" i="1"/>
  <c r="AO47" i="1"/>
  <c r="AO63" i="1" s="1"/>
  <c r="BV52" i="1"/>
  <c r="AM68" i="1"/>
  <c r="AY68" i="1"/>
  <c r="AP69" i="1"/>
  <c r="AD78" i="1"/>
  <c r="AP78" i="1"/>
  <c r="BA79" i="1"/>
  <c r="BU199" i="1"/>
  <c r="BU101" i="1"/>
  <c r="BD84" i="1"/>
  <c r="G17" i="11"/>
  <c r="G19" i="11" s="1"/>
  <c r="G20" i="11" s="1"/>
  <c r="G29" i="1" s="1"/>
  <c r="G20" i="9" s="1"/>
  <c r="G962" i="1"/>
  <c r="S17" i="11"/>
  <c r="S19" i="11" s="1"/>
  <c r="S20" i="11" s="1"/>
  <c r="S29" i="1" s="1"/>
  <c r="S20" i="9" s="1"/>
  <c r="S962" i="1"/>
  <c r="AE17" i="11"/>
  <c r="AE19" i="11" s="1"/>
  <c r="AE20" i="11" s="1"/>
  <c r="AE29" i="1" s="1"/>
  <c r="AE20" i="9" s="1"/>
  <c r="AE962" i="1"/>
  <c r="AQ85" i="1"/>
  <c r="BR85" i="1"/>
  <c r="BS89" i="1"/>
  <c r="AN90" i="1"/>
  <c r="AN91" i="1" s="1"/>
  <c r="AO97" i="1"/>
  <c r="AO99" i="1" s="1"/>
  <c r="AN101" i="1"/>
  <c r="AO103" i="1"/>
  <c r="BM109" i="1"/>
  <c r="BK124" i="1"/>
  <c r="BW112" i="1"/>
  <c r="P111" i="1"/>
  <c r="P115" i="1" s="1"/>
  <c r="I112" i="1"/>
  <c r="AS112" i="1"/>
  <c r="R113" i="1"/>
  <c r="K241" i="1"/>
  <c r="K126" i="1"/>
  <c r="K125" i="1"/>
  <c r="K124" i="1"/>
  <c r="K127" i="1" s="1"/>
  <c r="W241" i="1"/>
  <c r="W126" i="1"/>
  <c r="W125" i="1"/>
  <c r="W124" i="1"/>
  <c r="AI241" i="1"/>
  <c r="AI126" i="1"/>
  <c r="AI125" i="1"/>
  <c r="AI124" i="1"/>
  <c r="AI127" i="1" s="1"/>
  <c r="AU126" i="1"/>
  <c r="AU125" i="1"/>
  <c r="AU124" i="1"/>
  <c r="F127" i="1"/>
  <c r="W123" i="1"/>
  <c r="AM124" i="1"/>
  <c r="U138" i="1"/>
  <c r="H181" i="1"/>
  <c r="H575" i="1" s="1"/>
  <c r="T181" i="1"/>
  <c r="T575" i="1" s="1"/>
  <c r="AF181" i="1"/>
  <c r="AF575" i="1" s="1"/>
  <c r="AF581" i="1" s="1"/>
  <c r="AR181" i="1"/>
  <c r="AR575" i="1" s="1"/>
  <c r="AR581" i="1" s="1"/>
  <c r="BS152" i="1"/>
  <c r="D156" i="1"/>
  <c r="BD156" i="1"/>
  <c r="BF161" i="1"/>
  <c r="AJ162" i="1"/>
  <c r="AX162" i="1"/>
  <c r="AP887" i="1"/>
  <c r="AP393" i="1"/>
  <c r="J897" i="1"/>
  <c r="V193" i="1"/>
  <c r="V881" i="1" s="1"/>
  <c r="AH195" i="1"/>
  <c r="O104" i="9"/>
  <c r="O326" i="1"/>
  <c r="O56" i="9" s="1"/>
  <c r="O389" i="1"/>
  <c r="O402" i="1"/>
  <c r="O406" i="1" s="1"/>
  <c r="O169" i="1"/>
  <c r="AM104" i="9"/>
  <c r="AM326" i="1"/>
  <c r="AM56" i="9" s="1"/>
  <c r="AM389" i="1"/>
  <c r="AM169" i="1"/>
  <c r="BC1059" i="1"/>
  <c r="BC667" i="1"/>
  <c r="BC618" i="1" s="1"/>
  <c r="BC380" i="1"/>
  <c r="BC182" i="1"/>
  <c r="BC574" i="1" s="1"/>
  <c r="H9" i="1"/>
  <c r="T9" i="1"/>
  <c r="AF9" i="1"/>
  <c r="J12" i="1"/>
  <c r="V12" i="1"/>
  <c r="AH12" i="1"/>
  <c r="AO22" i="1"/>
  <c r="AR23" i="1"/>
  <c r="AR18" i="9" s="1"/>
  <c r="BD23" i="1"/>
  <c r="BD18" i="9" s="1"/>
  <c r="I27" i="1"/>
  <c r="U27" i="1"/>
  <c r="AG27" i="1"/>
  <c r="Q28" i="1"/>
  <c r="Q19" i="9" s="1"/>
  <c r="AC28" i="1"/>
  <c r="G35" i="1"/>
  <c r="S35" i="1"/>
  <c r="BU10" i="11"/>
  <c r="BU41" i="1" s="1"/>
  <c r="BU14" i="9" s="1"/>
  <c r="M39" i="1"/>
  <c r="Y39" i="1"/>
  <c r="AK39" i="1"/>
  <c r="AW39" i="1"/>
  <c r="P40" i="1"/>
  <c r="P15" i="9" s="1"/>
  <c r="AB40" i="1"/>
  <c r="AB15" i="9" s="1"/>
  <c r="AN40" i="1"/>
  <c r="AN15" i="9" s="1"/>
  <c r="BW40" i="1"/>
  <c r="BW15" i="9" s="1"/>
  <c r="AQ44" i="1"/>
  <c r="AP47" i="1"/>
  <c r="AH54" i="1"/>
  <c r="AH23" i="9" s="1"/>
  <c r="AT54" i="1"/>
  <c r="AT23" i="9" s="1"/>
  <c r="AN68" i="1"/>
  <c r="AZ68" i="1"/>
  <c r="AQ69" i="1"/>
  <c r="AP71" i="1"/>
  <c r="BB71" i="1"/>
  <c r="BB72" i="1"/>
  <c r="AU74" i="1"/>
  <c r="AU75" i="1" s="1"/>
  <c r="BB79" i="1"/>
  <c r="H17" i="11"/>
  <c r="H19" i="11" s="1"/>
  <c r="H962" i="1"/>
  <c r="T17" i="11"/>
  <c r="T19" i="11" s="1"/>
  <c r="T20" i="11" s="1"/>
  <c r="T29" i="1" s="1"/>
  <c r="T20" i="9" s="1"/>
  <c r="T962" i="1"/>
  <c r="AF17" i="11"/>
  <c r="AF19" i="11" s="1"/>
  <c r="AF20" i="11" s="1"/>
  <c r="AF29" i="1" s="1"/>
  <c r="AF20" i="9" s="1"/>
  <c r="AF962" i="1"/>
  <c r="AR85" i="1"/>
  <c r="BS17" i="11"/>
  <c r="BS19" i="11" s="1"/>
  <c r="BS962" i="1"/>
  <c r="AP103" i="1"/>
  <c r="BS103" i="1"/>
  <c r="AB112" i="1"/>
  <c r="AB115" i="1" s="1"/>
  <c r="BV112" i="1"/>
  <c r="BV115" i="1" s="1"/>
  <c r="BK123" i="1"/>
  <c r="E125" i="1"/>
  <c r="AC125" i="1"/>
  <c r="BM142" i="1"/>
  <c r="BM137" i="1"/>
  <c r="T142" i="1"/>
  <c r="AS581" i="1"/>
  <c r="BU157" i="1"/>
  <c r="BT157" i="1"/>
  <c r="AM162" i="1"/>
  <c r="BS162" i="1"/>
  <c r="BQ167" i="1"/>
  <c r="AJ167" i="1"/>
  <c r="AX167" i="1"/>
  <c r="Z195" i="1"/>
  <c r="Y195" i="1"/>
  <c r="Y193" i="1" s="1"/>
  <c r="Y881" i="1" s="1"/>
  <c r="X195" i="1"/>
  <c r="X193" i="1" s="1"/>
  <c r="X881" i="1" s="1"/>
  <c r="W195" i="1"/>
  <c r="W193" i="1" s="1"/>
  <c r="W881" i="1" s="1"/>
  <c r="R195" i="1"/>
  <c r="Q195" i="1"/>
  <c r="Q193" i="1" s="1"/>
  <c r="Q881" i="1" s="1"/>
  <c r="P195" i="1"/>
  <c r="P193" i="1" s="1"/>
  <c r="P881" i="1" s="1"/>
  <c r="O195" i="1"/>
  <c r="O193" i="1" s="1"/>
  <c r="O881" i="1" s="1"/>
  <c r="BL234" i="1"/>
  <c r="BM235" i="1"/>
  <c r="F233" i="1"/>
  <c r="F235" i="1"/>
  <c r="F234" i="1"/>
  <c r="F236" i="1"/>
  <c r="R233" i="1"/>
  <c r="R235" i="1"/>
  <c r="R234" i="1"/>
  <c r="R236" i="1"/>
  <c r="AD233" i="1"/>
  <c r="AD236" i="1"/>
  <c r="AD234" i="1"/>
  <c r="AD235" i="1"/>
  <c r="AP233" i="1"/>
  <c r="AP236" i="1"/>
  <c r="AP234" i="1"/>
  <c r="AD37" i="9"/>
  <c r="BD1059" i="1"/>
  <c r="BD667" i="1"/>
  <c r="BD618" i="1" s="1"/>
  <c r="BD620" i="1" s="1"/>
  <c r="BD621" i="1" s="1"/>
  <c r="BD380" i="1"/>
  <c r="BD182" i="1"/>
  <c r="BD574" i="1" s="1"/>
  <c r="AP22" i="1"/>
  <c r="T35" i="1"/>
  <c r="AF35" i="1"/>
  <c r="N39" i="1"/>
  <c r="Z39" i="1"/>
  <c r="AL39" i="1"/>
  <c r="AX39" i="1"/>
  <c r="AR44" i="1"/>
  <c r="AQ47" i="1"/>
  <c r="BT62" i="1"/>
  <c r="AW63" i="1"/>
  <c r="AR69" i="1"/>
  <c r="AV74" i="1"/>
  <c r="BC79" i="1"/>
  <c r="BW202" i="1"/>
  <c r="BW209" i="1"/>
  <c r="BW212" i="1" s="1"/>
  <c r="BF84" i="1"/>
  <c r="I17" i="11"/>
  <c r="I19" i="11" s="1"/>
  <c r="I20" i="11" s="1"/>
  <c r="I29" i="1" s="1"/>
  <c r="I20" i="9" s="1"/>
  <c r="I962" i="1"/>
  <c r="U17" i="11"/>
  <c r="U19" i="11" s="1"/>
  <c r="U20" i="11" s="1"/>
  <c r="U29" i="1" s="1"/>
  <c r="U20" i="9" s="1"/>
  <c r="U962" i="1"/>
  <c r="AG17" i="11"/>
  <c r="AG19" i="11" s="1"/>
  <c r="AG962" i="1"/>
  <c r="AS85" i="1"/>
  <c r="BT85" i="1"/>
  <c r="AK89" i="1"/>
  <c r="AW89" i="1"/>
  <c r="BV89" i="1"/>
  <c r="BV91" i="1" s="1"/>
  <c r="AP90" i="1"/>
  <c r="AQ97" i="1"/>
  <c r="BV103" i="1"/>
  <c r="BO111" i="1"/>
  <c r="BO115" i="1" s="1"/>
  <c r="L114" i="1"/>
  <c r="L113" i="1"/>
  <c r="X114" i="1"/>
  <c r="X113" i="1"/>
  <c r="X115" i="1" s="1"/>
  <c r="AJ114" i="1"/>
  <c r="AJ113" i="1"/>
  <c r="AJ115" i="1" s="1"/>
  <c r="AV114" i="1"/>
  <c r="AV113" i="1"/>
  <c r="D113" i="1"/>
  <c r="D115" i="1" s="1"/>
  <c r="AN113" i="1"/>
  <c r="AN115" i="1" s="1"/>
  <c r="AC114" i="1"/>
  <c r="AD127" i="1"/>
  <c r="O124" i="1"/>
  <c r="AR139" i="1"/>
  <c r="AR141" i="1"/>
  <c r="AR137" i="1"/>
  <c r="BN142" i="1"/>
  <c r="BN137" i="1"/>
  <c r="E143" i="1"/>
  <c r="T140" i="1"/>
  <c r="U142" i="1"/>
  <c r="AH581" i="1"/>
  <c r="AT581" i="1"/>
  <c r="AC152" i="1"/>
  <c r="BR152" i="1"/>
  <c r="G157" i="1"/>
  <c r="AE157" i="1"/>
  <c r="AQ157" i="1"/>
  <c r="BL157" i="1"/>
  <c r="AV162" i="1"/>
  <c r="BR167" i="1"/>
  <c r="AU392" i="1"/>
  <c r="AU330" i="1" s="1"/>
  <c r="AU331" i="1"/>
  <c r="BU224" i="1"/>
  <c r="M225" i="1"/>
  <c r="Z237" i="1"/>
  <c r="AP235" i="1"/>
  <c r="BE5" i="1"/>
  <c r="AQ22" i="1"/>
  <c r="Q10" i="11"/>
  <c r="Q41" i="1" s="1"/>
  <c r="Q14" i="9" s="1"/>
  <c r="AC10" i="11"/>
  <c r="AC41" i="1" s="1"/>
  <c r="AC14" i="9" s="1"/>
  <c r="AO10" i="11"/>
  <c r="AO41" i="1" s="1"/>
  <c r="AO14" i="9" s="1"/>
  <c r="BW10" i="11"/>
  <c r="BW41" i="1" s="1"/>
  <c r="BW14" i="9" s="1"/>
  <c r="O39" i="1"/>
  <c r="AA39" i="1"/>
  <c r="AM39" i="1"/>
  <c r="AY39" i="1"/>
  <c r="R40" i="1"/>
  <c r="R15" i="9" s="1"/>
  <c r="AD40" i="1"/>
  <c r="AD15" i="9" s="1"/>
  <c r="AP40" i="1"/>
  <c r="AP15" i="9" s="1"/>
  <c r="AS44" i="1"/>
  <c r="AR47" i="1"/>
  <c r="BU62" i="1"/>
  <c r="AL63" i="1"/>
  <c r="AX63" i="1"/>
  <c r="BX67" i="1"/>
  <c r="AP68" i="1"/>
  <c r="AS69" i="1"/>
  <c r="AR71" i="1"/>
  <c r="BD72" i="1"/>
  <c r="AW74" i="1"/>
  <c r="J17" i="11"/>
  <c r="J19" i="11" s="1"/>
  <c r="J20" i="11" s="1"/>
  <c r="J29" i="1" s="1"/>
  <c r="J20" i="9" s="1"/>
  <c r="J962" i="1"/>
  <c r="V17" i="11"/>
  <c r="V19" i="11" s="1"/>
  <c r="V962" i="1"/>
  <c r="AH85" i="1"/>
  <c r="AT85" i="1"/>
  <c r="BU85" i="1"/>
  <c r="AL87" i="1"/>
  <c r="AX87" i="1"/>
  <c r="AL88" i="1"/>
  <c r="AX88" i="1"/>
  <c r="AL89" i="1"/>
  <c r="AX89" i="1"/>
  <c r="AX91" i="1" s="1"/>
  <c r="BW89" i="1"/>
  <c r="AR97" i="1"/>
  <c r="BV97" i="1"/>
  <c r="AQ98" i="1"/>
  <c r="BV98" i="1"/>
  <c r="BV101" i="1"/>
  <c r="AR103" i="1"/>
  <c r="BP109" i="1"/>
  <c r="BN109" i="1"/>
  <c r="BJ126" i="1"/>
  <c r="BJ121" i="1"/>
  <c r="L112" i="1"/>
  <c r="L115" i="1" s="1"/>
  <c r="AV112" i="1"/>
  <c r="AV115" i="1" s="1"/>
  <c r="E113" i="1"/>
  <c r="U113" i="1"/>
  <c r="AO113" i="1"/>
  <c r="AD114" i="1"/>
  <c r="BW121" i="1"/>
  <c r="N125" i="1"/>
  <c r="N124" i="1"/>
  <c r="N241" i="1"/>
  <c r="N123" i="1"/>
  <c r="N127" i="1" s="1"/>
  <c r="Z125" i="1"/>
  <c r="Z124" i="1"/>
  <c r="Z123" i="1"/>
  <c r="Z241" i="1"/>
  <c r="AL241" i="1"/>
  <c r="AL125" i="1"/>
  <c r="AL124" i="1"/>
  <c r="AL123" i="1"/>
  <c r="AX125" i="1"/>
  <c r="AX124" i="1"/>
  <c r="AX123" i="1"/>
  <c r="AX127" i="1" s="1"/>
  <c r="AE127" i="1"/>
  <c r="AL126" i="1"/>
  <c r="BU126" i="1"/>
  <c r="V130" i="1"/>
  <c r="V138" i="1" s="1"/>
  <c r="V137" i="1"/>
  <c r="AS139" i="1"/>
  <c r="AS141" i="1"/>
  <c r="AS137" i="1"/>
  <c r="F137" i="1"/>
  <c r="F143" i="1" s="1"/>
  <c r="U140" i="1"/>
  <c r="V142" i="1"/>
  <c r="BK167" i="1"/>
  <c r="BW167" i="1"/>
  <c r="F150" i="1"/>
  <c r="J152" i="1" s="1"/>
  <c r="J149" i="1"/>
  <c r="R150" i="1"/>
  <c r="R152" i="1" s="1"/>
  <c r="V149" i="1"/>
  <c r="AP150" i="1"/>
  <c r="AP152" i="1" s="1"/>
  <c r="AT149" i="1"/>
  <c r="AT152" i="1"/>
  <c r="H156" i="1"/>
  <c r="L155" i="1"/>
  <c r="T156" i="1"/>
  <c r="X155" i="1"/>
  <c r="AF156" i="1"/>
  <c r="AF157" i="1" s="1"/>
  <c r="AJ155" i="1"/>
  <c r="AR156" i="1"/>
  <c r="AR157" i="1" s="1"/>
  <c r="AV155" i="1"/>
  <c r="P156" i="1"/>
  <c r="P157" i="1" s="1"/>
  <c r="BU162" i="1"/>
  <c r="BT162" i="1"/>
  <c r="BC161" i="1"/>
  <c r="AY162" i="1"/>
  <c r="AV167" i="1"/>
  <c r="AC581" i="1"/>
  <c r="AW887" i="1"/>
  <c r="AW393" i="1"/>
  <c r="AA237" i="1"/>
  <c r="F241" i="1"/>
  <c r="BI357" i="1"/>
  <c r="BI355" i="1"/>
  <c r="X355" i="1"/>
  <c r="X357" i="1"/>
  <c r="BK104" i="9"/>
  <c r="BK105" i="9" s="1"/>
  <c r="BK326" i="1"/>
  <c r="BK56" i="9" s="1"/>
  <c r="BK389" i="1"/>
  <c r="BK402" i="1"/>
  <c r="BK406" i="1" s="1"/>
  <c r="BK395" i="1"/>
  <c r="BK169" i="1"/>
  <c r="BW104" i="9"/>
  <c r="BW105" i="9" s="1"/>
  <c r="BW326" i="1"/>
  <c r="BW56" i="9" s="1"/>
  <c r="BW389" i="1"/>
  <c r="BW402" i="1"/>
  <c r="BW406" i="1" s="1"/>
  <c r="BW169" i="1"/>
  <c r="BI1" i="9"/>
  <c r="BI1072" i="1"/>
  <c r="BI1102" i="1"/>
  <c r="O8" i="1"/>
  <c r="AA8" i="1"/>
  <c r="AM8" i="1"/>
  <c r="E11" i="1"/>
  <c r="Q11" i="1"/>
  <c r="AC11" i="1"/>
  <c r="AO11" i="1"/>
  <c r="AR22" i="1"/>
  <c r="R10" i="11"/>
  <c r="R41" i="1" s="1"/>
  <c r="R14" i="9" s="1"/>
  <c r="AD10" i="11"/>
  <c r="AD41" i="1" s="1"/>
  <c r="AD14" i="9" s="1"/>
  <c r="AP10" i="11"/>
  <c r="AP41" i="1" s="1"/>
  <c r="AP14" i="9" s="1"/>
  <c r="D39" i="1"/>
  <c r="P39" i="1"/>
  <c r="AB39" i="1"/>
  <c r="AN39" i="1"/>
  <c r="G40" i="1"/>
  <c r="G15" i="9" s="1"/>
  <c r="S40" i="1"/>
  <c r="S15" i="9" s="1"/>
  <c r="AE40" i="1"/>
  <c r="AE15" i="9" s="1"/>
  <c r="AQ40" i="1"/>
  <c r="AQ15" i="9" s="1"/>
  <c r="AT44" i="1"/>
  <c r="AS47" i="1"/>
  <c r="AD55" i="1"/>
  <c r="AP55" i="1"/>
  <c r="BV62" i="1"/>
  <c r="AM63" i="1"/>
  <c r="AY63" i="1"/>
  <c r="BV63" i="1"/>
  <c r="AT69" i="1"/>
  <c r="BU73" i="1"/>
  <c r="AL74" i="1"/>
  <c r="AL75" i="1" s="1"/>
  <c r="AX74" i="1"/>
  <c r="AH78" i="1"/>
  <c r="AT78" i="1"/>
  <c r="K17" i="11"/>
  <c r="K19" i="11" s="1"/>
  <c r="K20" i="11" s="1"/>
  <c r="K29" i="1" s="1"/>
  <c r="K20" i="9" s="1"/>
  <c r="K962" i="1"/>
  <c r="W17" i="11"/>
  <c r="W19" i="11" s="1"/>
  <c r="W20" i="11" s="1"/>
  <c r="W29" i="1" s="1"/>
  <c r="W20" i="9" s="1"/>
  <c r="W962" i="1"/>
  <c r="AI85" i="1"/>
  <c r="AI103" i="1" s="1"/>
  <c r="AU85" i="1"/>
  <c r="AU103" i="1" s="1"/>
  <c r="AM87" i="1"/>
  <c r="AY87" i="1"/>
  <c r="AM88" i="1"/>
  <c r="AY88" i="1"/>
  <c r="BS90" i="1"/>
  <c r="AS97" i="1"/>
  <c r="AS99" i="1" s="1"/>
  <c r="AR98" i="1"/>
  <c r="BW101" i="1"/>
  <c r="AS103" i="1"/>
  <c r="BQ109" i="1"/>
  <c r="BQ81" i="1" s="1"/>
  <c r="BQ38" i="1" s="1"/>
  <c r="N113" i="1"/>
  <c r="N112" i="1"/>
  <c r="Z113" i="1"/>
  <c r="Z112" i="1"/>
  <c r="Z115" i="1" s="1"/>
  <c r="AL113" i="1"/>
  <c r="AL112" i="1"/>
  <c r="AX113" i="1"/>
  <c r="AX112" i="1"/>
  <c r="F113" i="1"/>
  <c r="AP113" i="1"/>
  <c r="BN123" i="1"/>
  <c r="BL121" i="1"/>
  <c r="C241" i="1"/>
  <c r="C123" i="1"/>
  <c r="C127" i="1" s="1"/>
  <c r="O241" i="1"/>
  <c r="O123" i="1"/>
  <c r="AA123" i="1"/>
  <c r="AA127" i="1" s="1"/>
  <c r="AA241" i="1"/>
  <c r="BR241" i="1" s="1"/>
  <c r="AM127" i="1"/>
  <c r="BU125" i="1"/>
  <c r="AM126" i="1"/>
  <c r="Z137" i="1"/>
  <c r="Z130" i="1"/>
  <c r="Z138" i="1" s="1"/>
  <c r="AF139" i="1"/>
  <c r="AF141" i="1"/>
  <c r="AF137" i="1"/>
  <c r="AT141" i="1"/>
  <c r="AT137" i="1"/>
  <c r="Y143" i="1"/>
  <c r="V140" i="1"/>
  <c r="V143" i="1" s="1"/>
  <c r="AF142" i="1"/>
  <c r="AJ581" i="1"/>
  <c r="AV581" i="1"/>
  <c r="G150" i="1"/>
  <c r="K149" i="1"/>
  <c r="S150" i="1"/>
  <c r="W149" i="1"/>
  <c r="AE150" i="1"/>
  <c r="AI149" i="1"/>
  <c r="AQ150" i="1"/>
  <c r="AU149" i="1"/>
  <c r="I156" i="1"/>
  <c r="I157" i="1" s="1"/>
  <c r="M155" i="1"/>
  <c r="I155" i="1"/>
  <c r="U156" i="1"/>
  <c r="U157" i="1" s="1"/>
  <c r="Y155" i="1"/>
  <c r="U155" i="1"/>
  <c r="AG156" i="1"/>
  <c r="AG157" i="1" s="1"/>
  <c r="AK155" i="1"/>
  <c r="AG155" i="1"/>
  <c r="AS156" i="1"/>
  <c r="AS157" i="1" s="1"/>
  <c r="AW155" i="1"/>
  <c r="AS155" i="1"/>
  <c r="X157" i="1"/>
  <c r="BU167" i="1"/>
  <c r="BT167" i="1"/>
  <c r="BC166" i="1"/>
  <c r="AY167" i="1"/>
  <c r="AD581" i="1"/>
  <c r="AD677" i="1"/>
  <c r="AD678" i="1" s="1"/>
  <c r="AD394" i="1"/>
  <c r="AD332" i="1" s="1"/>
  <c r="AH677" i="1"/>
  <c r="AH678" i="1" s="1"/>
  <c r="AH394" i="1"/>
  <c r="AH332" i="1" s="1"/>
  <c r="AT677" i="1"/>
  <c r="AT678" i="1" s="1"/>
  <c r="AT394" i="1"/>
  <c r="AT332" i="1" s="1"/>
  <c r="Z193" i="1"/>
  <c r="Z881" i="1" s="1"/>
  <c r="BM223" i="1"/>
  <c r="AC355" i="1"/>
  <c r="AC357" i="1"/>
  <c r="BJ1102" i="1"/>
  <c r="BJ1" i="9"/>
  <c r="BJ1072" i="1"/>
  <c r="BY1059" i="1"/>
  <c r="AS22" i="1"/>
  <c r="G10" i="11"/>
  <c r="G41" i="1" s="1"/>
  <c r="G14" i="9" s="1"/>
  <c r="S10" i="11"/>
  <c r="S41" i="1" s="1"/>
  <c r="S14" i="9" s="1"/>
  <c r="AE10" i="11"/>
  <c r="AE41" i="1" s="1"/>
  <c r="AE14" i="9" s="1"/>
  <c r="AQ10" i="11"/>
  <c r="AQ41" i="1" s="1"/>
  <c r="AQ14" i="9" s="1"/>
  <c r="E39" i="1"/>
  <c r="Q39" i="1"/>
  <c r="AC39" i="1"/>
  <c r="AO39" i="1"/>
  <c r="H40" i="1"/>
  <c r="H15" i="9" s="1"/>
  <c r="T40" i="1"/>
  <c r="T15" i="9" s="1"/>
  <c r="AF40" i="1"/>
  <c r="AF15" i="9" s="1"/>
  <c r="AR40" i="1"/>
  <c r="AR15" i="9" s="1"/>
  <c r="AH47" i="1"/>
  <c r="AT47" i="1"/>
  <c r="AL54" i="1"/>
  <c r="AL23" i="9" s="1"/>
  <c r="AX54" i="1"/>
  <c r="AX23" i="9" s="1"/>
  <c r="BD57" i="1"/>
  <c r="BC67" i="1"/>
  <c r="BF79" i="1"/>
  <c r="L17" i="11"/>
  <c r="L19" i="11" s="1"/>
  <c r="L20" i="11" s="1"/>
  <c r="L29" i="1" s="1"/>
  <c r="L20" i="9" s="1"/>
  <c r="L962" i="1"/>
  <c r="X17" i="11"/>
  <c r="X19" i="11" s="1"/>
  <c r="X20" i="11" s="1"/>
  <c r="X29" i="1" s="1"/>
  <c r="X20" i="9" s="1"/>
  <c r="X962" i="1"/>
  <c r="AJ17" i="11"/>
  <c r="AJ19" i="11" s="1"/>
  <c r="AJ20" i="11" s="1"/>
  <c r="AJ29" i="1" s="1"/>
  <c r="AJ20" i="9" s="1"/>
  <c r="AJ962" i="1"/>
  <c r="AV17" i="11"/>
  <c r="AV962" i="1"/>
  <c r="BK17" i="11"/>
  <c r="BK19" i="11" s="1"/>
  <c r="BK20" i="11" s="1"/>
  <c r="BK29" i="1" s="1"/>
  <c r="BK20" i="9" s="1"/>
  <c r="BK962" i="1"/>
  <c r="BW85" i="1"/>
  <c r="BW103" i="1" s="1"/>
  <c r="AN87" i="1"/>
  <c r="AN88" i="1"/>
  <c r="AS98" i="1"/>
  <c r="AV103" i="1"/>
  <c r="C113" i="1"/>
  <c r="C115" i="1" s="1"/>
  <c r="C112" i="1"/>
  <c r="O113" i="1"/>
  <c r="O112" i="1"/>
  <c r="AA113" i="1"/>
  <c r="AA112" i="1"/>
  <c r="AA115" i="1" s="1"/>
  <c r="AM113" i="1"/>
  <c r="AM112" i="1"/>
  <c r="AY113" i="1"/>
  <c r="AY112" i="1"/>
  <c r="P112" i="1"/>
  <c r="BJ112" i="1"/>
  <c r="BJ114" i="1"/>
  <c r="BJ115" i="1" s="1"/>
  <c r="BN125" i="1"/>
  <c r="BM121" i="1"/>
  <c r="BM125" i="1" s="1"/>
  <c r="D241" i="1"/>
  <c r="D124" i="1"/>
  <c r="D123" i="1"/>
  <c r="D127" i="1" s="1"/>
  <c r="D126" i="1"/>
  <c r="P124" i="1"/>
  <c r="P241" i="1"/>
  <c r="P123" i="1"/>
  <c r="P127" i="1" s="1"/>
  <c r="P126" i="1"/>
  <c r="AB124" i="1"/>
  <c r="AB123" i="1"/>
  <c r="AB241" i="1"/>
  <c r="AB126" i="1"/>
  <c r="AN124" i="1"/>
  <c r="AN123" i="1"/>
  <c r="AN126" i="1"/>
  <c r="AN241" i="1"/>
  <c r="BO123" i="1"/>
  <c r="AY124" i="1"/>
  <c r="AY127" i="1" s="1"/>
  <c r="O125" i="1"/>
  <c r="AM125" i="1"/>
  <c r="AG139" i="1"/>
  <c r="AG143" i="1" s="1"/>
  <c r="AG141" i="1"/>
  <c r="AG137" i="1"/>
  <c r="M143" i="1"/>
  <c r="AF140" i="1"/>
  <c r="AG142" i="1"/>
  <c r="BM150" i="1"/>
  <c r="BM152" i="1" s="1"/>
  <c r="BM166" i="1"/>
  <c r="BM167" i="1" s="1"/>
  <c r="BM161" i="1"/>
  <c r="BM162" i="1" s="1"/>
  <c r="AK581" i="1"/>
  <c r="AW581" i="1"/>
  <c r="H150" i="1"/>
  <c r="H152" i="1" s="1"/>
  <c r="H149" i="1"/>
  <c r="T150" i="1"/>
  <c r="T152" i="1" s="1"/>
  <c r="T149" i="1"/>
  <c r="AF150" i="1"/>
  <c r="AF152" i="1" s="1"/>
  <c r="AF149" i="1"/>
  <c r="AR150" i="1"/>
  <c r="AR152" i="1" s="1"/>
  <c r="AR149" i="1"/>
  <c r="V152" i="1"/>
  <c r="J157" i="1"/>
  <c r="V157" i="1"/>
  <c r="AT157" i="1"/>
  <c r="AA157" i="1"/>
  <c r="G162" i="1"/>
  <c r="S162" i="1"/>
  <c r="AQ162" i="1"/>
  <c r="AP581" i="1"/>
  <c r="I677" i="1"/>
  <c r="I678" i="1" s="1"/>
  <c r="I394" i="1"/>
  <c r="I332" i="1" s="1"/>
  <c r="U677" i="1"/>
  <c r="U678" i="1" s="1"/>
  <c r="U394" i="1"/>
  <c r="U332" i="1" s="1"/>
  <c r="AM241" i="1"/>
  <c r="E360" i="1"/>
  <c r="E365" i="1" s="1"/>
  <c r="E355" i="1"/>
  <c r="E357" i="1"/>
  <c r="Q355" i="1"/>
  <c r="Q357" i="1"/>
  <c r="Y395" i="1"/>
  <c r="D355" i="1"/>
  <c r="D360" i="1"/>
  <c r="D365" i="1" s="1"/>
  <c r="D357" i="1"/>
  <c r="AB355" i="1"/>
  <c r="AB357" i="1"/>
  <c r="BH357" i="1"/>
  <c r="BH355" i="1"/>
  <c r="G355" i="1"/>
  <c r="AQ355" i="1"/>
  <c r="AK533" i="1"/>
  <c r="AK534" i="1" s="1"/>
  <c r="A1063" i="1"/>
  <c r="N29" i="9"/>
  <c r="N319" i="1"/>
  <c r="N52" i="9" s="1"/>
  <c r="Z29" i="9"/>
  <c r="Z319" i="1"/>
  <c r="Z52" i="9" s="1"/>
  <c r="J104" i="9"/>
  <c r="J389" i="1"/>
  <c r="AW104" i="9"/>
  <c r="AW326" i="1"/>
  <c r="AW56" i="9" s="1"/>
  <c r="AW389" i="1"/>
  <c r="AW402" i="1"/>
  <c r="AW406" i="1" s="1"/>
  <c r="BV104" i="9"/>
  <c r="BV105" i="9" s="1"/>
  <c r="BV326" i="1"/>
  <c r="BV56" i="9" s="1"/>
  <c r="BV389" i="1"/>
  <c r="BO30" i="9"/>
  <c r="BO323" i="1"/>
  <c r="BO53" i="9" s="1"/>
  <c r="BJ31" i="9"/>
  <c r="BJ324" i="1"/>
  <c r="BJ54" i="9" s="1"/>
  <c r="BV31" i="9"/>
  <c r="BV324" i="1"/>
  <c r="BV54" i="9" s="1"/>
  <c r="BQ32" i="9"/>
  <c r="BQ325" i="1"/>
  <c r="BQ55" i="9" s="1"/>
  <c r="BL104" i="9"/>
  <c r="BL105" i="9" s="1"/>
  <c r="BL326" i="1"/>
  <c r="BL56" i="9" s="1"/>
  <c r="BL389" i="1"/>
  <c r="BL402" i="1"/>
  <c r="BL406" i="1" s="1"/>
  <c r="BJ34" i="9"/>
  <c r="BJ701" i="1"/>
  <c r="BJ702" i="1" s="1"/>
  <c r="C37" i="9"/>
  <c r="C417" i="1"/>
  <c r="O37" i="9"/>
  <c r="O417" i="1"/>
  <c r="AA37" i="9"/>
  <c r="AA417" i="1"/>
  <c r="AM37" i="9"/>
  <c r="AJ446" i="1"/>
  <c r="AJ445" i="1"/>
  <c r="AJ491" i="1"/>
  <c r="BL446" i="1"/>
  <c r="BR160" i="1"/>
  <c r="BR165" i="1"/>
  <c r="Q181" i="1"/>
  <c r="Q575" i="1" s="1"/>
  <c r="J677" i="1"/>
  <c r="J678" i="1" s="1"/>
  <c r="J394" i="1"/>
  <c r="J332" i="1" s="1"/>
  <c r="V677" i="1"/>
  <c r="V678" i="1" s="1"/>
  <c r="V394" i="1"/>
  <c r="V332" i="1" s="1"/>
  <c r="AI677" i="1"/>
  <c r="AI678" i="1" s="1"/>
  <c r="AI394" i="1"/>
  <c r="AI332" i="1" s="1"/>
  <c r="AU677" i="1"/>
  <c r="AU678" i="1" s="1"/>
  <c r="AU394" i="1"/>
  <c r="AU332" i="1" s="1"/>
  <c r="BK677" i="1"/>
  <c r="BK678" i="1" s="1"/>
  <c r="BK394" i="1"/>
  <c r="BK332" i="1" s="1"/>
  <c r="BW677" i="1"/>
  <c r="BW678" i="1" s="1"/>
  <c r="BW394" i="1"/>
  <c r="BW332" i="1" s="1"/>
  <c r="AT887" i="1"/>
  <c r="AT393" i="1"/>
  <c r="S234" i="1"/>
  <c r="S235" i="1"/>
  <c r="AE234" i="1"/>
  <c r="AE235" i="1"/>
  <c r="AQ234" i="1"/>
  <c r="AQ235" i="1"/>
  <c r="AQ233" i="1"/>
  <c r="BS233" i="1"/>
  <c r="G241" i="1"/>
  <c r="Y241" i="1"/>
  <c r="E324" i="1"/>
  <c r="E54" i="9" s="1"/>
  <c r="F351" i="1"/>
  <c r="F353" i="1" s="1"/>
  <c r="AR351" i="1"/>
  <c r="AR353" i="1" s="1"/>
  <c r="AR399" i="1"/>
  <c r="AR34" i="9" s="1"/>
  <c r="N28" i="9"/>
  <c r="N873" i="1"/>
  <c r="N532" i="1"/>
  <c r="N324" i="1"/>
  <c r="N54" i="9" s="1"/>
  <c r="N325" i="1"/>
  <c r="N55" i="9" s="1"/>
  <c r="Z28" i="9"/>
  <c r="Z873" i="1"/>
  <c r="Z532" i="1"/>
  <c r="AL28" i="9"/>
  <c r="AL532" i="1"/>
  <c r="AL324" i="1"/>
  <c r="AL54" i="9" s="1"/>
  <c r="AL325" i="1"/>
  <c r="AL55" i="9" s="1"/>
  <c r="AX28" i="9"/>
  <c r="AX324" i="1"/>
  <c r="AX54" i="9" s="1"/>
  <c r="AX532" i="1"/>
  <c r="AX325" i="1"/>
  <c r="AX55" i="9" s="1"/>
  <c r="AN29" i="9"/>
  <c r="AN319" i="1"/>
  <c r="AN52" i="9" s="1"/>
  <c r="K104" i="9"/>
  <c r="K389" i="1"/>
  <c r="AG104" i="9"/>
  <c r="AG402" i="1"/>
  <c r="AG406" i="1" s="1"/>
  <c r="AG326" i="1"/>
  <c r="AG56" i="9" s="1"/>
  <c r="AX383" i="1"/>
  <c r="AX388" i="1" s="1"/>
  <c r="BO394" i="1"/>
  <c r="BO332" i="1" s="1"/>
  <c r="M34" i="9"/>
  <c r="M701" i="1"/>
  <c r="M702" i="1" s="1"/>
  <c r="H445" i="1"/>
  <c r="H446" i="1"/>
  <c r="BS155" i="1"/>
  <c r="I160" i="1"/>
  <c r="U160" i="1"/>
  <c r="AG160" i="1"/>
  <c r="AS160" i="1"/>
  <c r="BS160" i="1"/>
  <c r="I165" i="1"/>
  <c r="U165" i="1"/>
  <c r="AG165" i="1"/>
  <c r="AS165" i="1"/>
  <c r="BS165" i="1"/>
  <c r="BS170" i="1"/>
  <c r="AE181" i="1"/>
  <c r="AE575" i="1" s="1"/>
  <c r="AE581" i="1" s="1"/>
  <c r="AX189" i="1"/>
  <c r="K677" i="1"/>
  <c r="K678" i="1" s="1"/>
  <c r="K394" i="1"/>
  <c r="K332" i="1" s="1"/>
  <c r="W677" i="1"/>
  <c r="W678" i="1" s="1"/>
  <c r="W394" i="1"/>
  <c r="W332" i="1" s="1"/>
  <c r="AJ677" i="1"/>
  <c r="AJ678" i="1" s="1"/>
  <c r="AJ394" i="1"/>
  <c r="AJ332" i="1" s="1"/>
  <c r="AV677" i="1"/>
  <c r="AV678" i="1" s="1"/>
  <c r="AV394" i="1"/>
  <c r="AV332" i="1" s="1"/>
  <c r="AP897" i="1"/>
  <c r="AU887" i="1"/>
  <c r="AX194" i="1"/>
  <c r="AX195" i="1" s="1"/>
  <c r="BM231" i="1"/>
  <c r="AR233" i="1"/>
  <c r="BT233" i="1"/>
  <c r="S236" i="1"/>
  <c r="H241" i="1"/>
  <c r="AF357" i="1"/>
  <c r="AF355" i="1"/>
  <c r="BL360" i="1"/>
  <c r="BL365" i="1" s="1"/>
  <c r="BL357" i="1"/>
  <c r="BL355" i="1"/>
  <c r="Z344" i="1"/>
  <c r="Z387" i="1"/>
  <c r="J399" i="1"/>
  <c r="J351" i="1"/>
  <c r="J353" i="1" s="1"/>
  <c r="BP28" i="9"/>
  <c r="BP874" i="1"/>
  <c r="BP873" i="1"/>
  <c r="BP532" i="1"/>
  <c r="BP323" i="1"/>
  <c r="BP53" i="9" s="1"/>
  <c r="BP383" i="1"/>
  <c r="BP388" i="1" s="1"/>
  <c r="BP325" i="1"/>
  <c r="BP55" i="9" s="1"/>
  <c r="BP324" i="1"/>
  <c r="BP54" i="9" s="1"/>
  <c r="D29" i="9"/>
  <c r="D319" i="1"/>
  <c r="D52" i="9" s="1"/>
  <c r="P29" i="9"/>
  <c r="P319" i="1"/>
  <c r="P52" i="9" s="1"/>
  <c r="AB29" i="9"/>
  <c r="AB319" i="1"/>
  <c r="AB52" i="9" s="1"/>
  <c r="L388" i="1"/>
  <c r="AH104" i="9"/>
  <c r="AH402" i="1"/>
  <c r="AH389" i="1"/>
  <c r="BH392" i="1"/>
  <c r="BH330" i="1" s="1"/>
  <c r="BH331" i="1"/>
  <c r="BT392" i="1"/>
  <c r="BT330" i="1" s="1"/>
  <c r="BT331" i="1"/>
  <c r="R37" i="9"/>
  <c r="AY40" i="9"/>
  <c r="BX409" i="1"/>
  <c r="BX40" i="9" s="1"/>
  <c r="M413" i="1"/>
  <c r="BP139" i="1"/>
  <c r="BP143" i="1" s="1"/>
  <c r="W140" i="1"/>
  <c r="W143" i="1" s="1"/>
  <c r="AI140" i="1"/>
  <c r="AI143" i="1" s="1"/>
  <c r="AU140" i="1"/>
  <c r="AU143" i="1" s="1"/>
  <c r="K142" i="1"/>
  <c r="K143" i="1" s="1"/>
  <c r="W142" i="1"/>
  <c r="AI142" i="1"/>
  <c r="AU142" i="1"/>
  <c r="BR149" i="1"/>
  <c r="J155" i="1"/>
  <c r="V155" i="1"/>
  <c r="AH155" i="1"/>
  <c r="AT155" i="1"/>
  <c r="BT155" i="1"/>
  <c r="J160" i="1"/>
  <c r="V160" i="1"/>
  <c r="AH160" i="1"/>
  <c r="AT160" i="1"/>
  <c r="BT160" i="1"/>
  <c r="J165" i="1"/>
  <c r="V165" i="1"/>
  <c r="AH165" i="1"/>
  <c r="AT165" i="1"/>
  <c r="BT165" i="1"/>
  <c r="S181" i="1"/>
  <c r="S575" i="1" s="1"/>
  <c r="L677" i="1"/>
  <c r="L678" i="1" s="1"/>
  <c r="L394" i="1"/>
  <c r="L332" i="1" s="1"/>
  <c r="X677" i="1"/>
  <c r="X678" i="1" s="1"/>
  <c r="X394" i="1"/>
  <c r="X332" i="1" s="1"/>
  <c r="AT881" i="1"/>
  <c r="AT191" i="1"/>
  <c r="F889" i="1"/>
  <c r="AV887" i="1"/>
  <c r="AV393" i="1"/>
  <c r="BM219" i="1"/>
  <c r="BK222" i="1"/>
  <c r="BN231" i="1"/>
  <c r="BN7" i="1" s="1"/>
  <c r="I235" i="1"/>
  <c r="I236" i="1"/>
  <c r="U235" i="1"/>
  <c r="U236" i="1"/>
  <c r="AG235" i="1"/>
  <c r="AG236" i="1"/>
  <c r="AS235" i="1"/>
  <c r="AS236" i="1"/>
  <c r="AE233" i="1"/>
  <c r="AS233" i="1"/>
  <c r="AS237" i="1" s="1"/>
  <c r="BU233" i="1"/>
  <c r="AS234" i="1"/>
  <c r="BU234" i="1"/>
  <c r="T236" i="1"/>
  <c r="J241" i="1"/>
  <c r="T357" i="1"/>
  <c r="T355" i="1"/>
  <c r="AG345" i="1"/>
  <c r="AS345" i="1"/>
  <c r="AS351" i="1" s="1"/>
  <c r="AS353" i="1" s="1"/>
  <c r="BM345" i="1"/>
  <c r="AD32" i="9"/>
  <c r="AD325" i="1"/>
  <c r="AD55" i="9" s="1"/>
  <c r="N351" i="1"/>
  <c r="N353" i="1" s="1"/>
  <c r="N399" i="1"/>
  <c r="AW357" i="1"/>
  <c r="AW355" i="1"/>
  <c r="D28" i="9"/>
  <c r="D532" i="1"/>
  <c r="D383" i="1"/>
  <c r="D388" i="1" s="1"/>
  <c r="P28" i="9"/>
  <c r="P873" i="1"/>
  <c r="P874" i="1"/>
  <c r="P532" i="1"/>
  <c r="P383" i="1"/>
  <c r="P388" i="1" s="1"/>
  <c r="AB28" i="9"/>
  <c r="AB874" i="1"/>
  <c r="AB877" i="1" s="1"/>
  <c r="AB873" i="1"/>
  <c r="AB532" i="1"/>
  <c r="AB323" i="1"/>
  <c r="AB53" i="9" s="1"/>
  <c r="AB383" i="1"/>
  <c r="AB388" i="1" s="1"/>
  <c r="AN28" i="9"/>
  <c r="AN873" i="1"/>
  <c r="AN874" i="1"/>
  <c r="AN532" i="1"/>
  <c r="AN323" i="1"/>
  <c r="AN53" i="9" s="1"/>
  <c r="AN383" i="1"/>
  <c r="AN388" i="1" s="1"/>
  <c r="BQ28" i="9"/>
  <c r="BQ873" i="1"/>
  <c r="BQ876" i="1" s="1"/>
  <c r="BQ874" i="1"/>
  <c r="BQ877" i="1" s="1"/>
  <c r="BQ383" i="1"/>
  <c r="BQ388" i="1" s="1"/>
  <c r="BQ532" i="1"/>
  <c r="M104" i="9"/>
  <c r="M326" i="1"/>
  <c r="M56" i="9" s="1"/>
  <c r="M389" i="1"/>
  <c r="M402" i="1"/>
  <c r="M406" i="1" s="1"/>
  <c r="AI104" i="9"/>
  <c r="AI389" i="1"/>
  <c r="BH104" i="9"/>
  <c r="BH105" i="9" s="1"/>
  <c r="BH389" i="1"/>
  <c r="BI418" i="1"/>
  <c r="X446" i="1"/>
  <c r="X445" i="1"/>
  <c r="BS556" i="1"/>
  <c r="AH556" i="1"/>
  <c r="BS380" i="1"/>
  <c r="AH97" i="1"/>
  <c r="AH99" i="1" s="1"/>
  <c r="AT97" i="1"/>
  <c r="AT99" i="1" s="1"/>
  <c r="AH98" i="1"/>
  <c r="AT98" i="1"/>
  <c r="AH103" i="1"/>
  <c r="AT103" i="1"/>
  <c r="K113" i="1"/>
  <c r="K115" i="1" s="1"/>
  <c r="W113" i="1"/>
  <c r="W115" i="1" s="1"/>
  <c r="AI113" i="1"/>
  <c r="AI115" i="1" s="1"/>
  <c r="AU113" i="1"/>
  <c r="AU115" i="1" s="1"/>
  <c r="H114" i="1"/>
  <c r="H115" i="1" s="1"/>
  <c r="T114" i="1"/>
  <c r="T115" i="1" s="1"/>
  <c r="AF114" i="1"/>
  <c r="AF115" i="1" s="1"/>
  <c r="AR114" i="1"/>
  <c r="AR115" i="1" s="1"/>
  <c r="BV121" i="1"/>
  <c r="BV124" i="1" s="1"/>
  <c r="M123" i="1"/>
  <c r="Y123" i="1"/>
  <c r="AK123" i="1"/>
  <c r="AW123" i="1"/>
  <c r="J124" i="1"/>
  <c r="J127" i="1" s="1"/>
  <c r="V124" i="1"/>
  <c r="V127" i="1" s="1"/>
  <c r="AH124" i="1"/>
  <c r="AH127" i="1" s="1"/>
  <c r="AT124" i="1"/>
  <c r="AT127" i="1" s="1"/>
  <c r="G125" i="1"/>
  <c r="G127" i="1" s="1"/>
  <c r="S125" i="1"/>
  <c r="S127" i="1" s="1"/>
  <c r="AE125" i="1"/>
  <c r="AQ125" i="1"/>
  <c r="AQ127" i="1" s="1"/>
  <c r="BS137" i="1"/>
  <c r="AB139" i="1"/>
  <c r="AN139" i="1"/>
  <c r="BQ139" i="1"/>
  <c r="BQ143" i="1" s="1"/>
  <c r="X140" i="1"/>
  <c r="X143" i="1" s="1"/>
  <c r="AJ140" i="1"/>
  <c r="AJ143" i="1" s="1"/>
  <c r="AV140" i="1"/>
  <c r="BU141" i="1"/>
  <c r="L142" i="1"/>
  <c r="L143" i="1" s="1"/>
  <c r="X142" i="1"/>
  <c r="AJ142" i="1"/>
  <c r="AV142" i="1"/>
  <c r="BS142" i="1"/>
  <c r="AA581" i="1"/>
  <c r="AM581" i="1"/>
  <c r="AY581" i="1"/>
  <c r="I149" i="1"/>
  <c r="U149" i="1"/>
  <c r="AG149" i="1"/>
  <c r="AS149" i="1"/>
  <c r="BN150" i="1"/>
  <c r="BN152" i="1" s="1"/>
  <c r="K155" i="1"/>
  <c r="W155" i="1"/>
  <c r="AI155" i="1"/>
  <c r="AU155" i="1"/>
  <c r="BP156" i="1"/>
  <c r="K160" i="1"/>
  <c r="W160" i="1"/>
  <c r="AI160" i="1"/>
  <c r="AU160" i="1"/>
  <c r="BP161" i="1"/>
  <c r="BP162" i="1" s="1"/>
  <c r="K165" i="1"/>
  <c r="W165" i="1"/>
  <c r="AI165" i="1"/>
  <c r="AU165" i="1"/>
  <c r="BP166" i="1"/>
  <c r="BP167" i="1" s="1"/>
  <c r="AY394" i="1"/>
  <c r="BN677" i="1"/>
  <c r="BN678" i="1" s="1"/>
  <c r="BN394" i="1"/>
  <c r="BN332" i="1" s="1"/>
  <c r="BN219" i="1"/>
  <c r="H221" i="1"/>
  <c r="H222" i="1"/>
  <c r="H223" i="1"/>
  <c r="F224" i="1"/>
  <c r="F225" i="1" s="1"/>
  <c r="BV231" i="1"/>
  <c r="AF233" i="1"/>
  <c r="AF237" i="1" s="1"/>
  <c r="AT233" i="1"/>
  <c r="AT237" i="1" s="1"/>
  <c r="AT234" i="1"/>
  <c r="AF235" i="1"/>
  <c r="V236" i="1"/>
  <c r="V237" i="1" s="1"/>
  <c r="M241" i="1"/>
  <c r="AQ241" i="1"/>
  <c r="I345" i="1"/>
  <c r="U345" i="1"/>
  <c r="Z31" i="9"/>
  <c r="Z324" i="1"/>
  <c r="Z54" i="9" s="1"/>
  <c r="V34" i="9"/>
  <c r="V701" i="1"/>
  <c r="V702" i="1" s="1"/>
  <c r="N383" i="1"/>
  <c r="N388" i="1" s="1"/>
  <c r="AJ104" i="9"/>
  <c r="AJ326" i="1"/>
  <c r="AJ56" i="9" s="1"/>
  <c r="AJ389" i="1"/>
  <c r="AJ402" i="1"/>
  <c r="AJ406" i="1" s="1"/>
  <c r="BI104" i="9"/>
  <c r="BI105" i="9" s="1"/>
  <c r="BI395" i="1"/>
  <c r="BI326" i="1"/>
  <c r="BI56" i="9" s="1"/>
  <c r="BI389" i="1"/>
  <c r="BI402" i="1"/>
  <c r="BI406" i="1" s="1"/>
  <c r="AG389" i="1"/>
  <c r="AI392" i="1"/>
  <c r="AI330" i="1" s="1"/>
  <c r="AI331" i="1"/>
  <c r="AQ37" i="9"/>
  <c r="H125" i="1"/>
  <c r="H127" i="1" s="1"/>
  <c r="T125" i="1"/>
  <c r="T127" i="1" s="1"/>
  <c r="AF125" i="1"/>
  <c r="AF127" i="1" s="1"/>
  <c r="AR125" i="1"/>
  <c r="AR127" i="1" s="1"/>
  <c r="AC139" i="1"/>
  <c r="AO139" i="1"/>
  <c r="Y140" i="1"/>
  <c r="AK140" i="1"/>
  <c r="AW140" i="1"/>
  <c r="AW143" i="1" s="1"/>
  <c r="BV141" i="1"/>
  <c r="BV143" i="1" s="1"/>
  <c r="BD161" i="1"/>
  <c r="BD166" i="1"/>
  <c r="AW169" i="1"/>
  <c r="BV169" i="1"/>
  <c r="AA677" i="1"/>
  <c r="AA678" i="1" s="1"/>
  <c r="AA394" i="1"/>
  <c r="AA332" i="1" s="1"/>
  <c r="AM677" i="1"/>
  <c r="AM678" i="1" s="1"/>
  <c r="AM394" i="1"/>
  <c r="AM332" i="1" s="1"/>
  <c r="S195" i="1"/>
  <c r="S193" i="1" s="1"/>
  <c r="S881" i="1" s="1"/>
  <c r="BO219" i="1"/>
  <c r="BO10" i="1" s="1"/>
  <c r="I221" i="1"/>
  <c r="AM221" i="1"/>
  <c r="I222" i="1"/>
  <c r="AK222" i="1"/>
  <c r="AK225" i="1" s="1"/>
  <c r="I223" i="1"/>
  <c r="AK223" i="1"/>
  <c r="AK224" i="1"/>
  <c r="BP233" i="1"/>
  <c r="BS236" i="1"/>
  <c r="S233" i="1"/>
  <c r="AG233" i="1"/>
  <c r="BI233" i="1"/>
  <c r="BI237" i="1" s="1"/>
  <c r="Q234" i="1"/>
  <c r="Q237" i="1" s="1"/>
  <c r="AG234" i="1"/>
  <c r="BI234" i="1"/>
  <c r="Q235" i="1"/>
  <c r="AI235" i="1"/>
  <c r="G236" i="1"/>
  <c r="AR241" i="1"/>
  <c r="BU280" i="1"/>
  <c r="AD31" i="9"/>
  <c r="AD324" i="1"/>
  <c r="AD54" i="9" s="1"/>
  <c r="Z34" i="9"/>
  <c r="Z701" i="1"/>
  <c r="Z702" i="1" s="1"/>
  <c r="AK104" i="9"/>
  <c r="AK105" i="9" s="1"/>
  <c r="AK326" i="1"/>
  <c r="AK56" i="9" s="1"/>
  <c r="AK389" i="1"/>
  <c r="AK402" i="1"/>
  <c r="AK406" i="1" s="1"/>
  <c r="BJ388" i="1"/>
  <c r="AD30" i="9"/>
  <c r="AD323" i="1"/>
  <c r="AD53" i="9" s="1"/>
  <c r="AP30" i="9"/>
  <c r="AP323" i="1"/>
  <c r="AP53" i="9" s="1"/>
  <c r="AS47" i="9"/>
  <c r="AS129" i="9" s="1"/>
  <c r="AS327" i="1"/>
  <c r="AS57" i="9" s="1"/>
  <c r="BK330" i="1"/>
  <c r="BW330" i="1"/>
  <c r="BX400" i="1"/>
  <c r="BX35" i="9" s="1"/>
  <c r="F37" i="9"/>
  <c r="H37" i="9"/>
  <c r="T37" i="9"/>
  <c r="AF37" i="9"/>
  <c r="AR37" i="9"/>
  <c r="L446" i="1"/>
  <c r="L445" i="1"/>
  <c r="L124" i="1"/>
  <c r="L127" i="1" s="1"/>
  <c r="X124" i="1"/>
  <c r="X127" i="1" s="1"/>
  <c r="AJ124" i="1"/>
  <c r="AJ127" i="1" s="1"/>
  <c r="N135" i="1"/>
  <c r="N85" i="1" s="1"/>
  <c r="AL135" i="1"/>
  <c r="AX135" i="1"/>
  <c r="AX139" i="1" s="1"/>
  <c r="AD139" i="1"/>
  <c r="BS139" i="1"/>
  <c r="BS143" i="1" s="1"/>
  <c r="BW141" i="1"/>
  <c r="BI149" i="1"/>
  <c r="BU149" i="1"/>
  <c r="BK155" i="1"/>
  <c r="BW155" i="1"/>
  <c r="M160" i="1"/>
  <c r="Y160" i="1"/>
  <c r="AK160" i="1"/>
  <c r="AW160" i="1"/>
  <c r="BK160" i="1"/>
  <c r="BW160" i="1"/>
  <c r="M165" i="1"/>
  <c r="Y165" i="1"/>
  <c r="AK165" i="1"/>
  <c r="AW165" i="1"/>
  <c r="AK170" i="1"/>
  <c r="C677" i="1"/>
  <c r="C678" i="1" s="1"/>
  <c r="C394" i="1"/>
  <c r="C332" i="1" s="1"/>
  <c r="O677" i="1"/>
  <c r="O678" i="1" s="1"/>
  <c r="O394" i="1"/>
  <c r="O332" i="1" s="1"/>
  <c r="AB677" i="1"/>
  <c r="AB678" i="1" s="1"/>
  <c r="AB394" i="1"/>
  <c r="AB332" i="1" s="1"/>
  <c r="AN677" i="1"/>
  <c r="AN678" i="1" s="1"/>
  <c r="AN394" i="1"/>
  <c r="AN332" i="1" s="1"/>
  <c r="BP677" i="1"/>
  <c r="BP678" i="1" s="1"/>
  <c r="BP394" i="1"/>
  <c r="BP332" i="1" s="1"/>
  <c r="AL195" i="1"/>
  <c r="BP219" i="1"/>
  <c r="AN221" i="1"/>
  <c r="BR234" i="1"/>
  <c r="BS235" i="1"/>
  <c r="T233" i="1"/>
  <c r="BJ233" i="1"/>
  <c r="BJ237" i="1" s="1"/>
  <c r="BJ234" i="1"/>
  <c r="AJ235" i="1"/>
  <c r="H236" i="1"/>
  <c r="AO236" i="1"/>
  <c r="AT241" i="1"/>
  <c r="BT345" i="1"/>
  <c r="BT351" i="1" s="1"/>
  <c r="BT353" i="1" s="1"/>
  <c r="AY351" i="1"/>
  <c r="AY353" i="1" s="1"/>
  <c r="AY399" i="1"/>
  <c r="G28" i="9"/>
  <c r="G874" i="1"/>
  <c r="G873" i="1"/>
  <c r="G532" i="1"/>
  <c r="G323" i="1"/>
  <c r="G53" i="9" s="1"/>
  <c r="G383" i="1"/>
  <c r="G388" i="1" s="1"/>
  <c r="G325" i="1"/>
  <c r="G55" i="9" s="1"/>
  <c r="G324" i="1"/>
  <c r="G54" i="9" s="1"/>
  <c r="S28" i="9"/>
  <c r="S873" i="1"/>
  <c r="S876" i="1" s="1"/>
  <c r="S874" i="1"/>
  <c r="S532" i="1"/>
  <c r="S323" i="1"/>
  <c r="S53" i="9" s="1"/>
  <c r="S383" i="1"/>
  <c r="S388" i="1" s="1"/>
  <c r="S325" i="1"/>
  <c r="S55" i="9" s="1"/>
  <c r="S324" i="1"/>
  <c r="S54" i="9" s="1"/>
  <c r="AE28" i="9"/>
  <c r="AE873" i="1"/>
  <c r="AE874" i="1"/>
  <c r="AE532" i="1"/>
  <c r="AE323" i="1"/>
  <c r="AE53" i="9" s="1"/>
  <c r="AE383" i="1"/>
  <c r="AE388" i="1" s="1"/>
  <c r="AE325" i="1"/>
  <c r="AE55" i="9" s="1"/>
  <c r="AE324" i="1"/>
  <c r="AE54" i="9" s="1"/>
  <c r="AQ28" i="9"/>
  <c r="AQ873" i="1"/>
  <c r="AQ874" i="1"/>
  <c r="AQ532" i="1"/>
  <c r="AQ323" i="1"/>
  <c r="AQ53" i="9" s="1"/>
  <c r="AQ383" i="1"/>
  <c r="AQ388" i="1" s="1"/>
  <c r="AQ325" i="1"/>
  <c r="AQ55" i="9" s="1"/>
  <c r="AQ324" i="1"/>
  <c r="AQ54" i="9" s="1"/>
  <c r="U104" i="9"/>
  <c r="U402" i="1"/>
  <c r="U326" i="1"/>
  <c r="U56" i="9" s="1"/>
  <c r="AL383" i="1"/>
  <c r="AL388" i="1" s="1"/>
  <c r="F30" i="9"/>
  <c r="F323" i="1"/>
  <c r="F53" i="9" s="1"/>
  <c r="R30" i="9"/>
  <c r="R323" i="1"/>
  <c r="R53" i="9" s="1"/>
  <c r="AK31" i="9"/>
  <c r="AK324" i="1"/>
  <c r="AK54" i="9" s="1"/>
  <c r="AW31" i="9"/>
  <c r="AW324" i="1"/>
  <c r="AW54" i="9" s="1"/>
  <c r="AF32" i="9"/>
  <c r="AF325" i="1"/>
  <c r="AF55" i="9" s="1"/>
  <c r="AR32" i="9"/>
  <c r="AR325" i="1"/>
  <c r="AR55" i="9" s="1"/>
  <c r="BM330" i="1"/>
  <c r="F394" i="1"/>
  <c r="F332" i="1" s="1"/>
  <c r="AG418" i="1"/>
  <c r="AR445" i="1"/>
  <c r="AR446" i="1"/>
  <c r="N471" i="1"/>
  <c r="AK97" i="1"/>
  <c r="AW97" i="1"/>
  <c r="BT97" i="1"/>
  <c r="BT99" i="1" s="1"/>
  <c r="AK98" i="1"/>
  <c r="AW98" i="1"/>
  <c r="BT98" i="1"/>
  <c r="AK103" i="1"/>
  <c r="BT103" i="1"/>
  <c r="BK112" i="1"/>
  <c r="M124" i="1"/>
  <c r="Y124" i="1"/>
  <c r="AK124" i="1"/>
  <c r="AW124" i="1"/>
  <c r="AH125" i="1"/>
  <c r="S126" i="1"/>
  <c r="AE126" i="1"/>
  <c r="W137" i="1"/>
  <c r="AI137" i="1"/>
  <c r="BJ137" i="1"/>
  <c r="BJ143" i="1" s="1"/>
  <c r="BV137" i="1"/>
  <c r="S139" i="1"/>
  <c r="S143" i="1" s="1"/>
  <c r="AE139" i="1"/>
  <c r="AQ139" i="1"/>
  <c r="AA140" i="1"/>
  <c r="AA143" i="1" s="1"/>
  <c r="AM140" i="1"/>
  <c r="AM143" i="1" s="1"/>
  <c r="BP140" i="1"/>
  <c r="W141" i="1"/>
  <c r="AI141" i="1"/>
  <c r="AU141" i="1"/>
  <c r="BV142" i="1"/>
  <c r="L149" i="1"/>
  <c r="X149" i="1"/>
  <c r="AJ149" i="1"/>
  <c r="AV149" i="1"/>
  <c r="N155" i="1"/>
  <c r="Z155" i="1"/>
  <c r="AL155" i="1"/>
  <c r="AX155" i="1"/>
  <c r="AX160" i="1"/>
  <c r="N165" i="1"/>
  <c r="Z165" i="1"/>
  <c r="BL169" i="1"/>
  <c r="D677" i="1"/>
  <c r="D678" i="1" s="1"/>
  <c r="D394" i="1"/>
  <c r="D332" i="1" s="1"/>
  <c r="P677" i="1"/>
  <c r="P678" i="1" s="1"/>
  <c r="P394" i="1"/>
  <c r="P332" i="1" s="1"/>
  <c r="AC677" i="1"/>
  <c r="AC678" i="1" s="1"/>
  <c r="AC394" i="1"/>
  <c r="AC332" i="1" s="1"/>
  <c r="AO677" i="1"/>
  <c r="AO678" i="1" s="1"/>
  <c r="AO394" i="1"/>
  <c r="AO332" i="1" s="1"/>
  <c r="BQ677" i="1"/>
  <c r="BQ678" i="1" s="1"/>
  <c r="BQ394" i="1"/>
  <c r="BQ332" i="1" s="1"/>
  <c r="V887" i="1"/>
  <c r="V393" i="1"/>
  <c r="U195" i="1"/>
  <c r="U193" i="1" s="1"/>
  <c r="U881" i="1" s="1"/>
  <c r="AY887" i="1"/>
  <c r="AY393" i="1"/>
  <c r="BO223" i="1"/>
  <c r="BQ219" i="1"/>
  <c r="BQ10" i="1" s="1"/>
  <c r="AA221" i="1"/>
  <c r="AA225" i="1" s="1"/>
  <c r="AO221" i="1"/>
  <c r="Y222" i="1"/>
  <c r="Y225" i="1" s="1"/>
  <c r="AO222" i="1"/>
  <c r="Y223" i="1"/>
  <c r="AM223" i="1"/>
  <c r="Y224" i="1"/>
  <c r="AM224" i="1"/>
  <c r="BT235" i="1"/>
  <c r="BU236" i="1"/>
  <c r="G233" i="1"/>
  <c r="U233" i="1"/>
  <c r="AI233" i="1"/>
  <c r="BK233" i="1"/>
  <c r="BK237" i="1" s="1"/>
  <c r="E234" i="1"/>
  <c r="E237" i="1" s="1"/>
  <c r="U234" i="1"/>
  <c r="AI234" i="1"/>
  <c r="E235" i="1"/>
  <c r="T235" i="1"/>
  <c r="J236" i="1"/>
  <c r="J237" i="1" s="1"/>
  <c r="AH299" i="1"/>
  <c r="AH302" i="1" s="1"/>
  <c r="BP319" i="1"/>
  <c r="BP52" i="9" s="1"/>
  <c r="AH34" i="9"/>
  <c r="AH701" i="1"/>
  <c r="AH702" i="1" s="1"/>
  <c r="Y357" i="1"/>
  <c r="Y355" i="1"/>
  <c r="BQ357" i="1"/>
  <c r="BQ355" i="1"/>
  <c r="G360" i="1"/>
  <c r="G365" i="1" s="1"/>
  <c r="H28" i="9"/>
  <c r="H873" i="1"/>
  <c r="H874" i="1"/>
  <c r="H532" i="1"/>
  <c r="H383" i="1"/>
  <c r="H388" i="1" s="1"/>
  <c r="T28" i="9"/>
  <c r="T874" i="1"/>
  <c r="T877" i="1" s="1"/>
  <c r="T873" i="1"/>
  <c r="T876" i="1" s="1"/>
  <c r="T532" i="1"/>
  <c r="T383" i="1"/>
  <c r="T388" i="1" s="1"/>
  <c r="AF28" i="9"/>
  <c r="AF873" i="1"/>
  <c r="AF876" i="1" s="1"/>
  <c r="AF874" i="1"/>
  <c r="AF532" i="1"/>
  <c r="AF383" i="1"/>
  <c r="AF388" i="1" s="1"/>
  <c r="AR28" i="9"/>
  <c r="AR874" i="1"/>
  <c r="AR877" i="1" s="1"/>
  <c r="AR873" i="1"/>
  <c r="AR876" i="1" s="1"/>
  <c r="AR532" i="1"/>
  <c r="AR383" i="1"/>
  <c r="AR388" i="1" s="1"/>
  <c r="AR963" i="1" s="1"/>
  <c r="V388" i="1"/>
  <c r="AB330" i="1"/>
  <c r="W392" i="1"/>
  <c r="W330" i="1" s="1"/>
  <c r="W331" i="1"/>
  <c r="R394" i="1"/>
  <c r="R332" i="1" s="1"/>
  <c r="BR37" i="9"/>
  <c r="BR417" i="1"/>
  <c r="AL963" i="1"/>
  <c r="AX963" i="1"/>
  <c r="AL97" i="1"/>
  <c r="AL99" i="1" s="1"/>
  <c r="AX97" i="1"/>
  <c r="BU97" i="1"/>
  <c r="AL98" i="1"/>
  <c r="AX98" i="1"/>
  <c r="BU98" i="1"/>
  <c r="AL103" i="1"/>
  <c r="AX103" i="1"/>
  <c r="BU103" i="1"/>
  <c r="T126" i="1"/>
  <c r="AF126" i="1"/>
  <c r="X137" i="1"/>
  <c r="AJ137" i="1"/>
  <c r="BK137" i="1"/>
  <c r="BK143" i="1" s="1"/>
  <c r="AB140" i="1"/>
  <c r="AN140" i="1"/>
  <c r="BW142" i="1"/>
  <c r="M149" i="1"/>
  <c r="Y149" i="1"/>
  <c r="AK149" i="1"/>
  <c r="AW149" i="1"/>
  <c r="O155" i="1"/>
  <c r="AA155" i="1"/>
  <c r="AM155" i="1"/>
  <c r="AY155" i="1"/>
  <c r="O160" i="1"/>
  <c r="AA160" i="1"/>
  <c r="AM160" i="1"/>
  <c r="AY160" i="1"/>
  <c r="O165" i="1"/>
  <c r="AA165" i="1"/>
  <c r="AM165" i="1"/>
  <c r="AY165" i="1"/>
  <c r="E677" i="1"/>
  <c r="E678" i="1" s="1"/>
  <c r="E394" i="1"/>
  <c r="E332" i="1" s="1"/>
  <c r="Q677" i="1"/>
  <c r="Q678" i="1" s="1"/>
  <c r="Q394" i="1"/>
  <c r="Q332" i="1" s="1"/>
  <c r="BR677" i="1"/>
  <c r="BR678" i="1" s="1"/>
  <c r="BR394" i="1"/>
  <c r="BR332" i="1" s="1"/>
  <c r="AP191" i="1"/>
  <c r="Z887" i="1"/>
  <c r="Z393" i="1"/>
  <c r="BP223" i="1"/>
  <c r="BR219" i="1"/>
  <c r="BR10" i="1" s="1"/>
  <c r="BR12" i="1" s="1"/>
  <c r="AB221" i="1"/>
  <c r="AP221" i="1"/>
  <c r="AP225" i="1" s="1"/>
  <c r="AP222" i="1"/>
  <c r="AN223" i="1"/>
  <c r="AN224" i="1"/>
  <c r="BV236" i="1"/>
  <c r="BL231" i="1"/>
  <c r="H233" i="1"/>
  <c r="AJ233" i="1"/>
  <c r="AJ237" i="1" s="1"/>
  <c r="AJ234" i="1"/>
  <c r="W235" i="1"/>
  <c r="W237" i="1" s="1"/>
  <c r="AQ236" i="1"/>
  <c r="X325" i="1"/>
  <c r="X55" i="9" s="1"/>
  <c r="J326" i="1"/>
  <c r="J56" i="9" s="1"/>
  <c r="BR320" i="1"/>
  <c r="BR345" i="1"/>
  <c r="BR351" i="1" s="1"/>
  <c r="BR353" i="1" s="1"/>
  <c r="AL34" i="9"/>
  <c r="AL701" i="1"/>
  <c r="AL702" i="1" s="1"/>
  <c r="BV351" i="1"/>
  <c r="BV353" i="1" s="1"/>
  <c r="AL400" i="1"/>
  <c r="AL35" i="9" s="1"/>
  <c r="AL351" i="1"/>
  <c r="AL353" i="1" s="1"/>
  <c r="W104" i="9"/>
  <c r="W395" i="1"/>
  <c r="W389" i="1"/>
  <c r="AS104" i="9"/>
  <c r="AS402" i="1"/>
  <c r="AS406" i="1" s="1"/>
  <c r="AS326" i="1"/>
  <c r="AS56" i="9" s="1"/>
  <c r="BR104" i="9"/>
  <c r="BR105" i="9" s="1"/>
  <c r="BR402" i="1"/>
  <c r="BR406" i="1" s="1"/>
  <c r="BR395" i="1"/>
  <c r="BR326" i="1"/>
  <c r="BR56" i="9" s="1"/>
  <c r="M31" i="9"/>
  <c r="M324" i="1"/>
  <c r="M54" i="9" s="1"/>
  <c r="Y31" i="9"/>
  <c r="Y324" i="1"/>
  <c r="Y54" i="9" s="1"/>
  <c r="H32" i="9"/>
  <c r="H325" i="1"/>
  <c r="H55" i="9" s="1"/>
  <c r="T32" i="9"/>
  <c r="T325" i="1"/>
  <c r="T55" i="9" s="1"/>
  <c r="K392" i="1"/>
  <c r="K330" i="1" s="1"/>
  <c r="K331" i="1"/>
  <c r="BV395" i="1"/>
  <c r="AK34" i="9"/>
  <c r="AK701" i="1"/>
  <c r="AK702" i="1" s="1"/>
  <c r="AC140" i="1"/>
  <c r="AO140" i="1"/>
  <c r="AE677" i="1"/>
  <c r="AE678" i="1" s="1"/>
  <c r="AE394" i="1"/>
  <c r="AE332" i="1" s="1"/>
  <c r="AQ677" i="1"/>
  <c r="AQ678" i="1" s="1"/>
  <c r="AQ394" i="1"/>
  <c r="AQ332" i="1" s="1"/>
  <c r="BS677" i="1"/>
  <c r="BS678" i="1" s="1"/>
  <c r="BS394" i="1"/>
  <c r="BS332" i="1" s="1"/>
  <c r="AD887" i="1"/>
  <c r="AD393" i="1"/>
  <c r="N195" i="1"/>
  <c r="N193" i="1" s="1"/>
  <c r="N881" i="1" s="1"/>
  <c r="M195" i="1"/>
  <c r="M193" i="1" s="1"/>
  <c r="M881" i="1" s="1"/>
  <c r="BI219" i="1"/>
  <c r="BU219" i="1"/>
  <c r="BU222" i="1" s="1"/>
  <c r="BS219" i="1"/>
  <c r="BS223" i="1" s="1"/>
  <c r="AQ221" i="1"/>
  <c r="M222" i="1"/>
  <c r="AQ222" i="1"/>
  <c r="M223" i="1"/>
  <c r="AQ223" i="1"/>
  <c r="M224" i="1"/>
  <c r="BO231" i="1"/>
  <c r="BO7" i="1" s="1"/>
  <c r="BO9" i="1" s="1"/>
  <c r="AK237" i="1"/>
  <c r="BM233" i="1"/>
  <c r="I234" i="1"/>
  <c r="I237" i="1" s="1"/>
  <c r="G235" i="1"/>
  <c r="BP235" i="1"/>
  <c r="AR236" i="1"/>
  <c r="AD382" i="1"/>
  <c r="AD340" i="1"/>
  <c r="Z345" i="1"/>
  <c r="AX699" i="1"/>
  <c r="AX348" i="1"/>
  <c r="AM351" i="1"/>
  <c r="AM353" i="1" s="1"/>
  <c r="AM399" i="1"/>
  <c r="AM34" i="9" s="1"/>
  <c r="Z37" i="9"/>
  <c r="BK28" i="9"/>
  <c r="BK874" i="1"/>
  <c r="BK873" i="1"/>
  <c r="BK532" i="1"/>
  <c r="BK324" i="1"/>
  <c r="BK54" i="9" s="1"/>
  <c r="BK325" i="1"/>
  <c r="BK55" i="9" s="1"/>
  <c r="BW28" i="9"/>
  <c r="BW873" i="1"/>
  <c r="BW876" i="1" s="1"/>
  <c r="BW874" i="1"/>
  <c r="BW532" i="1"/>
  <c r="BW324" i="1"/>
  <c r="BW54" i="9" s="1"/>
  <c r="BW325" i="1"/>
  <c r="BW55" i="9" s="1"/>
  <c r="BM29" i="9"/>
  <c r="BM319" i="1"/>
  <c r="BM52" i="9" s="1"/>
  <c r="X388" i="1"/>
  <c r="AT104" i="9"/>
  <c r="AT389" i="1"/>
  <c r="BS104" i="9"/>
  <c r="BS105" i="9" s="1"/>
  <c r="BS402" i="1"/>
  <c r="BS406" i="1" s="1"/>
  <c r="BS395" i="1"/>
  <c r="BS389" i="1"/>
  <c r="D330" i="1"/>
  <c r="AP394" i="1"/>
  <c r="AP332" i="1" s="1"/>
  <c r="K402" i="1"/>
  <c r="K406" i="1" s="1"/>
  <c r="L37" i="9"/>
  <c r="X37" i="9"/>
  <c r="AJ37" i="9"/>
  <c r="AJ417" i="1"/>
  <c r="BO404" i="1"/>
  <c r="AF445" i="1"/>
  <c r="AF446" i="1"/>
  <c r="AF491" i="1"/>
  <c r="AK125" i="1"/>
  <c r="R135" i="1"/>
  <c r="M156" i="1"/>
  <c r="M157" i="1" s="1"/>
  <c r="Y156" i="1"/>
  <c r="Y157" i="1" s="1"/>
  <c r="AK156" i="1"/>
  <c r="AK157" i="1" s="1"/>
  <c r="AW156" i="1"/>
  <c r="BJ156" i="1"/>
  <c r="BJ157" i="1" s="1"/>
  <c r="BV156" i="1"/>
  <c r="BV157" i="1" s="1"/>
  <c r="M161" i="1"/>
  <c r="M162" i="1" s="1"/>
  <c r="Y161" i="1"/>
  <c r="Y162" i="1" s="1"/>
  <c r="AK161" i="1"/>
  <c r="AK162" i="1" s="1"/>
  <c r="AW161" i="1"/>
  <c r="BJ161" i="1"/>
  <c r="BJ162" i="1" s="1"/>
  <c r="BV161" i="1"/>
  <c r="BV162" i="1" s="1"/>
  <c r="M166" i="1"/>
  <c r="M167" i="1" s="1"/>
  <c r="Y166" i="1"/>
  <c r="Y167" i="1" s="1"/>
  <c r="AK166" i="1"/>
  <c r="AK167" i="1" s="1"/>
  <c r="Z189" i="1"/>
  <c r="G677" i="1"/>
  <c r="G678" i="1" s="1"/>
  <c r="G394" i="1"/>
  <c r="G332" i="1" s="1"/>
  <c r="S677" i="1"/>
  <c r="S678" i="1" s="1"/>
  <c r="S394" i="1"/>
  <c r="S332" i="1" s="1"/>
  <c r="AF677" i="1"/>
  <c r="AF678" i="1" s="1"/>
  <c r="AF394" i="1"/>
  <c r="AF332" i="1" s="1"/>
  <c r="AR677" i="1"/>
  <c r="AR678" i="1" s="1"/>
  <c r="AR394" i="1"/>
  <c r="AR332" i="1" s="1"/>
  <c r="BT677" i="1"/>
  <c r="BT678" i="1" s="1"/>
  <c r="BT394" i="1"/>
  <c r="BT332" i="1" s="1"/>
  <c r="AH887" i="1"/>
  <c r="AH393" i="1"/>
  <c r="BJ219" i="1"/>
  <c r="BV219" i="1"/>
  <c r="BV222" i="1" s="1"/>
  <c r="BT219" i="1"/>
  <c r="P221" i="1"/>
  <c r="P225" i="1" s="1"/>
  <c r="AR221" i="1"/>
  <c r="AR222" i="1"/>
  <c r="AB223" i="1"/>
  <c r="AR223" i="1"/>
  <c r="AB224" i="1"/>
  <c r="X233" i="1"/>
  <c r="X237" i="1" s="1"/>
  <c r="AL237" i="1"/>
  <c r="BN233" i="1"/>
  <c r="X234" i="1"/>
  <c r="H235" i="1"/>
  <c r="Q324" i="1"/>
  <c r="Q54" i="9" s="1"/>
  <c r="AN351" i="1"/>
  <c r="AN353" i="1" s="1"/>
  <c r="AI355" i="1"/>
  <c r="Y104" i="9"/>
  <c r="Y326" i="1"/>
  <c r="Y56" i="9" s="1"/>
  <c r="Y389" i="1"/>
  <c r="Y402" i="1"/>
  <c r="Y406" i="1" s="1"/>
  <c r="AU104" i="9"/>
  <c r="AU395" i="1"/>
  <c r="AU389" i="1"/>
  <c r="BT104" i="9"/>
  <c r="BT105" i="9" s="1"/>
  <c r="BT389" i="1"/>
  <c r="W402" i="1"/>
  <c r="W406" i="1" s="1"/>
  <c r="AK37" i="9"/>
  <c r="AK417" i="1"/>
  <c r="AV446" i="1"/>
  <c r="AV445" i="1"/>
  <c r="AV491" i="1"/>
  <c r="BT491" i="1"/>
  <c r="BT446" i="1"/>
  <c r="S140" i="1"/>
  <c r="AE140" i="1"/>
  <c r="AQ140" i="1"/>
  <c r="AL161" i="1"/>
  <c r="AL162" i="1" s="1"/>
  <c r="H677" i="1"/>
  <c r="H678" i="1" s="1"/>
  <c r="H394" i="1"/>
  <c r="H332" i="1" s="1"/>
  <c r="T677" i="1"/>
  <c r="T678" i="1" s="1"/>
  <c r="T394" i="1"/>
  <c r="T332" i="1" s="1"/>
  <c r="AG677" i="1"/>
  <c r="AG678" i="1" s="1"/>
  <c r="AG394" i="1"/>
  <c r="AG332" i="1" s="1"/>
  <c r="AS677" i="1"/>
  <c r="AS678" i="1" s="1"/>
  <c r="AS394" i="1"/>
  <c r="AS332" i="1" s="1"/>
  <c r="BU677" i="1"/>
  <c r="BU678" i="1" s="1"/>
  <c r="BU394" i="1"/>
  <c r="BU332" i="1" s="1"/>
  <c r="AD897" i="1"/>
  <c r="AL887" i="1"/>
  <c r="AL897" i="1" s="1"/>
  <c r="AL393" i="1"/>
  <c r="K195" i="1"/>
  <c r="K193" i="1" s="1"/>
  <c r="K881" i="1" s="1"/>
  <c r="BK221" i="1"/>
  <c r="BK225" i="1" s="1"/>
  <c r="BQ224" i="1"/>
  <c r="AE221" i="1"/>
  <c r="AS221" i="1"/>
  <c r="BU221" i="1"/>
  <c r="AE222" i="1"/>
  <c r="AS222" i="1"/>
  <c r="AE223" i="1"/>
  <c r="AS223" i="1"/>
  <c r="BQ231" i="1"/>
  <c r="BQ7" i="1" s="1"/>
  <c r="AO235" i="1"/>
  <c r="AO237" i="1" s="1"/>
  <c r="AE236" i="1"/>
  <c r="AA355" i="1"/>
  <c r="AA357" i="1"/>
  <c r="AT697" i="1"/>
  <c r="AT348" i="1"/>
  <c r="AO351" i="1"/>
  <c r="AO353" i="1" s="1"/>
  <c r="AO399" i="1"/>
  <c r="AO34" i="9" s="1"/>
  <c r="AK357" i="1"/>
  <c r="AK355" i="1"/>
  <c r="BM28" i="9"/>
  <c r="BM873" i="1"/>
  <c r="BM874" i="1"/>
  <c r="BM532" i="1"/>
  <c r="BM323" i="1"/>
  <c r="BM53" i="9" s="1"/>
  <c r="BM383" i="1"/>
  <c r="BM388" i="1" s="1"/>
  <c r="AL29" i="9"/>
  <c r="AL319" i="1"/>
  <c r="AL52" i="9" s="1"/>
  <c r="I104" i="9"/>
  <c r="I402" i="1"/>
  <c r="I406" i="1" s="1"/>
  <c r="I395" i="1"/>
  <c r="I326" i="1"/>
  <c r="I56" i="9" s="1"/>
  <c r="Z383" i="1"/>
  <c r="Z388" i="1" s="1"/>
  <c r="AV104" i="9"/>
  <c r="AV326" i="1"/>
  <c r="AV56" i="9" s="1"/>
  <c r="AV389" i="1"/>
  <c r="AV402" i="1"/>
  <c r="AV406" i="1" s="1"/>
  <c r="BU104" i="9"/>
  <c r="BU105" i="9" s="1"/>
  <c r="BU395" i="1"/>
  <c r="BU326" i="1"/>
  <c r="BU56" i="9" s="1"/>
  <c r="BU389" i="1"/>
  <c r="BU402" i="1"/>
  <c r="BU406" i="1" s="1"/>
  <c r="N330" i="1"/>
  <c r="Y34" i="9"/>
  <c r="Y701" i="1"/>
  <c r="Y702" i="1" s="1"/>
  <c r="BV399" i="1"/>
  <c r="BV34" i="9" s="1"/>
  <c r="AI402" i="1"/>
  <c r="AI406" i="1" s="1"/>
  <c r="N445" i="1"/>
  <c r="N446" i="1"/>
  <c r="E445" i="1"/>
  <c r="F445" i="1"/>
  <c r="T445" i="1"/>
  <c r="T446" i="1"/>
  <c r="AI491" i="1"/>
  <c r="AI446" i="1"/>
  <c r="AI445" i="1"/>
  <c r="AW446" i="1"/>
  <c r="AW445" i="1"/>
  <c r="AW491" i="1"/>
  <c r="AD344" i="1"/>
  <c r="AX701" i="1"/>
  <c r="AX702" i="1" s="1"/>
  <c r="AP348" i="1"/>
  <c r="V351" i="1"/>
  <c r="V353" i="1" s="1"/>
  <c r="AH351" i="1"/>
  <c r="AH353" i="1" s="1"/>
  <c r="E33" i="9"/>
  <c r="Q28" i="9"/>
  <c r="Q874" i="1"/>
  <c r="Q877" i="1" s="1"/>
  <c r="Q873" i="1"/>
  <c r="Q876" i="1" s="1"/>
  <c r="AC28" i="9"/>
  <c r="AC874" i="1"/>
  <c r="AC873" i="1"/>
  <c r="AO28" i="9"/>
  <c r="AO874" i="1"/>
  <c r="AO873" i="1"/>
  <c r="AO532" i="1"/>
  <c r="BN28" i="9"/>
  <c r="BN873" i="1"/>
  <c r="BN876" i="1" s="1"/>
  <c r="BN532" i="1"/>
  <c r="BK34" i="9"/>
  <c r="BK701" i="1"/>
  <c r="BK702" i="1" s="1"/>
  <c r="BY35" i="9"/>
  <c r="G37" i="9"/>
  <c r="S37" i="9"/>
  <c r="AE37" i="9"/>
  <c r="AS417" i="1"/>
  <c r="G445" i="1"/>
  <c r="G446" i="1"/>
  <c r="U445" i="1"/>
  <c r="U446" i="1"/>
  <c r="AY446" i="1"/>
  <c r="AY445" i="1"/>
  <c r="AY491" i="1"/>
  <c r="BU491" i="1"/>
  <c r="BU446" i="1"/>
  <c r="AK498" i="1"/>
  <c r="BK498" i="1"/>
  <c r="S508" i="1"/>
  <c r="BP513" i="1"/>
  <c r="BP508" i="1" s="1"/>
  <c r="AC532" i="1"/>
  <c r="F28" i="9"/>
  <c r="F532" i="1"/>
  <c r="R28" i="9"/>
  <c r="R873" i="1"/>
  <c r="R876" i="1" s="1"/>
  <c r="R532" i="1"/>
  <c r="AD28" i="9"/>
  <c r="AD873" i="1"/>
  <c r="AD876" i="1" s="1"/>
  <c r="AD532" i="1"/>
  <c r="AP28" i="9"/>
  <c r="AP874" i="1"/>
  <c r="BO28" i="9"/>
  <c r="BO873" i="1"/>
  <c r="BO532" i="1"/>
  <c r="C34" i="9"/>
  <c r="C701" i="1"/>
  <c r="O34" i="9"/>
  <c r="O701" i="1"/>
  <c r="O702" i="1" s="1"/>
  <c r="AA34" i="9"/>
  <c r="AA701" i="1"/>
  <c r="AA702" i="1" s="1"/>
  <c r="BL34" i="9"/>
  <c r="BL701" i="1"/>
  <c r="BL702" i="1" s="1"/>
  <c r="BU37" i="9"/>
  <c r="C40" i="9"/>
  <c r="C413" i="1"/>
  <c r="V446" i="1"/>
  <c r="AK446" i="1"/>
  <c r="AK445" i="1"/>
  <c r="AK491" i="1"/>
  <c r="BV491" i="1"/>
  <c r="BV446" i="1"/>
  <c r="N487" i="1"/>
  <c r="AA62" i="9"/>
  <c r="AA662" i="1"/>
  <c r="AA680" i="1"/>
  <c r="AA681" i="1" s="1"/>
  <c r="AA682" i="1" s="1"/>
  <c r="AA683" i="1" s="1"/>
  <c r="AX100" i="9"/>
  <c r="AX85" i="9"/>
  <c r="D34" i="9"/>
  <c r="D701" i="1"/>
  <c r="P34" i="9"/>
  <c r="P701" i="1"/>
  <c r="P702" i="1" s="1"/>
  <c r="AB34" i="9"/>
  <c r="AB701" i="1"/>
  <c r="AB702" i="1" s="1"/>
  <c r="AN399" i="1"/>
  <c r="AN34" i="9" s="1"/>
  <c r="BM34" i="9"/>
  <c r="BM701" i="1"/>
  <c r="BM702" i="1" s="1"/>
  <c r="AU37" i="9"/>
  <c r="BI37" i="9"/>
  <c r="BI417" i="1"/>
  <c r="BV37" i="9"/>
  <c r="Z445" i="1"/>
  <c r="I445" i="1"/>
  <c r="I446" i="1"/>
  <c r="W446" i="1"/>
  <c r="W445" i="1"/>
  <c r="AM446" i="1"/>
  <c r="AM445" i="1"/>
  <c r="AM491" i="1"/>
  <c r="BK491" i="1"/>
  <c r="BW491" i="1"/>
  <c r="BW446" i="1"/>
  <c r="BS491" i="1"/>
  <c r="BT518" i="1"/>
  <c r="BR513" i="1"/>
  <c r="BR508" i="1" s="1"/>
  <c r="AA508" i="1"/>
  <c r="W513" i="1"/>
  <c r="AP532" i="1"/>
  <c r="AN551" i="1"/>
  <c r="AN547" i="1"/>
  <c r="AN549" i="1" s="1"/>
  <c r="E34" i="9"/>
  <c r="E701" i="1"/>
  <c r="Q34" i="9"/>
  <c r="Q701" i="1"/>
  <c r="Q702" i="1" s="1"/>
  <c r="AC34" i="9"/>
  <c r="AC701" i="1"/>
  <c r="AC702" i="1" s="1"/>
  <c r="BN34" i="9"/>
  <c r="BN701" i="1"/>
  <c r="BN702" i="1" s="1"/>
  <c r="J37" i="9"/>
  <c r="V37" i="9"/>
  <c r="AI37" i="9"/>
  <c r="AI417" i="1"/>
  <c r="BJ37" i="9"/>
  <c r="BW37" i="9"/>
  <c r="BW417" i="1"/>
  <c r="BS404" i="1"/>
  <c r="BS418" i="1"/>
  <c r="E40" i="9"/>
  <c r="E413" i="1"/>
  <c r="I417" i="1"/>
  <c r="AD491" i="1"/>
  <c r="J446" i="1"/>
  <c r="AN446" i="1"/>
  <c r="AN445" i="1"/>
  <c r="AN491" i="1"/>
  <c r="R446" i="1"/>
  <c r="N495" i="1"/>
  <c r="BU513" i="1"/>
  <c r="BU508" i="1" s="1"/>
  <c r="AM508" i="1"/>
  <c r="AE513" i="1"/>
  <c r="AS551" i="1"/>
  <c r="I28" i="9"/>
  <c r="I112" i="9" s="1"/>
  <c r="I873" i="1"/>
  <c r="I874" i="1"/>
  <c r="I532" i="1"/>
  <c r="U28" i="9"/>
  <c r="U873" i="1"/>
  <c r="U874" i="1"/>
  <c r="U877" i="1" s="1"/>
  <c r="U532" i="1"/>
  <c r="AG28" i="9"/>
  <c r="AG873" i="1"/>
  <c r="AG876" i="1" s="1"/>
  <c r="AG874" i="1"/>
  <c r="AG877" i="1" s="1"/>
  <c r="AG532" i="1"/>
  <c r="AS28" i="9"/>
  <c r="AS873" i="1"/>
  <c r="AS876" i="1" s="1"/>
  <c r="AS532" i="1"/>
  <c r="BR28" i="9"/>
  <c r="BR873" i="1"/>
  <c r="BR532" i="1"/>
  <c r="F399" i="1"/>
  <c r="R34" i="9"/>
  <c r="R701" i="1"/>
  <c r="R702" i="1" s="1"/>
  <c r="AD399" i="1"/>
  <c r="BO34" i="9"/>
  <c r="BO701" i="1"/>
  <c r="BO702" i="1" s="1"/>
  <c r="K37" i="9"/>
  <c r="K417" i="1"/>
  <c r="W37" i="9"/>
  <c r="W417" i="1"/>
  <c r="AW37" i="9"/>
  <c r="BK37" i="9"/>
  <c r="BK417" i="1"/>
  <c r="AH404" i="1"/>
  <c r="AH418" i="1"/>
  <c r="AT404" i="1"/>
  <c r="BL40" i="9"/>
  <c r="BL413" i="1"/>
  <c r="AH491" i="1"/>
  <c r="AH446" i="1"/>
  <c r="K446" i="1"/>
  <c r="K445" i="1"/>
  <c r="Y446" i="1"/>
  <c r="Y445" i="1"/>
  <c r="AO446" i="1"/>
  <c r="AO445" i="1"/>
  <c r="AO491" i="1"/>
  <c r="BM446" i="1"/>
  <c r="Z446" i="1"/>
  <c r="AX319" i="1"/>
  <c r="AX52" i="9" s="1"/>
  <c r="BK319" i="1"/>
  <c r="BK52" i="9" s="1"/>
  <c r="BW319" i="1"/>
  <c r="BW52" i="9" s="1"/>
  <c r="D323" i="1"/>
  <c r="D53" i="9" s="1"/>
  <c r="P323" i="1"/>
  <c r="P53" i="9" s="1"/>
  <c r="BS351" i="1"/>
  <c r="BS353" i="1" s="1"/>
  <c r="J28" i="9"/>
  <c r="J873" i="1"/>
  <c r="J532" i="1"/>
  <c r="V28" i="9"/>
  <c r="V873" i="1"/>
  <c r="V876" i="1" s="1"/>
  <c r="V532" i="1"/>
  <c r="AH28" i="9"/>
  <c r="AH532" i="1"/>
  <c r="AT28" i="9"/>
  <c r="AT873" i="1"/>
  <c r="AT532" i="1"/>
  <c r="BS28" i="9"/>
  <c r="BS873" i="1"/>
  <c r="BS874" i="1"/>
  <c r="BS532" i="1"/>
  <c r="BA527" i="1"/>
  <c r="BA531" i="1"/>
  <c r="E383" i="1"/>
  <c r="E388" i="1" s="1"/>
  <c r="Q383" i="1"/>
  <c r="Q388" i="1" s="1"/>
  <c r="AC383" i="1"/>
  <c r="AC388" i="1" s="1"/>
  <c r="AO383" i="1"/>
  <c r="AO388" i="1" s="1"/>
  <c r="AO963" i="1" s="1"/>
  <c r="BN383" i="1"/>
  <c r="BN388" i="1" s="1"/>
  <c r="G34" i="9"/>
  <c r="G701" i="1"/>
  <c r="S34" i="9"/>
  <c r="S701" i="1"/>
  <c r="S702" i="1" s="1"/>
  <c r="AE34" i="9"/>
  <c r="AE701" i="1"/>
  <c r="AE702" i="1" s="1"/>
  <c r="BP34" i="9"/>
  <c r="BP701" i="1"/>
  <c r="BP702" i="1" s="1"/>
  <c r="AX37" i="9"/>
  <c r="BL37" i="9"/>
  <c r="BL417" i="1"/>
  <c r="K418" i="1"/>
  <c r="W418" i="1"/>
  <c r="AI418" i="1"/>
  <c r="G40" i="9"/>
  <c r="G413" i="1"/>
  <c r="AL445" i="1"/>
  <c r="AL491" i="1"/>
  <c r="AA446" i="1"/>
  <c r="AA445" i="1"/>
  <c r="AQ445" i="1"/>
  <c r="AQ491" i="1"/>
  <c r="AQ446" i="1"/>
  <c r="BN446" i="1"/>
  <c r="J445" i="1"/>
  <c r="AD446" i="1"/>
  <c r="AD498" i="1"/>
  <c r="AQ513" i="1"/>
  <c r="K28" i="9"/>
  <c r="K873" i="1"/>
  <c r="K876" i="1" s="1"/>
  <c r="K874" i="1"/>
  <c r="K877" i="1" s="1"/>
  <c r="K532" i="1"/>
  <c r="W28" i="9"/>
  <c r="W873" i="1"/>
  <c r="W874" i="1"/>
  <c r="W877" i="1" s="1"/>
  <c r="W532" i="1"/>
  <c r="AI28" i="9"/>
  <c r="AI874" i="1"/>
  <c r="AI877" i="1" s="1"/>
  <c r="AI873" i="1"/>
  <c r="AI876" i="1" s="1"/>
  <c r="AI532" i="1"/>
  <c r="AU28" i="9"/>
  <c r="AU873" i="1"/>
  <c r="AU876" i="1" s="1"/>
  <c r="AU874" i="1"/>
  <c r="AU877" i="1" s="1"/>
  <c r="AU532" i="1"/>
  <c r="BH28" i="9"/>
  <c r="BH33" i="9" s="1"/>
  <c r="BH874" i="1"/>
  <c r="BH873" i="1"/>
  <c r="BH532" i="1"/>
  <c r="BT28" i="9"/>
  <c r="BT874" i="1"/>
  <c r="BT877" i="1" s="1"/>
  <c r="BT873" i="1"/>
  <c r="BT876" i="1" s="1"/>
  <c r="BT532" i="1"/>
  <c r="BB527" i="1"/>
  <c r="BB531" i="1"/>
  <c r="F383" i="1"/>
  <c r="F388" i="1" s="1"/>
  <c r="R383" i="1"/>
  <c r="R388" i="1" s="1"/>
  <c r="AD383" i="1"/>
  <c r="AD388" i="1" s="1"/>
  <c r="AP383" i="1"/>
  <c r="AP388" i="1" s="1"/>
  <c r="AP963" i="1" s="1"/>
  <c r="BO383" i="1"/>
  <c r="BO388" i="1" s="1"/>
  <c r="M394" i="1"/>
  <c r="M332" i="1" s="1"/>
  <c r="Y394" i="1"/>
  <c r="Y332" i="1" s="1"/>
  <c r="AK394" i="1"/>
  <c r="AK332" i="1" s="1"/>
  <c r="AW394" i="1"/>
  <c r="AW332" i="1" s="1"/>
  <c r="H34" i="9"/>
  <c r="H701" i="1"/>
  <c r="T34" i="9"/>
  <c r="T701" i="1"/>
  <c r="T702" i="1" s="1"/>
  <c r="AF34" i="9"/>
  <c r="AF701" i="1"/>
  <c r="AF702" i="1" s="1"/>
  <c r="BQ34" i="9"/>
  <c r="BQ701" i="1"/>
  <c r="BQ702" i="1" s="1"/>
  <c r="M37" i="9"/>
  <c r="M417" i="1"/>
  <c r="Y37" i="9"/>
  <c r="Y417" i="1"/>
  <c r="AL37" i="9"/>
  <c r="AY37" i="9"/>
  <c r="AP491" i="1"/>
  <c r="M446" i="1"/>
  <c r="M445" i="1"/>
  <c r="AB446" i="1"/>
  <c r="AB445" i="1"/>
  <c r="R445" i="1"/>
  <c r="AL446" i="1"/>
  <c r="BR518" i="1"/>
  <c r="BC620" i="1"/>
  <c r="BC621" i="1" s="1"/>
  <c r="BC625" i="1"/>
  <c r="BU351" i="1"/>
  <c r="BU353" i="1" s="1"/>
  <c r="BO970" i="1"/>
  <c r="L28" i="9"/>
  <c r="L874" i="1"/>
  <c r="L873" i="1"/>
  <c r="L876" i="1" s="1"/>
  <c r="L532" i="1"/>
  <c r="X28" i="9"/>
  <c r="X874" i="1"/>
  <c r="X877" i="1" s="1"/>
  <c r="X873" i="1"/>
  <c r="X876" i="1" s="1"/>
  <c r="X532" i="1"/>
  <c r="AJ28" i="9"/>
  <c r="AJ874" i="1"/>
  <c r="AJ877" i="1" s="1"/>
  <c r="AJ873" i="1"/>
  <c r="AJ876" i="1" s="1"/>
  <c r="AJ532" i="1"/>
  <c r="AV28" i="9"/>
  <c r="AV874" i="1"/>
  <c r="AV873" i="1"/>
  <c r="AV532" i="1"/>
  <c r="AV551" i="1" s="1"/>
  <c r="BI28" i="9"/>
  <c r="BI33" i="9" s="1"/>
  <c r="BI873" i="1"/>
  <c r="BI876" i="1" s="1"/>
  <c r="BI874" i="1"/>
  <c r="BI877" i="1" s="1"/>
  <c r="BI532" i="1"/>
  <c r="BU28" i="9"/>
  <c r="BU873" i="1"/>
  <c r="BU876" i="1" s="1"/>
  <c r="BU874" i="1"/>
  <c r="BU877" i="1" s="1"/>
  <c r="BU532" i="1"/>
  <c r="N394" i="1"/>
  <c r="N332" i="1" s="1"/>
  <c r="AL394" i="1"/>
  <c r="AL332" i="1" s="1"/>
  <c r="I34" i="9"/>
  <c r="I701" i="1"/>
  <c r="I702" i="1" s="1"/>
  <c r="U34" i="9"/>
  <c r="U701" i="1"/>
  <c r="U702" i="1" s="1"/>
  <c r="AG34" i="9"/>
  <c r="AG701" i="1"/>
  <c r="AG702" i="1" s="1"/>
  <c r="BR34" i="9"/>
  <c r="BR701" i="1"/>
  <c r="BR702" i="1" s="1"/>
  <c r="N37" i="9"/>
  <c r="BN37" i="9"/>
  <c r="M418" i="1"/>
  <c r="Y418" i="1"/>
  <c r="AK418" i="1"/>
  <c r="BK418" i="1"/>
  <c r="BW418" i="1"/>
  <c r="I40" i="9"/>
  <c r="I413" i="1"/>
  <c r="O446" i="1"/>
  <c r="O445" i="1"/>
  <c r="AC446" i="1"/>
  <c r="AC445" i="1"/>
  <c r="AS445" i="1"/>
  <c r="AS491" i="1"/>
  <c r="AS446" i="1"/>
  <c r="BP446" i="1"/>
  <c r="V445" i="1"/>
  <c r="AP446" i="1"/>
  <c r="BR498" i="1"/>
  <c r="T508" i="1"/>
  <c r="AF508" i="1"/>
  <c r="N678" i="1"/>
  <c r="AL678" i="1"/>
  <c r="BM678" i="1"/>
  <c r="I325" i="1"/>
  <c r="I55" i="9" s="1"/>
  <c r="U325" i="1"/>
  <c r="U55" i="9" s="1"/>
  <c r="AG325" i="1"/>
  <c r="AG55" i="9" s="1"/>
  <c r="AS325" i="1"/>
  <c r="AS55" i="9" s="1"/>
  <c r="BR325" i="1"/>
  <c r="BR55" i="9" s="1"/>
  <c r="M28" i="9"/>
  <c r="M873" i="1"/>
  <c r="M876" i="1" s="1"/>
  <c r="M874" i="1"/>
  <c r="M877" i="1" s="1"/>
  <c r="Y28" i="9"/>
  <c r="Y873" i="1"/>
  <c r="Y876" i="1" s="1"/>
  <c r="Y874" i="1"/>
  <c r="AK28" i="9"/>
  <c r="AK874" i="1"/>
  <c r="AK877" i="1" s="1"/>
  <c r="AK873" i="1"/>
  <c r="AK876" i="1" s="1"/>
  <c r="AW28" i="9"/>
  <c r="AW873" i="1"/>
  <c r="AW532" i="1"/>
  <c r="BJ28" i="9"/>
  <c r="BJ873" i="1"/>
  <c r="BJ876" i="1" s="1"/>
  <c r="BJ532" i="1"/>
  <c r="BV28" i="9"/>
  <c r="BV873" i="1"/>
  <c r="BV876" i="1" s="1"/>
  <c r="BV532" i="1"/>
  <c r="BL394" i="1"/>
  <c r="BL332" i="1" s="1"/>
  <c r="BS34" i="9"/>
  <c r="BS701" i="1"/>
  <c r="BS702" i="1" s="1"/>
  <c r="BL418" i="1"/>
  <c r="J40" i="9"/>
  <c r="J413" i="1"/>
  <c r="D413" i="1"/>
  <c r="AX445" i="1"/>
  <c r="AX491" i="1"/>
  <c r="P446" i="1"/>
  <c r="P445" i="1"/>
  <c r="AE445" i="1"/>
  <c r="AE491" i="1"/>
  <c r="AE446" i="1"/>
  <c r="AT491" i="1"/>
  <c r="AT446" i="1"/>
  <c r="BQ446" i="1"/>
  <c r="AD445" i="1"/>
  <c r="AX446" i="1"/>
  <c r="AT498" i="1"/>
  <c r="E532" i="1"/>
  <c r="AR550" i="1"/>
  <c r="G62" i="9"/>
  <c r="G680" i="1"/>
  <c r="G681" i="1" s="1"/>
  <c r="G682" i="1" s="1"/>
  <c r="G683" i="1" s="1"/>
  <c r="G662" i="1"/>
  <c r="BM394" i="1"/>
  <c r="BM332" i="1" s="1"/>
  <c r="K34" i="9"/>
  <c r="K701" i="1"/>
  <c r="K702" i="1" s="1"/>
  <c r="W34" i="9"/>
  <c r="W701" i="1"/>
  <c r="W702" i="1" s="1"/>
  <c r="AI34" i="9"/>
  <c r="AI701" i="1"/>
  <c r="AI702" i="1" s="1"/>
  <c r="BH34" i="9"/>
  <c r="BH701" i="1"/>
  <c r="BT34" i="9"/>
  <c r="BT701" i="1"/>
  <c r="BT702" i="1" s="1"/>
  <c r="AO37" i="9"/>
  <c r="BP404" i="1"/>
  <c r="C418" i="1"/>
  <c r="O418" i="1"/>
  <c r="AA418" i="1"/>
  <c r="K40" i="9"/>
  <c r="K413" i="1"/>
  <c r="AG417" i="1"/>
  <c r="C445" i="1"/>
  <c r="Q446" i="1"/>
  <c r="Q445" i="1"/>
  <c r="AU491" i="1"/>
  <c r="AU446" i="1"/>
  <c r="AU445" i="1"/>
  <c r="BR491" i="1"/>
  <c r="BR446" i="1"/>
  <c r="AH445" i="1"/>
  <c r="BL459" i="1"/>
  <c r="BL463" i="1" s="1"/>
  <c r="C459" i="1"/>
  <c r="C463" i="1" s="1"/>
  <c r="Z471" i="1"/>
  <c r="J487" i="1"/>
  <c r="AH498" i="1"/>
  <c r="AL498" i="1"/>
  <c r="BT503" i="1"/>
  <c r="BW503" i="1"/>
  <c r="AU513" i="1"/>
  <c r="M532" i="1"/>
  <c r="AG625" i="1"/>
  <c r="AC625" i="1"/>
  <c r="AP701" i="1"/>
  <c r="AP702" i="1" s="1"/>
  <c r="C28" i="9"/>
  <c r="C532" i="1"/>
  <c r="O28" i="9"/>
  <c r="O873" i="1"/>
  <c r="O876" i="1" s="1"/>
  <c r="O874" i="1"/>
  <c r="O877" i="1" s="1"/>
  <c r="O532" i="1"/>
  <c r="AA28" i="9"/>
  <c r="AA874" i="1"/>
  <c r="AA877" i="1" s="1"/>
  <c r="AA873" i="1"/>
  <c r="AA876" i="1" s="1"/>
  <c r="AA532" i="1"/>
  <c r="AM28" i="9"/>
  <c r="AM532" i="1"/>
  <c r="AM873" i="1"/>
  <c r="AM876" i="1" s="1"/>
  <c r="AM874" i="1"/>
  <c r="AM877" i="1" s="1"/>
  <c r="AY28" i="9"/>
  <c r="AY532" i="1"/>
  <c r="AY873" i="1"/>
  <c r="AY874" i="1"/>
  <c r="BL28" i="9"/>
  <c r="BL532" i="1"/>
  <c r="BL873" i="1"/>
  <c r="BL876" i="1" s="1"/>
  <c r="L34" i="9"/>
  <c r="L701" i="1"/>
  <c r="L702" i="1" s="1"/>
  <c r="X34" i="9"/>
  <c r="X701" i="1"/>
  <c r="X702" i="1" s="1"/>
  <c r="AJ34" i="9"/>
  <c r="AJ701" i="1"/>
  <c r="AJ702" i="1" s="1"/>
  <c r="BI34" i="9"/>
  <c r="BI701" i="1"/>
  <c r="BI702" i="1" s="1"/>
  <c r="E37" i="9"/>
  <c r="Q37" i="9"/>
  <c r="AC37" i="9"/>
  <c r="AP404" i="1"/>
  <c r="BQ404" i="1"/>
  <c r="H413" i="1"/>
  <c r="D445" i="1"/>
  <c r="S445" i="1"/>
  <c r="S446" i="1"/>
  <c r="AG445" i="1"/>
  <c r="AG491" i="1"/>
  <c r="AG446" i="1"/>
  <c r="AP445" i="1"/>
  <c r="BU498" i="1"/>
  <c r="AI513" i="1"/>
  <c r="AK556" i="1"/>
  <c r="Q532" i="1"/>
  <c r="AZ625" i="1"/>
  <c r="O62" i="9"/>
  <c r="O680" i="1"/>
  <c r="O681" i="1" s="1"/>
  <c r="O682" i="1" s="1"/>
  <c r="O683" i="1" s="1"/>
  <c r="O662" i="1"/>
  <c r="AU62" i="9"/>
  <c r="AU680" i="1"/>
  <c r="AU681" i="1" s="1"/>
  <c r="AU682" i="1" s="1"/>
  <c r="AU683" i="1" s="1"/>
  <c r="BP62" i="9"/>
  <c r="BP680" i="1"/>
  <c r="BP681" i="1" s="1"/>
  <c r="BP682" i="1" s="1"/>
  <c r="P65" i="9"/>
  <c r="P898" i="1"/>
  <c r="P968" i="1"/>
  <c r="P882" i="1"/>
  <c r="AC65" i="9"/>
  <c r="AC882" i="1"/>
  <c r="AC898" i="1"/>
  <c r="K8" i="9"/>
  <c r="K961" i="1"/>
  <c r="W8" i="9"/>
  <c r="W961" i="1"/>
  <c r="AI8" i="9"/>
  <c r="AI961" i="1"/>
  <c r="AI695" i="1"/>
  <c r="AU8" i="9"/>
  <c r="AU961" i="1"/>
  <c r="AU695" i="1"/>
  <c r="BM85" i="9"/>
  <c r="BM100" i="9"/>
  <c r="M100" i="9"/>
  <c r="M85" i="9"/>
  <c r="BW701" i="1"/>
  <c r="BW702" i="1" s="1"/>
  <c r="BK827" i="1"/>
  <c r="BK661" i="1" s="1"/>
  <c r="BK659" i="1"/>
  <c r="E97" i="9"/>
  <c r="BR97" i="9"/>
  <c r="BN413" i="1"/>
  <c r="N473" i="1"/>
  <c r="Z473" i="1"/>
  <c r="AT640" i="1"/>
  <c r="BV625" i="1"/>
  <c r="BA625" i="1"/>
  <c r="AI640" i="1"/>
  <c r="AV640" i="1"/>
  <c r="D684" i="1"/>
  <c r="D685" i="1" s="1"/>
  <c r="D686" i="1" s="1"/>
  <c r="D687" i="1" s="1"/>
  <c r="D663" i="1"/>
  <c r="C65" i="9"/>
  <c r="C882" i="1"/>
  <c r="C898" i="1"/>
  <c r="C968" i="1"/>
  <c r="AS65" i="9"/>
  <c r="AS898" i="1"/>
  <c r="AS882" i="1"/>
  <c r="BN65" i="9"/>
  <c r="BN898" i="1"/>
  <c r="BN882" i="1"/>
  <c r="BH678" i="1"/>
  <c r="G7" i="9"/>
  <c r="G960" i="1"/>
  <c r="S7" i="9"/>
  <c r="S960" i="1"/>
  <c r="AE7" i="9"/>
  <c r="AE960" i="1"/>
  <c r="AQ7" i="9"/>
  <c r="AQ960" i="1"/>
  <c r="BV7" i="9"/>
  <c r="BV960" i="1"/>
  <c r="BV700" i="1"/>
  <c r="J461" i="1"/>
  <c r="J473" i="1" s="1"/>
  <c r="V461" i="1"/>
  <c r="V473" i="1" s="1"/>
  <c r="AP605" i="1"/>
  <c r="BB625" i="1"/>
  <c r="AJ640" i="1"/>
  <c r="AW640" i="1"/>
  <c r="AI662" i="1"/>
  <c r="S65" i="9"/>
  <c r="S882" i="1"/>
  <c r="S898" i="1"/>
  <c r="AF65" i="9"/>
  <c r="AF619" i="1"/>
  <c r="AF882" i="1"/>
  <c r="AF898" i="1"/>
  <c r="AT65" i="9"/>
  <c r="AT882" i="1"/>
  <c r="AT898" i="1"/>
  <c r="BO65" i="9"/>
  <c r="BO882" i="1"/>
  <c r="BO898" i="1"/>
  <c r="BI678" i="1"/>
  <c r="BO100" i="9"/>
  <c r="BO85" i="9"/>
  <c r="BO705" i="1"/>
  <c r="W695" i="1"/>
  <c r="BM706" i="1"/>
  <c r="AP918" i="1"/>
  <c r="BU919" i="1"/>
  <c r="BB620" i="1"/>
  <c r="BB621" i="1" s="1"/>
  <c r="CA625" i="1"/>
  <c r="AK640" i="1"/>
  <c r="E65" i="9"/>
  <c r="E882" i="1"/>
  <c r="E898" i="1"/>
  <c r="T65" i="9"/>
  <c r="T619" i="1"/>
  <c r="T898" i="1"/>
  <c r="T882" i="1"/>
  <c r="AG65" i="9"/>
  <c r="AG882" i="1"/>
  <c r="AG898" i="1"/>
  <c r="AL69" i="9"/>
  <c r="AY69" i="9"/>
  <c r="AY971" i="1"/>
  <c r="BS69" i="9"/>
  <c r="BS971" i="1"/>
  <c r="V680" i="1"/>
  <c r="V681" i="1" s="1"/>
  <c r="V682" i="1" s="1"/>
  <c r="BL7" i="9"/>
  <c r="BL960" i="1"/>
  <c r="Z695" i="1"/>
  <c r="AE695" i="1"/>
  <c r="BO706" i="1"/>
  <c r="AC659" i="1"/>
  <c r="AC827" i="1"/>
  <c r="AU827" i="1"/>
  <c r="L413" i="1"/>
  <c r="AX495" i="1"/>
  <c r="AX498" i="1" s="1"/>
  <c r="AY625" i="1"/>
  <c r="AQ625" i="1"/>
  <c r="AL640" i="1"/>
  <c r="G65" i="9"/>
  <c r="G898" i="1"/>
  <c r="G882" i="1"/>
  <c r="G968" i="1"/>
  <c r="L69" i="9"/>
  <c r="L971" i="1"/>
  <c r="Y69" i="9"/>
  <c r="Y971" i="1"/>
  <c r="BQ8" i="9"/>
  <c r="BQ961" i="1"/>
  <c r="BQ695" i="1"/>
  <c r="AH100" i="9"/>
  <c r="BE625" i="1"/>
  <c r="C62" i="9"/>
  <c r="C662" i="1"/>
  <c r="AA69" i="9"/>
  <c r="AA971" i="1"/>
  <c r="AN69" i="9"/>
  <c r="AN971" i="1"/>
  <c r="BI69" i="9"/>
  <c r="BI971" i="1"/>
  <c r="BU69" i="9"/>
  <c r="BU971" i="1"/>
  <c r="AP100" i="9"/>
  <c r="AP85" i="9"/>
  <c r="AU702" i="1"/>
  <c r="N413" i="1"/>
  <c r="F462" i="1"/>
  <c r="F474" i="1" s="1"/>
  <c r="AV547" i="1"/>
  <c r="AS625" i="1"/>
  <c r="AN640" i="1"/>
  <c r="AL649" i="1"/>
  <c r="D62" i="9"/>
  <c r="D680" i="1"/>
  <c r="D681" i="1" s="1"/>
  <c r="D682" i="1" s="1"/>
  <c r="D683" i="1" s="1"/>
  <c r="D662" i="1"/>
  <c r="N69" i="9"/>
  <c r="AB69" i="9"/>
  <c r="AB971" i="1"/>
  <c r="AO69" i="9"/>
  <c r="AO971" i="1"/>
  <c r="BJ69" i="9"/>
  <c r="BV69" i="9"/>
  <c r="BV971" i="1"/>
  <c r="BV978" i="1"/>
  <c r="AI680" i="1"/>
  <c r="AI681" i="1" s="1"/>
  <c r="AI682" i="1" s="1"/>
  <c r="AI683" i="1" s="1"/>
  <c r="L7" i="9"/>
  <c r="L960" i="1"/>
  <c r="L695" i="1"/>
  <c r="X7" i="9"/>
  <c r="X960" i="1"/>
  <c r="X695" i="1"/>
  <c r="AJ7" i="9"/>
  <c r="AJ960" i="1"/>
  <c r="AJ695" i="1"/>
  <c r="AV7" i="9"/>
  <c r="AV960" i="1"/>
  <c r="BI100" i="9"/>
  <c r="BI101" i="9" s="1"/>
  <c r="BI85" i="9"/>
  <c r="BI706" i="1"/>
  <c r="BI705" i="1"/>
  <c r="AV702" i="1"/>
  <c r="AH815" i="1"/>
  <c r="J830" i="1"/>
  <c r="J772" i="1"/>
  <c r="Z837" i="1"/>
  <c r="Z668" i="1" s="1"/>
  <c r="Z772" i="1"/>
  <c r="AL839" i="1"/>
  <c r="AL772" i="1"/>
  <c r="BH413" i="1"/>
  <c r="BT640" i="1"/>
  <c r="V662" i="1"/>
  <c r="BP662" i="1"/>
  <c r="AL65" i="9"/>
  <c r="AL882" i="1"/>
  <c r="AL898" i="1"/>
  <c r="AY65" i="9"/>
  <c r="AY898" i="1"/>
  <c r="AY882" i="1"/>
  <c r="BX882" i="1" s="1"/>
  <c r="BT65" i="9"/>
  <c r="BT898" i="1"/>
  <c r="BT882" i="1"/>
  <c r="O69" i="9"/>
  <c r="O971" i="1"/>
  <c r="AC69" i="9"/>
  <c r="AC971" i="1"/>
  <c r="AP69" i="9"/>
  <c r="BK69" i="9"/>
  <c r="BK971" i="1"/>
  <c r="BW69" i="9"/>
  <c r="BW971" i="1"/>
  <c r="F8" i="9"/>
  <c r="F961" i="1"/>
  <c r="F695" i="1"/>
  <c r="R8" i="9"/>
  <c r="R961" i="1"/>
  <c r="R695" i="1"/>
  <c r="AD8" i="9"/>
  <c r="AD961" i="1"/>
  <c r="AD695" i="1"/>
  <c r="AP8" i="9"/>
  <c r="AP961" i="1"/>
  <c r="BJ695" i="1"/>
  <c r="L65" i="9"/>
  <c r="L882" i="1"/>
  <c r="L898" i="1"/>
  <c r="Y65" i="9"/>
  <c r="Y898" i="1"/>
  <c r="Y882" i="1"/>
  <c r="C69" i="9"/>
  <c r="C971" i="1"/>
  <c r="P69" i="9"/>
  <c r="P971" i="1"/>
  <c r="N7" i="9"/>
  <c r="N960" i="1"/>
  <c r="Z7" i="9"/>
  <c r="Z960" i="1"/>
  <c r="AL7" i="9"/>
  <c r="AL960" i="1"/>
  <c r="AX7" i="9"/>
  <c r="AX960" i="1"/>
  <c r="BQ7" i="9"/>
  <c r="BQ960" i="1"/>
  <c r="BK100" i="9"/>
  <c r="BK85" i="9"/>
  <c r="BK706" i="1"/>
  <c r="BK705" i="1"/>
  <c r="AY702" i="1"/>
  <c r="BJ413" i="1"/>
  <c r="AY550" i="1"/>
  <c r="AQ640" i="1"/>
  <c r="BV640" i="1"/>
  <c r="AV648" i="1"/>
  <c r="M65" i="9"/>
  <c r="M898" i="1"/>
  <c r="M882" i="1"/>
  <c r="Z65" i="9"/>
  <c r="Z882" i="1"/>
  <c r="Z898" i="1"/>
  <c r="AN65" i="9"/>
  <c r="AN898" i="1"/>
  <c r="AN882" i="1"/>
  <c r="BI65" i="9"/>
  <c r="BI898" i="1"/>
  <c r="BI882" i="1"/>
  <c r="BW65" i="9"/>
  <c r="BW898" i="1"/>
  <c r="BW882" i="1"/>
  <c r="AE69" i="9"/>
  <c r="AE971" i="1"/>
  <c r="AR69" i="9"/>
  <c r="AR971" i="1"/>
  <c r="AR85" i="9"/>
  <c r="AR100" i="9"/>
  <c r="BS85" i="9"/>
  <c r="BS100" i="9"/>
  <c r="BS706" i="1"/>
  <c r="BS705" i="1"/>
  <c r="AQ701" i="1"/>
  <c r="AQ702" i="1" s="1"/>
  <c r="AA65" i="9"/>
  <c r="AA898" i="1"/>
  <c r="AA882" i="1"/>
  <c r="AO65" i="9"/>
  <c r="AO882" i="1"/>
  <c r="AO898" i="1"/>
  <c r="BK65" i="9"/>
  <c r="BK898" i="1"/>
  <c r="BK882" i="1"/>
  <c r="BK883" i="1" s="1"/>
  <c r="E69" i="9"/>
  <c r="E971" i="1"/>
  <c r="R69" i="9"/>
  <c r="AF69" i="9"/>
  <c r="AF971" i="1"/>
  <c r="AT69" i="9"/>
  <c r="AT971" i="1"/>
  <c r="BN69" i="9"/>
  <c r="BN971" i="1"/>
  <c r="AS85" i="9"/>
  <c r="AS100" i="9"/>
  <c r="BV695" i="1"/>
  <c r="BU702" i="1"/>
  <c r="AK555" i="1"/>
  <c r="BW625" i="1"/>
  <c r="AS640" i="1"/>
  <c r="AE62" i="9"/>
  <c r="AE680" i="1"/>
  <c r="AE681" i="1" s="1"/>
  <c r="AE682" i="1" s="1"/>
  <c r="AE683" i="1" s="1"/>
  <c r="AE662" i="1"/>
  <c r="O65" i="9"/>
  <c r="O898" i="1"/>
  <c r="O882" i="1"/>
  <c r="AB65" i="9"/>
  <c r="AB898" i="1"/>
  <c r="AB882" i="1"/>
  <c r="AQ65" i="9"/>
  <c r="AQ882" i="1"/>
  <c r="AQ898" i="1"/>
  <c r="BL65" i="9"/>
  <c r="BL882" i="1"/>
  <c r="BL898" i="1"/>
  <c r="F69" i="9"/>
  <c r="S69" i="9"/>
  <c r="S971" i="1"/>
  <c r="C680" i="1"/>
  <c r="C681" i="1" s="1"/>
  <c r="C682" i="1" s="1"/>
  <c r="C683" i="1" s="1"/>
  <c r="E100" i="9"/>
  <c r="AC100" i="9"/>
  <c r="AC85" i="9"/>
  <c r="K695" i="1"/>
  <c r="BM705" i="1"/>
  <c r="AM860" i="1"/>
  <c r="AP106" i="9"/>
  <c r="H65" i="9"/>
  <c r="H898" i="1"/>
  <c r="H619" i="1"/>
  <c r="H882" i="1"/>
  <c r="U65" i="9"/>
  <c r="U882" i="1"/>
  <c r="U898" i="1"/>
  <c r="AU65" i="9"/>
  <c r="AU898" i="1"/>
  <c r="AU882" i="1"/>
  <c r="BP65" i="9"/>
  <c r="BP882" i="1"/>
  <c r="BP898" i="1"/>
  <c r="G69" i="9"/>
  <c r="G971" i="1"/>
  <c r="T69" i="9"/>
  <c r="T971" i="1"/>
  <c r="AH69" i="9"/>
  <c r="AU69" i="9"/>
  <c r="AU971" i="1"/>
  <c r="BO69" i="9"/>
  <c r="BO971" i="1"/>
  <c r="H7" i="9"/>
  <c r="H960" i="1"/>
  <c r="T7" i="9"/>
  <c r="T960" i="1"/>
  <c r="AF7" i="9"/>
  <c r="AF960" i="1"/>
  <c r="AR7" i="9"/>
  <c r="AR960" i="1"/>
  <c r="BR7" i="9"/>
  <c r="BR960" i="1"/>
  <c r="G8" i="9"/>
  <c r="G961" i="1"/>
  <c r="G695" i="1"/>
  <c r="S8" i="9"/>
  <c r="S961" i="1"/>
  <c r="AE8" i="9"/>
  <c r="AE961" i="1"/>
  <c r="AQ8" i="9"/>
  <c r="AQ961" i="1"/>
  <c r="AQ695" i="1"/>
  <c r="BR8" i="9"/>
  <c r="BR961" i="1"/>
  <c r="BR695" i="1"/>
  <c r="Z63" i="9"/>
  <c r="O841" i="1"/>
  <c r="O968" i="1"/>
  <c r="AB968" i="1"/>
  <c r="G106" i="9"/>
  <c r="G944" i="1"/>
  <c r="G953" i="1" s="1"/>
  <c r="G955" i="1" s="1"/>
  <c r="BL62" i="9"/>
  <c r="BL662" i="1"/>
  <c r="I65" i="9"/>
  <c r="I898" i="1"/>
  <c r="I882" i="1"/>
  <c r="V65" i="9"/>
  <c r="V898" i="1"/>
  <c r="V882" i="1"/>
  <c r="AI65" i="9"/>
  <c r="AI882" i="1"/>
  <c r="AI898" i="1"/>
  <c r="AV65" i="9"/>
  <c r="AV882" i="1"/>
  <c r="AV898" i="1"/>
  <c r="BQ65" i="9"/>
  <c r="BQ898" i="1"/>
  <c r="BQ619" i="1"/>
  <c r="BQ882" i="1"/>
  <c r="BQ883" i="1" s="1"/>
  <c r="H69" i="9"/>
  <c r="H971" i="1"/>
  <c r="V69" i="9"/>
  <c r="V971" i="1"/>
  <c r="AI69" i="9"/>
  <c r="AI971" i="1"/>
  <c r="AV69" i="9"/>
  <c r="AV971" i="1"/>
  <c r="BP69" i="9"/>
  <c r="BP978" i="1"/>
  <c r="BP971" i="1"/>
  <c r="BL680" i="1"/>
  <c r="BL681" i="1" s="1"/>
  <c r="BL682" i="1" s="1"/>
  <c r="BL683" i="1" s="1"/>
  <c r="I7" i="9"/>
  <c r="I960" i="1"/>
  <c r="U7" i="9"/>
  <c r="U960" i="1"/>
  <c r="AG7" i="9"/>
  <c r="AG960" i="1"/>
  <c r="AS7" i="9"/>
  <c r="AS960" i="1"/>
  <c r="BS7" i="9"/>
  <c r="BS960" i="1"/>
  <c r="H8" i="9"/>
  <c r="H961" i="1"/>
  <c r="T8" i="9"/>
  <c r="T961" i="1"/>
  <c r="T695" i="1"/>
  <c r="AF8" i="9"/>
  <c r="AF961" i="1"/>
  <c r="AR8" i="9"/>
  <c r="AR961" i="1"/>
  <c r="Y695" i="1"/>
  <c r="BN695" i="1"/>
  <c r="AG841" i="1"/>
  <c r="W65" i="9"/>
  <c r="W898" i="1"/>
  <c r="W968" i="1"/>
  <c r="W882" i="1"/>
  <c r="AJ65" i="9"/>
  <c r="AJ898" i="1"/>
  <c r="AJ882" i="1"/>
  <c r="AW65" i="9"/>
  <c r="AW898" i="1"/>
  <c r="AW882" i="1"/>
  <c r="BR65" i="9"/>
  <c r="BR882" i="1"/>
  <c r="BR898" i="1"/>
  <c r="J69" i="9"/>
  <c r="W69" i="9"/>
  <c r="W971" i="1"/>
  <c r="AJ69" i="9"/>
  <c r="AJ971" i="1"/>
  <c r="AW69" i="9"/>
  <c r="AW971" i="1"/>
  <c r="BQ69" i="9"/>
  <c r="BQ971" i="1"/>
  <c r="BQ978" i="1"/>
  <c r="AY678" i="1"/>
  <c r="J7" i="9"/>
  <c r="J960" i="1"/>
  <c r="V7" i="9"/>
  <c r="V960" i="1"/>
  <c r="AH7" i="9"/>
  <c r="AH960" i="1"/>
  <c r="AT7" i="9"/>
  <c r="AT960" i="1"/>
  <c r="BT7" i="9"/>
  <c r="BT960" i="1"/>
  <c r="I8" i="9"/>
  <c r="I961" i="1"/>
  <c r="I695" i="1"/>
  <c r="U8" i="9"/>
  <c r="U961" i="1"/>
  <c r="AG8" i="9"/>
  <c r="AG961" i="1"/>
  <c r="AG695" i="1"/>
  <c r="AS8" i="9"/>
  <c r="AS961" i="1"/>
  <c r="BH961" i="1"/>
  <c r="BH695" i="1"/>
  <c r="BT8" i="9"/>
  <c r="BT961" i="1"/>
  <c r="H695" i="1"/>
  <c r="BU698" i="1"/>
  <c r="AM827" i="1"/>
  <c r="AE827" i="1"/>
  <c r="AT874" i="1"/>
  <c r="AT877" i="1" s="1"/>
  <c r="AH874" i="1"/>
  <c r="K65" i="9"/>
  <c r="K898" i="1"/>
  <c r="K882" i="1"/>
  <c r="K968" i="1"/>
  <c r="X65" i="9"/>
  <c r="X898" i="1"/>
  <c r="X882" i="1"/>
  <c r="AK65" i="9"/>
  <c r="AK898" i="1"/>
  <c r="AK882" i="1"/>
  <c r="AX65" i="9"/>
  <c r="AX882" i="1"/>
  <c r="AX898" i="1"/>
  <c r="BS65" i="9"/>
  <c r="BS898" i="1"/>
  <c r="BS882" i="1"/>
  <c r="BS883" i="1" s="1"/>
  <c r="K69" i="9"/>
  <c r="K971" i="1"/>
  <c r="X69" i="9"/>
  <c r="X971" i="1"/>
  <c r="AK69" i="9"/>
  <c r="AK971" i="1"/>
  <c r="AX69" i="9"/>
  <c r="BR69" i="9"/>
  <c r="AM680" i="1"/>
  <c r="AM681" i="1" s="1"/>
  <c r="AM682" i="1" s="1"/>
  <c r="AM683" i="1" s="1"/>
  <c r="K7" i="9"/>
  <c r="K960" i="1"/>
  <c r="W7" i="9"/>
  <c r="W960" i="1"/>
  <c r="AI7" i="9"/>
  <c r="AI960" i="1"/>
  <c r="AU7" i="9"/>
  <c r="AU960" i="1"/>
  <c r="BU7" i="9"/>
  <c r="BU960" i="1"/>
  <c r="V100" i="9"/>
  <c r="AT100" i="9"/>
  <c r="AT85" i="9"/>
  <c r="BU695" i="1"/>
  <c r="J695" i="1"/>
  <c r="AW695" i="1"/>
  <c r="O827" i="1"/>
  <c r="BA923" i="1"/>
  <c r="AM65" i="9"/>
  <c r="AM898" i="1"/>
  <c r="AM882" i="1"/>
  <c r="AM968" i="1"/>
  <c r="BU65" i="9"/>
  <c r="BU882" i="1"/>
  <c r="BU898" i="1"/>
  <c r="M69" i="9"/>
  <c r="M971" i="1"/>
  <c r="AM69" i="9"/>
  <c r="AM971" i="1"/>
  <c r="BH69" i="9"/>
  <c r="BH971" i="1"/>
  <c r="BT69" i="9"/>
  <c r="BT971" i="1"/>
  <c r="M7" i="9"/>
  <c r="M960" i="1"/>
  <c r="Y7" i="9"/>
  <c r="Y960" i="1"/>
  <c r="AK7" i="9"/>
  <c r="AK960" i="1"/>
  <c r="AW7" i="9"/>
  <c r="AW960" i="1"/>
  <c r="BK7" i="9"/>
  <c r="BK960" i="1"/>
  <c r="BW7" i="9"/>
  <c r="BW960" i="1"/>
  <c r="AV695" i="1"/>
  <c r="BK8" i="9"/>
  <c r="BK961" i="1"/>
  <c r="BW8" i="9"/>
  <c r="BW961" i="1"/>
  <c r="BW695" i="1"/>
  <c r="AF695" i="1"/>
  <c r="BT695" i="1"/>
  <c r="AS701" i="1"/>
  <c r="AS702" i="1" s="1"/>
  <c r="J97" i="9"/>
  <c r="C7" i="9"/>
  <c r="C960" i="1"/>
  <c r="O7" i="9"/>
  <c r="O960" i="1"/>
  <c r="AA7" i="9"/>
  <c r="AA960" i="1"/>
  <c r="AM7" i="9"/>
  <c r="AM960" i="1"/>
  <c r="AY7" i="9"/>
  <c r="AY960" i="1"/>
  <c r="N8" i="9"/>
  <c r="N961" i="1"/>
  <c r="N695" i="1"/>
  <c r="Z8" i="9"/>
  <c r="Z961" i="1"/>
  <c r="AL8" i="9"/>
  <c r="AL961" i="1"/>
  <c r="AX8" i="9"/>
  <c r="AX961" i="1"/>
  <c r="BM8" i="9"/>
  <c r="BM961" i="1"/>
  <c r="P100" i="9"/>
  <c r="P85" i="9"/>
  <c r="AT815" i="1"/>
  <c r="Q659" i="1"/>
  <c r="Q827" i="1"/>
  <c r="Q661" i="1" s="1"/>
  <c r="BN7" i="9"/>
  <c r="BN960" i="1"/>
  <c r="AK695" i="1"/>
  <c r="P815" i="1"/>
  <c r="BO974" i="1" s="1"/>
  <c r="D65" i="9"/>
  <c r="D898" i="1"/>
  <c r="D882" i="1"/>
  <c r="Q65" i="9"/>
  <c r="Q882" i="1"/>
  <c r="Q898" i="1"/>
  <c r="AE65" i="9"/>
  <c r="AE898" i="1"/>
  <c r="AE882" i="1"/>
  <c r="AE883" i="1" s="1"/>
  <c r="AR65" i="9"/>
  <c r="AR898" i="1"/>
  <c r="AR619" i="1"/>
  <c r="AR625" i="1" s="1"/>
  <c r="AR882" i="1"/>
  <c r="BM65" i="9"/>
  <c r="BM882" i="1"/>
  <c r="BM898" i="1"/>
  <c r="A1068" i="1"/>
  <c r="D69" i="9"/>
  <c r="D971" i="1"/>
  <c r="Q69" i="9"/>
  <c r="Q971" i="1"/>
  <c r="AD69" i="9"/>
  <c r="AQ69" i="9"/>
  <c r="AQ971" i="1"/>
  <c r="BL69" i="9"/>
  <c r="BL971" i="1"/>
  <c r="BX69" i="9"/>
  <c r="E7" i="9"/>
  <c r="E960" i="1"/>
  <c r="Q7" i="9"/>
  <c r="Q960" i="1"/>
  <c r="AC7" i="9"/>
  <c r="AC960" i="1"/>
  <c r="AO7" i="9"/>
  <c r="AO960" i="1"/>
  <c r="BO7" i="9"/>
  <c r="BO960" i="1"/>
  <c r="D8" i="9"/>
  <c r="D961" i="1"/>
  <c r="D695" i="1"/>
  <c r="P8" i="9"/>
  <c r="P961" i="1"/>
  <c r="AB8" i="9"/>
  <c r="AB695" i="1"/>
  <c r="AB961" i="1"/>
  <c r="AN8" i="9"/>
  <c r="AN961" i="1"/>
  <c r="AZ8" i="9"/>
  <c r="AZ961" i="1"/>
  <c r="AZ691" i="1"/>
  <c r="AZ934" i="1" s="1"/>
  <c r="BA693" i="1"/>
  <c r="BO8" i="9"/>
  <c r="BO961" i="1"/>
  <c r="S695" i="1"/>
  <c r="AL695" i="1"/>
  <c r="AD692" i="1"/>
  <c r="AD943" i="1"/>
  <c r="F7" i="9"/>
  <c r="F960" i="1"/>
  <c r="R7" i="9"/>
  <c r="R960" i="1"/>
  <c r="AD7" i="9"/>
  <c r="AD960" i="1"/>
  <c r="AP7" i="9"/>
  <c r="AP960" i="1"/>
  <c r="BP7" i="9"/>
  <c r="BP960" i="1"/>
  <c r="BA692" i="1"/>
  <c r="BP8" i="9"/>
  <c r="BP961" i="1"/>
  <c r="BP695" i="1"/>
  <c r="U695" i="1"/>
  <c r="AN695" i="1"/>
  <c r="J815" i="1"/>
  <c r="AT811" i="1"/>
  <c r="AT746" i="1"/>
  <c r="AT758" i="1" s="1"/>
  <c r="AH814" i="1"/>
  <c r="AH746" i="1"/>
  <c r="AH758" i="1" s="1"/>
  <c r="J746" i="1"/>
  <c r="J758" i="1" s="1"/>
  <c r="AP73" i="9"/>
  <c r="Z841" i="1"/>
  <c r="C8" i="9"/>
  <c r="C695" i="1"/>
  <c r="C961" i="1"/>
  <c r="O8" i="9"/>
  <c r="O961" i="1"/>
  <c r="O695" i="1"/>
  <c r="AA8" i="9"/>
  <c r="AA961" i="1"/>
  <c r="AA695" i="1"/>
  <c r="AM8" i="9"/>
  <c r="AM695" i="1"/>
  <c r="AM961" i="1"/>
  <c r="AY8" i="9"/>
  <c r="AY695" i="1"/>
  <c r="AY961" i="1"/>
  <c r="BL8" i="9"/>
  <c r="BL695" i="1"/>
  <c r="BL961" i="1"/>
  <c r="AL803" i="1"/>
  <c r="AL746" i="1"/>
  <c r="AL758" i="1" s="1"/>
  <c r="AL791" i="1" s="1"/>
  <c r="R746" i="1"/>
  <c r="R758" i="1" s="1"/>
  <c r="AX844" i="1"/>
  <c r="AX788" i="1"/>
  <c r="BI791" i="1"/>
  <c r="BI794" i="1" s="1"/>
  <c r="BJ793" i="1" s="1"/>
  <c r="BU791" i="1"/>
  <c r="BP827" i="1"/>
  <c r="BP661" i="1" s="1"/>
  <c r="D63" i="9"/>
  <c r="AK841" i="1"/>
  <c r="AK968" i="1"/>
  <c r="BY69" i="9"/>
  <c r="BF882" i="1"/>
  <c r="BF888" i="1"/>
  <c r="AA97" i="9"/>
  <c r="AA955" i="1"/>
  <c r="AB97" i="9"/>
  <c r="AB966" i="1"/>
  <c r="AH935" i="1"/>
  <c r="P106" i="9"/>
  <c r="P944" i="1"/>
  <c r="P953" i="1" s="1"/>
  <c r="AE106" i="9"/>
  <c r="AE944" i="1"/>
  <c r="AE953" i="1" s="1"/>
  <c r="AX106" i="9"/>
  <c r="N63" i="9"/>
  <c r="AM791" i="1"/>
  <c r="BJ791" i="1"/>
  <c r="BJ794" i="1" s="1"/>
  <c r="BK793" i="1" s="1"/>
  <c r="BK794" i="1" s="1"/>
  <c r="C793" i="1" s="1"/>
  <c r="D793" i="1" s="1"/>
  <c r="E793" i="1" s="1"/>
  <c r="F793" i="1" s="1"/>
  <c r="BL793" i="1" s="1"/>
  <c r="X815" i="1"/>
  <c r="BR958" i="1"/>
  <c r="BR815" i="1"/>
  <c r="G827" i="1"/>
  <c r="AY63" i="9"/>
  <c r="I968" i="1"/>
  <c r="X841" i="1"/>
  <c r="X968" i="1"/>
  <c r="AL968" i="1"/>
  <c r="AJ673" i="1"/>
  <c r="AJ72" i="9" s="1"/>
  <c r="AJ857" i="1"/>
  <c r="BT977" i="1" s="1"/>
  <c r="AV897" i="1"/>
  <c r="AV883" i="1"/>
  <c r="BJ892" i="1"/>
  <c r="BJ894" i="1"/>
  <c r="BU883" i="1"/>
  <c r="AQ880" i="1"/>
  <c r="BV880" i="1"/>
  <c r="BR889" i="1"/>
  <c r="BR895" i="1"/>
  <c r="AE889" i="1"/>
  <c r="AF886" i="1"/>
  <c r="AR886" i="1"/>
  <c r="AK97" i="9"/>
  <c r="E8" i="9"/>
  <c r="E961" i="1"/>
  <c r="Q8" i="9"/>
  <c r="Q961" i="1"/>
  <c r="AO8" i="9"/>
  <c r="AO961" i="1"/>
  <c r="BN8" i="9"/>
  <c r="BN961" i="1"/>
  <c r="Y791" i="1"/>
  <c r="Y794" i="1" s="1"/>
  <c r="AN815" i="1"/>
  <c r="Y968" i="1"/>
  <c r="BO968" i="1"/>
  <c r="BL73" i="9"/>
  <c r="BX73" i="9"/>
  <c r="BR883" i="1"/>
  <c r="T889" i="1"/>
  <c r="AF97" i="9"/>
  <c r="AF966" i="1"/>
  <c r="AX92" i="9"/>
  <c r="AP92" i="9"/>
  <c r="AP93" i="9" s="1"/>
  <c r="BL92" i="9"/>
  <c r="AX803" i="1"/>
  <c r="AX746" i="1"/>
  <c r="AX758" i="1" s="1"/>
  <c r="V63" i="9"/>
  <c r="V64" i="9" s="1"/>
  <c r="AX841" i="1"/>
  <c r="K791" i="1"/>
  <c r="M791" i="1"/>
  <c r="Z788" i="1"/>
  <c r="BL791" i="1"/>
  <c r="F73" i="9"/>
  <c r="V827" i="1"/>
  <c r="V661" i="1" s="1"/>
  <c r="AL63" i="9"/>
  <c r="Z968" i="1"/>
  <c r="N73" i="9"/>
  <c r="F867" i="1"/>
  <c r="C880" i="1"/>
  <c r="BL880" i="1"/>
  <c r="BL894" i="1" s="1"/>
  <c r="AY880" i="1"/>
  <c r="AN97" i="9"/>
  <c r="AL92" i="9"/>
  <c r="F788" i="1"/>
  <c r="F844" i="1"/>
  <c r="AP846" i="1"/>
  <c r="AP788" i="1"/>
  <c r="AA791" i="1"/>
  <c r="O958" i="1"/>
  <c r="AB815" i="1"/>
  <c r="AP803" i="1"/>
  <c r="BU815" i="1"/>
  <c r="M968" i="1"/>
  <c r="M841" i="1"/>
  <c r="C97" i="9"/>
  <c r="C966" i="1"/>
  <c r="BK97" i="9"/>
  <c r="BK966" i="1"/>
  <c r="V874" i="1"/>
  <c r="V935" i="1"/>
  <c r="C92" i="9"/>
  <c r="C953" i="1"/>
  <c r="C955" i="1" s="1"/>
  <c r="O92" i="9"/>
  <c r="AC961" i="1"/>
  <c r="N803" i="1"/>
  <c r="N746" i="1"/>
  <c r="N758" i="1" s="1"/>
  <c r="AH63" i="9"/>
  <c r="N830" i="1"/>
  <c r="N772" i="1"/>
  <c r="N791" i="1" s="1"/>
  <c r="AR791" i="1"/>
  <c r="AS791" i="1"/>
  <c r="BO791" i="1"/>
  <c r="R73" i="9"/>
  <c r="AD815" i="1"/>
  <c r="AR815" i="1"/>
  <c r="BY839" i="1"/>
  <c r="BY669" i="1" s="1"/>
  <c r="BY70" i="9" s="1"/>
  <c r="X97" i="9"/>
  <c r="AE97" i="9"/>
  <c r="AE955" i="1"/>
  <c r="BO106" i="9"/>
  <c r="BO944" i="1"/>
  <c r="AX968" i="1"/>
  <c r="J8" i="9"/>
  <c r="J961" i="1"/>
  <c r="V8" i="9"/>
  <c r="V961" i="1"/>
  <c r="AH8" i="9"/>
  <c r="AH961" i="1"/>
  <c r="AT8" i="9"/>
  <c r="AT961" i="1"/>
  <c r="BS8" i="9"/>
  <c r="BS961" i="1"/>
  <c r="AO695" i="1"/>
  <c r="C791" i="1"/>
  <c r="AE791" i="1"/>
  <c r="AU791" i="1"/>
  <c r="BP791" i="1"/>
  <c r="R815" i="1"/>
  <c r="BL827" i="1"/>
  <c r="BL661" i="1" s="1"/>
  <c r="BR974" i="1"/>
  <c r="M63" i="9"/>
  <c r="Y857" i="1"/>
  <c r="U889" i="1"/>
  <c r="S97" i="9"/>
  <c r="AQ97" i="9"/>
  <c r="BP106" i="9"/>
  <c r="BP944" i="1"/>
  <c r="BP953" i="1" s="1"/>
  <c r="BP955" i="1" s="1"/>
  <c r="AP943" i="1"/>
  <c r="AP944" i="1" s="1"/>
  <c r="AP953" i="1" s="1"/>
  <c r="AP63" i="9"/>
  <c r="AF791" i="1"/>
  <c r="D791" i="1"/>
  <c r="AV791" i="1"/>
  <c r="BQ791" i="1"/>
  <c r="BQ794" i="1" s="1"/>
  <c r="AA793" i="1" s="1"/>
  <c r="Z73" i="9"/>
  <c r="AF815" i="1"/>
  <c r="BS974" i="1" s="1"/>
  <c r="AA827" i="1"/>
  <c r="AO674" i="1"/>
  <c r="AO71" i="9" s="1"/>
  <c r="AO857" i="1"/>
  <c r="AQ106" i="9"/>
  <c r="AQ944" i="1"/>
  <c r="AQ953" i="1" s="1"/>
  <c r="AQ955" i="1" s="1"/>
  <c r="N931" i="1"/>
  <c r="BN935" i="1"/>
  <c r="BN874" i="1"/>
  <c r="BN877" i="1" s="1"/>
  <c r="T92" i="9"/>
  <c r="T953" i="1"/>
  <c r="L8" i="9"/>
  <c r="L961" i="1"/>
  <c r="X8" i="9"/>
  <c r="X961" i="1"/>
  <c r="AV8" i="9"/>
  <c r="AV961" i="1"/>
  <c r="BU8" i="9"/>
  <c r="BU961" i="1"/>
  <c r="Q695" i="1"/>
  <c r="Z815" i="1"/>
  <c r="AT63" i="9"/>
  <c r="S791" i="1"/>
  <c r="F815" i="1"/>
  <c r="T815" i="1"/>
  <c r="BN815" i="1"/>
  <c r="AV968" i="1"/>
  <c r="AP857" i="1"/>
  <c r="AJ73" i="9"/>
  <c r="AP873" i="1"/>
  <c r="N97" i="9"/>
  <c r="N966" i="1"/>
  <c r="BN97" i="9"/>
  <c r="BN966" i="1"/>
  <c r="BV106" i="9"/>
  <c r="BV944" i="1"/>
  <c r="BV953" i="1" s="1"/>
  <c r="AD772" i="1"/>
  <c r="AD830" i="1"/>
  <c r="T791" i="1"/>
  <c r="AI791" i="1"/>
  <c r="BS791" i="1"/>
  <c r="AH73" i="9"/>
  <c r="AI827" i="1"/>
  <c r="C827" i="1"/>
  <c r="W841" i="1"/>
  <c r="AC857" i="1"/>
  <c r="AC860" i="1" s="1"/>
  <c r="AC674" i="1"/>
  <c r="AC71" i="9" s="1"/>
  <c r="AA860" i="1"/>
  <c r="W73" i="9"/>
  <c r="BN892" i="1"/>
  <c r="BN897" i="1"/>
  <c r="BN883" i="1"/>
  <c r="BO97" i="9"/>
  <c r="BO966" i="1"/>
  <c r="AB106" i="9"/>
  <c r="AB944" i="1"/>
  <c r="AB953" i="1" s="1"/>
  <c r="AB955" i="1" s="1"/>
  <c r="AS106" i="9"/>
  <c r="AS944" i="1"/>
  <c r="AS953" i="1" s="1"/>
  <c r="AD746" i="1"/>
  <c r="AD758" i="1" s="1"/>
  <c r="AH830" i="1"/>
  <c r="AH772" i="1"/>
  <c r="V833" i="1"/>
  <c r="V841" i="1" s="1"/>
  <c r="V772" i="1"/>
  <c r="AH844" i="1"/>
  <c r="AH788" i="1"/>
  <c r="U791" i="1"/>
  <c r="BT791" i="1"/>
  <c r="H815" i="1"/>
  <c r="AY968" i="1"/>
  <c r="BL968" i="1"/>
  <c r="BL841" i="1"/>
  <c r="BX830" i="1"/>
  <c r="I69" i="9"/>
  <c r="I971" i="1"/>
  <c r="O860" i="1"/>
  <c r="BX853" i="1"/>
  <c r="BX674" i="1" s="1"/>
  <c r="I73" i="9"/>
  <c r="AC897" i="1"/>
  <c r="AC883" i="1"/>
  <c r="BT880" i="1"/>
  <c r="AI880" i="1"/>
  <c r="BO889" i="1"/>
  <c r="BO895" i="1"/>
  <c r="AY97" i="9"/>
  <c r="I10" i="9"/>
  <c r="U10" i="9"/>
  <c r="AG10" i="9"/>
  <c r="AS10" i="9"/>
  <c r="BS10" i="9"/>
  <c r="R772" i="1"/>
  <c r="R791" i="1" s="1"/>
  <c r="R830" i="1"/>
  <c r="W791" i="1"/>
  <c r="W794" i="1" s="1"/>
  <c r="AJ791" i="1"/>
  <c r="AW791" i="1"/>
  <c r="BR791" i="1"/>
  <c r="E815" i="1"/>
  <c r="BO815" i="1"/>
  <c r="BQ63" i="9"/>
  <c r="L968" i="1"/>
  <c r="M857" i="1"/>
  <c r="AB857" i="1"/>
  <c r="BK857" i="1"/>
  <c r="AL846" i="1"/>
  <c r="AL857" i="1" s="1"/>
  <c r="BI73" i="9"/>
  <c r="BU73" i="9"/>
  <c r="AT883" i="1"/>
  <c r="AA883" i="1"/>
  <c r="AB880" i="1"/>
  <c r="AN880" i="1"/>
  <c r="AM883" i="1"/>
  <c r="AV97" i="9"/>
  <c r="Z919" i="1"/>
  <c r="Z884" i="1"/>
  <c r="BV919" i="1"/>
  <c r="BV920" i="1" s="1"/>
  <c r="AT918" i="1"/>
  <c r="AD919" i="1"/>
  <c r="AD920" i="1" s="1"/>
  <c r="BW97" i="9"/>
  <c r="AL874" i="1"/>
  <c r="AL877" i="1" s="1"/>
  <c r="D106" i="9"/>
  <c r="D944" i="1"/>
  <c r="D953" i="1" s="1"/>
  <c r="D955" i="1" s="1"/>
  <c r="V951" i="1"/>
  <c r="AS968" i="1"/>
  <c r="AL1037" i="1"/>
  <c r="AL1035" i="1"/>
  <c r="AL1033" i="1"/>
  <c r="AL1031" i="1"/>
  <c r="AL1029" i="1"/>
  <c r="AL1027" i="1"/>
  <c r="AL545" i="1" s="1"/>
  <c r="AL1038" i="1"/>
  <c r="AL1036" i="1"/>
  <c r="AL1034" i="1"/>
  <c r="AL1032" i="1"/>
  <c r="AL1030" i="1"/>
  <c r="AL1028" i="1"/>
  <c r="AL546" i="1" s="1"/>
  <c r="AX1037" i="1"/>
  <c r="AX1035" i="1"/>
  <c r="AX1033" i="1"/>
  <c r="AX1031" i="1"/>
  <c r="AX1029" i="1"/>
  <c r="AX1027" i="1"/>
  <c r="AX545" i="1" s="1"/>
  <c r="AX1038" i="1"/>
  <c r="AX1036" i="1"/>
  <c r="AX1034" i="1"/>
  <c r="AX1032" i="1"/>
  <c r="AX1030" i="1"/>
  <c r="AX1028" i="1"/>
  <c r="AX546" i="1" s="1"/>
  <c r="AL73" i="9"/>
  <c r="C63" i="9"/>
  <c r="P63" i="9"/>
  <c r="AC63" i="9"/>
  <c r="AQ63" i="9"/>
  <c r="BS63" i="9"/>
  <c r="AA968" i="1"/>
  <c r="P841" i="1"/>
  <c r="AX669" i="1"/>
  <c r="AX70" i="9" s="1"/>
  <c r="BE841" i="1"/>
  <c r="P857" i="1"/>
  <c r="AE857" i="1"/>
  <c r="AR857" i="1"/>
  <c r="AY857" i="1"/>
  <c r="AA73" i="9"/>
  <c r="BK73" i="9"/>
  <c r="BW73" i="9"/>
  <c r="BW880" i="1"/>
  <c r="BW894" i="1" s="1"/>
  <c r="BV883" i="1"/>
  <c r="AU880" i="1"/>
  <c r="AO889" i="1"/>
  <c r="AL873" i="1"/>
  <c r="AJ920" i="1"/>
  <c r="AN966" i="1" s="1"/>
  <c r="AW97" i="9"/>
  <c r="AW955" i="1"/>
  <c r="AM97" i="9"/>
  <c r="S106" i="9"/>
  <c r="S944" i="1"/>
  <c r="S953" i="1" s="1"/>
  <c r="S955" i="1" s="1"/>
  <c r="AD951" i="1"/>
  <c r="BW958" i="1"/>
  <c r="J844" i="1"/>
  <c r="J788" i="1"/>
  <c r="J791" i="1" s="1"/>
  <c r="AT788" i="1"/>
  <c r="AT846" i="1"/>
  <c r="AT73" i="9"/>
  <c r="I815" i="1"/>
  <c r="I958" i="1"/>
  <c r="AG958" i="1"/>
  <c r="AS815" i="1"/>
  <c r="AS958" i="1"/>
  <c r="BS958" i="1"/>
  <c r="E63" i="9"/>
  <c r="S63" i="9"/>
  <c r="AF63" i="9"/>
  <c r="AS63" i="9"/>
  <c r="AF841" i="1"/>
  <c r="N669" i="1"/>
  <c r="N70" i="9" s="1"/>
  <c r="AC73" i="9"/>
  <c r="AQ73" i="9"/>
  <c r="BM73" i="9"/>
  <c r="BY73" i="9"/>
  <c r="BL868" i="1"/>
  <c r="F880" i="1"/>
  <c r="AA886" i="1"/>
  <c r="BQ889" i="1"/>
  <c r="BM893" i="1"/>
  <c r="AT919" i="1"/>
  <c r="AT920" i="1" s="1"/>
  <c r="AS874" i="1"/>
  <c r="AS877" i="1" s="1"/>
  <c r="AJ92" i="9"/>
  <c r="AJ953" i="1"/>
  <c r="AX10" i="9"/>
  <c r="AT772" i="1"/>
  <c r="N857" i="1"/>
  <c r="AO791" i="1"/>
  <c r="AX73" i="9"/>
  <c r="BT815" i="1"/>
  <c r="BS815" i="1"/>
  <c r="G63" i="9"/>
  <c r="T63" i="9"/>
  <c r="AG63" i="9"/>
  <c r="E841" i="1"/>
  <c r="T841" i="1"/>
  <c r="AU857" i="1"/>
  <c r="C73" i="9"/>
  <c r="AD73" i="9"/>
  <c r="AR73" i="9"/>
  <c r="O883" i="1"/>
  <c r="BT892" i="1"/>
  <c r="BT897" i="1"/>
  <c r="AG880" i="1"/>
  <c r="AF883" i="1"/>
  <c r="AS880" i="1"/>
  <c r="AR883" i="1"/>
  <c r="D889" i="1"/>
  <c r="BO893" i="1"/>
  <c r="Y889" i="1"/>
  <c r="Z886" i="1"/>
  <c r="AL889" i="1"/>
  <c r="AX873" i="1"/>
  <c r="BM97" i="9"/>
  <c r="BR968" i="1"/>
  <c r="BM10" i="9"/>
  <c r="AP772" i="1"/>
  <c r="AP830" i="1"/>
  <c r="AC791" i="1"/>
  <c r="K958" i="1"/>
  <c r="W815" i="1"/>
  <c r="AI958" i="1"/>
  <c r="BI958" i="1"/>
  <c r="H63" i="9"/>
  <c r="U63" i="9"/>
  <c r="AU63" i="9"/>
  <c r="BK63" i="9"/>
  <c r="BW63" i="9"/>
  <c r="D968" i="1"/>
  <c r="BN857" i="1"/>
  <c r="E857" i="1"/>
  <c r="Q73" i="9"/>
  <c r="AE73" i="9"/>
  <c r="AS73" i="9"/>
  <c r="BM894" i="1"/>
  <c r="BM883" i="1"/>
  <c r="BM892" i="1"/>
  <c r="AH880" i="1"/>
  <c r="AG883" i="1"/>
  <c r="AS883" i="1"/>
  <c r="AE897" i="1"/>
  <c r="AS897" i="1"/>
  <c r="M889" i="1"/>
  <c r="N886" i="1"/>
  <c r="AN886" i="1"/>
  <c r="BS889" i="1"/>
  <c r="BT886" i="1"/>
  <c r="BM895" i="1"/>
  <c r="AX883" i="1"/>
  <c r="L97" i="9"/>
  <c r="AL935" i="1"/>
  <c r="BR935" i="1"/>
  <c r="BR874" i="1"/>
  <c r="BR877" i="1" s="1"/>
  <c r="AD931" i="1"/>
  <c r="AD874" i="1" s="1"/>
  <c r="AT92" i="9"/>
  <c r="X92" i="9"/>
  <c r="X953" i="1"/>
  <c r="X955" i="1" s="1"/>
  <c r="BV968" i="1"/>
  <c r="AS971" i="1"/>
  <c r="D10" i="9"/>
  <c r="P10" i="9"/>
  <c r="AB10" i="9"/>
  <c r="AN10" i="9"/>
  <c r="AZ10" i="9"/>
  <c r="Z746" i="1"/>
  <c r="Z758" i="1" s="1"/>
  <c r="AD63" i="9"/>
  <c r="AT968" i="1"/>
  <c r="AT841" i="1"/>
  <c r="V844" i="1"/>
  <c r="V788" i="1"/>
  <c r="V791" i="1" s="1"/>
  <c r="Q791" i="1"/>
  <c r="AD788" i="1"/>
  <c r="AD791" i="1" s="1"/>
  <c r="J73" i="9"/>
  <c r="AJ958" i="1"/>
  <c r="AV958" i="1"/>
  <c r="K815" i="1"/>
  <c r="AO815" i="1"/>
  <c r="BV815" i="1"/>
  <c r="I63" i="9"/>
  <c r="AI63" i="9"/>
  <c r="AI64" i="9" s="1"/>
  <c r="BL63" i="9"/>
  <c r="AG968" i="1"/>
  <c r="AV841" i="1"/>
  <c r="BW976" i="1" s="1"/>
  <c r="BI968" i="1"/>
  <c r="BU968" i="1"/>
  <c r="BQ841" i="1"/>
  <c r="AG69" i="9"/>
  <c r="AG971" i="1"/>
  <c r="AW857" i="1"/>
  <c r="E73" i="9"/>
  <c r="AF73" i="9"/>
  <c r="AN897" i="1"/>
  <c r="N889" i="1"/>
  <c r="AB886" i="1"/>
  <c r="AA889" i="1"/>
  <c r="W920" i="1"/>
  <c r="AS97" i="9"/>
  <c r="AS955" i="1"/>
  <c r="M97" i="9"/>
  <c r="M955" i="1"/>
  <c r="BI106" i="9"/>
  <c r="BI107" i="9" s="1"/>
  <c r="BI944" i="1"/>
  <c r="K92" i="9"/>
  <c r="K953" i="1"/>
  <c r="K955" i="1" s="1"/>
  <c r="BR92" i="9"/>
  <c r="BR93" i="9" s="1"/>
  <c r="Z857" i="1"/>
  <c r="E791" i="1"/>
  <c r="F868" i="1"/>
  <c r="M958" i="1"/>
  <c r="Y958" i="1"/>
  <c r="AK958" i="1"/>
  <c r="AK815" i="1"/>
  <c r="AW958" i="1"/>
  <c r="BK958" i="1"/>
  <c r="L815" i="1"/>
  <c r="BH815" i="1"/>
  <c r="W63" i="9"/>
  <c r="AW63" i="9"/>
  <c r="BM63" i="9"/>
  <c r="U968" i="1"/>
  <c r="U841" i="1"/>
  <c r="AW968" i="1"/>
  <c r="BJ968" i="1"/>
  <c r="BJ665" i="1"/>
  <c r="BJ841" i="1"/>
  <c r="BV65" i="9"/>
  <c r="BV882" i="1"/>
  <c r="BV898" i="1"/>
  <c r="BS857" i="1"/>
  <c r="AV673" i="1"/>
  <c r="AV72" i="9" s="1"/>
  <c r="S73" i="9"/>
  <c r="BQ73" i="9"/>
  <c r="BO892" i="1"/>
  <c r="BO894" i="1"/>
  <c r="BK892" i="1"/>
  <c r="V880" i="1"/>
  <c r="BR893" i="1"/>
  <c r="BJ895" i="1"/>
  <c r="BJ893" i="1"/>
  <c r="BV886" i="1"/>
  <c r="AQ886" i="1"/>
  <c r="AQ889" i="1" s="1"/>
  <c r="AU897" i="1"/>
  <c r="BT909" i="1"/>
  <c r="BT920" i="1" s="1"/>
  <c r="AL908" i="1"/>
  <c r="AU920" i="1"/>
  <c r="BP97" i="9"/>
  <c r="BP966" i="1"/>
  <c r="R931" i="1"/>
  <c r="BO874" i="1"/>
  <c r="BO877" i="1" s="1"/>
  <c r="AX874" i="1"/>
  <c r="BT106" i="9"/>
  <c r="BT107" i="9" s="1"/>
  <c r="BT944" i="1"/>
  <c r="BT953" i="1" s="1"/>
  <c r="Z92" i="9"/>
  <c r="BP10" i="9"/>
  <c r="F772" i="1"/>
  <c r="F830" i="1"/>
  <c r="AX772" i="1"/>
  <c r="AD857" i="1"/>
  <c r="BL958" i="1"/>
  <c r="M815" i="1"/>
  <c r="BI815" i="1"/>
  <c r="K63" i="9"/>
  <c r="AK63" i="9"/>
  <c r="BN63" i="9"/>
  <c r="AJ968" i="1"/>
  <c r="AJ841" i="1"/>
  <c r="BK841" i="1"/>
  <c r="BK968" i="1"/>
  <c r="BW968" i="1"/>
  <c r="BW841" i="1"/>
  <c r="AR841" i="1"/>
  <c r="BM841" i="1"/>
  <c r="U69" i="9"/>
  <c r="U971" i="1"/>
  <c r="Y841" i="1"/>
  <c r="AW841" i="1"/>
  <c r="I857" i="1"/>
  <c r="AW73" i="9"/>
  <c r="AO883" i="1"/>
  <c r="BL897" i="1"/>
  <c r="BL892" i="1"/>
  <c r="AS889" i="1"/>
  <c r="BD888" i="1"/>
  <c r="BD882" i="1"/>
  <c r="BY882" i="1" s="1"/>
  <c r="BU909" i="1"/>
  <c r="BU920" i="1" s="1"/>
  <c r="AP908" i="1"/>
  <c r="AP909" i="1" s="1"/>
  <c r="AP920" i="1" s="1"/>
  <c r="K97" i="9"/>
  <c r="K966" i="1"/>
  <c r="AN106" i="9"/>
  <c r="AN944" i="1"/>
  <c r="AN953" i="1" s="1"/>
  <c r="AN955" i="1" s="1"/>
  <c r="BL106" i="9"/>
  <c r="BL944" i="1"/>
  <c r="BL953" i="1" s="1"/>
  <c r="BL955" i="1" s="1"/>
  <c r="M92" i="9"/>
  <c r="M953" i="1"/>
  <c r="BH953" i="1"/>
  <c r="BT92" i="9"/>
  <c r="BT93" i="9" s="1"/>
  <c r="BM966" i="1"/>
  <c r="AI1037" i="1"/>
  <c r="AI1035" i="1"/>
  <c r="AI1033" i="1"/>
  <c r="AI1031" i="1"/>
  <c r="AI1029" i="1"/>
  <c r="AI1027" i="1"/>
  <c r="AI1038" i="1"/>
  <c r="AI1036" i="1"/>
  <c r="AI1032" i="1"/>
  <c r="AI1034" i="1"/>
  <c r="AI1030" i="1"/>
  <c r="AI1028" i="1"/>
  <c r="AU1037" i="1"/>
  <c r="AU1035" i="1"/>
  <c r="AU1033" i="1"/>
  <c r="AU1031" i="1"/>
  <c r="AU1029" i="1"/>
  <c r="AU1027" i="1"/>
  <c r="AU545" i="1" s="1"/>
  <c r="AU1036" i="1"/>
  <c r="AU1034" i="1"/>
  <c r="AU1032" i="1"/>
  <c r="AU1038" i="1"/>
  <c r="AU1030" i="1"/>
  <c r="AU1028" i="1"/>
  <c r="AU546" i="1" s="1"/>
  <c r="BJ63" i="9"/>
  <c r="BV63" i="9"/>
  <c r="AN968" i="1"/>
  <c r="BM968" i="1"/>
  <c r="BY830" i="1"/>
  <c r="AB841" i="1"/>
  <c r="K857" i="1"/>
  <c r="AK857" i="1"/>
  <c r="H73" i="9"/>
  <c r="U73" i="9"/>
  <c r="AI73" i="9"/>
  <c r="AV73" i="9"/>
  <c r="BP73" i="9"/>
  <c r="BN868" i="1"/>
  <c r="BQ894" i="1"/>
  <c r="AW897" i="1"/>
  <c r="BO897" i="1"/>
  <c r="I880" i="1"/>
  <c r="H883" i="1"/>
  <c r="U880" i="1"/>
  <c r="U883" i="1" s="1"/>
  <c r="T883" i="1"/>
  <c r="E889" i="1"/>
  <c r="BJ889" i="1"/>
  <c r="BK886" i="1"/>
  <c r="BV889" i="1"/>
  <c r="BW886" i="1"/>
  <c r="AU886" i="1"/>
  <c r="AH909" i="1"/>
  <c r="AH920" i="1" s="1"/>
  <c r="BD912" i="1"/>
  <c r="BS97" i="9"/>
  <c r="BS98" i="9" s="1"/>
  <c r="BS966" i="1"/>
  <c r="BS955" i="1"/>
  <c r="BM935" i="1"/>
  <c r="J931" i="1"/>
  <c r="BW107" i="9"/>
  <c r="BZ841" i="1"/>
  <c r="CA841" i="1"/>
  <c r="K73" i="9"/>
  <c r="X73" i="9"/>
  <c r="AK73" i="9"/>
  <c r="BR73" i="9"/>
  <c r="BQ897" i="1"/>
  <c r="BQ892" i="1"/>
  <c r="L883" i="1"/>
  <c r="BL889" i="1"/>
  <c r="O97" i="9"/>
  <c r="O98" i="9" s="1"/>
  <c r="O966" i="1"/>
  <c r="AG97" i="9"/>
  <c r="BH920" i="1"/>
  <c r="Q97" i="9"/>
  <c r="Q955" i="1"/>
  <c r="U97" i="9"/>
  <c r="AH951" i="1"/>
  <c r="AH85" i="9" s="1"/>
  <c r="AD1038" i="1"/>
  <c r="AD1035" i="1"/>
  <c r="AD1036" i="1"/>
  <c r="AD1033" i="1"/>
  <c r="AD1034" i="1"/>
  <c r="AD1031" i="1"/>
  <c r="AD1029" i="1"/>
  <c r="AD1027" i="1"/>
  <c r="AD1037" i="1"/>
  <c r="AD1032" i="1"/>
  <c r="AD1030" i="1"/>
  <c r="AZ667" i="1"/>
  <c r="AZ618" i="1" s="1"/>
  <c r="AZ620" i="1" s="1"/>
  <c r="AZ621" i="1" s="1"/>
  <c r="AD1028" i="1"/>
  <c r="AP1037" i="1"/>
  <c r="AP1038" i="1"/>
  <c r="AP1035" i="1"/>
  <c r="AP1036" i="1"/>
  <c r="AP1033" i="1"/>
  <c r="AP1031" i="1"/>
  <c r="AP1029" i="1"/>
  <c r="AP1030" i="1"/>
  <c r="AP1034" i="1"/>
  <c r="AP1032" i="1"/>
  <c r="AP1027" i="1"/>
  <c r="AP545" i="1" s="1"/>
  <c r="AP1028" i="1"/>
  <c r="AP546" i="1" s="1"/>
  <c r="BT1033" i="1"/>
  <c r="BT1037" i="1"/>
  <c r="BT1038" i="1"/>
  <c r="BT1036" i="1"/>
  <c r="BT1034" i="1"/>
  <c r="BT1032" i="1"/>
  <c r="BT1030" i="1"/>
  <c r="BT1035" i="1"/>
  <c r="BT1031" i="1"/>
  <c r="BT1029" i="1"/>
  <c r="BT1027" i="1"/>
  <c r="BT545" i="1" s="1"/>
  <c r="BT1028" i="1"/>
  <c r="BT546" i="1" s="1"/>
  <c r="G841" i="1"/>
  <c r="S841" i="1"/>
  <c r="S968" i="1"/>
  <c r="AE841" i="1"/>
  <c r="AQ968" i="1"/>
  <c r="AQ841" i="1"/>
  <c r="BV976" i="1" s="1"/>
  <c r="BC841" i="1"/>
  <c r="BY976" i="1" s="1"/>
  <c r="BP841" i="1"/>
  <c r="BP860" i="1" s="1"/>
  <c r="BP968" i="1"/>
  <c r="CB841" i="1"/>
  <c r="BI674" i="1"/>
  <c r="BI71" i="9" s="1"/>
  <c r="BU857" i="1"/>
  <c r="BU674" i="1"/>
  <c r="BU71" i="9" s="1"/>
  <c r="BY848" i="1"/>
  <c r="BY673" i="1" s="1"/>
  <c r="BY72" i="9" s="1"/>
  <c r="BP673" i="1"/>
  <c r="BP72" i="9" s="1"/>
  <c r="L73" i="9"/>
  <c r="Y73" i="9"/>
  <c r="AY73" i="9"/>
  <c r="BS73" i="9"/>
  <c r="K883" i="1"/>
  <c r="AK897" i="1"/>
  <c r="BR892" i="1"/>
  <c r="BR897" i="1"/>
  <c r="AK883" i="1"/>
  <c r="AW883" i="1"/>
  <c r="BR894" i="1"/>
  <c r="AO920" i="1"/>
  <c r="P97" i="9"/>
  <c r="P98" i="9" s="1"/>
  <c r="P955" i="1"/>
  <c r="AI920" i="1"/>
  <c r="AM966" i="1" s="1"/>
  <c r="BI920" i="1"/>
  <c r="E966" i="1" s="1"/>
  <c r="AV106" i="9"/>
  <c r="AV944" i="1"/>
  <c r="E92" i="9"/>
  <c r="F93" i="9" s="1"/>
  <c r="E953" i="1"/>
  <c r="E955" i="1" s="1"/>
  <c r="R92" i="9"/>
  <c r="R93" i="9" s="1"/>
  <c r="AR92" i="9"/>
  <c r="AR93" i="9" s="1"/>
  <c r="AR953" i="1"/>
  <c r="M73" i="9"/>
  <c r="AM73" i="9"/>
  <c r="AM897" i="1"/>
  <c r="Y883" i="1"/>
  <c r="Z880" i="1"/>
  <c r="AW889" i="1"/>
  <c r="BL893" i="1"/>
  <c r="AH889" i="1"/>
  <c r="AT889" i="1"/>
  <c r="AX909" i="1"/>
  <c r="AX920" i="1" s="1"/>
  <c r="R889" i="1"/>
  <c r="Y97" i="9"/>
  <c r="BQ935" i="1"/>
  <c r="Z931" i="1"/>
  <c r="BX947" i="1"/>
  <c r="AF92" i="9"/>
  <c r="AF953" i="1"/>
  <c r="AF955" i="1" s="1"/>
  <c r="BK92" i="9"/>
  <c r="BK953" i="1"/>
  <c r="BK955" i="1" s="1"/>
  <c r="BW92" i="9"/>
  <c r="BW93" i="9" s="1"/>
  <c r="BW953" i="1"/>
  <c r="BW955" i="1" s="1"/>
  <c r="AC955" i="1"/>
  <c r="AG966" i="1"/>
  <c r="AE968" i="1"/>
  <c r="AA63" i="9"/>
  <c r="AN63" i="9"/>
  <c r="V968" i="1"/>
  <c r="BS968" i="1"/>
  <c r="D841" i="1"/>
  <c r="AZ841" i="1"/>
  <c r="BX976" i="1" s="1"/>
  <c r="Q674" i="1"/>
  <c r="Q71" i="9" s="1"/>
  <c r="AQ857" i="1"/>
  <c r="BL857" i="1"/>
  <c r="BL860" i="1" s="1"/>
  <c r="O73" i="9"/>
  <c r="AO73" i="9"/>
  <c r="BJ73" i="9"/>
  <c r="BV73" i="9"/>
  <c r="AA897" i="1"/>
  <c r="BN893" i="1"/>
  <c r="W889" i="1"/>
  <c r="X886" i="1"/>
  <c r="AV889" i="1"/>
  <c r="BQ895" i="1"/>
  <c r="CA882" i="1"/>
  <c r="CA888" i="1"/>
  <c r="AR920" i="1"/>
  <c r="AV966" i="1" s="1"/>
  <c r="BL97" i="9"/>
  <c r="BL98" i="9" s="1"/>
  <c r="BL966" i="1"/>
  <c r="AL919" i="1"/>
  <c r="V883" i="1"/>
  <c r="V919" i="1"/>
  <c r="BJ97" i="9"/>
  <c r="BJ966" i="1"/>
  <c r="BK106" i="9"/>
  <c r="BK944" i="1"/>
  <c r="AV92" i="9"/>
  <c r="AV953" i="1"/>
  <c r="AV955" i="1" s="1"/>
  <c r="BB952" i="1"/>
  <c r="BA728" i="1"/>
  <c r="BA10" i="9" s="1"/>
  <c r="AH1034" i="1"/>
  <c r="AH1037" i="1"/>
  <c r="AH1038" i="1"/>
  <c r="AH1035" i="1"/>
  <c r="AH1027" i="1"/>
  <c r="AH1033" i="1"/>
  <c r="AH1031" i="1"/>
  <c r="AH1032" i="1"/>
  <c r="AH1036" i="1"/>
  <c r="AH1030" i="1"/>
  <c r="AH1028" i="1"/>
  <c r="AH1029" i="1"/>
  <c r="AT1036" i="1"/>
  <c r="AT1033" i="1"/>
  <c r="AT1034" i="1"/>
  <c r="AT1032" i="1"/>
  <c r="AT1030" i="1"/>
  <c r="AT1037" i="1"/>
  <c r="AT1028" i="1"/>
  <c r="AT546" i="1" s="1"/>
  <c r="AT1038" i="1"/>
  <c r="AT1035" i="1"/>
  <c r="AT1031" i="1"/>
  <c r="AT1029" i="1"/>
  <c r="AT1027" i="1"/>
  <c r="AT545" i="1" s="1"/>
  <c r="AB897" i="1"/>
  <c r="AI889" i="1"/>
  <c r="AU889" i="1"/>
  <c r="O886" i="1"/>
  <c r="BN889" i="1"/>
  <c r="AL909" i="1"/>
  <c r="AL920" i="1" s="1"/>
  <c r="AK966" i="1" s="1"/>
  <c r="V909" i="1"/>
  <c r="V920" i="1" s="1"/>
  <c r="F97" i="9"/>
  <c r="F98" i="9" s="1"/>
  <c r="F966" i="1"/>
  <c r="AT943" i="1"/>
  <c r="J886" i="1"/>
  <c r="J889" i="1" s="1"/>
  <c r="AC889" i="1"/>
  <c r="K889" i="1"/>
  <c r="BY888" i="1"/>
  <c r="AR107" i="9"/>
  <c r="F931" i="1"/>
  <c r="F935" i="1" s="1"/>
  <c r="BL874" i="1"/>
  <c r="BL877" i="1" s="1"/>
  <c r="AM944" i="1"/>
  <c r="AM953" i="1" s="1"/>
  <c r="AM955" i="1" s="1"/>
  <c r="AG1036" i="1"/>
  <c r="AG1034" i="1"/>
  <c r="AG1032" i="1"/>
  <c r="AG1037" i="1"/>
  <c r="AG1033" i="1"/>
  <c r="AG1031" i="1"/>
  <c r="AG1038" i="1"/>
  <c r="AG1035" i="1"/>
  <c r="AG1030" i="1"/>
  <c r="AG1028" i="1"/>
  <c r="AS1038" i="1"/>
  <c r="AS1036" i="1"/>
  <c r="AS1034" i="1"/>
  <c r="AS1037" i="1"/>
  <c r="AS1033" i="1"/>
  <c r="AS1031" i="1"/>
  <c r="AS1035" i="1"/>
  <c r="AS1032" i="1"/>
  <c r="AS1027" i="1"/>
  <c r="AS545" i="1" s="1"/>
  <c r="AS547" i="1" s="1"/>
  <c r="AS1030" i="1"/>
  <c r="AS1029" i="1"/>
  <c r="BW1038" i="1"/>
  <c r="BW1037" i="1"/>
  <c r="BW1036" i="1"/>
  <c r="BW1035" i="1"/>
  <c r="BW1034" i="1"/>
  <c r="BW1033" i="1"/>
  <c r="BW1028" i="1"/>
  <c r="BW546" i="1" s="1"/>
  <c r="BW1027" i="1"/>
  <c r="BW545" i="1" s="1"/>
  <c r="BW1032" i="1"/>
  <c r="BW1031" i="1"/>
  <c r="BW1029" i="1"/>
  <c r="BW1030" i="1"/>
  <c r="AW874" i="1"/>
  <c r="L944" i="1"/>
  <c r="L953" i="1" s="1"/>
  <c r="L955" i="1" s="1"/>
  <c r="BS93" i="9"/>
  <c r="AK1037" i="1"/>
  <c r="AK1035" i="1"/>
  <c r="AK1033" i="1"/>
  <c r="AK1038" i="1"/>
  <c r="AK1036" i="1"/>
  <c r="AK1029" i="1"/>
  <c r="AK1028" i="1"/>
  <c r="AK546" i="1" s="1"/>
  <c r="AK1030" i="1"/>
  <c r="AK1034" i="1"/>
  <c r="AK1027" i="1"/>
  <c r="AK545" i="1" s="1"/>
  <c r="AK1032" i="1"/>
  <c r="AK1031" i="1"/>
  <c r="AW1037" i="1"/>
  <c r="AW1035" i="1"/>
  <c r="AW1038" i="1"/>
  <c r="AW1034" i="1"/>
  <c r="AW1027" i="1"/>
  <c r="AW545" i="1" s="1"/>
  <c r="AW1032" i="1"/>
  <c r="AW1030" i="1"/>
  <c r="AW1031" i="1"/>
  <c r="AW1033" i="1"/>
  <c r="AW1029" i="1"/>
  <c r="AW1036" i="1"/>
  <c r="BN894" i="1"/>
  <c r="M883" i="1"/>
  <c r="AL883" i="1"/>
  <c r="BO883" i="1"/>
  <c r="BP880" i="1"/>
  <c r="AJ886" i="1"/>
  <c r="Z909" i="1"/>
  <c r="Z920" i="1" s="1"/>
  <c r="Y966" i="1" s="1"/>
  <c r="AH873" i="1"/>
  <c r="AH876" i="1" s="1"/>
  <c r="I920" i="1"/>
  <c r="BU106" i="9"/>
  <c r="BU107" i="9" s="1"/>
  <c r="BU944" i="1"/>
  <c r="BU953" i="1" s="1"/>
  <c r="AH943" i="1"/>
  <c r="O944" i="1"/>
  <c r="O953" i="1" s="1"/>
  <c r="O955" i="1" s="1"/>
  <c r="I92" i="9"/>
  <c r="I93" i="9" s="1"/>
  <c r="I953" i="1"/>
  <c r="BO953" i="1"/>
  <c r="BO955" i="1" s="1"/>
  <c r="BM69" i="9"/>
  <c r="BM971" i="1"/>
  <c r="P7" i="9"/>
  <c r="P960" i="1"/>
  <c r="M8" i="9"/>
  <c r="M961" i="1"/>
  <c r="Y8" i="9"/>
  <c r="Y961" i="1"/>
  <c r="AK8" i="9"/>
  <c r="AK961" i="1"/>
  <c r="AW8" i="9"/>
  <c r="AW961" i="1"/>
  <c r="BV8" i="9"/>
  <c r="BV961" i="1"/>
  <c r="E10" i="9"/>
  <c r="Q10" i="9"/>
  <c r="AC10" i="9"/>
  <c r="AO10" i="9"/>
  <c r="BN10" i="9"/>
  <c r="C958" i="1"/>
  <c r="AA958" i="1"/>
  <c r="AY815" i="1"/>
  <c r="O63" i="9"/>
  <c r="AB63" i="9"/>
  <c r="AO63" i="9"/>
  <c r="BP63" i="9"/>
  <c r="K841" i="1"/>
  <c r="AI968" i="1"/>
  <c r="BH968" i="1"/>
  <c r="BT968" i="1"/>
  <c r="G73" i="9"/>
  <c r="T73" i="9"/>
  <c r="AG73" i="9"/>
  <c r="AU73" i="9"/>
  <c r="BO73" i="9"/>
  <c r="AJ880" i="1"/>
  <c r="AI883" i="1"/>
  <c r="BL883" i="1"/>
  <c r="G880" i="1"/>
  <c r="P889" i="1"/>
  <c r="AM886" i="1"/>
  <c r="BU886" i="1"/>
  <c r="BQ920" i="1"/>
  <c r="AP919" i="1"/>
  <c r="R919" i="1"/>
  <c r="R920" i="1" s="1"/>
  <c r="AT935" i="1"/>
  <c r="BJ874" i="1"/>
  <c r="BJ877" i="1" s="1"/>
  <c r="BJ935" i="1"/>
  <c r="BV874" i="1"/>
  <c r="BV877" i="1" s="1"/>
  <c r="H93" i="9"/>
  <c r="AS93" i="9"/>
  <c r="BI92" i="9"/>
  <c r="BI93" i="9" s="1"/>
  <c r="BI953" i="1"/>
  <c r="BU93" i="9"/>
  <c r="S815" i="1"/>
  <c r="BO63" i="9"/>
  <c r="H968" i="1"/>
  <c r="T968" i="1"/>
  <c r="AF968" i="1"/>
  <c r="AR968" i="1"/>
  <c r="BQ968" i="1"/>
  <c r="AT857" i="1"/>
  <c r="BN73" i="9"/>
  <c r="BU892" i="1"/>
  <c r="BK893" i="1"/>
  <c r="I106" i="9"/>
  <c r="I944" i="1"/>
  <c r="U106" i="9"/>
  <c r="U944" i="1"/>
  <c r="U953" i="1" s="1"/>
  <c r="U955" i="1" s="1"/>
  <c r="AG106" i="9"/>
  <c r="AG944" i="1"/>
  <c r="AG953" i="1" s="1"/>
  <c r="AG955" i="1" s="1"/>
  <c r="AX943" i="1"/>
  <c r="AX944" i="1" s="1"/>
  <c r="AX953" i="1" s="1"/>
  <c r="AC93" i="9"/>
  <c r="AO93" i="9"/>
  <c r="AE1036" i="1"/>
  <c r="AE1034" i="1"/>
  <c r="AE1032" i="1"/>
  <c r="AE1030" i="1"/>
  <c r="AE1028" i="1"/>
  <c r="AE1035" i="1"/>
  <c r="AE1037" i="1"/>
  <c r="AE1033" i="1"/>
  <c r="AE1029" i="1"/>
  <c r="AE1038" i="1"/>
  <c r="AQ1037" i="1"/>
  <c r="AQ1038" i="1"/>
  <c r="AQ1035" i="1"/>
  <c r="AQ1036" i="1"/>
  <c r="AQ1033" i="1"/>
  <c r="AQ1034" i="1"/>
  <c r="AQ1032" i="1"/>
  <c r="AQ1030" i="1"/>
  <c r="AQ1028" i="1"/>
  <c r="AQ546" i="1" s="1"/>
  <c r="AQ548" i="1" s="1"/>
  <c r="AQ1031" i="1"/>
  <c r="BU1037" i="1"/>
  <c r="BU1035" i="1"/>
  <c r="BU1033" i="1"/>
  <c r="BU1031" i="1"/>
  <c r="BU1029" i="1"/>
  <c r="BU1027" i="1"/>
  <c r="BU545" i="1" s="1"/>
  <c r="BU1038" i="1"/>
  <c r="BU1036" i="1"/>
  <c r="BU1034" i="1"/>
  <c r="AQ1029" i="1"/>
  <c r="AE1031" i="1"/>
  <c r="BU1032" i="1"/>
  <c r="BU1030" i="1"/>
  <c r="L63" i="9"/>
  <c r="X63" i="9"/>
  <c r="AJ63" i="9"/>
  <c r="AV63" i="9"/>
  <c r="BI63" i="9"/>
  <c r="BU63" i="9"/>
  <c r="E968" i="1"/>
  <c r="Q968" i="1"/>
  <c r="AC968" i="1"/>
  <c r="AO968" i="1"/>
  <c r="BN968" i="1"/>
  <c r="D73" i="9"/>
  <c r="P73" i="9"/>
  <c r="AB73" i="9"/>
  <c r="AN73" i="9"/>
  <c r="BH73" i="9"/>
  <c r="BT73" i="9"/>
  <c r="AK106" i="9"/>
  <c r="AK944" i="1"/>
  <c r="AK953" i="1" s="1"/>
  <c r="AK955" i="1" s="1"/>
  <c r="AY106" i="9"/>
  <c r="AY107" i="9" s="1"/>
  <c r="AY944" i="1"/>
  <c r="AY953" i="1" s="1"/>
  <c r="AY955" i="1" s="1"/>
  <c r="Y944" i="1"/>
  <c r="Y953" i="1" s="1"/>
  <c r="Y955" i="1" s="1"/>
  <c r="J93" i="9"/>
  <c r="W92" i="9"/>
  <c r="W953" i="1"/>
  <c r="AI92" i="9"/>
  <c r="AI953" i="1"/>
  <c r="AU92" i="9"/>
  <c r="AU93" i="9" s="1"/>
  <c r="AU953" i="1"/>
  <c r="BJ92" i="9"/>
  <c r="BJ93" i="9" s="1"/>
  <c r="BV93" i="9"/>
  <c r="AB1038" i="1"/>
  <c r="AB1037" i="1"/>
  <c r="AB1036" i="1"/>
  <c r="AB1035" i="1"/>
  <c r="AB1034" i="1"/>
  <c r="AB1033" i="1"/>
  <c r="AB1032" i="1"/>
  <c r="AB1031" i="1"/>
  <c r="AB546" i="1" s="1"/>
  <c r="AB1030" i="1"/>
  <c r="AB545" i="1" s="1"/>
  <c r="AB1029" i="1"/>
  <c r="AN1038" i="1"/>
  <c r="AN1037" i="1"/>
  <c r="AN1036" i="1"/>
  <c r="AN1035" i="1"/>
  <c r="AN1034" i="1"/>
  <c r="AN1033" i="1"/>
  <c r="AN1032" i="1"/>
  <c r="AN1031" i="1"/>
  <c r="AN1030" i="1"/>
  <c r="BR1037" i="1"/>
  <c r="BR1035" i="1"/>
  <c r="BR1033" i="1"/>
  <c r="BR1031" i="1"/>
  <c r="BR1029" i="1"/>
  <c r="BR1027" i="1"/>
  <c r="BR1036" i="1"/>
  <c r="BR1034" i="1"/>
  <c r="BR1032" i="1"/>
  <c r="BR1038" i="1"/>
  <c r="AY1035" i="1"/>
  <c r="AY1037" i="1"/>
  <c r="AB1051" i="1"/>
  <c r="BD5" i="11"/>
  <c r="AH1055" i="1"/>
  <c r="AH644" i="1" s="1"/>
  <c r="AH1053" i="1"/>
  <c r="AH1051" i="1"/>
  <c r="AH599" i="1" s="1"/>
  <c r="AH1050" i="1"/>
  <c r="AH1048" i="1"/>
  <c r="AH1054" i="1"/>
  <c r="AH643" i="1" s="1"/>
  <c r="AH1052" i="1"/>
  <c r="AH600" i="1" s="1"/>
  <c r="AH1043" i="1"/>
  <c r="AH1047" i="1"/>
  <c r="AH1056" i="1"/>
  <c r="AH1049" i="1"/>
  <c r="AH1045" i="1"/>
  <c r="AT1055" i="1"/>
  <c r="AT644" i="1" s="1"/>
  <c r="AT1053" i="1"/>
  <c r="AT1051" i="1"/>
  <c r="AT599" i="1" s="1"/>
  <c r="AT1050" i="1"/>
  <c r="AT1049" i="1"/>
  <c r="AT1054" i="1"/>
  <c r="AT643" i="1" s="1"/>
  <c r="AT1046" i="1"/>
  <c r="AT1048" i="1"/>
  <c r="AT1043" i="1"/>
  <c r="AS1043" i="1"/>
  <c r="AT1056" i="1"/>
  <c r="AB1045" i="1"/>
  <c r="AE1046" i="1"/>
  <c r="AN1051" i="1"/>
  <c r="AN599" i="1" s="1"/>
  <c r="AY1028" i="1"/>
  <c r="AY546" i="1" s="1"/>
  <c r="AK1056" i="1"/>
  <c r="AK1054" i="1"/>
  <c r="AK643" i="1" s="1"/>
  <c r="AK1052" i="1"/>
  <c r="AK600" i="1" s="1"/>
  <c r="AK1055" i="1"/>
  <c r="AK644" i="1" s="1"/>
  <c r="AK1053" i="1"/>
  <c r="AK1051" i="1"/>
  <c r="AK599" i="1" s="1"/>
  <c r="AK1047" i="1"/>
  <c r="AK1045" i="1"/>
  <c r="AK1049" i="1"/>
  <c r="AK1050" i="1"/>
  <c r="AK1046" i="1"/>
  <c r="AW1056" i="1"/>
  <c r="AW1054" i="1"/>
  <c r="AW643" i="1" s="1"/>
  <c r="AW1052" i="1"/>
  <c r="AW600" i="1" s="1"/>
  <c r="AW1055" i="1"/>
  <c r="AW644" i="1" s="1"/>
  <c r="AW1053" i="1"/>
  <c r="AW1051" i="1"/>
  <c r="AW599" i="1" s="1"/>
  <c r="AW1047" i="1"/>
  <c r="AW1049" i="1"/>
  <c r="AW1043" i="1"/>
  <c r="AW1050" i="1"/>
  <c r="AV1043" i="1"/>
  <c r="AW1048" i="1"/>
  <c r="AK1048" i="1"/>
  <c r="H920" i="1"/>
  <c r="T920" i="1"/>
  <c r="Z943" i="1"/>
  <c r="N92" i="9"/>
  <c r="N93" i="9" s="1"/>
  <c r="AA93" i="9"/>
  <c r="AM93" i="9"/>
  <c r="AY93" i="9"/>
  <c r="AM1038" i="1"/>
  <c r="AM1037" i="1"/>
  <c r="AM1035" i="1"/>
  <c r="AQ1045" i="1"/>
  <c r="AQ1046" i="1"/>
  <c r="AQ1047" i="1"/>
  <c r="BU1046" i="1"/>
  <c r="BU1049" i="1"/>
  <c r="AW1046" i="1"/>
  <c r="AM1036" i="1"/>
  <c r="AM1056" i="1"/>
  <c r="AM1054" i="1"/>
  <c r="AM643" i="1" s="1"/>
  <c r="AM1052" i="1"/>
  <c r="AM600" i="1" s="1"/>
  <c r="AM1050" i="1"/>
  <c r="AM1048" i="1"/>
  <c r="AM1046" i="1"/>
  <c r="AM1055" i="1"/>
  <c r="AM644" i="1" s="1"/>
  <c r="AM1053" i="1"/>
  <c r="AM1051" i="1"/>
  <c r="AM599" i="1" s="1"/>
  <c r="AM1049" i="1"/>
  <c r="AM1047" i="1"/>
  <c r="AM1045" i="1"/>
  <c r="AY1056" i="1"/>
  <c r="AY1054" i="1"/>
  <c r="AY643" i="1" s="1"/>
  <c r="AY1052" i="1"/>
  <c r="AY600" i="1" s="1"/>
  <c r="AY1050" i="1"/>
  <c r="AY1048" i="1"/>
  <c r="AY1046" i="1"/>
  <c r="AY1055" i="1"/>
  <c r="AY644" i="1" s="1"/>
  <c r="AY1053" i="1"/>
  <c r="AY1051" i="1"/>
  <c r="AY599" i="1" s="1"/>
  <c r="AY1049" i="1"/>
  <c r="AY1047" i="1"/>
  <c r="AY1045" i="1"/>
  <c r="BS1045" i="1"/>
  <c r="AT1052" i="1"/>
  <c r="AT600" i="1" s="1"/>
  <c r="BW1048" i="1"/>
  <c r="BW1047" i="1"/>
  <c r="BW1045" i="1"/>
  <c r="AN1053" i="1"/>
  <c r="BU1045" i="1"/>
  <c r="AE1049" i="1"/>
  <c r="BS1050" i="1"/>
  <c r="AY1036" i="1"/>
  <c r="AJ1036" i="1"/>
  <c r="AV1038" i="1"/>
  <c r="AL1043" i="1"/>
  <c r="AJ1056" i="1"/>
  <c r="AJ1049" i="1"/>
  <c r="AJ1055" i="1"/>
  <c r="AJ644" i="1" s="1"/>
  <c r="AJ1053" i="1"/>
  <c r="AJ1050" i="1"/>
  <c r="AJ1051" i="1"/>
  <c r="AJ599" i="1" s="1"/>
  <c r="AV1055" i="1"/>
  <c r="AV644" i="1" s="1"/>
  <c r="AV1053" i="1"/>
  <c r="AV1048" i="1"/>
  <c r="AV1052" i="1"/>
  <c r="AV600" i="1" s="1"/>
  <c r="AV1045" i="1"/>
  <c r="BT1045" i="1"/>
  <c r="BS1047" i="1"/>
  <c r="AJ1048" i="1"/>
  <c r="AD1049" i="1"/>
  <c r="BS1051" i="1"/>
  <c r="BS599" i="1" s="1"/>
  <c r="AN1055" i="1"/>
  <c r="AN644" i="1" s="1"/>
  <c r="BQ27" i="11"/>
  <c r="BQ12" i="11"/>
  <c r="BQ14" i="11" s="1"/>
  <c r="BK27" i="11"/>
  <c r="BK12" i="11"/>
  <c r="BK14" i="11" s="1"/>
  <c r="BK15" i="11" s="1"/>
  <c r="BR27" i="11"/>
  <c r="BR12" i="11"/>
  <c r="BR14" i="11" s="1"/>
  <c r="AN1043" i="1"/>
  <c r="BV1045" i="1"/>
  <c r="AJ1046" i="1"/>
  <c r="AV1047" i="1"/>
  <c r="AF1049" i="1"/>
  <c r="AF1050" i="1"/>
  <c r="AP1051" i="1"/>
  <c r="AP599" i="1" s="1"/>
  <c r="BT1053" i="1"/>
  <c r="AF1056" i="1"/>
  <c r="AP1048" i="1"/>
  <c r="AB1056" i="1"/>
  <c r="AB1054" i="1"/>
  <c r="AB643" i="1" s="1"/>
  <c r="AB1052" i="1"/>
  <c r="AB1050" i="1"/>
  <c r="AB1047" i="1"/>
  <c r="AB1049" i="1"/>
  <c r="AB1055" i="1"/>
  <c r="AB644" i="1" s="1"/>
  <c r="AN1056" i="1"/>
  <c r="AN1054" i="1"/>
  <c r="AN643" i="1" s="1"/>
  <c r="AN1052" i="1"/>
  <c r="AN600" i="1" s="1"/>
  <c r="AN1050" i="1"/>
  <c r="AN1048" i="1"/>
  <c r="AN1049" i="1"/>
  <c r="BR1056" i="1"/>
  <c r="BR1054" i="1"/>
  <c r="BR643" i="1" s="1"/>
  <c r="BR1052" i="1"/>
  <c r="BR600" i="1" s="1"/>
  <c r="BR1050" i="1"/>
  <c r="BR1048" i="1"/>
  <c r="BR1046" i="1"/>
  <c r="BR1055" i="1"/>
  <c r="BR644" i="1" s="1"/>
  <c r="BR1053" i="1"/>
  <c r="BR1051" i="1"/>
  <c r="BR599" i="1" s="1"/>
  <c r="BR1049" i="1"/>
  <c r="BR1047" i="1"/>
  <c r="BR1045" i="1"/>
  <c r="AQ1048" i="1"/>
  <c r="BS1048" i="1"/>
  <c r="AP1050" i="1"/>
  <c r="AC1055" i="1"/>
  <c r="AC644" i="1" s="1"/>
  <c r="AC1053" i="1"/>
  <c r="AC1051" i="1"/>
  <c r="AC599" i="1" s="1"/>
  <c r="AC1049" i="1"/>
  <c r="AC1047" i="1"/>
  <c r="AC1056" i="1"/>
  <c r="AC1054" i="1"/>
  <c r="AC643" i="1" s="1"/>
  <c r="AC1052" i="1"/>
  <c r="AC600" i="1" s="1"/>
  <c r="AC1050" i="1"/>
  <c r="AC1048" i="1"/>
  <c r="AC1046" i="1"/>
  <c r="AC1045" i="1"/>
  <c r="AC1043" i="1"/>
  <c r="AO1055" i="1"/>
  <c r="AO644" i="1" s="1"/>
  <c r="AO1053" i="1"/>
  <c r="AO1051" i="1"/>
  <c r="AO599" i="1" s="1"/>
  <c r="AO1049" i="1"/>
  <c r="AO1047" i="1"/>
  <c r="AO1045" i="1"/>
  <c r="AO1056" i="1"/>
  <c r="AO1054" i="1"/>
  <c r="AO643" i="1" s="1"/>
  <c r="AO1052" i="1"/>
  <c r="AO600" i="1" s="1"/>
  <c r="AO1050" i="1"/>
  <c r="AO1048" i="1"/>
  <c r="AO1046" i="1"/>
  <c r="AO1043" i="1"/>
  <c r="BS1056" i="1"/>
  <c r="BS1054" i="1"/>
  <c r="BS643" i="1" s="1"/>
  <c r="BS1043" i="1"/>
  <c r="BS1049" i="1"/>
  <c r="BS1046" i="1"/>
  <c r="AN1046" i="1"/>
  <c r="AR1048" i="1"/>
  <c r="AV1056" i="1"/>
  <c r="AD1048" i="1"/>
  <c r="AD1056" i="1"/>
  <c r="AD1055" i="1"/>
  <c r="AD644" i="1" s="1"/>
  <c r="AD1054" i="1"/>
  <c r="AD643" i="1" s="1"/>
  <c r="AD1053" i="1"/>
  <c r="AD1052" i="1"/>
  <c r="AD600" i="1" s="1"/>
  <c r="AD1050" i="1"/>
  <c r="AD1046" i="1"/>
  <c r="AP1056" i="1"/>
  <c r="AP1055" i="1"/>
  <c r="AP644" i="1" s="1"/>
  <c r="AP1054" i="1"/>
  <c r="AP643" i="1" s="1"/>
  <c r="AP1046" i="1"/>
  <c r="AP1045" i="1"/>
  <c r="BT1056" i="1"/>
  <c r="BT1054" i="1"/>
  <c r="BT643" i="1" s="1"/>
  <c r="BT1052" i="1"/>
  <c r="BT600" i="1" s="1"/>
  <c r="BT602" i="1" s="1"/>
  <c r="BT1050" i="1"/>
  <c r="BT1055" i="1"/>
  <c r="BT644" i="1" s="1"/>
  <c r="BT1049" i="1"/>
  <c r="AJ1047" i="1"/>
  <c r="AP1049" i="1"/>
  <c r="AR1050" i="1"/>
  <c r="AU1043" i="1"/>
  <c r="AE1055" i="1"/>
  <c r="AE644" i="1" s="1"/>
  <c r="AE1053" i="1"/>
  <c r="AE1051" i="1"/>
  <c r="AE599" i="1" s="1"/>
  <c r="AE1056" i="1"/>
  <c r="AE1054" i="1"/>
  <c r="AE643" i="1" s="1"/>
  <c r="AE1052" i="1"/>
  <c r="AE600" i="1" s="1"/>
  <c r="AQ1055" i="1"/>
  <c r="AQ644" i="1" s="1"/>
  <c r="AQ1053" i="1"/>
  <c r="AQ1051" i="1"/>
  <c r="AQ599" i="1" s="1"/>
  <c r="AQ1056" i="1"/>
  <c r="AQ1054" i="1"/>
  <c r="AQ643" i="1" s="1"/>
  <c r="AQ1052" i="1"/>
  <c r="AQ600" i="1" s="1"/>
  <c r="BU1056" i="1"/>
  <c r="BU1054" i="1"/>
  <c r="BU643" i="1" s="1"/>
  <c r="BU1052" i="1"/>
  <c r="BU600" i="1" s="1"/>
  <c r="BU1050" i="1"/>
  <c r="BU1055" i="1"/>
  <c r="BU644" i="1" s="1"/>
  <c r="BU1053" i="1"/>
  <c r="BU1048" i="1"/>
  <c r="BU1047" i="1"/>
  <c r="BT1046" i="1"/>
  <c r="AQ1049" i="1"/>
  <c r="AV1050" i="1"/>
  <c r="BS1052" i="1"/>
  <c r="BS600" i="1" s="1"/>
  <c r="O27" i="11"/>
  <c r="K27" i="11"/>
  <c r="K12" i="11"/>
  <c r="K14" i="11" s="1"/>
  <c r="K15" i="11" s="1"/>
  <c r="AA27" i="11"/>
  <c r="W27" i="11"/>
  <c r="W12" i="11"/>
  <c r="W14" i="11" s="1"/>
  <c r="W15" i="11" s="1"/>
  <c r="AI27" i="11"/>
  <c r="AI12" i="11"/>
  <c r="AI14" i="11" s="1"/>
  <c r="AI15" i="11" s="1"/>
  <c r="AF1055" i="1"/>
  <c r="AF644" i="1" s="1"/>
  <c r="AF1053" i="1"/>
  <c r="AF1051" i="1"/>
  <c r="AF599" i="1" s="1"/>
  <c r="AF1054" i="1"/>
  <c r="AF643" i="1" s="1"/>
  <c r="AF1052" i="1"/>
  <c r="AF600" i="1" s="1"/>
  <c r="AF1047" i="1"/>
  <c r="AF1045" i="1"/>
  <c r="AF1043" i="1"/>
  <c r="AR1055" i="1"/>
  <c r="AR644" i="1" s="1"/>
  <c r="AR1053" i="1"/>
  <c r="AR1051" i="1"/>
  <c r="AR599" i="1" s="1"/>
  <c r="AR1054" i="1"/>
  <c r="AR643" i="1" s="1"/>
  <c r="AR1052" i="1"/>
  <c r="AR600" i="1" s="1"/>
  <c r="AR1047" i="1"/>
  <c r="AR1049" i="1"/>
  <c r="AR1056" i="1"/>
  <c r="AR1043" i="1"/>
  <c r="BV1056" i="1"/>
  <c r="BV1054" i="1"/>
  <c r="BV643" i="1" s="1"/>
  <c r="BV1052" i="1"/>
  <c r="BV600" i="1" s="1"/>
  <c r="BV1050" i="1"/>
  <c r="BV1048" i="1"/>
  <c r="BV1046" i="1"/>
  <c r="BV1055" i="1"/>
  <c r="BV644" i="1" s="1"/>
  <c r="BV1053" i="1"/>
  <c r="BV1051" i="1"/>
  <c r="BV599" i="1" s="1"/>
  <c r="BV1049" i="1"/>
  <c r="BV1043" i="1"/>
  <c r="AN1045" i="1"/>
  <c r="AV1049" i="1"/>
  <c r="BS1055" i="1"/>
  <c r="BS644" i="1" s="1"/>
  <c r="AI1043" i="1"/>
  <c r="AG1055" i="1"/>
  <c r="AG644" i="1" s="1"/>
  <c r="AG1053" i="1"/>
  <c r="AG1051" i="1"/>
  <c r="AG599" i="1" s="1"/>
  <c r="AG1049" i="1"/>
  <c r="AG1047" i="1"/>
  <c r="AG1056" i="1"/>
  <c r="AG1054" i="1"/>
  <c r="AG643" i="1" s="1"/>
  <c r="AG1052" i="1"/>
  <c r="AG600" i="1" s="1"/>
  <c r="AG1050" i="1"/>
  <c r="AG1048" i="1"/>
  <c r="AS1055" i="1"/>
  <c r="AS644" i="1" s="1"/>
  <c r="AS1053" i="1"/>
  <c r="AS1051" i="1"/>
  <c r="AS599" i="1" s="1"/>
  <c r="AS1049" i="1"/>
  <c r="AS1047" i="1"/>
  <c r="AS1056" i="1"/>
  <c r="AS1054" i="1"/>
  <c r="AS643" i="1" s="1"/>
  <c r="AS1052" i="1"/>
  <c r="AS600" i="1" s="1"/>
  <c r="AS1050" i="1"/>
  <c r="AS1048" i="1"/>
  <c r="AS1046" i="1"/>
  <c r="AS1045" i="1"/>
  <c r="BW1056" i="1"/>
  <c r="BW1054" i="1"/>
  <c r="BW643" i="1" s="1"/>
  <c r="BW1052" i="1"/>
  <c r="BW600" i="1" s="1"/>
  <c r="BW1050" i="1"/>
  <c r="BW1055" i="1"/>
  <c r="BW644" i="1" s="1"/>
  <c r="BW1053" i="1"/>
  <c r="BW1051" i="1"/>
  <c r="BW599" i="1" s="1"/>
  <c r="AB1046" i="1"/>
  <c r="AV1046" i="1"/>
  <c r="BW1046" i="1"/>
  <c r="AB1048" i="1"/>
  <c r="AJ1052" i="1"/>
  <c r="AJ600" i="1" s="1"/>
  <c r="AJ1054" i="1"/>
  <c r="AJ643" i="1" s="1"/>
  <c r="G93" i="9"/>
  <c r="S93" i="9"/>
  <c r="AQ93" i="9"/>
  <c r="BP93" i="9"/>
  <c r="AF1028" i="1"/>
  <c r="AR1028" i="1"/>
  <c r="AR546" i="1" s="1"/>
  <c r="AF1030" i="1"/>
  <c r="AR1030" i="1"/>
  <c r="AF1032" i="1"/>
  <c r="AR1032" i="1"/>
  <c r="AF1034" i="1"/>
  <c r="AR1034" i="1"/>
  <c r="AF1036" i="1"/>
  <c r="AR1036" i="1"/>
  <c r="AL1056" i="1"/>
  <c r="AL1054" i="1"/>
  <c r="AL643" i="1" s="1"/>
  <c r="AL1052" i="1"/>
  <c r="AL600" i="1" s="1"/>
  <c r="AL602" i="1" s="1"/>
  <c r="AL1050" i="1"/>
  <c r="AX1056" i="1"/>
  <c r="AX1054" i="1"/>
  <c r="AX643" i="1" s="1"/>
  <c r="AX1052" i="1"/>
  <c r="AX600" i="1" s="1"/>
  <c r="AX1050" i="1"/>
  <c r="AX1055" i="1"/>
  <c r="AX644" i="1" s="1"/>
  <c r="N15" i="11"/>
  <c r="O15" i="11"/>
  <c r="BO27" i="11"/>
  <c r="BO12" i="11"/>
  <c r="BO14" i="11" s="1"/>
  <c r="BO15" i="11" s="1"/>
  <c r="BP27" i="11"/>
  <c r="BP12" i="11"/>
  <c r="BP14" i="11" s="1"/>
  <c r="AB93" i="9"/>
  <c r="AN93" i="9"/>
  <c r="BM93" i="9"/>
  <c r="AC1028" i="1"/>
  <c r="AO1028" i="1"/>
  <c r="AO546" i="1" s="1"/>
  <c r="AC1030" i="1"/>
  <c r="AO1030" i="1"/>
  <c r="AC1032" i="1"/>
  <c r="AO1032" i="1"/>
  <c r="AC1034" i="1"/>
  <c r="AO1034" i="1"/>
  <c r="AC1036" i="1"/>
  <c r="AO1036" i="1"/>
  <c r="AI1056" i="1"/>
  <c r="AI1054" i="1"/>
  <c r="AI643" i="1" s="1"/>
  <c r="AI1052" i="1"/>
  <c r="AI600" i="1" s="1"/>
  <c r="AI1050" i="1"/>
  <c r="AI1048" i="1"/>
  <c r="AI1046" i="1"/>
  <c r="AI1055" i="1"/>
  <c r="AI644" i="1" s="1"/>
  <c r="AI1053" i="1"/>
  <c r="AI1051" i="1"/>
  <c r="AI599" i="1" s="1"/>
  <c r="AI1049" i="1"/>
  <c r="AI1047" i="1"/>
  <c r="AU1056" i="1"/>
  <c r="AU1054" i="1"/>
  <c r="AU643" i="1" s="1"/>
  <c r="AU1052" i="1"/>
  <c r="AU600" i="1" s="1"/>
  <c r="AU1050" i="1"/>
  <c r="AU1048" i="1"/>
  <c r="AU1046" i="1"/>
  <c r="AU1055" i="1"/>
  <c r="AU644" i="1" s="1"/>
  <c r="AU1053" i="1"/>
  <c r="AU1051" i="1"/>
  <c r="AU599" i="1" s="1"/>
  <c r="AU1049" i="1"/>
  <c r="AU1047" i="1"/>
  <c r="AU1045" i="1"/>
  <c r="U15" i="11"/>
  <c r="BM15" i="11"/>
  <c r="BL12" i="11"/>
  <c r="BL14" i="11" s="1"/>
  <c r="BL15" i="11" s="1"/>
  <c r="BL27" i="11"/>
  <c r="BS36" i="11"/>
  <c r="M15" i="11"/>
  <c r="AE15" i="11"/>
  <c r="BS15" i="11"/>
  <c r="AF15" i="11"/>
  <c r="L27" i="11"/>
  <c r="AL15" i="11"/>
  <c r="BT14" i="11"/>
  <c r="BT15" i="11" s="1"/>
  <c r="S14" i="11"/>
  <c r="S15" i="11" s="1"/>
  <c r="AK14" i="11"/>
  <c r="AK15" i="11" s="1"/>
  <c r="P27" i="11"/>
  <c r="AB27" i="11"/>
  <c r="BN27" i="11"/>
  <c r="T14" i="11"/>
  <c r="T15" i="11" s="1"/>
  <c r="E12" i="11"/>
  <c r="E14" i="11" s="1"/>
  <c r="E15" i="11" s="1"/>
  <c r="I27" i="11"/>
  <c r="Q12" i="11"/>
  <c r="Q14" i="11" s="1"/>
  <c r="Q15" i="11" s="1"/>
  <c r="U27" i="11"/>
  <c r="Q27" i="11"/>
  <c r="AC12" i="11"/>
  <c r="AG27" i="11"/>
  <c r="AC27" i="11"/>
  <c r="X27" i="11"/>
  <c r="BS27" i="11"/>
  <c r="BD5" i="12"/>
  <c r="BT27" i="11"/>
  <c r="BT32" i="11"/>
  <c r="AD27" i="11"/>
  <c r="BU32" i="11"/>
  <c r="N160" i="10"/>
  <c r="N153" i="10"/>
  <c r="N134" i="10"/>
  <c r="M135" i="13" l="1"/>
  <c r="M8" i="13"/>
  <c r="E95" i="13"/>
  <c r="E148" i="13"/>
  <c r="L31" i="13"/>
  <c r="N7" i="13"/>
  <c r="N8" i="13" s="1"/>
  <c r="E93" i="13"/>
  <c r="E87" i="13"/>
  <c r="H7" i="13"/>
  <c r="I8" i="13" s="1"/>
  <c r="J135" i="13"/>
  <c r="M33" i="13"/>
  <c r="M34" i="13" s="1"/>
  <c r="L34" i="13"/>
  <c r="J132" i="13"/>
  <c r="J133" i="13" s="1"/>
  <c r="W41" i="14"/>
  <c r="O41" i="14"/>
  <c r="I262" i="14"/>
  <c r="H129" i="14"/>
  <c r="Y32" i="14"/>
  <c r="M260" i="14"/>
  <c r="M258" i="14"/>
  <c r="E150" i="14"/>
  <c r="H67" i="13"/>
  <c r="H93" i="13" s="1"/>
  <c r="I261" i="14"/>
  <c r="E149" i="14"/>
  <c r="P261" i="14"/>
  <c r="M259" i="14"/>
  <c r="O215" i="14"/>
  <c r="S156" i="14"/>
  <c r="S77" i="14"/>
  <c r="X33" i="14"/>
  <c r="Y33" i="14"/>
  <c r="T32" i="14"/>
  <c r="M261" i="14"/>
  <c r="Q255" i="14"/>
  <c r="R255" i="14"/>
  <c r="R262" i="14" s="1"/>
  <c r="I59" i="14"/>
  <c r="N248" i="14"/>
  <c r="N255" i="14"/>
  <c r="N262" i="14" s="1"/>
  <c r="U84" i="14"/>
  <c r="H148" i="14"/>
  <c r="Z128" i="14"/>
  <c r="E121" i="13"/>
  <c r="J136" i="13" s="1"/>
  <c r="V148" i="14"/>
  <c r="J59" i="14"/>
  <c r="E153" i="14"/>
  <c r="V107" i="14"/>
  <c r="N129" i="14"/>
  <c r="I258" i="14"/>
  <c r="E108" i="13"/>
  <c r="AA41" i="14"/>
  <c r="W276" i="14"/>
  <c r="AA260" i="14"/>
  <c r="AA259" i="14"/>
  <c r="E156" i="14"/>
  <c r="T149" i="14"/>
  <c r="Z248" i="14"/>
  <c r="V262" i="14"/>
  <c r="V259" i="14"/>
  <c r="V77" i="14"/>
  <c r="X22" i="14"/>
  <c r="Z129" i="14"/>
  <c r="W273" i="14"/>
  <c r="I160" i="13"/>
  <c r="W274" i="14"/>
  <c r="S215" i="14"/>
  <c r="U248" i="14"/>
  <c r="W155" i="14"/>
  <c r="I72" i="13"/>
  <c r="P215" i="14"/>
  <c r="P129" i="14"/>
  <c r="V149" i="14"/>
  <c r="W21" i="14"/>
  <c r="W162" i="14" s="1"/>
  <c r="V276" i="14"/>
  <c r="AC254" i="14"/>
  <c r="E160" i="13"/>
  <c r="E97" i="13"/>
  <c r="E156" i="13"/>
  <c r="E76" i="13"/>
  <c r="E152" i="13"/>
  <c r="E216" i="13"/>
  <c r="E99" i="13"/>
  <c r="AA258" i="14"/>
  <c r="Y128" i="14"/>
  <c r="Y129" i="14" s="1"/>
  <c r="X259" i="14"/>
  <c r="Y153" i="14"/>
  <c r="AA22" i="14"/>
  <c r="S70" i="14"/>
  <c r="D153" i="14"/>
  <c r="T77" i="14"/>
  <c r="M155" i="14"/>
  <c r="I152" i="13"/>
  <c r="E72" i="13"/>
  <c r="J215" i="14"/>
  <c r="Q215" i="14"/>
  <c r="E79" i="13"/>
  <c r="BP98" i="9"/>
  <c r="U93" i="9"/>
  <c r="AY709" i="1"/>
  <c r="AS107" i="9"/>
  <c r="P259" i="14"/>
  <c r="H162" i="13"/>
  <c r="H163" i="13"/>
  <c r="U215" i="14"/>
  <c r="V248" i="14"/>
  <c r="Z255" i="14"/>
  <c r="AC255" i="14" s="1"/>
  <c r="AC259" i="14" s="1"/>
  <c r="W90" i="13"/>
  <c r="X90" i="13"/>
  <c r="G64" i="13"/>
  <c r="G67" i="13"/>
  <c r="G108" i="13" s="1"/>
  <c r="G162" i="13"/>
  <c r="G163" i="13"/>
  <c r="G164" i="13" s="1"/>
  <c r="Q248" i="14"/>
  <c r="U255" i="14"/>
  <c r="U261" i="14" s="1"/>
  <c r="I162" i="13"/>
  <c r="Z260" i="14"/>
  <c r="Q154" i="14"/>
  <c r="Q150" i="14"/>
  <c r="F64" i="13"/>
  <c r="F67" i="13"/>
  <c r="F108" i="13" s="1"/>
  <c r="I163" i="13"/>
  <c r="I165" i="13" s="1"/>
  <c r="J258" i="14"/>
  <c r="W63" i="13"/>
  <c r="X63" i="13"/>
  <c r="J67" i="13"/>
  <c r="J64" i="13"/>
  <c r="J259" i="14"/>
  <c r="V84" i="14"/>
  <c r="AA107" i="14"/>
  <c r="AA21" i="14"/>
  <c r="AA162" i="14" s="1"/>
  <c r="J260" i="14"/>
  <c r="H215" i="14"/>
  <c r="Y150" i="14"/>
  <c r="Y154" i="14"/>
  <c r="Y155" i="14"/>
  <c r="I93" i="13"/>
  <c r="I95" i="13"/>
  <c r="I76" i="13"/>
  <c r="I99" i="13"/>
  <c r="I108" i="13"/>
  <c r="I87" i="13"/>
  <c r="I148" i="13"/>
  <c r="K150" i="14"/>
  <c r="T70" i="14"/>
  <c r="I156" i="13"/>
  <c r="F162" i="13"/>
  <c r="F163" i="13"/>
  <c r="P260" i="14"/>
  <c r="H64" i="13"/>
  <c r="I260" i="14"/>
  <c r="W70" i="14"/>
  <c r="W258" i="14"/>
  <c r="P258" i="14"/>
  <c r="I97" i="13"/>
  <c r="J162" i="13"/>
  <c r="W161" i="13"/>
  <c r="X161" i="13"/>
  <c r="Y161" i="13"/>
  <c r="Z161" i="13"/>
  <c r="J163" i="13"/>
  <c r="K163" i="13"/>
  <c r="AB58" i="14"/>
  <c r="H155" i="14"/>
  <c r="M148" i="14"/>
  <c r="W215" i="14"/>
  <c r="V215" i="14"/>
  <c r="V261" i="14"/>
  <c r="Q258" i="14"/>
  <c r="Q262" i="14"/>
  <c r="V274" i="14"/>
  <c r="J261" i="14"/>
  <c r="J262" i="14"/>
  <c r="V260" i="14"/>
  <c r="Q261" i="14"/>
  <c r="V273" i="14"/>
  <c r="P32" i="14"/>
  <c r="N261" i="14"/>
  <c r="S95" i="14"/>
  <c r="N258" i="14"/>
  <c r="V258" i="14"/>
  <c r="N259" i="14"/>
  <c r="S21" i="14"/>
  <c r="S162" i="14" s="1"/>
  <c r="N260" i="14"/>
  <c r="X107" i="14"/>
  <c r="O248" i="14"/>
  <c r="O255" i="14"/>
  <c r="O259" i="14" s="1"/>
  <c r="W33" i="14"/>
  <c r="O222" i="14"/>
  <c r="I148" i="14"/>
  <c r="I154" i="14"/>
  <c r="I155" i="14"/>
  <c r="I150" i="14"/>
  <c r="K129" i="14"/>
  <c r="U148" i="14"/>
  <c r="U150" i="14"/>
  <c r="U155" i="14"/>
  <c r="K248" i="14"/>
  <c r="K156" i="14"/>
  <c r="K153" i="14"/>
  <c r="K154" i="14"/>
  <c r="U154" i="14"/>
  <c r="U153" i="14"/>
  <c r="I215" i="14"/>
  <c r="Y148" i="14"/>
  <c r="Q260" i="14"/>
  <c r="T41" i="14"/>
  <c r="X230" i="14" s="1"/>
  <c r="X231" i="14" s="1"/>
  <c r="Q259" i="14"/>
  <c r="I153" i="14"/>
  <c r="T222" i="14"/>
  <c r="AA141" i="14"/>
  <c r="X261" i="14"/>
  <c r="Z162" i="14"/>
  <c r="V162" i="14"/>
  <c r="Q91" i="14"/>
  <c r="S260" i="14"/>
  <c r="X162" i="14"/>
  <c r="O129" i="14"/>
  <c r="W129" i="14"/>
  <c r="Y141" i="14"/>
  <c r="S259" i="14"/>
  <c r="S84" i="14"/>
  <c r="W260" i="14"/>
  <c r="I129" i="14"/>
  <c r="Q70" i="14"/>
  <c r="Y162" i="14"/>
  <c r="H149" i="14"/>
  <c r="U129" i="14"/>
  <c r="L129" i="14"/>
  <c r="M234" i="14"/>
  <c r="AM547" i="1"/>
  <c r="AM549" i="1" s="1"/>
  <c r="AA153" i="14"/>
  <c r="AA154" i="14"/>
  <c r="AA156" i="14"/>
  <c r="AA149" i="14"/>
  <c r="AA150" i="14"/>
  <c r="AA148" i="14"/>
  <c r="X42" i="14"/>
  <c r="X233" i="14" s="1"/>
  <c r="X46" i="14"/>
  <c r="O21" i="14"/>
  <c r="R42" i="14"/>
  <c r="R233" i="14" s="1"/>
  <c r="R46" i="14"/>
  <c r="H261" i="14"/>
  <c r="T129" i="14"/>
  <c r="T259" i="14"/>
  <c r="AB252" i="14"/>
  <c r="L153" i="14"/>
  <c r="L154" i="14"/>
  <c r="L156" i="14"/>
  <c r="L150" i="14"/>
  <c r="L148" i="14"/>
  <c r="L149" i="14"/>
  <c r="T258" i="14"/>
  <c r="AB251" i="14"/>
  <c r="K258" i="14"/>
  <c r="L107" i="14"/>
  <c r="P107" i="14"/>
  <c r="N156" i="14"/>
  <c r="N148" i="14"/>
  <c r="N154" i="14"/>
  <c r="N150" i="14"/>
  <c r="N153" i="14"/>
  <c r="N149" i="14"/>
  <c r="Q84" i="14"/>
  <c r="T261" i="14"/>
  <c r="AB254" i="14"/>
  <c r="M49" i="14"/>
  <c r="M56" i="14" s="1"/>
  <c r="M58" i="14" s="1"/>
  <c r="M48" i="14"/>
  <c r="X128" i="14"/>
  <c r="X129" i="14" s="1"/>
  <c r="K261" i="14"/>
  <c r="Q95" i="14"/>
  <c r="M95" i="14"/>
  <c r="L258" i="14"/>
  <c r="Y42" i="14"/>
  <c r="Y233" i="14" s="1"/>
  <c r="Y46" i="14"/>
  <c r="P148" i="14"/>
  <c r="P149" i="14"/>
  <c r="P150" i="14"/>
  <c r="P154" i="14"/>
  <c r="P155" i="14"/>
  <c r="S32" i="14"/>
  <c r="W32" i="14"/>
  <c r="W222" i="14"/>
  <c r="S222" i="14"/>
  <c r="F149" i="14"/>
  <c r="F150" i="14"/>
  <c r="F154" i="14"/>
  <c r="F155" i="14"/>
  <c r="G149" i="14"/>
  <c r="G150" i="14"/>
  <c r="G154" i="14"/>
  <c r="G155" i="14"/>
  <c r="L261" i="14"/>
  <c r="AA129" i="14"/>
  <c r="W261" i="14"/>
  <c r="L260" i="14"/>
  <c r="V41" i="14"/>
  <c r="R84" i="14"/>
  <c r="F153" i="14"/>
  <c r="G153" i="14"/>
  <c r="H260" i="14"/>
  <c r="X153" i="14"/>
  <c r="X154" i="14"/>
  <c r="X156" i="14"/>
  <c r="X148" i="14"/>
  <c r="X150" i="14"/>
  <c r="X262" i="14"/>
  <c r="AC251" i="14"/>
  <c r="X258" i="14"/>
  <c r="P153" i="14"/>
  <c r="R32" i="14"/>
  <c r="N222" i="14"/>
  <c r="R222" i="14"/>
  <c r="AA33" i="14"/>
  <c r="R148" i="14"/>
  <c r="R149" i="14"/>
  <c r="R150" i="14"/>
  <c r="R154" i="14"/>
  <c r="R155" i="14"/>
  <c r="N107" i="14"/>
  <c r="R107" i="14"/>
  <c r="S148" i="14"/>
  <c r="S149" i="14"/>
  <c r="S150" i="14"/>
  <c r="S154" i="14"/>
  <c r="S155" i="14"/>
  <c r="P41" i="14"/>
  <c r="P36" i="14"/>
  <c r="T260" i="14"/>
  <c r="AB253" i="14"/>
  <c r="F156" i="14"/>
  <c r="O42" i="14"/>
  <c r="O233" i="14" s="1"/>
  <c r="O46" i="14"/>
  <c r="O230" i="14"/>
  <c r="Z149" i="14"/>
  <c r="Z150" i="14"/>
  <c r="Z156" i="14"/>
  <c r="Z148" i="14"/>
  <c r="Z153" i="14"/>
  <c r="Z154" i="14"/>
  <c r="Q41" i="14"/>
  <c r="Q36" i="14"/>
  <c r="R95" i="14"/>
  <c r="N95" i="14"/>
  <c r="X133" i="14"/>
  <c r="W46" i="14"/>
  <c r="W230" i="14"/>
  <c r="W42" i="14"/>
  <c r="W233" i="14" s="1"/>
  <c r="T95" i="14"/>
  <c r="P95" i="14"/>
  <c r="K149" i="14"/>
  <c r="M129" i="14"/>
  <c r="U41" i="14"/>
  <c r="Y230" i="14" s="1"/>
  <c r="Z155" i="14"/>
  <c r="AA42" i="14"/>
  <c r="AA233" i="14" s="1"/>
  <c r="AA46" i="14"/>
  <c r="AA230" i="14"/>
  <c r="AA231" i="14" s="1"/>
  <c r="T42" i="14"/>
  <c r="T233" i="14" s="1"/>
  <c r="O153" i="14"/>
  <c r="O154" i="14"/>
  <c r="O156" i="14"/>
  <c r="O149" i="14"/>
  <c r="O148" i="14"/>
  <c r="O150" i="14"/>
  <c r="J148" i="14"/>
  <c r="J149" i="14"/>
  <c r="J150" i="14"/>
  <c r="J153" i="14"/>
  <c r="J155" i="14"/>
  <c r="J156" i="14"/>
  <c r="K148" i="14"/>
  <c r="N41" i="14"/>
  <c r="N36" i="14"/>
  <c r="R153" i="14"/>
  <c r="S153" i="14"/>
  <c r="I149" i="14"/>
  <c r="O155" i="14"/>
  <c r="N155" i="14"/>
  <c r="Z32" i="14"/>
  <c r="Z33" i="14"/>
  <c r="Z222" i="14"/>
  <c r="O107" i="14"/>
  <c r="S107" i="14"/>
  <c r="S261" i="14"/>
  <c r="U33" i="14"/>
  <c r="U32" i="14"/>
  <c r="U222" i="14"/>
  <c r="Y222" i="14"/>
  <c r="Q32" i="14"/>
  <c r="Q222" i="14"/>
  <c r="L155" i="14"/>
  <c r="P156" i="14"/>
  <c r="L259" i="14"/>
  <c r="W259" i="14"/>
  <c r="U149" i="14"/>
  <c r="L42" i="14"/>
  <c r="L233" i="14" s="1"/>
  <c r="L46" i="14"/>
  <c r="L230" i="14"/>
  <c r="L231" i="14" s="1"/>
  <c r="Z41" i="14"/>
  <c r="Z36" i="14"/>
  <c r="R91" i="14"/>
  <c r="Q149" i="14"/>
  <c r="Q129" i="14"/>
  <c r="S258" i="14"/>
  <c r="S42" i="14"/>
  <c r="S233" i="14" s="1"/>
  <c r="S46" i="14"/>
  <c r="S230" i="14"/>
  <c r="T21" i="14"/>
  <c r="T162" i="14" s="1"/>
  <c r="K259" i="14"/>
  <c r="M107" i="14"/>
  <c r="Q107" i="14"/>
  <c r="D149" i="14"/>
  <c r="D150" i="14"/>
  <c r="D154" i="14"/>
  <c r="D155" i="14"/>
  <c r="T262" i="14"/>
  <c r="V33" i="14"/>
  <c r="V222" i="14"/>
  <c r="V32" i="14"/>
  <c r="S129" i="14"/>
  <c r="H259" i="14"/>
  <c r="W149" i="14"/>
  <c r="H258" i="14"/>
  <c r="K260" i="14"/>
  <c r="BO98" i="9"/>
  <c r="AV105" i="9"/>
  <c r="P93" i="9"/>
  <c r="BJ33" i="9"/>
  <c r="BJ128" i="9" s="1"/>
  <c r="AE64" i="9"/>
  <c r="AE66" i="9" s="1"/>
  <c r="P153" i="10"/>
  <c r="Q153" i="10"/>
  <c r="BQ9" i="1"/>
  <c r="BJ860" i="1"/>
  <c r="BL115" i="1"/>
  <c r="CB380" i="1"/>
  <c r="CB527" i="1" s="1"/>
  <c r="AP91" i="1"/>
  <c r="BQ827" i="1"/>
  <c r="BQ860" i="1" s="1"/>
  <c r="BQ659" i="1"/>
  <c r="AQ827" i="1"/>
  <c r="AQ659" i="1"/>
  <c r="BW827" i="1"/>
  <c r="BW860" i="1" s="1"/>
  <c r="BW659" i="1"/>
  <c r="BW680" i="1" s="1"/>
  <c r="BW681" i="1" s="1"/>
  <c r="BW682" i="1" s="1"/>
  <c r="BW683" i="1" s="1"/>
  <c r="Y827" i="1"/>
  <c r="Y661" i="1" s="1"/>
  <c r="Y659" i="1"/>
  <c r="Y680" i="1" s="1"/>
  <c r="Y681" i="1" s="1"/>
  <c r="Y682" i="1" s="1"/>
  <c r="Y683" i="1" s="1"/>
  <c r="BJ827" i="1"/>
  <c r="BJ661" i="1" s="1"/>
  <c r="BJ659" i="1"/>
  <c r="AJ827" i="1"/>
  <c r="AJ661" i="1" s="1"/>
  <c r="AJ659" i="1"/>
  <c r="AJ680" i="1" s="1"/>
  <c r="AJ681" i="1" s="1"/>
  <c r="AJ682" i="1" s="1"/>
  <c r="AG827" i="1"/>
  <c r="AG659" i="1"/>
  <c r="AO640" i="1"/>
  <c r="BU625" i="1"/>
  <c r="AP640" i="1"/>
  <c r="AM640" i="1"/>
  <c r="BU640" i="1"/>
  <c r="BM827" i="1"/>
  <c r="BM661" i="1" s="1"/>
  <c r="BM659" i="1"/>
  <c r="BM680" i="1" s="1"/>
  <c r="BM681" i="1" s="1"/>
  <c r="BM682" i="1" s="1"/>
  <c r="BM683" i="1" s="1"/>
  <c r="BJ351" i="1"/>
  <c r="BJ353" i="1" s="1"/>
  <c r="BJ33" i="1"/>
  <c r="BJ35" i="1" s="1"/>
  <c r="AM62" i="9"/>
  <c r="AM64" i="9" s="1"/>
  <c r="AM76" i="9" s="1"/>
  <c r="AM662" i="1"/>
  <c r="BV547" i="1"/>
  <c r="BV548" i="1"/>
  <c r="U827" i="1"/>
  <c r="U661" i="1" s="1"/>
  <c r="U659" i="1"/>
  <c r="BD939" i="1"/>
  <c r="BC694" i="1"/>
  <c r="BC9" i="9" s="1"/>
  <c r="M351" i="1"/>
  <c r="M353" i="1" s="1"/>
  <c r="M33" i="1"/>
  <c r="M35" i="1" s="1"/>
  <c r="U389" i="1"/>
  <c r="U169" i="1"/>
  <c r="I389" i="1"/>
  <c r="I169" i="1"/>
  <c r="BR971" i="1"/>
  <c r="BR619" i="1"/>
  <c r="AW827" i="1"/>
  <c r="AW860" i="1" s="1"/>
  <c r="AW659" i="1"/>
  <c r="AW680" i="1" s="1"/>
  <c r="AW681" i="1" s="1"/>
  <c r="AW682" i="1" s="1"/>
  <c r="AW683" i="1" s="1"/>
  <c r="BT402" i="1"/>
  <c r="BT326" i="1"/>
  <c r="BT56" i="9" s="1"/>
  <c r="BT169" i="1"/>
  <c r="BH402" i="1"/>
  <c r="BH169" i="1"/>
  <c r="BH171" i="1" s="1"/>
  <c r="BH326" i="1"/>
  <c r="BH56" i="9" s="1"/>
  <c r="BK351" i="1"/>
  <c r="BK353" i="1" s="1"/>
  <c r="BK33" i="1"/>
  <c r="BK35" i="1" s="1"/>
  <c r="AE351" i="1"/>
  <c r="AE353" i="1" s="1"/>
  <c r="AE33" i="1"/>
  <c r="AE35" i="1" s="1"/>
  <c r="AV827" i="1"/>
  <c r="AV659" i="1"/>
  <c r="AU402" i="1"/>
  <c r="AU326" i="1"/>
  <c r="AU56" i="9" s="1"/>
  <c r="AU169" i="1"/>
  <c r="AU171" i="1" s="1"/>
  <c r="AI326" i="1"/>
  <c r="AI56" i="9" s="1"/>
  <c r="AI169" i="1"/>
  <c r="AI171" i="1" s="1"/>
  <c r="AT326" i="1"/>
  <c r="AT56" i="9" s="1"/>
  <c r="AT169" i="1"/>
  <c r="AT171" i="1" s="1"/>
  <c r="L351" i="1"/>
  <c r="L353" i="1" s="1"/>
  <c r="L33" i="1"/>
  <c r="L35" i="1" s="1"/>
  <c r="W351" i="1"/>
  <c r="W353" i="1" s="1"/>
  <c r="W33" i="1"/>
  <c r="W35" i="1" s="1"/>
  <c r="K351" i="1"/>
  <c r="K353" i="1" s="1"/>
  <c r="K33" i="1"/>
  <c r="K35" i="1" s="1"/>
  <c r="Z320" i="1"/>
  <c r="Z148" i="1"/>
  <c r="BP351" i="1"/>
  <c r="BP353" i="1" s="1"/>
  <c r="BP33" i="1"/>
  <c r="BP35" i="1" s="1"/>
  <c r="AH326" i="1"/>
  <c r="AH56" i="9" s="1"/>
  <c r="AH169" i="1"/>
  <c r="AH171" i="1" s="1"/>
  <c r="H351" i="1"/>
  <c r="H353" i="1" s="1"/>
  <c r="H33" i="1"/>
  <c r="H35" i="1" s="1"/>
  <c r="BU170" i="1"/>
  <c r="BU171" i="1"/>
  <c r="BI170" i="1"/>
  <c r="BI171" i="1"/>
  <c r="BP234" i="1"/>
  <c r="BP7" i="1"/>
  <c r="O149" i="1"/>
  <c r="O150" i="1"/>
  <c r="O152" i="1" s="1"/>
  <c r="O351" i="1"/>
  <c r="O353" i="1" s="1"/>
  <c r="O33" i="1"/>
  <c r="O35" i="1" s="1"/>
  <c r="C351" i="1"/>
  <c r="C353" i="1" s="1"/>
  <c r="C33" i="1"/>
  <c r="C35" i="1" s="1"/>
  <c r="AJ90" i="1"/>
  <c r="AJ91" i="1" s="1"/>
  <c r="AJ87" i="1"/>
  <c r="AJ88" i="1"/>
  <c r="BO351" i="1"/>
  <c r="BO353" i="1" s="1"/>
  <c r="BO33" i="1"/>
  <c r="BO35" i="1" s="1"/>
  <c r="AU357" i="1"/>
  <c r="AU355" i="1"/>
  <c r="X7" i="11"/>
  <c r="X39" i="1"/>
  <c r="AP89" i="1"/>
  <c r="AP88" i="1"/>
  <c r="AP87" i="1"/>
  <c r="BL114" i="1"/>
  <c r="BL81" i="1"/>
  <c r="BL38" i="1" s="1"/>
  <c r="AH137" i="1"/>
  <c r="AH140" i="1"/>
  <c r="AH143" i="1" s="1"/>
  <c r="BR60" i="1"/>
  <c r="BR17" i="1"/>
  <c r="BR25" i="1" s="1"/>
  <c r="BF72" i="1"/>
  <c r="BF21" i="1"/>
  <c r="BF23" i="1" s="1"/>
  <c r="BF18" i="9" s="1"/>
  <c r="AD19" i="9"/>
  <c r="Q160" i="10"/>
  <c r="P160" i="10"/>
  <c r="P134" i="10"/>
  <c r="Q134" i="10"/>
  <c r="AT97" i="9"/>
  <c r="AT966" i="1"/>
  <c r="AD97" i="9"/>
  <c r="AD98" i="9" s="1"/>
  <c r="AD966" i="1"/>
  <c r="AC966" i="1"/>
  <c r="AE966" i="1"/>
  <c r="V66" i="9"/>
  <c r="V76" i="9"/>
  <c r="U897" i="1"/>
  <c r="AB547" i="1"/>
  <c r="AB549" i="1" s="1"/>
  <c r="AB551" i="1"/>
  <c r="AI76" i="9"/>
  <c r="AI66" i="9"/>
  <c r="R97" i="9"/>
  <c r="R98" i="9" s="1"/>
  <c r="R966" i="1"/>
  <c r="Q966" i="1"/>
  <c r="AP97" i="9"/>
  <c r="AP955" i="1"/>
  <c r="AP966" i="1"/>
  <c r="AS357" i="1"/>
  <c r="AS355" i="1"/>
  <c r="BX22" i="9"/>
  <c r="BC51" i="1"/>
  <c r="BY51" i="1"/>
  <c r="BX78" i="1"/>
  <c r="BX54" i="1"/>
  <c r="BX23" i="9" s="1"/>
  <c r="BX14" i="1"/>
  <c r="BX55" i="1"/>
  <c r="S897" i="1"/>
  <c r="S883" i="1"/>
  <c r="BV97" i="9"/>
  <c r="BW98" i="9" s="1"/>
  <c r="BV966" i="1"/>
  <c r="BV955" i="1"/>
  <c r="BW966" i="1"/>
  <c r="D897" i="1"/>
  <c r="D883" i="1"/>
  <c r="AB550" i="1"/>
  <c r="AB548" i="1"/>
  <c r="AT527" i="1"/>
  <c r="AT531" i="1" s="1"/>
  <c r="AT533" i="1" s="1"/>
  <c r="AT534" i="1" s="1"/>
  <c r="AS553" i="1"/>
  <c r="AS549" i="1"/>
  <c r="AS552" i="1"/>
  <c r="E897" i="1"/>
  <c r="E883" i="1"/>
  <c r="AJ645" i="1"/>
  <c r="AJ647" i="1" s="1"/>
  <c r="AJ649" i="1"/>
  <c r="AW630" i="1"/>
  <c r="AW645" i="1"/>
  <c r="AW647" i="1" s="1"/>
  <c r="AW649" i="1"/>
  <c r="AK586" i="1"/>
  <c r="AK605" i="1"/>
  <c r="AK601" i="1"/>
  <c r="AK603" i="1" s="1"/>
  <c r="AT646" i="1"/>
  <c r="AT648" i="1"/>
  <c r="AH648" i="1"/>
  <c r="AH646" i="1"/>
  <c r="I97" i="9"/>
  <c r="I955" i="1"/>
  <c r="M966" i="1"/>
  <c r="I966" i="1"/>
  <c r="J935" i="1"/>
  <c r="J874" i="1"/>
  <c r="E794" i="1"/>
  <c r="W97" i="9"/>
  <c r="W955" i="1"/>
  <c r="W966" i="1"/>
  <c r="K827" i="1"/>
  <c r="K659" i="1"/>
  <c r="BT893" i="1"/>
  <c r="BT895" i="1"/>
  <c r="BT889" i="1"/>
  <c r="AS827" i="1"/>
  <c r="AS659" i="1"/>
  <c r="BT894" i="1"/>
  <c r="BT883" i="1"/>
  <c r="AO100" i="9"/>
  <c r="AO85" i="9"/>
  <c r="V877" i="1"/>
  <c r="BU827" i="1"/>
  <c r="BU659" i="1"/>
  <c r="AL93" i="9"/>
  <c r="AQ883" i="1"/>
  <c r="Q62" i="9"/>
  <c r="Q64" i="9" s="1"/>
  <c r="Q680" i="1"/>
  <c r="Q681" i="1" s="1"/>
  <c r="Q682" i="1" s="1"/>
  <c r="Q683" i="1" s="1"/>
  <c r="Q662" i="1"/>
  <c r="BW100" i="9"/>
  <c r="BW85" i="9"/>
  <c r="BW706" i="1"/>
  <c r="BW705" i="1"/>
  <c r="AV860" i="1"/>
  <c r="BN100" i="9"/>
  <c r="BN101" i="9" s="1"/>
  <c r="BN102" i="9" s="1"/>
  <c r="BN85" i="9"/>
  <c r="BN705" i="1"/>
  <c r="BN706" i="1"/>
  <c r="AB640" i="1"/>
  <c r="BR625" i="1"/>
  <c r="AA640" i="1"/>
  <c r="BR640" i="1"/>
  <c r="AC640" i="1"/>
  <c r="F100" i="9"/>
  <c r="F85" i="9"/>
  <c r="J841" i="1"/>
  <c r="J665" i="1"/>
  <c r="J968" i="1" s="1"/>
  <c r="L100" i="9"/>
  <c r="L85" i="9"/>
  <c r="AJ625" i="1"/>
  <c r="AF625" i="1"/>
  <c r="BP683" i="1"/>
  <c r="BT513" i="1"/>
  <c r="BT508" i="1" s="1"/>
  <c r="AI508" i="1"/>
  <c r="AO561" i="1"/>
  <c r="AO560" i="1"/>
  <c r="AM541" i="1"/>
  <c r="AM538" i="1"/>
  <c r="AW33" i="9"/>
  <c r="BV112" i="9"/>
  <c r="BU33" i="9"/>
  <c r="AN112" i="9"/>
  <c r="AJ33" i="9"/>
  <c r="BU355" i="1"/>
  <c r="BU357" i="1"/>
  <c r="AD104" i="9"/>
  <c r="AD389" i="1"/>
  <c r="AD402" i="1"/>
  <c r="AD169" i="1"/>
  <c r="AD326" i="1"/>
  <c r="AD56" i="9" s="1"/>
  <c r="BH128" i="9"/>
  <c r="BH36" i="9"/>
  <c r="BH41" i="9" s="1"/>
  <c r="AA112" i="9"/>
  <c r="W33" i="9"/>
  <c r="AD640" i="1"/>
  <c r="Q104" i="9"/>
  <c r="Q389" i="1"/>
  <c r="Q402" i="1"/>
  <c r="Q395" i="1"/>
  <c r="Q326" i="1"/>
  <c r="Q56" i="9" s="1"/>
  <c r="Q169" i="1"/>
  <c r="AL112" i="9"/>
  <c r="AH33" i="9"/>
  <c r="AP541" i="1"/>
  <c r="AP538" i="1"/>
  <c r="AH112" i="9"/>
  <c r="AV410" i="1"/>
  <c r="BM104" i="9"/>
  <c r="BM105" i="9" s="1"/>
  <c r="BM326" i="1"/>
  <c r="BM56" i="9" s="1"/>
  <c r="BM389" i="1"/>
  <c r="BM402" i="1"/>
  <c r="BM395" i="1"/>
  <c r="BM169" i="1"/>
  <c r="Y47" i="9"/>
  <c r="Y129" i="9" s="1"/>
  <c r="Y327" i="1"/>
  <c r="Y57" i="9" s="1"/>
  <c r="Y174" i="1"/>
  <c r="BS965" i="1"/>
  <c r="BS410" i="1"/>
  <c r="BW877" i="1"/>
  <c r="BI224" i="1"/>
  <c r="BI223" i="1"/>
  <c r="BI222" i="1"/>
  <c r="BI221" i="1"/>
  <c r="BI10" i="1"/>
  <c r="W333" i="1"/>
  <c r="W396" i="1"/>
  <c r="AV112" i="9"/>
  <c r="AR33" i="9"/>
  <c r="AY392" i="1"/>
  <c r="AY331" i="1"/>
  <c r="U406" i="1"/>
  <c r="U418" i="1"/>
  <c r="AE104" i="9"/>
  <c r="AE389" i="1"/>
  <c r="AE402" i="1"/>
  <c r="AE395" i="1"/>
  <c r="AE169" i="1"/>
  <c r="AE326" i="1"/>
  <c r="AE56" i="9" s="1"/>
  <c r="AL137" i="1"/>
  <c r="AL140" i="1"/>
  <c r="AL139" i="1"/>
  <c r="BV171" i="1"/>
  <c r="BV172" i="1" s="1"/>
  <c r="BV170" i="1"/>
  <c r="U351" i="1"/>
  <c r="U353" i="1" s="1"/>
  <c r="U33" i="1"/>
  <c r="U35" i="1" s="1"/>
  <c r="AW410" i="1"/>
  <c r="Y333" i="1"/>
  <c r="Y396" i="1"/>
  <c r="BR221" i="1"/>
  <c r="AB127" i="1"/>
  <c r="AV19" i="11"/>
  <c r="AV12" i="11"/>
  <c r="BK171" i="1"/>
  <c r="H157" i="1"/>
  <c r="BJ241" i="1"/>
  <c r="BJ28" i="1"/>
  <c r="BJ19" i="9" s="1"/>
  <c r="N137" i="1"/>
  <c r="AL141" i="1"/>
  <c r="AQ17" i="11"/>
  <c r="AQ962" i="1"/>
  <c r="AQ90" i="1"/>
  <c r="AQ89" i="1"/>
  <c r="AQ88" i="1"/>
  <c r="AQ87" i="1"/>
  <c r="AN63" i="1"/>
  <c r="AN64" i="1" s="1"/>
  <c r="AN60" i="1"/>
  <c r="AN48" i="1"/>
  <c r="AN49" i="1"/>
  <c r="AN17" i="1"/>
  <c r="AX115" i="1"/>
  <c r="AH897" i="1"/>
  <c r="R897" i="1"/>
  <c r="AD115" i="1"/>
  <c r="BR15" i="1"/>
  <c r="BR79" i="1"/>
  <c r="Q115" i="1"/>
  <c r="AA170" i="1"/>
  <c r="AA171" i="1"/>
  <c r="AA172" i="1" s="1"/>
  <c r="AC127" i="1"/>
  <c r="BQ127" i="1"/>
  <c r="BS157" i="1"/>
  <c r="AJ25" i="1"/>
  <c r="AG602" i="1"/>
  <c r="AG604" i="1"/>
  <c r="AG585" i="1"/>
  <c r="AE601" i="1"/>
  <c r="AE603" i="1" s="1"/>
  <c r="AE605" i="1"/>
  <c r="AS602" i="1"/>
  <c r="AS585" i="1"/>
  <c r="AS604" i="1"/>
  <c r="AG645" i="1"/>
  <c r="AG647" i="1" s="1"/>
  <c r="AG630" i="1"/>
  <c r="AG649" i="1"/>
  <c r="AR649" i="1"/>
  <c r="AR645" i="1"/>
  <c r="AR647" i="1" s="1"/>
  <c r="BU649" i="1"/>
  <c r="BU645" i="1"/>
  <c r="BU650" i="1" s="1"/>
  <c r="AE646" i="1"/>
  <c r="AE648" i="1"/>
  <c r="BS646" i="1"/>
  <c r="BS648" i="1"/>
  <c r="AO604" i="1"/>
  <c r="AO602" i="1"/>
  <c r="AO585" i="1"/>
  <c r="BR604" i="1"/>
  <c r="BR602" i="1"/>
  <c r="AN601" i="1"/>
  <c r="AN605" i="1"/>
  <c r="BQ15" i="11"/>
  <c r="AY605" i="1"/>
  <c r="AY601" i="1"/>
  <c r="AM601" i="1"/>
  <c r="AM603" i="1" s="1"/>
  <c r="AM605" i="1"/>
  <c r="T97" i="9"/>
  <c r="T966" i="1"/>
  <c r="T955" i="1"/>
  <c r="AW601" i="1"/>
  <c r="AW603" i="1" s="1"/>
  <c r="AW605" i="1"/>
  <c r="AW586" i="1"/>
  <c r="AK629" i="1"/>
  <c r="AK646" i="1"/>
  <c r="AK648" i="1"/>
  <c r="BQ97" i="9"/>
  <c r="BQ98" i="9" s="1"/>
  <c r="BQ966" i="1"/>
  <c r="BW548" i="1"/>
  <c r="X889" i="1"/>
  <c r="AO97" i="9"/>
  <c r="AO955" i="1"/>
  <c r="AO966" i="1"/>
  <c r="BM106" i="9"/>
  <c r="BM107" i="9" s="1"/>
  <c r="BM944" i="1"/>
  <c r="BM953" i="1" s="1"/>
  <c r="BM955" i="1" s="1"/>
  <c r="R874" i="1"/>
  <c r="R935" i="1"/>
  <c r="Z883" i="1"/>
  <c r="BX968" i="1"/>
  <c r="BX841" i="1"/>
  <c r="BX665" i="1"/>
  <c r="BV974" i="1"/>
  <c r="S966" i="1"/>
  <c r="AB793" i="1"/>
  <c r="AA862" i="1"/>
  <c r="AA863" i="1" s="1"/>
  <c r="S98" i="9"/>
  <c r="BL684" i="1"/>
  <c r="BL660" i="1"/>
  <c r="BL663" i="1"/>
  <c r="BL715" i="1" s="1"/>
  <c r="N841" i="1"/>
  <c r="N665" i="1"/>
  <c r="N971" i="1" s="1"/>
  <c r="AP815" i="1"/>
  <c r="AX815" i="1"/>
  <c r="O100" i="9"/>
  <c r="O85" i="9"/>
  <c r="AN100" i="9"/>
  <c r="AN85" i="9"/>
  <c r="AT827" i="1"/>
  <c r="AT659" i="1"/>
  <c r="BB923" i="1"/>
  <c r="AW100" i="9"/>
  <c r="AW85" i="9"/>
  <c r="AE661" i="1"/>
  <c r="AE372" i="1"/>
  <c r="AE375" i="1" s="1"/>
  <c r="Y100" i="9"/>
  <c r="Y85" i="9"/>
  <c r="BQ977" i="1"/>
  <c r="AH827" i="1"/>
  <c r="AH659" i="1"/>
  <c r="AU661" i="1"/>
  <c r="AU372" i="1"/>
  <c r="AU375" i="1" s="1"/>
  <c r="BR966" i="1"/>
  <c r="BP64" i="9"/>
  <c r="AQ112" i="9"/>
  <c r="AM33" i="9"/>
  <c r="R104" i="9"/>
  <c r="R389" i="1"/>
  <c r="R402" i="1"/>
  <c r="R395" i="1"/>
  <c r="R326" i="1"/>
  <c r="R56" i="9" s="1"/>
  <c r="R169" i="1"/>
  <c r="AW560" i="1"/>
  <c r="AU541" i="1"/>
  <c r="AW561" i="1"/>
  <c r="AU538" i="1"/>
  <c r="E104" i="9"/>
  <c r="E389" i="1"/>
  <c r="E402" i="1"/>
  <c r="E395" i="1"/>
  <c r="E169" i="1"/>
  <c r="E326" i="1"/>
  <c r="E56" i="9" s="1"/>
  <c r="F34" i="9"/>
  <c r="F701" i="1"/>
  <c r="AE508" i="1"/>
  <c r="BS513" i="1"/>
  <c r="BS508" i="1" s="1"/>
  <c r="BQ513" i="1"/>
  <c r="BQ508" i="1" s="1"/>
  <c r="W508" i="1"/>
  <c r="AV47" i="9"/>
  <c r="AV129" i="9" s="1"/>
  <c r="AV327" i="1"/>
  <c r="AV57" i="9" s="1"/>
  <c r="AV174" i="1"/>
  <c r="AO355" i="1"/>
  <c r="AO357" i="1"/>
  <c r="M897" i="1"/>
  <c r="AF104" i="9"/>
  <c r="AF389" i="1"/>
  <c r="AF402" i="1"/>
  <c r="AF395" i="1"/>
  <c r="AF326" i="1"/>
  <c r="AF56" i="9" s="1"/>
  <c r="AF169" i="1"/>
  <c r="AY897" i="1"/>
  <c r="AY889" i="1"/>
  <c r="W112" i="9"/>
  <c r="S33" i="9"/>
  <c r="AY34" i="9"/>
  <c r="N17" i="11"/>
  <c r="N19" i="11" s="1"/>
  <c r="N20" i="11" s="1"/>
  <c r="N29" i="1" s="1"/>
  <c r="N20" i="9" s="1"/>
  <c r="N962" i="1"/>
  <c r="AW171" i="1"/>
  <c r="AW172" i="1" s="1"/>
  <c r="AW170" i="1"/>
  <c r="AJ410" i="1"/>
  <c r="I351" i="1"/>
  <c r="I353" i="1" s="1"/>
  <c r="I33" i="1"/>
  <c r="I35" i="1" s="1"/>
  <c r="AY332" i="1"/>
  <c r="AI47" i="9"/>
  <c r="AI129" i="9" s="1"/>
  <c r="AI327" i="1"/>
  <c r="AI57" i="9" s="1"/>
  <c r="AI174" i="1"/>
  <c r="BR112" i="9"/>
  <c r="BQ33" i="9"/>
  <c r="AF112" i="9"/>
  <c r="AB33" i="9"/>
  <c r="K47" i="9"/>
  <c r="K129" i="9" s="1"/>
  <c r="K327" i="1"/>
  <c r="K57" i="9" s="1"/>
  <c r="K174" i="1"/>
  <c r="AL541" i="1"/>
  <c r="AL538" i="1"/>
  <c r="AR357" i="1"/>
  <c r="AR355" i="1"/>
  <c r="AW47" i="9"/>
  <c r="AW129" i="9" s="1"/>
  <c r="AW327" i="1"/>
  <c r="AW57" i="9" s="1"/>
  <c r="AW174" i="1"/>
  <c r="AT60" i="1"/>
  <c r="AT48" i="1"/>
  <c r="AT49" i="1"/>
  <c r="AT17" i="1"/>
  <c r="AT63" i="1"/>
  <c r="AU152" i="1"/>
  <c r="AQ152" i="1"/>
  <c r="BK333" i="1"/>
  <c r="BK396" i="1"/>
  <c r="AR60" i="1"/>
  <c r="AR48" i="1"/>
  <c r="AR49" i="1"/>
  <c r="AR17" i="1"/>
  <c r="AR63" i="1"/>
  <c r="AR64" i="1" s="1"/>
  <c r="V897" i="1"/>
  <c r="BL222" i="1"/>
  <c r="BL10" i="1"/>
  <c r="BL12" i="1" s="1"/>
  <c r="AP19" i="11"/>
  <c r="AP20" i="11" s="1"/>
  <c r="AP29" i="1" s="1"/>
  <c r="AP20" i="9" s="1"/>
  <c r="AP12" i="11"/>
  <c r="AV959" i="1"/>
  <c r="AA333" i="1"/>
  <c r="AA396" i="1"/>
  <c r="AW17" i="11"/>
  <c r="AW962" i="1"/>
  <c r="AW90" i="1"/>
  <c r="AW91" i="1" s="1"/>
  <c r="AW88" i="1"/>
  <c r="AW87" i="1"/>
  <c r="AR602" i="1"/>
  <c r="AR604" i="1"/>
  <c r="AX645" i="1"/>
  <c r="AX650" i="1" s="1"/>
  <c r="AX649" i="1"/>
  <c r="AX601" i="1"/>
  <c r="AX606" i="1" s="1"/>
  <c r="AX605" i="1"/>
  <c r="BW648" i="1"/>
  <c r="BW646" i="1"/>
  <c r="BV601" i="1"/>
  <c r="BV606" i="1" s="1"/>
  <c r="BV605" i="1"/>
  <c r="AC585" i="1"/>
  <c r="AC602" i="1"/>
  <c r="AC604" i="1"/>
  <c r="AN648" i="1"/>
  <c r="AN646" i="1"/>
  <c r="AP602" i="1"/>
  <c r="AP601" i="1"/>
  <c r="AP604" i="1"/>
  <c r="AT605" i="1"/>
  <c r="AT601" i="1"/>
  <c r="AY648" i="1"/>
  <c r="AY646" i="1"/>
  <c r="AM646" i="1"/>
  <c r="AM648" i="1"/>
  <c r="H97" i="9"/>
  <c r="H98" i="9" s="1"/>
  <c r="H966" i="1"/>
  <c r="H955" i="1"/>
  <c r="AW629" i="1"/>
  <c r="AW648" i="1"/>
  <c r="AW646" i="1"/>
  <c r="BU895" i="1"/>
  <c r="BU893" i="1"/>
  <c r="Z97" i="9"/>
  <c r="AB98" i="9" s="1"/>
  <c r="Z966" i="1"/>
  <c r="BW547" i="1"/>
  <c r="BW553" i="1" s="1"/>
  <c r="AQ860" i="1"/>
  <c r="BV977" i="1"/>
  <c r="AU551" i="1"/>
  <c r="AU547" i="1"/>
  <c r="AU549" i="1" s="1"/>
  <c r="AB889" i="1"/>
  <c r="AT93" i="9"/>
  <c r="AE860" i="1"/>
  <c r="AX551" i="1"/>
  <c r="BW551" i="1" s="1"/>
  <c r="AX547" i="1"/>
  <c r="AX549" i="1" s="1"/>
  <c r="AL551" i="1"/>
  <c r="BT551" i="1" s="1"/>
  <c r="AL547" i="1"/>
  <c r="AL549" i="1" s="1"/>
  <c r="AH841" i="1"/>
  <c r="AH665" i="1"/>
  <c r="AH968" i="1" s="1"/>
  <c r="AH373" i="1"/>
  <c r="BQ976" i="1"/>
  <c r="AD935" i="1"/>
  <c r="AB827" i="1"/>
  <c r="AB661" i="1" s="1"/>
  <c r="AB659" i="1"/>
  <c r="AN827" i="1"/>
  <c r="AN659" i="1"/>
  <c r="BL100" i="9"/>
  <c r="BL101" i="9" s="1"/>
  <c r="BL85" i="9"/>
  <c r="BL705" i="1"/>
  <c r="BL706" i="1"/>
  <c r="U100" i="9"/>
  <c r="U85" i="9"/>
  <c r="J100" i="9"/>
  <c r="J85" i="9"/>
  <c r="H85" i="9"/>
  <c r="H100" i="9"/>
  <c r="I85" i="9"/>
  <c r="I100" i="9"/>
  <c r="AQ100" i="9"/>
  <c r="AQ85" i="9"/>
  <c r="AM550" i="1"/>
  <c r="AU100" i="9"/>
  <c r="AU101" i="9" s="1"/>
  <c r="AU102" i="9" s="1"/>
  <c r="AU85" i="9"/>
  <c r="AD545" i="1"/>
  <c r="AD546" i="1"/>
  <c r="F104" i="9"/>
  <c r="F389" i="1"/>
  <c r="F402" i="1"/>
  <c r="F395" i="1"/>
  <c r="F169" i="1"/>
  <c r="F326" i="1"/>
  <c r="F56" i="9" s="1"/>
  <c r="BV513" i="1"/>
  <c r="BV508" i="1" s="1"/>
  <c r="AQ508" i="1"/>
  <c r="AW417" i="1"/>
  <c r="AC557" i="1"/>
  <c r="AB557" i="1"/>
  <c r="AA557" i="1"/>
  <c r="AD557" i="1"/>
  <c r="BR557" i="1"/>
  <c r="U876" i="1"/>
  <c r="BS37" i="9"/>
  <c r="BS417" i="1"/>
  <c r="U112" i="9"/>
  <c r="Q33" i="9"/>
  <c r="AI410" i="1"/>
  <c r="AT399" i="1"/>
  <c r="AT47" i="9"/>
  <c r="AT129" i="9" s="1"/>
  <c r="AT327" i="1"/>
  <c r="AT57" i="9" s="1"/>
  <c r="AT174" i="1"/>
  <c r="BW33" i="9"/>
  <c r="AM355" i="1"/>
  <c r="AM357" i="1"/>
  <c r="N897" i="1"/>
  <c r="Z392" i="1"/>
  <c r="Z330" i="1" s="1"/>
  <c r="Z331" i="1"/>
  <c r="AF541" i="1"/>
  <c r="AF538" i="1"/>
  <c r="AF533" i="1"/>
  <c r="AF534" i="1" s="1"/>
  <c r="AW103" i="1"/>
  <c r="AE541" i="1"/>
  <c r="AE538" i="1"/>
  <c r="AY355" i="1"/>
  <c r="AY357" i="1"/>
  <c r="AN225" i="1"/>
  <c r="AJ47" i="9"/>
  <c r="AJ129" i="9" s="1"/>
  <c r="AJ327" i="1"/>
  <c r="AJ57" i="9" s="1"/>
  <c r="AJ174" i="1"/>
  <c r="BV241" i="1"/>
  <c r="AW127" i="1"/>
  <c r="AI395" i="1"/>
  <c r="AN104" i="9"/>
  <c r="AN326" i="1"/>
  <c r="AN56" i="9" s="1"/>
  <c r="AN389" i="1"/>
  <c r="AN402" i="1"/>
  <c r="AN395" i="1"/>
  <c r="AN169" i="1"/>
  <c r="P104" i="9"/>
  <c r="P326" i="1"/>
  <c r="P56" i="9" s="1"/>
  <c r="P389" i="1"/>
  <c r="P402" i="1"/>
  <c r="P395" i="1"/>
  <c r="P169" i="1"/>
  <c r="K395" i="1"/>
  <c r="AP112" i="9"/>
  <c r="AL33" i="9"/>
  <c r="F355" i="1"/>
  <c r="F360" i="1"/>
  <c r="F365" i="1" s="1"/>
  <c r="F357" i="1"/>
  <c r="AT392" i="1"/>
  <c r="AT331" i="1"/>
  <c r="AH157" i="1"/>
  <c r="AH60" i="1"/>
  <c r="AH17" i="1"/>
  <c r="AH25" i="1" s="1"/>
  <c r="AH63" i="1"/>
  <c r="AH57" i="1"/>
  <c r="BO222" i="1"/>
  <c r="BI1078" i="1"/>
  <c r="BI1090" i="1"/>
  <c r="BI1088" i="1" s="1"/>
  <c r="BI721" i="1" s="1"/>
  <c r="BI1092" i="1"/>
  <c r="BI1085" i="1"/>
  <c r="BI1083" i="1"/>
  <c r="BI1081" i="1" s="1"/>
  <c r="BI720" i="1" s="1"/>
  <c r="BI1076" i="1"/>
  <c r="BI1074" i="1" s="1"/>
  <c r="BI719" i="1" s="1"/>
  <c r="BK410" i="1"/>
  <c r="BN81" i="1"/>
  <c r="BN38" i="1" s="1"/>
  <c r="BN112" i="1"/>
  <c r="AL91" i="1"/>
  <c r="BA75" i="1"/>
  <c r="AW75" i="1"/>
  <c r="BO221" i="1"/>
  <c r="AR143" i="1"/>
  <c r="AD237" i="1"/>
  <c r="O897" i="1"/>
  <c r="AR17" i="11"/>
  <c r="AR962" i="1"/>
  <c r="AR90" i="1"/>
  <c r="AR88" i="1"/>
  <c r="AR87" i="1"/>
  <c r="BC531" i="1"/>
  <c r="BC527" i="1"/>
  <c r="O170" i="1"/>
  <c r="O171" i="1"/>
  <c r="O172" i="1" s="1"/>
  <c r="V225" i="1"/>
  <c r="BL221" i="1"/>
  <c r="AY115" i="1"/>
  <c r="F897" i="1"/>
  <c r="BV49" i="1"/>
  <c r="BV17" i="1"/>
  <c r="BV60" i="1"/>
  <c r="BS124" i="1"/>
  <c r="AR89" i="1"/>
  <c r="AR91" i="1" s="1"/>
  <c r="R115" i="1"/>
  <c r="AY19" i="11"/>
  <c r="AY12" i="11"/>
  <c r="E115" i="1"/>
  <c r="BS49" i="1"/>
  <c r="BS17" i="1"/>
  <c r="BS63" i="1"/>
  <c r="BS64" i="1" s="1"/>
  <c r="BS57" i="1"/>
  <c r="BS60" i="1"/>
  <c r="AA410" i="1"/>
  <c r="AK17" i="11"/>
  <c r="AK19" i="11" s="1"/>
  <c r="AK20" i="11" s="1"/>
  <c r="AK29" i="1" s="1"/>
  <c r="AK20" i="9" s="1"/>
  <c r="AK962" i="1"/>
  <c r="AK90" i="1"/>
  <c r="AK91" i="1" s="1"/>
  <c r="AK88" i="1"/>
  <c r="AK87" i="1"/>
  <c r="BN113" i="1"/>
  <c r="BK241" i="1"/>
  <c r="BK28" i="1"/>
  <c r="BK19" i="9" s="1"/>
  <c r="BW601" i="1"/>
  <c r="BW606" i="1" s="1"/>
  <c r="BW605" i="1"/>
  <c r="AI604" i="1"/>
  <c r="AI602" i="1"/>
  <c r="AX648" i="1"/>
  <c r="AX646" i="1"/>
  <c r="AJ648" i="1"/>
  <c r="AJ646" i="1"/>
  <c r="AS645" i="1"/>
  <c r="AS647" i="1" s="1"/>
  <c r="AS649" i="1"/>
  <c r="AS630" i="1"/>
  <c r="BS645" i="1"/>
  <c r="BS650" i="1" s="1"/>
  <c r="BS649" i="1"/>
  <c r="BV646" i="1"/>
  <c r="BV648" i="1"/>
  <c r="BU602" i="1"/>
  <c r="BU601" i="1"/>
  <c r="BU606" i="1" s="1"/>
  <c r="BU605" i="1"/>
  <c r="AE602" i="1"/>
  <c r="AE604" i="1"/>
  <c r="AP646" i="1"/>
  <c r="AP648" i="1"/>
  <c r="AO649" i="1"/>
  <c r="AO645" i="1"/>
  <c r="AO647" i="1" s="1"/>
  <c r="AO630" i="1"/>
  <c r="BR645" i="1"/>
  <c r="BR650" i="1" s="1"/>
  <c r="BR649" i="1"/>
  <c r="AY551" i="1"/>
  <c r="AY548" i="1"/>
  <c r="AY547" i="1"/>
  <c r="AT602" i="1"/>
  <c r="AT604" i="1"/>
  <c r="AH602" i="1"/>
  <c r="AH604" i="1"/>
  <c r="Q93" i="9"/>
  <c r="AT860" i="1"/>
  <c r="G966" i="1"/>
  <c r="F665" i="1"/>
  <c r="F841" i="1"/>
  <c r="BL976" i="1" s="1"/>
  <c r="BH827" i="1"/>
  <c r="BH659" i="1"/>
  <c r="G98" i="9"/>
  <c r="AU860" i="1"/>
  <c r="V92" i="9"/>
  <c r="V93" i="9" s="1"/>
  <c r="C661" i="1"/>
  <c r="BV107" i="9"/>
  <c r="Z827" i="1"/>
  <c r="Z661" i="1" s="1"/>
  <c r="Z659" i="1"/>
  <c r="T93" i="9"/>
  <c r="R827" i="1"/>
  <c r="R661" i="1" s="1"/>
  <c r="R659" i="1"/>
  <c r="AR827" i="1"/>
  <c r="AR860" i="1" s="1"/>
  <c r="AR659" i="1"/>
  <c r="BK98" i="9"/>
  <c r="V663" i="1"/>
  <c r="V660" i="1"/>
  <c r="V684" i="1"/>
  <c r="V685" i="1" s="1"/>
  <c r="V686" i="1" s="1"/>
  <c r="BL93" i="9"/>
  <c r="AA966" i="1"/>
  <c r="BP663" i="1"/>
  <c r="BP715" i="1" s="1"/>
  <c r="BP660" i="1"/>
  <c r="BP684" i="1"/>
  <c r="BP100" i="9"/>
  <c r="BP101" i="9" s="1"/>
  <c r="BP102" i="9" s="1"/>
  <c r="BP85" i="9"/>
  <c r="BP706" i="1"/>
  <c r="BP705" i="1"/>
  <c r="BU100" i="9"/>
  <c r="BU85" i="9"/>
  <c r="BU706" i="1"/>
  <c r="BU705" i="1"/>
  <c r="BU974" i="1"/>
  <c r="BJ100" i="9"/>
  <c r="BJ101" i="9" s="1"/>
  <c r="BJ102" i="9" s="1"/>
  <c r="BJ85" i="9"/>
  <c r="BJ706" i="1"/>
  <c r="BJ705" i="1"/>
  <c r="BI102" i="9"/>
  <c r="AC661" i="1"/>
  <c r="AC372" i="1"/>
  <c r="AC375" i="1" s="1"/>
  <c r="AU64" i="9"/>
  <c r="G64" i="9"/>
  <c r="AO112" i="9"/>
  <c r="AK33" i="9"/>
  <c r="AW418" i="1"/>
  <c r="Z112" i="9"/>
  <c r="V33" i="9"/>
  <c r="BR876" i="1"/>
  <c r="Y112" i="9"/>
  <c r="U33" i="9"/>
  <c r="V112" i="9"/>
  <c r="R33" i="9"/>
  <c r="E128" i="9"/>
  <c r="E36" i="9"/>
  <c r="E41" i="9" s="1"/>
  <c r="BM877" i="1"/>
  <c r="AT701" i="1"/>
  <c r="AT702" i="1" s="1"/>
  <c r="R85" i="1"/>
  <c r="R137" i="1"/>
  <c r="AX399" i="1"/>
  <c r="AX34" i="9" s="1"/>
  <c r="AX350" i="1"/>
  <c r="AX400" i="1" s="1"/>
  <c r="AX35" i="9" s="1"/>
  <c r="AD392" i="1"/>
  <c r="AD330" i="1" s="1"/>
  <c r="AD331" i="1"/>
  <c r="AL355" i="1"/>
  <c r="AL357" i="1"/>
  <c r="AF877" i="1"/>
  <c r="L112" i="9"/>
  <c r="H33" i="9"/>
  <c r="V392" i="1"/>
  <c r="V330" i="1" s="1"/>
  <c r="V331" i="1"/>
  <c r="BL170" i="1"/>
  <c r="BL171" i="1"/>
  <c r="BL172" i="1" s="1"/>
  <c r="AS418" i="1"/>
  <c r="AE877" i="1"/>
  <c r="BP221" i="1"/>
  <c r="BP10" i="1"/>
  <c r="BP12" i="1" s="1"/>
  <c r="H225" i="1"/>
  <c r="AN143" i="1"/>
  <c r="AK127" i="1"/>
  <c r="AI105" i="9"/>
  <c r="N34" i="9"/>
  <c r="N701" i="1"/>
  <c r="N702" i="1" s="1"/>
  <c r="AH47" i="9"/>
  <c r="AH129" i="9" s="1"/>
  <c r="AH327" i="1"/>
  <c r="AH57" i="9" s="1"/>
  <c r="AH174" i="1"/>
  <c r="J357" i="1"/>
  <c r="J360" i="1"/>
  <c r="J365" i="1" s="1"/>
  <c r="J355" i="1"/>
  <c r="AC545" i="1"/>
  <c r="AC560" i="1" s="1"/>
  <c r="AC546" i="1"/>
  <c r="AC561" i="1" s="1"/>
  <c r="AW105" i="9"/>
  <c r="BJ1090" i="1"/>
  <c r="BJ1088" i="1" s="1"/>
  <c r="BJ721" i="1" s="1"/>
  <c r="BJ1092" i="1"/>
  <c r="BJ1083" i="1"/>
  <c r="BJ1081" i="1" s="1"/>
  <c r="BJ720" i="1" s="1"/>
  <c r="BJ1078" i="1"/>
  <c r="BJ1085" i="1"/>
  <c r="BJ1076" i="1"/>
  <c r="BJ1074" i="1" s="1"/>
  <c r="BJ719" i="1" s="1"/>
  <c r="BQ221" i="1"/>
  <c r="AI152" i="1"/>
  <c r="AE152" i="1"/>
  <c r="O127" i="1"/>
  <c r="AS60" i="1"/>
  <c r="AS48" i="1"/>
  <c r="AS49" i="1"/>
  <c r="AS17" i="1"/>
  <c r="BK47" i="9"/>
  <c r="BK129" i="9" s="1"/>
  <c r="BK174" i="1"/>
  <c r="BK327" i="1"/>
  <c r="BK57" i="9" s="1"/>
  <c r="BO235" i="1"/>
  <c r="BP114" i="1"/>
  <c r="BP112" i="1"/>
  <c r="BP81" i="1"/>
  <c r="BP38" i="1" s="1"/>
  <c r="BD94" i="1"/>
  <c r="BD73" i="1"/>
  <c r="BE1059" i="1"/>
  <c r="BE667" i="1"/>
  <c r="BE618" i="1" s="1"/>
  <c r="BE620" i="1" s="1"/>
  <c r="BE621" i="1" s="1"/>
  <c r="BE182" i="1"/>
  <c r="BE574" i="1" s="1"/>
  <c r="BE380" i="1"/>
  <c r="BF5" i="1"/>
  <c r="N65" i="10" s="1"/>
  <c r="AL138" i="1"/>
  <c r="BT17" i="11"/>
  <c r="BT19" i="11" s="1"/>
  <c r="BT20" i="11" s="1"/>
  <c r="BT29" i="1" s="1"/>
  <c r="BT20" i="9" s="1"/>
  <c r="BT962" i="1"/>
  <c r="BT90" i="1"/>
  <c r="BT88" i="1"/>
  <c r="BT87" i="1"/>
  <c r="AZ75" i="1"/>
  <c r="AV75" i="1"/>
  <c r="P897" i="1"/>
  <c r="P883" i="1"/>
  <c r="O395" i="1"/>
  <c r="W127" i="1"/>
  <c r="BQ241" i="1"/>
  <c r="BM81" i="1"/>
  <c r="BM38" i="1" s="1"/>
  <c r="BM111" i="1"/>
  <c r="BM112" i="1"/>
  <c r="M109" i="10"/>
  <c r="B117" i="10"/>
  <c r="B99" i="10"/>
  <c r="M38" i="10"/>
  <c r="B43" i="10"/>
  <c r="M79" i="10"/>
  <c r="M26" i="10"/>
  <c r="BI4" i="12"/>
  <c r="B119" i="10"/>
  <c r="M81" i="10"/>
  <c r="AY17" i="1"/>
  <c r="AY60" i="1"/>
  <c r="AY48" i="1"/>
  <c r="AY49" i="1"/>
  <c r="BS123" i="1"/>
  <c r="AR167" i="1"/>
  <c r="U162" i="1"/>
  <c r="BO167" i="1"/>
  <c r="AV49" i="1"/>
  <c r="AV17" i="1"/>
  <c r="AV63" i="1"/>
  <c r="AV60" i="1"/>
  <c r="AV48" i="1"/>
  <c r="AA47" i="9"/>
  <c r="AA129" i="9" s="1"/>
  <c r="AA327" i="1"/>
  <c r="AA57" i="9" s="1"/>
  <c r="AA174" i="1"/>
  <c r="AR162" i="1"/>
  <c r="T143" i="1"/>
  <c r="BE24" i="9"/>
  <c r="BE79" i="1"/>
  <c r="BE15" i="1"/>
  <c r="BR111" i="1"/>
  <c r="BK126" i="1"/>
  <c r="AQ649" i="1"/>
  <c r="AQ645" i="1"/>
  <c r="AQ647" i="1" s="1"/>
  <c r="AC14" i="11"/>
  <c r="AC15" i="11" s="1"/>
  <c r="AG15" i="11"/>
  <c r="AU604" i="1"/>
  <c r="AU602" i="1"/>
  <c r="BP15" i="11"/>
  <c r="AJ601" i="1"/>
  <c r="AJ605" i="1"/>
  <c r="BU646" i="1"/>
  <c r="BU648" i="1"/>
  <c r="AP645" i="1"/>
  <c r="AP647" i="1" s="1"/>
  <c r="AP649" i="1"/>
  <c r="BZ667" i="1"/>
  <c r="BZ618" i="1" s="1"/>
  <c r="BZ620" i="1" s="1"/>
  <c r="BZ621" i="1" s="1"/>
  <c r="CA667" i="1"/>
  <c r="CA618" i="1" s="1"/>
  <c r="CA620" i="1" s="1"/>
  <c r="CA621" i="1" s="1"/>
  <c r="CA380" i="1"/>
  <c r="BZ380" i="1"/>
  <c r="BX380" i="1"/>
  <c r="CA182" i="1"/>
  <c r="CA574" i="1" s="1"/>
  <c r="BZ182" i="1"/>
  <c r="BZ574" i="1" s="1"/>
  <c r="AC630" i="1"/>
  <c r="AC647" i="1"/>
  <c r="AC645" i="1"/>
  <c r="AC649" i="1"/>
  <c r="AB649" i="1"/>
  <c r="AB645" i="1"/>
  <c r="AB647" i="1" s="1"/>
  <c r="AN604" i="1"/>
  <c r="AN602" i="1"/>
  <c r="AK548" i="1"/>
  <c r="AK550" i="1"/>
  <c r="BK93" i="9"/>
  <c r="BS976" i="1"/>
  <c r="Q98" i="9"/>
  <c r="BU97" i="9"/>
  <c r="BU966" i="1"/>
  <c r="BU955" i="1"/>
  <c r="AU97" i="9"/>
  <c r="AU966" i="1"/>
  <c r="AU955" i="1"/>
  <c r="L827" i="1"/>
  <c r="L659" i="1"/>
  <c r="AN889" i="1"/>
  <c r="I827" i="1"/>
  <c r="I661" i="1" s="1"/>
  <c r="I659" i="1"/>
  <c r="AU883" i="1"/>
  <c r="E659" i="1"/>
  <c r="E827" i="1"/>
  <c r="E661" i="1" s="1"/>
  <c r="BL974" i="1"/>
  <c r="Q100" i="9"/>
  <c r="Q85" i="9"/>
  <c r="D794" i="1"/>
  <c r="BW892" i="1"/>
  <c r="N815" i="1"/>
  <c r="BW883" i="1"/>
  <c r="O661" i="1"/>
  <c r="AM661" i="1"/>
  <c r="AM372" i="1"/>
  <c r="AM375" i="1" s="1"/>
  <c r="BL64" i="9"/>
  <c r="BN978" i="1"/>
  <c r="AC62" i="9"/>
  <c r="AC64" i="9" s="1"/>
  <c r="AC662" i="1"/>
  <c r="AC680" i="1"/>
  <c r="AC681" i="1" s="1"/>
  <c r="AC682" i="1" s="1"/>
  <c r="AC683" i="1" s="1"/>
  <c r="AT557" i="1"/>
  <c r="BV541" i="1"/>
  <c r="AS557" i="1"/>
  <c r="AR557" i="1"/>
  <c r="BV557" i="1"/>
  <c r="AQ557" i="1"/>
  <c r="Y877" i="1"/>
  <c r="BI128" i="9"/>
  <c r="BI36" i="9"/>
  <c r="BI41" i="9" s="1"/>
  <c r="AB112" i="9"/>
  <c r="X33" i="9"/>
  <c r="AY112" i="9"/>
  <c r="AU33" i="9"/>
  <c r="O112" i="9"/>
  <c r="K33" i="9"/>
  <c r="AH557" i="1"/>
  <c r="BS533" i="1"/>
  <c r="BS534" i="1" s="1"/>
  <c r="BS557" i="1"/>
  <c r="AG557" i="1"/>
  <c r="AF557" i="1"/>
  <c r="AE557" i="1"/>
  <c r="BS541" i="1"/>
  <c r="BS112" i="9"/>
  <c r="BR33" i="9"/>
  <c r="BO112" i="9"/>
  <c r="BN33" i="9"/>
  <c r="BM876" i="1"/>
  <c r="W958" i="1"/>
  <c r="W410" i="1"/>
  <c r="AD889" i="1"/>
  <c r="BV333" i="1"/>
  <c r="BV396" i="1"/>
  <c r="BR396" i="1"/>
  <c r="BR333" i="1"/>
  <c r="H237" i="1"/>
  <c r="V889" i="1"/>
  <c r="AQ104" i="9"/>
  <c r="AQ389" i="1"/>
  <c r="AQ402" i="1"/>
  <c r="AQ395" i="1"/>
  <c r="AQ169" i="1"/>
  <c r="AQ326" i="1"/>
  <c r="AQ56" i="9" s="1"/>
  <c r="AE876" i="1"/>
  <c r="G104" i="9"/>
  <c r="G389" i="1"/>
  <c r="G402" i="1"/>
  <c r="G395" i="1"/>
  <c r="G169" i="1"/>
  <c r="G326" i="1"/>
  <c r="G56" i="9" s="1"/>
  <c r="BT357" i="1"/>
  <c r="BT355" i="1"/>
  <c r="AM225" i="1"/>
  <c r="AJ395" i="1"/>
  <c r="BN224" i="1"/>
  <c r="BN221" i="1"/>
  <c r="BN10" i="1"/>
  <c r="BP157" i="1"/>
  <c r="AB143" i="1"/>
  <c r="Y127" i="1"/>
  <c r="M410" i="1"/>
  <c r="AN541" i="1"/>
  <c r="AN550" i="1"/>
  <c r="AN538" i="1"/>
  <c r="P877" i="1"/>
  <c r="N355" i="1"/>
  <c r="N360" i="1"/>
  <c r="N365" i="1" s="1"/>
  <c r="N357" i="1"/>
  <c r="AT897" i="1"/>
  <c r="J34" i="9"/>
  <c r="J701" i="1"/>
  <c r="BT237" i="1"/>
  <c r="Z876" i="1"/>
  <c r="J47" i="9"/>
  <c r="J129" i="9" s="1"/>
  <c r="J327" i="1"/>
  <c r="J57" i="9" s="1"/>
  <c r="J174" i="1"/>
  <c r="AT350" i="1"/>
  <c r="AT400" i="1" s="1"/>
  <c r="AT35" i="9" s="1"/>
  <c r="BO241" i="1"/>
  <c r="BN234" i="1"/>
  <c r="AL127" i="1"/>
  <c r="BW124" i="1"/>
  <c r="BW125" i="1"/>
  <c r="BD71" i="1"/>
  <c r="AS17" i="11"/>
  <c r="AS962" i="1"/>
  <c r="AS90" i="1"/>
  <c r="AS88" i="1"/>
  <c r="AS87" i="1"/>
  <c r="Q897" i="1"/>
  <c r="Q883" i="1"/>
  <c r="BW123" i="1"/>
  <c r="O410" i="1"/>
  <c r="AP392" i="1"/>
  <c r="AP330" i="1" s="1"/>
  <c r="AP331" i="1"/>
  <c r="BP152" i="1"/>
  <c r="M123" i="10"/>
  <c r="B65" i="10"/>
  <c r="M130" i="10"/>
  <c r="B66" i="10"/>
  <c r="N53" i="10"/>
  <c r="B48" i="10"/>
  <c r="B7" i="10"/>
  <c r="BI3" i="12"/>
  <c r="N148" i="10"/>
  <c r="M71" i="10"/>
  <c r="N71" i="10"/>
  <c r="BH4" i="11"/>
  <c r="B72" i="10"/>
  <c r="N103" i="10"/>
  <c r="BJ4" i="11"/>
  <c r="B122" i="10"/>
  <c r="B131" i="10"/>
  <c r="M147" i="10"/>
  <c r="B87" i="10"/>
  <c r="M157" i="10"/>
  <c r="O115" i="1"/>
  <c r="BJ124" i="1"/>
  <c r="BS125" i="1"/>
  <c r="AM17" i="1"/>
  <c r="AM60" i="1"/>
  <c r="AM48" i="1"/>
  <c r="AM49" i="1"/>
  <c r="Z140" i="1"/>
  <c r="Z139" i="1"/>
  <c r="Z85" i="1"/>
  <c r="BO20" i="11"/>
  <c r="BO29" i="1" s="1"/>
  <c r="BO20" i="9" s="1"/>
  <c r="BU49" i="1"/>
  <c r="BU17" i="1"/>
  <c r="BU60" i="1"/>
  <c r="BR125" i="1"/>
  <c r="BR126" i="1"/>
  <c r="F115" i="1"/>
  <c r="AM12" i="11"/>
  <c r="AM19" i="11"/>
  <c r="BT49" i="1"/>
  <c r="BT17" i="1"/>
  <c r="BT57" i="1"/>
  <c r="BT60" i="1"/>
  <c r="BN114" i="1"/>
  <c r="BQ222" i="1"/>
  <c r="N142" i="1"/>
  <c r="Y20" i="11"/>
  <c r="Y29" i="1" s="1"/>
  <c r="Y20" i="9" s="1"/>
  <c r="AU60" i="1"/>
  <c r="AU48" i="1"/>
  <c r="AU49" i="1"/>
  <c r="AU17" i="1"/>
  <c r="CB182" i="1"/>
  <c r="CB574" i="1" s="1"/>
  <c r="BM113" i="1"/>
  <c r="X152" i="1"/>
  <c r="BV125" i="1"/>
  <c r="BT63" i="1"/>
  <c r="BP9" i="1"/>
  <c r="BM114" i="1"/>
  <c r="AI645" i="1"/>
  <c r="AI647" i="1" s="1"/>
  <c r="AI649" i="1"/>
  <c r="AE649" i="1"/>
  <c r="AE645" i="1"/>
  <c r="AE647" i="1" s="1"/>
  <c r="AA15" i="11"/>
  <c r="AV601" i="1"/>
  <c r="AV603" i="1" s="1"/>
  <c r="AV602" i="1"/>
  <c r="AV605" i="1"/>
  <c r="AT649" i="1"/>
  <c r="AT645" i="1"/>
  <c r="AH649" i="1"/>
  <c r="AH645" i="1"/>
  <c r="AH647" i="1" s="1"/>
  <c r="G883" i="1"/>
  <c r="BA874" i="1"/>
  <c r="BE874" i="1" s="1"/>
  <c r="AW877" i="1"/>
  <c r="AX97" i="9"/>
  <c r="AX966" i="1"/>
  <c r="AX955" i="1"/>
  <c r="BH966" i="1"/>
  <c r="BH955" i="1"/>
  <c r="D966" i="1"/>
  <c r="K93" i="9"/>
  <c r="BR106" i="9"/>
  <c r="BR944" i="1"/>
  <c r="BR953" i="1" s="1"/>
  <c r="BR955" i="1" s="1"/>
  <c r="AM889" i="1"/>
  <c r="BM98" i="9"/>
  <c r="H827" i="1"/>
  <c r="H659" i="1"/>
  <c r="AI661" i="1"/>
  <c r="AI372" i="1"/>
  <c r="AI375" i="1" s="1"/>
  <c r="BN106" i="9"/>
  <c r="BN944" i="1"/>
  <c r="BN953" i="1" s="1"/>
  <c r="BN955" i="1" s="1"/>
  <c r="V73" i="9"/>
  <c r="AD827" i="1"/>
  <c r="AD659" i="1"/>
  <c r="AA794" i="1"/>
  <c r="AY883" i="1"/>
  <c r="AX107" i="9"/>
  <c r="AY100" i="9"/>
  <c r="AY85" i="9"/>
  <c r="C100" i="9"/>
  <c r="AB100" i="9"/>
  <c r="AB85" i="9"/>
  <c r="AK100" i="9"/>
  <c r="AK85" i="9"/>
  <c r="AV100" i="9"/>
  <c r="AV85" i="9"/>
  <c r="AX971" i="1"/>
  <c r="K100" i="9"/>
  <c r="K85" i="9"/>
  <c r="BW978" i="1"/>
  <c r="AV552" i="1"/>
  <c r="AW527" i="1"/>
  <c r="AW531" i="1" s="1"/>
  <c r="AW533" i="1" s="1"/>
  <c r="AW534" i="1" s="1"/>
  <c r="AV553" i="1"/>
  <c r="AI100" i="9"/>
  <c r="AI85" i="9"/>
  <c r="BM112" i="9"/>
  <c r="BL33" i="9"/>
  <c r="AE112" i="9"/>
  <c r="AA33" i="9"/>
  <c r="D459" i="1"/>
  <c r="D463" i="1" s="1"/>
  <c r="C476" i="1"/>
  <c r="C489" i="1" s="1"/>
  <c r="AX602" i="1"/>
  <c r="AV550" i="1"/>
  <c r="AV541" i="1"/>
  <c r="AV538" i="1"/>
  <c r="BT557" i="1"/>
  <c r="BT541" i="1"/>
  <c r="AL557" i="1"/>
  <c r="AK557" i="1"/>
  <c r="AJ557" i="1"/>
  <c r="AI557" i="1"/>
  <c r="AI541" i="1"/>
  <c r="AI538" i="1"/>
  <c r="AI533" i="1"/>
  <c r="AI534" i="1" s="1"/>
  <c r="AK561" i="1"/>
  <c r="AK560" i="1"/>
  <c r="BS877" i="1"/>
  <c r="AS541" i="1"/>
  <c r="AS538" i="1"/>
  <c r="J112" i="9"/>
  <c r="F33" i="9"/>
  <c r="AO550" i="1"/>
  <c r="AO541" i="1"/>
  <c r="AO538" i="1"/>
  <c r="Z104" i="9"/>
  <c r="Z326" i="1"/>
  <c r="Z56" i="9" s="1"/>
  <c r="Z389" i="1"/>
  <c r="Z402" i="1"/>
  <c r="Z169" i="1"/>
  <c r="BN112" i="9"/>
  <c r="BM33" i="9"/>
  <c r="AA959" i="1"/>
  <c r="AS225" i="1"/>
  <c r="BT47" i="9"/>
  <c r="BT129" i="9" s="1"/>
  <c r="BT327" i="1"/>
  <c r="BT57" i="9" s="1"/>
  <c r="BT174" i="1"/>
  <c r="AW162" i="1"/>
  <c r="BA161" i="1"/>
  <c r="Z351" i="1"/>
  <c r="Z353" i="1" s="1"/>
  <c r="Z33" i="1"/>
  <c r="Z35" i="1" s="1"/>
  <c r="BR410" i="1"/>
  <c r="BV357" i="1"/>
  <c r="BV355" i="1"/>
  <c r="BL236" i="1"/>
  <c r="BL7" i="1"/>
  <c r="BL9" i="1" s="1"/>
  <c r="BU99" i="1"/>
  <c r="AJ112" i="9"/>
  <c r="AF33" i="9"/>
  <c r="I418" i="1"/>
  <c r="AI112" i="9"/>
  <c r="AE33" i="9"/>
  <c r="I225" i="1"/>
  <c r="AJ105" i="9"/>
  <c r="BN222" i="1"/>
  <c r="M127" i="1"/>
  <c r="M47" i="9"/>
  <c r="M129" i="9" s="1"/>
  <c r="M327" i="1"/>
  <c r="M57" i="9" s="1"/>
  <c r="M174" i="1"/>
  <c r="AN877" i="1"/>
  <c r="P876" i="1"/>
  <c r="AH406" i="1"/>
  <c r="BP104" i="9"/>
  <c r="BP105" i="9" s="1"/>
  <c r="BP389" i="1"/>
  <c r="BP402" i="1"/>
  <c r="BP395" i="1"/>
  <c r="BP169" i="1"/>
  <c r="BP326" i="1"/>
  <c r="BP56" i="9" s="1"/>
  <c r="AR237" i="1"/>
  <c r="AD112" i="9"/>
  <c r="BM241" i="1"/>
  <c r="BR418" i="1"/>
  <c r="J395" i="1"/>
  <c r="BO127" i="1"/>
  <c r="BY182" i="1"/>
  <c r="BY574" i="1" s="1"/>
  <c r="Z897" i="1"/>
  <c r="W152" i="1"/>
  <c r="S152" i="1"/>
  <c r="AF143" i="1"/>
  <c r="AX75" i="1"/>
  <c r="BB75" i="1"/>
  <c r="BL223" i="1"/>
  <c r="AS143" i="1"/>
  <c r="BW126" i="1"/>
  <c r="BA63" i="1"/>
  <c r="L157" i="1"/>
  <c r="BK127" i="1"/>
  <c r="O47" i="9"/>
  <c r="O129" i="9" s="1"/>
  <c r="O327" i="1"/>
  <c r="O57" i="9" s="1"/>
  <c r="O174" i="1"/>
  <c r="AP889" i="1"/>
  <c r="AU127" i="1"/>
  <c r="B26" i="10"/>
  <c r="B104" i="10"/>
  <c r="M132" i="10"/>
  <c r="B61" i="10"/>
  <c r="B110" i="10"/>
  <c r="N43" i="10"/>
  <c r="B157" i="10"/>
  <c r="M74" i="10"/>
  <c r="N74" i="10"/>
  <c r="B75" i="10"/>
  <c r="N25" i="10"/>
  <c r="M117" i="10"/>
  <c r="N132" i="10"/>
  <c r="N138" i="10"/>
  <c r="M150" i="10"/>
  <c r="M110" i="10"/>
  <c r="BS113" i="1"/>
  <c r="BS114" i="1"/>
  <c r="AV157" i="1"/>
  <c r="AO157" i="1"/>
  <c r="BT124" i="1"/>
  <c r="Z142" i="1"/>
  <c r="AX49" i="1"/>
  <c r="AX17" i="1"/>
  <c r="AX60" i="1"/>
  <c r="AX48" i="1"/>
  <c r="AW49" i="1"/>
  <c r="AW17" i="1"/>
  <c r="AW60" i="1"/>
  <c r="AW48" i="1"/>
  <c r="AJ157" i="1"/>
  <c r="BT115" i="1"/>
  <c r="AI60" i="1"/>
  <c r="AI48" i="1"/>
  <c r="AI17" i="1"/>
  <c r="AJ18" i="1" s="1"/>
  <c r="AI57" i="1"/>
  <c r="BQ111" i="1"/>
  <c r="L152" i="1"/>
  <c r="BJ125" i="1"/>
  <c r="BQ112" i="1"/>
  <c r="AR551" i="1"/>
  <c r="AR547" i="1"/>
  <c r="AR548" i="1"/>
  <c r="I15" i="11"/>
  <c r="BE5" i="11"/>
  <c r="AQ551" i="1"/>
  <c r="AQ547" i="1"/>
  <c r="AQ549" i="1" s="1"/>
  <c r="BN976" i="1"/>
  <c r="AT548" i="1"/>
  <c r="AT550" i="1"/>
  <c r="BV550" i="1" s="1"/>
  <c r="BP976" i="1"/>
  <c r="BE912" i="1"/>
  <c r="I860" i="1"/>
  <c r="BT97" i="9"/>
  <c r="BT98" i="9" s="1"/>
  <c r="BT955" i="1"/>
  <c r="BT966" i="1"/>
  <c r="AL106" i="9"/>
  <c r="AN107" i="9" s="1"/>
  <c r="AL944" i="1"/>
  <c r="AL953" i="1" s="1"/>
  <c r="BB873" i="1"/>
  <c r="BF873" i="1" s="1"/>
  <c r="AX876" i="1"/>
  <c r="AW966" i="1"/>
  <c r="BK860" i="1"/>
  <c r="BK964" i="1" s="1"/>
  <c r="BN98" i="9"/>
  <c r="BN659" i="1"/>
  <c r="BN827" i="1"/>
  <c r="BN661" i="1" s="1"/>
  <c r="N874" i="1"/>
  <c r="N877" i="1" s="1"/>
  <c r="N935" i="1"/>
  <c r="AA661" i="1"/>
  <c r="AA372" i="1"/>
  <c r="AA375" i="1" s="1"/>
  <c r="X966" i="1"/>
  <c r="AP791" i="1"/>
  <c r="BL794" i="1"/>
  <c r="G793" i="1" s="1"/>
  <c r="AR889" i="1"/>
  <c r="BB692" i="1"/>
  <c r="BB940" i="1" s="1"/>
  <c r="BA940" i="1"/>
  <c r="AL100" i="9"/>
  <c r="AL85" i="9"/>
  <c r="T100" i="9"/>
  <c r="T85" i="9"/>
  <c r="AD100" i="9"/>
  <c r="AD85" i="9"/>
  <c r="AJ100" i="9"/>
  <c r="AJ85" i="9"/>
  <c r="BQ100" i="9"/>
  <c r="BQ85" i="9"/>
  <c r="BQ706" i="1"/>
  <c r="BQ705" i="1"/>
  <c r="O64" i="9"/>
  <c r="AY877" i="1"/>
  <c r="BC874" i="1"/>
  <c r="G459" i="1"/>
  <c r="G463" i="1" s="1"/>
  <c r="BM459" i="1"/>
  <c r="BM463" i="1" s="1"/>
  <c r="BW112" i="9"/>
  <c r="BV33" i="9"/>
  <c r="AC112" i="9"/>
  <c r="Y33" i="9"/>
  <c r="AZ873" i="1"/>
  <c r="BD873" i="1" s="1"/>
  <c r="AV876" i="1"/>
  <c r="U417" i="1"/>
  <c r="BS876" i="1"/>
  <c r="N112" i="9"/>
  <c r="J33" i="9"/>
  <c r="AA64" i="9"/>
  <c r="BU417" i="1"/>
  <c r="N81" i="10" s="1"/>
  <c r="BO876" i="1"/>
  <c r="AO876" i="1"/>
  <c r="AE225" i="1"/>
  <c r="BT395" i="1"/>
  <c r="AI959" i="1"/>
  <c r="AR225" i="1"/>
  <c r="X104" i="9"/>
  <c r="X395" i="1"/>
  <c r="X326" i="1"/>
  <c r="X56" i="9" s="1"/>
  <c r="X389" i="1"/>
  <c r="X402" i="1"/>
  <c r="X169" i="1"/>
  <c r="BK876" i="1"/>
  <c r="AD345" i="1"/>
  <c r="AD320" i="1"/>
  <c r="AD148" i="1"/>
  <c r="AX99" i="1"/>
  <c r="T104" i="9"/>
  <c r="T389" i="1"/>
  <c r="T402" i="1"/>
  <c r="T395" i="1"/>
  <c r="T326" i="1"/>
  <c r="T56" i="9" s="1"/>
  <c r="T169" i="1"/>
  <c r="AS560" i="1"/>
  <c r="AQ550" i="1"/>
  <c r="AQ541" i="1"/>
  <c r="AQ538" i="1"/>
  <c r="AS561" i="1"/>
  <c r="AV625" i="1"/>
  <c r="AG237" i="1"/>
  <c r="BO12" i="1"/>
  <c r="N104" i="9"/>
  <c r="N326" i="1"/>
  <c r="N56" i="9" s="1"/>
  <c r="N389" i="1"/>
  <c r="N402" i="1"/>
  <c r="N395" i="1"/>
  <c r="N169" i="1"/>
  <c r="BU418" i="1"/>
  <c r="AN876" i="1"/>
  <c r="T112" i="9"/>
  <c r="P33" i="9"/>
  <c r="BM236" i="1"/>
  <c r="BM7" i="1"/>
  <c r="BN9" i="1" s="1"/>
  <c r="BS237" i="1"/>
  <c r="J402" i="1"/>
  <c r="BL241" i="1"/>
  <c r="BW171" i="1"/>
  <c r="BW172" i="1" s="1"/>
  <c r="BW170" i="1"/>
  <c r="AW392" i="1"/>
  <c r="AW331" i="1"/>
  <c r="AX142" i="1"/>
  <c r="BO236" i="1"/>
  <c r="AG20" i="11"/>
  <c r="AG29" i="1" s="1"/>
  <c r="AG20" i="9" s="1"/>
  <c r="R237" i="1"/>
  <c r="W883" i="1"/>
  <c r="W897" i="1"/>
  <c r="AO60" i="1"/>
  <c r="AO48" i="1"/>
  <c r="AO49" i="1"/>
  <c r="AO17" i="1"/>
  <c r="N92" i="10"/>
  <c r="M37" i="10"/>
  <c r="BH3" i="11"/>
  <c r="N121" i="10"/>
  <c r="B158" i="10"/>
  <c r="N31" i="10"/>
  <c r="M87" i="10"/>
  <c r="BI3" i="11"/>
  <c r="B32" i="10"/>
  <c r="M114" i="10"/>
  <c r="M45" i="10"/>
  <c r="M27" i="10"/>
  <c r="M146" i="10"/>
  <c r="M14" i="10"/>
  <c r="M118" i="10"/>
  <c r="M136" i="10"/>
  <c r="M141" i="10"/>
  <c r="M113" i="10"/>
  <c r="B103" i="10"/>
  <c r="J225" i="1"/>
  <c r="BR237" i="1"/>
  <c r="BQ157" i="1"/>
  <c r="AO162" i="1"/>
  <c r="BT123" i="1"/>
  <c r="BP224" i="1"/>
  <c r="Z141" i="1"/>
  <c r="AN12" i="11"/>
  <c r="AN19" i="11"/>
  <c r="AN20" i="11" s="1"/>
  <c r="AN29" i="1" s="1"/>
  <c r="AN20" i="9" s="1"/>
  <c r="AL49" i="1"/>
  <c r="AL17" i="1"/>
  <c r="AL57" i="1"/>
  <c r="AL60" i="1"/>
  <c r="AL48" i="1"/>
  <c r="AA20" i="11"/>
  <c r="AA29" i="1" s="1"/>
  <c r="AA20" i="9" s="1"/>
  <c r="AK17" i="1"/>
  <c r="AK57" i="1"/>
  <c r="AK60" i="1"/>
  <c r="AK48" i="1"/>
  <c r="AF167" i="1"/>
  <c r="BS596" i="1"/>
  <c r="AY170" i="1"/>
  <c r="AY171" i="1"/>
  <c r="AY172" i="1" s="1"/>
  <c r="AF162" i="1"/>
  <c r="BN162" i="1"/>
  <c r="M20" i="11"/>
  <c r="M29" i="1" s="1"/>
  <c r="M20" i="9" s="1"/>
  <c r="AT75" i="1"/>
  <c r="BV75" i="1"/>
  <c r="BP123" i="1"/>
  <c r="BP127" i="1" s="1"/>
  <c r="BR9" i="1"/>
  <c r="BS111" i="1"/>
  <c r="AU645" i="1"/>
  <c r="AU647" i="1" s="1"/>
  <c r="AU649" i="1"/>
  <c r="AL648" i="1"/>
  <c r="AL646" i="1"/>
  <c r="AG648" i="1"/>
  <c r="AG629" i="1"/>
  <c r="AG646" i="1"/>
  <c r="AF602" i="1"/>
  <c r="AF604" i="1"/>
  <c r="AQ646" i="1"/>
  <c r="AQ648" i="1"/>
  <c r="AO601" i="1"/>
  <c r="AO603" i="1" s="1"/>
  <c r="AO605" i="1"/>
  <c r="AO586" i="1"/>
  <c r="BR601" i="1"/>
  <c r="BR606" i="1" s="1"/>
  <c r="BR605" i="1"/>
  <c r="AY602" i="1"/>
  <c r="AY604" i="1"/>
  <c r="AM604" i="1"/>
  <c r="AM602" i="1"/>
  <c r="AJ889" i="1"/>
  <c r="AK547" i="1"/>
  <c r="AK549" i="1" s="1"/>
  <c r="AK551" i="1"/>
  <c r="V97" i="9"/>
  <c r="V966" i="1"/>
  <c r="BB728" i="1"/>
  <c r="BB10" i="9" s="1"/>
  <c r="BX952" i="1"/>
  <c r="BM976" i="1"/>
  <c r="AH97" i="9"/>
  <c r="AH98" i="9" s="1"/>
  <c r="AH966" i="1"/>
  <c r="I883" i="1"/>
  <c r="BN977" i="1"/>
  <c r="K860" i="1"/>
  <c r="BJ65" i="9"/>
  <c r="BJ898" i="1"/>
  <c r="BJ882" i="1"/>
  <c r="BJ883" i="1" s="1"/>
  <c r="BJ619" i="1"/>
  <c r="BJ680" i="1"/>
  <c r="BJ681" i="1" s="1"/>
  <c r="BJ682" i="1" s="1"/>
  <c r="BJ683" i="1" s="1"/>
  <c r="AK827" i="1"/>
  <c r="AK661" i="1" s="1"/>
  <c r="AK659" i="1"/>
  <c r="AT791" i="1"/>
  <c r="BX71" i="9"/>
  <c r="C883" i="1"/>
  <c r="Z791" i="1"/>
  <c r="Z794" i="1" s="1"/>
  <c r="AX93" i="9"/>
  <c r="AI860" i="1"/>
  <c r="AF889" i="1"/>
  <c r="D860" i="1"/>
  <c r="G661" i="1"/>
  <c r="AX791" i="1"/>
  <c r="S100" i="9"/>
  <c r="S85" i="9"/>
  <c r="N100" i="9"/>
  <c r="N85" i="9"/>
  <c r="AT101" i="9"/>
  <c r="BJ684" i="1"/>
  <c r="BJ685" i="1" s="1"/>
  <c r="BJ686" i="1" s="1"/>
  <c r="BJ687" i="1" s="1"/>
  <c r="BJ971" i="1"/>
  <c r="BC873" i="1"/>
  <c r="AY876" i="1"/>
  <c r="AZ874" i="1"/>
  <c r="BD874" i="1" s="1"/>
  <c r="AV877" i="1"/>
  <c r="L877" i="1"/>
  <c r="BT112" i="9"/>
  <c r="BS33" i="9"/>
  <c r="AT37" i="9"/>
  <c r="AW112" i="9"/>
  <c r="AS33" i="9"/>
  <c r="M112" i="9"/>
  <c r="I33" i="9"/>
  <c r="AM551" i="1"/>
  <c r="BP112" i="9"/>
  <c r="BO33" i="9"/>
  <c r="AO877" i="1"/>
  <c r="BU958" i="1"/>
  <c r="BU410" i="1"/>
  <c r="I396" i="1"/>
  <c r="I333" i="1"/>
  <c r="AN355" i="1"/>
  <c r="AN357" i="1"/>
  <c r="K410" i="1"/>
  <c r="BK877" i="1"/>
  <c r="AD29" i="9"/>
  <c r="AD33" i="9" s="1"/>
  <c r="AD319" i="1"/>
  <c r="AD52" i="9" s="1"/>
  <c r="V104" i="9"/>
  <c r="V402" i="1"/>
  <c r="V395" i="1"/>
  <c r="V389" i="1"/>
  <c r="V169" i="1"/>
  <c r="V326" i="1"/>
  <c r="V56" i="9" s="1"/>
  <c r="AQ877" i="1"/>
  <c r="S237" i="1"/>
  <c r="AG47" i="9"/>
  <c r="AG129" i="9" s="1"/>
  <c r="AG327" i="1"/>
  <c r="AG57" i="9" s="1"/>
  <c r="AG174" i="1"/>
  <c r="AR112" i="9"/>
  <c r="AN33" i="9"/>
  <c r="D104" i="9"/>
  <c r="D326" i="1"/>
  <c r="D56" i="9" s="1"/>
  <c r="D389" i="1"/>
  <c r="D402" i="1"/>
  <c r="D395" i="1"/>
  <c r="D169" i="1"/>
  <c r="D171" i="1" s="1"/>
  <c r="BM351" i="1"/>
  <c r="BM353" i="1" s="1"/>
  <c r="BM33" i="1"/>
  <c r="BM35" i="1" s="1"/>
  <c r="BU237" i="1"/>
  <c r="L104" i="9"/>
  <c r="L105" i="9" s="1"/>
  <c r="L395" i="1"/>
  <c r="L326" i="1"/>
  <c r="L56" i="9" s="1"/>
  <c r="L389" i="1"/>
  <c r="L402" i="1"/>
  <c r="L169" i="1"/>
  <c r="Z32" i="9"/>
  <c r="Z33" i="9" s="1"/>
  <c r="Z325" i="1"/>
  <c r="Z55" i="9" s="1"/>
  <c r="AX887" i="1"/>
  <c r="AX393" i="1"/>
  <c r="AX677" i="1"/>
  <c r="AX678" i="1" s="1"/>
  <c r="AX394" i="1"/>
  <c r="AX332" i="1" s="1"/>
  <c r="AQ237" i="1"/>
  <c r="BL395" i="1"/>
  <c r="BY380" i="1"/>
  <c r="K152" i="1"/>
  <c r="G152" i="1"/>
  <c r="BL123" i="1"/>
  <c r="BL125" i="1"/>
  <c r="BL124" i="1"/>
  <c r="BW395" i="1"/>
  <c r="AX141" i="1"/>
  <c r="BU17" i="11"/>
  <c r="BU962" i="1"/>
  <c r="BU90" i="1"/>
  <c r="BU88" i="1"/>
  <c r="BU87" i="1"/>
  <c r="BN235" i="1"/>
  <c r="BV126" i="1"/>
  <c r="AQ60" i="1"/>
  <c r="AQ48" i="1"/>
  <c r="AQ49" i="1"/>
  <c r="AQ17" i="1"/>
  <c r="X897" i="1"/>
  <c r="X883" i="1"/>
  <c r="AP60" i="1"/>
  <c r="AP48" i="1"/>
  <c r="AP49" i="1"/>
  <c r="AP17" i="1"/>
  <c r="AP63" i="1"/>
  <c r="AP64" i="1" s="1"/>
  <c r="BN241" i="1"/>
  <c r="M20" i="10"/>
  <c r="M33" i="10"/>
  <c r="BH3" i="12"/>
  <c r="N39" i="10"/>
  <c r="M13" i="10"/>
  <c r="B125" i="10"/>
  <c r="M80" i="10"/>
  <c r="M8" i="10"/>
  <c r="B93" i="10"/>
  <c r="B33" i="10"/>
  <c r="B20" i="10"/>
  <c r="M121" i="10"/>
  <c r="B150" i="10"/>
  <c r="B115" i="10"/>
  <c r="B121" i="10"/>
  <c r="N113" i="10"/>
  <c r="BR177" i="1"/>
  <c r="AS115" i="1"/>
  <c r="AO167" i="1"/>
  <c r="BQ114" i="1"/>
  <c r="AS89" i="1"/>
  <c r="AS91" i="1" s="1"/>
  <c r="BX71" i="1"/>
  <c r="BR223" i="1"/>
  <c r="BJ123" i="1"/>
  <c r="BQ113" i="1"/>
  <c r="AE596" i="1"/>
  <c r="BM962" i="1"/>
  <c r="C395" i="1"/>
  <c r="BN167" i="1"/>
  <c r="E127" i="1"/>
  <c r="B1111" i="1"/>
  <c r="B4" i="1" s="1"/>
  <c r="A2" i="1"/>
  <c r="BE72" i="1"/>
  <c r="BE71" i="1" s="1"/>
  <c r="BE84" i="1"/>
  <c r="BF68" i="1"/>
  <c r="BE68" i="1"/>
  <c r="BE21" i="1"/>
  <c r="AK63" i="1"/>
  <c r="AO64" i="1" s="1"/>
  <c r="BP111" i="1"/>
  <c r="BT126" i="1"/>
  <c r="BP113" i="1"/>
  <c r="BS601" i="1"/>
  <c r="BS606" i="1" s="1"/>
  <c r="BS605" i="1"/>
  <c r="BV604" i="1"/>
  <c r="BV602" i="1"/>
  <c r="BT649" i="1"/>
  <c r="BT645" i="1"/>
  <c r="BT650" i="1" s="1"/>
  <c r="AD605" i="1"/>
  <c r="AD601" i="1"/>
  <c r="AD603" i="1" s="1"/>
  <c r="AD602" i="1"/>
  <c r="AO648" i="1"/>
  <c r="AO646" i="1"/>
  <c r="AO629" i="1"/>
  <c r="BR648" i="1"/>
  <c r="BR646" i="1"/>
  <c r="AV646" i="1"/>
  <c r="AV645" i="1"/>
  <c r="AV649" i="1"/>
  <c r="BJ106" i="9"/>
  <c r="BJ107" i="9" s="1"/>
  <c r="BJ944" i="1"/>
  <c r="BJ953" i="1" s="1"/>
  <c r="BJ955" i="1" s="1"/>
  <c r="AW93" i="9"/>
  <c r="AL97" i="9"/>
  <c r="AL955" i="1"/>
  <c r="AL966" i="1"/>
  <c r="AR97" i="9"/>
  <c r="AR966" i="1"/>
  <c r="AR955" i="1"/>
  <c r="BC947" i="1"/>
  <c r="BX729" i="1"/>
  <c r="BU860" i="1"/>
  <c r="BT547" i="1"/>
  <c r="BT553" i="1" s="1"/>
  <c r="AP551" i="1"/>
  <c r="BU551" i="1" s="1"/>
  <c r="AP547" i="1"/>
  <c r="AP549" i="1" s="1"/>
  <c r="AU550" i="1"/>
  <c r="AU548" i="1"/>
  <c r="M93" i="9"/>
  <c r="Z93" i="9"/>
  <c r="L966" i="1"/>
  <c r="BQ974" i="1"/>
  <c r="W827" i="1"/>
  <c r="W860" i="1" s="1"/>
  <c r="W659" i="1"/>
  <c r="Z889" i="1"/>
  <c r="AX548" i="1"/>
  <c r="AX550" i="1"/>
  <c r="BW550" i="1" s="1"/>
  <c r="AL548" i="1"/>
  <c r="AL550" i="1"/>
  <c r="BT550" i="1" s="1"/>
  <c r="BR977" i="1"/>
  <c r="T827" i="1"/>
  <c r="T661" i="1" s="1"/>
  <c r="T659" i="1"/>
  <c r="AQ107" i="9"/>
  <c r="Y860" i="1"/>
  <c r="O93" i="9"/>
  <c r="F857" i="1"/>
  <c r="F674" i="1"/>
  <c r="F71" i="9" s="1"/>
  <c r="BM974" i="1"/>
  <c r="AX857" i="1"/>
  <c r="AX674" i="1"/>
  <c r="AX71" i="9" s="1"/>
  <c r="AM100" i="9"/>
  <c r="AM85" i="9"/>
  <c r="J827" i="1"/>
  <c r="J661" i="1" s="1"/>
  <c r="J659" i="1"/>
  <c r="AP107" i="9"/>
  <c r="AL669" i="1"/>
  <c r="AL841" i="1"/>
  <c r="BT976" i="1" s="1"/>
  <c r="AE100" i="9"/>
  <c r="AE85" i="9"/>
  <c r="W100" i="9"/>
  <c r="W85" i="9"/>
  <c r="AV549" i="1"/>
  <c r="AY541" i="1"/>
  <c r="AY538" i="1"/>
  <c r="AU508" i="1"/>
  <c r="BW513" i="1"/>
  <c r="BW508" i="1" s="1"/>
  <c r="AV33" i="9"/>
  <c r="P112" i="9"/>
  <c r="L33" i="9"/>
  <c r="BU112" i="9"/>
  <c r="BT33" i="9"/>
  <c r="AM112" i="9"/>
  <c r="AI33" i="9"/>
  <c r="AT538" i="1"/>
  <c r="AT541" i="1"/>
  <c r="AG533" i="1"/>
  <c r="AG534" i="1" s="1"/>
  <c r="AG538" i="1"/>
  <c r="AG541" i="1"/>
  <c r="AP877" i="1"/>
  <c r="AS112" i="9"/>
  <c r="AO33" i="9"/>
  <c r="AH357" i="1"/>
  <c r="AH355" i="1"/>
  <c r="BU47" i="9"/>
  <c r="BU129" i="9" s="1"/>
  <c r="BU327" i="1"/>
  <c r="BU57" i="9" s="1"/>
  <c r="BU174" i="1"/>
  <c r="I410" i="1"/>
  <c r="AU47" i="9"/>
  <c r="AU129" i="9" s="1"/>
  <c r="AU327" i="1"/>
  <c r="AU57" i="9" s="1"/>
  <c r="AU174" i="1"/>
  <c r="BT224" i="1"/>
  <c r="BT221" i="1"/>
  <c r="BT10" i="1"/>
  <c r="BL112" i="9"/>
  <c r="BK33" i="9"/>
  <c r="AS395" i="1"/>
  <c r="BR357" i="1"/>
  <c r="BR355" i="1"/>
  <c r="AR104" i="9"/>
  <c r="AU105" i="9" s="1"/>
  <c r="AR389" i="1"/>
  <c r="AR402" i="1"/>
  <c r="AR395" i="1"/>
  <c r="AR326" i="1"/>
  <c r="AR56" i="9" s="1"/>
  <c r="AR169" i="1"/>
  <c r="AO225" i="1"/>
  <c r="AW99" i="1"/>
  <c r="AQ876" i="1"/>
  <c r="S104" i="9"/>
  <c r="S389" i="1"/>
  <c r="S402" i="1"/>
  <c r="S395" i="1"/>
  <c r="S169" i="1"/>
  <c r="S326" i="1"/>
  <c r="S56" i="9" s="1"/>
  <c r="BJ104" i="9"/>
  <c r="BJ105" i="9" s="1"/>
  <c r="BJ326" i="1"/>
  <c r="BJ56" i="9" s="1"/>
  <c r="BJ389" i="1"/>
  <c r="BJ402" i="1"/>
  <c r="BJ395" i="1"/>
  <c r="BJ169" i="1"/>
  <c r="BK170" i="1" s="1"/>
  <c r="AO143" i="1"/>
  <c r="BI410" i="1"/>
  <c r="M395" i="1"/>
  <c r="AB104" i="9"/>
  <c r="AB326" i="1"/>
  <c r="AB56" i="9" s="1"/>
  <c r="AB389" i="1"/>
  <c r="AB402" i="1"/>
  <c r="AB395" i="1"/>
  <c r="AB169" i="1"/>
  <c r="BM224" i="1"/>
  <c r="BM221" i="1"/>
  <c r="BM10" i="1"/>
  <c r="BM12" i="1" s="1"/>
  <c r="BP876" i="1"/>
  <c r="AX104" i="9"/>
  <c r="AX105" i="9" s="1"/>
  <c r="AX326" i="1"/>
  <c r="AX56" i="9" s="1"/>
  <c r="AX389" i="1"/>
  <c r="AX169" i="1"/>
  <c r="AX538" i="1"/>
  <c r="AX541" i="1"/>
  <c r="BL965" i="1"/>
  <c r="BV402" i="1"/>
  <c r="AB370" i="1"/>
  <c r="BU241" i="1"/>
  <c r="AN127" i="1"/>
  <c r="BW17" i="11"/>
  <c r="BW962" i="1"/>
  <c r="BW88" i="1"/>
  <c r="BW87" i="1"/>
  <c r="BW90" i="1"/>
  <c r="BW91" i="1" s="1"/>
  <c r="BL126" i="1"/>
  <c r="BW410" i="1"/>
  <c r="BW959" i="1" s="1"/>
  <c r="AI581" i="1"/>
  <c r="AT17" i="11"/>
  <c r="AT962" i="1"/>
  <c r="AT90" i="1"/>
  <c r="AT88" i="1"/>
  <c r="AT87" i="1"/>
  <c r="BX69" i="1"/>
  <c r="BX21" i="1"/>
  <c r="BX23" i="1" s="1"/>
  <c r="BX18" i="9" s="1"/>
  <c r="BX72" i="1"/>
  <c r="BM234" i="1"/>
  <c r="BD527" i="1"/>
  <c r="BD531" i="1"/>
  <c r="Y897" i="1"/>
  <c r="BN111" i="1"/>
  <c r="H20" i="11"/>
  <c r="H29" i="1" s="1"/>
  <c r="H20" i="9" s="1"/>
  <c r="AM170" i="1"/>
  <c r="AM171" i="1"/>
  <c r="AM172" i="1" s="1"/>
  <c r="BQ162" i="1"/>
  <c r="BV123" i="1"/>
  <c r="BV127" i="1" s="1"/>
  <c r="BS91" i="1"/>
  <c r="BU89" i="1"/>
  <c r="N86" i="10"/>
  <c r="B39" i="10"/>
  <c r="M93" i="10"/>
  <c r="M43" i="10"/>
  <c r="N130" i="10"/>
  <c r="B54" i="10"/>
  <c r="B19" i="10"/>
  <c r="B6" i="10"/>
  <c r="B14" i="10"/>
  <c r="N99" i="10"/>
  <c r="M44" i="10"/>
  <c r="N27" i="10"/>
  <c r="B130" i="10"/>
  <c r="N136" i="10"/>
  <c r="B94" i="10"/>
  <c r="B118" i="10"/>
  <c r="M115" i="10"/>
  <c r="AT89" i="1"/>
  <c r="AC157" i="1"/>
  <c r="AD140" i="1"/>
  <c r="AD137" i="1"/>
  <c r="AD85" i="1"/>
  <c r="AD141" i="1"/>
  <c r="BW115" i="1"/>
  <c r="BP962" i="1"/>
  <c r="BT222" i="1"/>
  <c r="L167" i="1"/>
  <c r="AB20" i="11"/>
  <c r="AB29" i="1" s="1"/>
  <c r="AB20" i="9" s="1"/>
  <c r="U167" i="1"/>
  <c r="O20" i="11"/>
  <c r="O29" i="1" s="1"/>
  <c r="O20" i="9" s="1"/>
  <c r="AF596" i="1"/>
  <c r="AO115" i="1"/>
  <c r="BM20" i="11"/>
  <c r="BM29" i="1" s="1"/>
  <c r="BM20" i="9" s="1"/>
  <c r="AY402" i="1"/>
  <c r="C410" i="1"/>
  <c r="BE166" i="1"/>
  <c r="CB667" i="1"/>
  <c r="CB618" i="1" s="1"/>
  <c r="CB620" i="1" s="1"/>
  <c r="CB621" i="1" s="1"/>
  <c r="AR75" i="1"/>
  <c r="BR112" i="1"/>
  <c r="AJ48" i="1"/>
  <c r="BE5" i="12"/>
  <c r="AF648" i="1"/>
  <c r="AF646" i="1"/>
  <c r="AI601" i="1"/>
  <c r="AI603" i="1" s="1"/>
  <c r="AI605" i="1"/>
  <c r="BW602" i="1"/>
  <c r="BW604" i="1"/>
  <c r="AS648" i="1"/>
  <c r="AS629" i="1"/>
  <c r="AS646" i="1"/>
  <c r="AR601" i="1"/>
  <c r="AR605" i="1"/>
  <c r="AF645" i="1"/>
  <c r="AF647" i="1" s="1"/>
  <c r="AF649" i="1"/>
  <c r="AQ604" i="1"/>
  <c r="AQ602" i="1"/>
  <c r="AC586" i="1"/>
  <c r="AC601" i="1"/>
  <c r="AC605" i="1"/>
  <c r="AB648" i="1"/>
  <c r="AB646" i="1"/>
  <c r="BR15" i="11"/>
  <c r="AJ604" i="1"/>
  <c r="AJ602" i="1"/>
  <c r="AY645" i="1"/>
  <c r="AY649" i="1"/>
  <c r="AM649" i="1"/>
  <c r="AM645" i="1"/>
  <c r="AM647" i="1" s="1"/>
  <c r="AK604" i="1"/>
  <c r="AK585" i="1"/>
  <c r="AK602" i="1"/>
  <c r="AJ883" i="1"/>
  <c r="BP894" i="1"/>
  <c r="BP892" i="1"/>
  <c r="BP883" i="1"/>
  <c r="AW548" i="1"/>
  <c r="AW550" i="1"/>
  <c r="AV93" i="9"/>
  <c r="BI97" i="9"/>
  <c r="BI98" i="9" s="1"/>
  <c r="BI955" i="1"/>
  <c r="BI966" i="1"/>
  <c r="BT548" i="1"/>
  <c r="AP548" i="1"/>
  <c r="AP550" i="1"/>
  <c r="BU550" i="1" s="1"/>
  <c r="AH92" i="9"/>
  <c r="AH93" i="9" s="1"/>
  <c r="BW893" i="1"/>
  <c r="BW889" i="1"/>
  <c r="BW895" i="1"/>
  <c r="BY841" i="1"/>
  <c r="BY665" i="1"/>
  <c r="BV895" i="1"/>
  <c r="BV893" i="1"/>
  <c r="M98" i="9"/>
  <c r="L98" i="9"/>
  <c r="E860" i="1"/>
  <c r="BS827" i="1"/>
  <c r="BS860" i="1" s="1"/>
  <c r="BS659" i="1"/>
  <c r="J857" i="1"/>
  <c r="J674" i="1"/>
  <c r="J71" i="9" s="1"/>
  <c r="AJ97" i="9"/>
  <c r="AJ955" i="1"/>
  <c r="AJ966" i="1"/>
  <c r="AN883" i="1"/>
  <c r="R665" i="1"/>
  <c r="R968" i="1" s="1"/>
  <c r="R841" i="1"/>
  <c r="R860" i="1" s="1"/>
  <c r="AH791" i="1"/>
  <c r="N98" i="9"/>
  <c r="AS966" i="1"/>
  <c r="BP107" i="9"/>
  <c r="BP108" i="9" s="1"/>
  <c r="BP109" i="9" s="1"/>
  <c r="C794" i="1"/>
  <c r="F791" i="1"/>
  <c r="F794" i="1" s="1"/>
  <c r="BR827" i="1"/>
  <c r="BR659" i="1"/>
  <c r="G860" i="1"/>
  <c r="D100" i="9"/>
  <c r="AH877" i="1"/>
  <c r="AG85" i="9"/>
  <c r="AG100" i="9"/>
  <c r="G100" i="9"/>
  <c r="G85" i="9"/>
  <c r="R100" i="9"/>
  <c r="R85" i="9"/>
  <c r="X100" i="9"/>
  <c r="X85" i="9"/>
  <c r="Z100" i="9"/>
  <c r="Z85" i="9"/>
  <c r="BK62" i="9"/>
  <c r="BK64" i="9" s="1"/>
  <c r="BK680" i="1"/>
  <c r="BK681" i="1" s="1"/>
  <c r="BK682" i="1" s="1"/>
  <c r="BK683" i="1" s="1"/>
  <c r="BK662" i="1"/>
  <c r="BQ37" i="9"/>
  <c r="AY33" i="9"/>
  <c r="S112" i="9"/>
  <c r="O33" i="9"/>
  <c r="Q112" i="9"/>
  <c r="M33" i="9"/>
  <c r="BU557" i="1"/>
  <c r="AP557" i="1"/>
  <c r="AO557" i="1"/>
  <c r="BU541" i="1"/>
  <c r="AN557" i="1"/>
  <c r="AM557" i="1"/>
  <c r="AJ533" i="1"/>
  <c r="AJ534" i="1" s="1"/>
  <c r="AJ541" i="1"/>
  <c r="AJ538" i="1"/>
  <c r="AV418" i="1"/>
  <c r="BN104" i="9"/>
  <c r="BN105" i="9" s="1"/>
  <c r="BN389" i="1"/>
  <c r="BN402" i="1"/>
  <c r="BN395" i="1"/>
  <c r="BN169" i="1"/>
  <c r="BN326" i="1"/>
  <c r="BN56" i="9" s="1"/>
  <c r="AT876" i="1"/>
  <c r="AH37" i="9"/>
  <c r="AH417" i="1"/>
  <c r="N128" i="10" s="1"/>
  <c r="AT112" i="9"/>
  <c r="AP33" i="9"/>
  <c r="AC876" i="1"/>
  <c r="V357" i="1"/>
  <c r="V355" i="1"/>
  <c r="K897" i="1"/>
  <c r="AU333" i="1"/>
  <c r="AU396" i="1"/>
  <c r="BV10" i="1"/>
  <c r="BV221" i="1"/>
  <c r="BV224" i="1"/>
  <c r="BV223" i="1"/>
  <c r="AQ225" i="1"/>
  <c r="AS410" i="1"/>
  <c r="AR541" i="1"/>
  <c r="AR538" i="1"/>
  <c r="AI237" i="1"/>
  <c r="AK99" i="1"/>
  <c r="AL104" i="9"/>
  <c r="AL105" i="9" s="1"/>
  <c r="AL326" i="1"/>
  <c r="AL56" i="9" s="1"/>
  <c r="AL389" i="1"/>
  <c r="AL402" i="1"/>
  <c r="AL169" i="1"/>
  <c r="AU112" i="9"/>
  <c r="AQ33" i="9"/>
  <c r="K112" i="9"/>
  <c r="G33" i="9"/>
  <c r="AK410" i="1"/>
  <c r="AK959" i="1" s="1"/>
  <c r="BQ234" i="1"/>
  <c r="AC143" i="1"/>
  <c r="BI47" i="9"/>
  <c r="BI129" i="9" s="1"/>
  <c r="BI174" i="1"/>
  <c r="BI327" i="1"/>
  <c r="BI57" i="9" s="1"/>
  <c r="BV234" i="1"/>
  <c r="BV7" i="1"/>
  <c r="BV9" i="1" s="1"/>
  <c r="BV235" i="1"/>
  <c r="BH47" i="9"/>
  <c r="BH129" i="9" s="1"/>
  <c r="BH327" i="1"/>
  <c r="BH57" i="9" s="1"/>
  <c r="BH174" i="1"/>
  <c r="BH177" i="1" s="1"/>
  <c r="H112" i="9"/>
  <c r="D33" i="9"/>
  <c r="AG351" i="1"/>
  <c r="AG353" i="1" s="1"/>
  <c r="AG33" i="1"/>
  <c r="AG35" i="1" s="1"/>
  <c r="AE237" i="1"/>
  <c r="BM222" i="1"/>
  <c r="BP877" i="1"/>
  <c r="N876" i="1"/>
  <c r="BL47" i="9"/>
  <c r="BL129" i="9" s="1"/>
  <c r="BL327" i="1"/>
  <c r="BL57" i="9" s="1"/>
  <c r="BL174" i="1"/>
  <c r="BV47" i="9"/>
  <c r="BV129" i="9" s="1"/>
  <c r="BV327" i="1"/>
  <c r="BV57" i="9" s="1"/>
  <c r="BV174" i="1"/>
  <c r="AK541" i="1"/>
  <c r="BL224" i="1"/>
  <c r="BC68" i="1"/>
  <c r="BY67" i="1"/>
  <c r="BC21" i="1"/>
  <c r="BC72" i="1"/>
  <c r="BC71" i="1"/>
  <c r="BC84" i="1"/>
  <c r="BY667" i="1"/>
  <c r="BY618" i="1" s="1"/>
  <c r="BR40" i="1"/>
  <c r="BR15" i="9" s="1"/>
  <c r="BQ40" i="1"/>
  <c r="BQ15" i="9" s="1"/>
  <c r="AU17" i="11"/>
  <c r="AU962" i="1"/>
  <c r="AU88" i="1"/>
  <c r="AU87" i="1"/>
  <c r="AU90" i="1"/>
  <c r="BW47" i="9"/>
  <c r="BW129" i="9" s="1"/>
  <c r="BW327" i="1"/>
  <c r="BW57" i="9" s="1"/>
  <c r="BW174" i="1"/>
  <c r="Z127" i="1"/>
  <c r="BV99" i="1"/>
  <c r="AH17" i="11"/>
  <c r="AH19" i="11" s="1"/>
  <c r="AH962" i="1"/>
  <c r="AH90" i="1"/>
  <c r="AH88" i="1"/>
  <c r="AH87" i="1"/>
  <c r="AX64" i="1"/>
  <c r="BB63" i="1"/>
  <c r="BL233" i="1"/>
  <c r="AQ103" i="1"/>
  <c r="AC19" i="9"/>
  <c r="AM395" i="1"/>
  <c r="AU89" i="1"/>
  <c r="M100" i="10"/>
  <c r="N59" i="10"/>
  <c r="M148" i="10"/>
  <c r="M86" i="10"/>
  <c r="M103" i="10"/>
  <c r="M47" i="10"/>
  <c r="M31" i="10"/>
  <c r="N140" i="10"/>
  <c r="M138" i="10"/>
  <c r="B123" i="10"/>
  <c r="AG115" i="1"/>
  <c r="AH89" i="1"/>
  <c r="AH91" i="1" s="1"/>
  <c r="AC162" i="1"/>
  <c r="AD142" i="1"/>
  <c r="BK115" i="1"/>
  <c r="AT167" i="1"/>
  <c r="AP142" i="1"/>
  <c r="AP140" i="1"/>
  <c r="AP141" i="1"/>
  <c r="AP137" i="1"/>
  <c r="AJ99" i="1"/>
  <c r="BO224" i="1"/>
  <c r="BQ233" i="1"/>
  <c r="T167" i="1"/>
  <c r="BS581" i="1"/>
  <c r="AY47" i="9"/>
  <c r="AY129" i="9" s="1"/>
  <c r="AY327" i="1"/>
  <c r="AY57" i="9" s="1"/>
  <c r="AY174" i="1"/>
  <c r="C47" i="9"/>
  <c r="C129" i="9" s="1"/>
  <c r="C327" i="1"/>
  <c r="C57" i="9" s="1"/>
  <c r="C174" i="1"/>
  <c r="C177" i="1" s="1"/>
  <c r="T162" i="1"/>
  <c r="AQ963" i="1"/>
  <c r="AG15" i="9"/>
  <c r="AS63" i="1"/>
  <c r="AS64" i="1" s="1"/>
  <c r="BD68" i="1"/>
  <c r="BS112" i="1"/>
  <c r="AU648" i="1"/>
  <c r="AU646" i="1"/>
  <c r="AF601" i="1"/>
  <c r="AF605" i="1"/>
  <c r="AL601" i="1"/>
  <c r="AL603" i="1" s="1"/>
  <c r="AL605" i="1"/>
  <c r="AG586" i="1"/>
  <c r="AG605" i="1"/>
  <c r="AG601" i="1"/>
  <c r="AG603" i="1" s="1"/>
  <c r="AQ601" i="1"/>
  <c r="AQ603" i="1" s="1"/>
  <c r="AQ605" i="1"/>
  <c r="AO547" i="1"/>
  <c r="AO549" i="1" s="1"/>
  <c r="AO548" i="1"/>
  <c r="AO551" i="1"/>
  <c r="AS601" i="1"/>
  <c r="AS603" i="1" s="1"/>
  <c r="AS605" i="1"/>
  <c r="AS586" i="1"/>
  <c r="AU601" i="1"/>
  <c r="AU603" i="1" s="1"/>
  <c r="AU605" i="1"/>
  <c r="AI648" i="1"/>
  <c r="AI646" i="1"/>
  <c r="BV649" i="1"/>
  <c r="BV645" i="1"/>
  <c r="BV650" i="1" s="1"/>
  <c r="AR646" i="1"/>
  <c r="AR648" i="1"/>
  <c r="BT605" i="1"/>
  <c r="BT601" i="1"/>
  <c r="BT606" i="1" s="1"/>
  <c r="AD646" i="1"/>
  <c r="AD648" i="1"/>
  <c r="AC646" i="1"/>
  <c r="AC629" i="1"/>
  <c r="AC648" i="1"/>
  <c r="AN645" i="1"/>
  <c r="AN647" i="1" s="1"/>
  <c r="AN649" i="1"/>
  <c r="AW604" i="1"/>
  <c r="AW602" i="1"/>
  <c r="AW585" i="1"/>
  <c r="BP974" i="1"/>
  <c r="S827" i="1"/>
  <c r="S860" i="1" s="1"/>
  <c r="S659" i="1"/>
  <c r="AT106" i="9"/>
  <c r="AV107" i="9" s="1"/>
  <c r="AT944" i="1"/>
  <c r="AT953" i="1" s="1"/>
  <c r="AT955" i="1" s="1"/>
  <c r="F106" i="9"/>
  <c r="G107" i="9" s="1"/>
  <c r="F944" i="1"/>
  <c r="F953" i="1" s="1"/>
  <c r="F955" i="1" s="1"/>
  <c r="O889" i="1"/>
  <c r="Z935" i="1"/>
  <c r="Z874" i="1"/>
  <c r="Z877" i="1" s="1"/>
  <c r="AI97" i="9"/>
  <c r="AI966" i="1"/>
  <c r="AI955" i="1"/>
  <c r="BL107" i="9"/>
  <c r="BL108" i="9" s="1"/>
  <c r="BL109" i="9" s="1"/>
  <c r="BI827" i="1"/>
  <c r="BI659" i="1"/>
  <c r="BU889" i="1"/>
  <c r="BV827" i="1"/>
  <c r="BV659" i="1"/>
  <c r="V857" i="1"/>
  <c r="V674" i="1"/>
  <c r="V71" i="9" s="1"/>
  <c r="BN860" i="1"/>
  <c r="AL876" i="1"/>
  <c r="AB883" i="1"/>
  <c r="BO977" i="1"/>
  <c r="AH857" i="1"/>
  <c r="AH674" i="1"/>
  <c r="AH71" i="9" s="1"/>
  <c r="AP876" i="1"/>
  <c r="AF827" i="1"/>
  <c r="AF661" i="1" s="1"/>
  <c r="AF659" i="1"/>
  <c r="AQ966" i="1"/>
  <c r="BL977" i="1"/>
  <c r="AH106" i="9"/>
  <c r="AH944" i="1"/>
  <c r="AH953" i="1" s="1"/>
  <c r="AH955" i="1" s="1"/>
  <c r="AA85" i="9"/>
  <c r="AA100" i="9"/>
  <c r="Q860" i="1"/>
  <c r="BA8" i="9"/>
  <c r="BA961" i="1"/>
  <c r="BB693" i="1"/>
  <c r="BA691" i="1"/>
  <c r="BA934" i="1" s="1"/>
  <c r="J966" i="1"/>
  <c r="BT100" i="9"/>
  <c r="BT101" i="9" s="1"/>
  <c r="BT102" i="9" s="1"/>
  <c r="BT85" i="9"/>
  <c r="BT705" i="1"/>
  <c r="BT706" i="1"/>
  <c r="V85" i="9"/>
  <c r="BO976" i="1"/>
  <c r="BU977" i="1"/>
  <c r="BV100" i="9"/>
  <c r="BV85" i="9"/>
  <c r="BV706" i="1"/>
  <c r="BV705" i="1"/>
  <c r="Z69" i="9"/>
  <c r="Z971" i="1"/>
  <c r="C64" i="9"/>
  <c r="AW547" i="1"/>
  <c r="BK684" i="1"/>
  <c r="BK663" i="1"/>
  <c r="BK715" i="1" s="1"/>
  <c r="BK660" i="1"/>
  <c r="BM101" i="9"/>
  <c r="BM102" i="9" s="1"/>
  <c r="AP37" i="9"/>
  <c r="AW541" i="1"/>
  <c r="AW538" i="1"/>
  <c r="AW551" i="1"/>
  <c r="AJ418" i="1"/>
  <c r="BO104" i="9"/>
  <c r="BO105" i="9" s="1"/>
  <c r="BO389" i="1"/>
  <c r="BO402" i="1"/>
  <c r="BO417" i="1" s="1"/>
  <c r="BO395" i="1"/>
  <c r="BO169" i="1"/>
  <c r="BO326" i="1"/>
  <c r="BO56" i="9" s="1"/>
  <c r="BL476" i="1"/>
  <c r="BL489" i="1" s="1"/>
  <c r="AO104" i="9"/>
  <c r="AO389" i="1"/>
  <c r="AO402" i="1"/>
  <c r="AO395" i="1"/>
  <c r="AO169" i="1"/>
  <c r="AO326" i="1"/>
  <c r="AO56" i="9" s="1"/>
  <c r="AX112" i="9"/>
  <c r="AT33" i="9"/>
  <c r="BS357" i="1"/>
  <c r="BS355" i="1"/>
  <c r="BS959" i="1" s="1"/>
  <c r="AD34" i="9"/>
  <c r="AD701" i="1"/>
  <c r="AD702" i="1" s="1"/>
  <c r="AL645" i="1"/>
  <c r="AN552" i="1"/>
  <c r="AN553" i="1"/>
  <c r="AO527" i="1"/>
  <c r="AO531" i="1" s="1"/>
  <c r="AV417" i="1"/>
  <c r="AC877" i="1"/>
  <c r="AP399" i="1"/>
  <c r="AP34" i="9" s="1"/>
  <c r="BU333" i="1"/>
  <c r="BU396" i="1"/>
  <c r="AL392" i="1"/>
  <c r="AL330" i="1" s="1"/>
  <c r="AL331" i="1"/>
  <c r="BJ224" i="1"/>
  <c r="BJ223" i="1"/>
  <c r="BJ221" i="1"/>
  <c r="BJ10" i="1"/>
  <c r="BS47" i="9"/>
  <c r="BS129" i="9" s="1"/>
  <c r="BS327" i="1"/>
  <c r="BS57" i="9" s="1"/>
  <c r="BS174" i="1"/>
  <c r="BS224" i="1"/>
  <c r="BS221" i="1"/>
  <c r="BS10" i="1"/>
  <c r="BS12" i="1" s="1"/>
  <c r="X112" i="9"/>
  <c r="T33" i="9"/>
  <c r="U237" i="1"/>
  <c r="AQ143" i="1"/>
  <c r="AK47" i="9"/>
  <c r="AK129" i="9" s="1"/>
  <c r="AK327" i="1"/>
  <c r="AK57" i="9" s="1"/>
  <c r="AK174" i="1"/>
  <c r="BP237" i="1"/>
  <c r="BQ235" i="1"/>
  <c r="BS555" i="1"/>
  <c r="BQ104" i="9"/>
  <c r="BQ105" i="9" s="1"/>
  <c r="BQ389" i="1"/>
  <c r="BQ402" i="1"/>
  <c r="BQ417" i="1" s="1"/>
  <c r="BQ395" i="1"/>
  <c r="BQ326" i="1"/>
  <c r="BQ56" i="9" s="1"/>
  <c r="BQ169" i="1"/>
  <c r="AV392" i="1"/>
  <c r="AV331" i="1"/>
  <c r="BQ112" i="9"/>
  <c r="BP33" i="9"/>
  <c r="AG395" i="1"/>
  <c r="AX33" i="9"/>
  <c r="R112" i="9"/>
  <c r="N33" i="9"/>
  <c r="BN223" i="1"/>
  <c r="BM123" i="1"/>
  <c r="BM124" i="1"/>
  <c r="BD24" i="9"/>
  <c r="BD79" i="1"/>
  <c r="BD15" i="1"/>
  <c r="BQ236" i="1"/>
  <c r="BW157" i="1"/>
  <c r="AI17" i="11"/>
  <c r="AI19" i="11" s="1"/>
  <c r="AI20" i="11" s="1"/>
  <c r="AI29" i="1" s="1"/>
  <c r="AI20" i="9" s="1"/>
  <c r="AI962" i="1"/>
  <c r="AI88" i="1"/>
  <c r="AI87" i="1"/>
  <c r="AI90" i="1"/>
  <c r="AY64" i="1"/>
  <c r="BC63" i="1"/>
  <c r="T157" i="1"/>
  <c r="AR99" i="1"/>
  <c r="AL64" i="1"/>
  <c r="BN143" i="1"/>
  <c r="AQ99" i="1"/>
  <c r="AP237" i="1"/>
  <c r="F237" i="1"/>
  <c r="BM143" i="1"/>
  <c r="AM402" i="1"/>
  <c r="BL235" i="1"/>
  <c r="AI89" i="1"/>
  <c r="BU209" i="1"/>
  <c r="BU212" i="1" s="1"/>
  <c r="BU202" i="1"/>
  <c r="M39" i="10"/>
  <c r="M53" i="10"/>
  <c r="B114" i="10"/>
  <c r="M61" i="10"/>
  <c r="M65" i="10"/>
  <c r="BJ3" i="12"/>
  <c r="B38" i="10"/>
  <c r="M88" i="10"/>
  <c r="M25" i="10"/>
  <c r="B53" i="10"/>
  <c r="B37" i="10"/>
  <c r="B148" i="10"/>
  <c r="M104" i="10"/>
  <c r="M131" i="10"/>
  <c r="B126" i="10"/>
  <c r="AH225" i="1"/>
  <c r="BR224" i="1"/>
  <c r="BQ962" i="1"/>
  <c r="BV202" i="1"/>
  <c r="BV209" i="1"/>
  <c r="BV212" i="1" s="1"/>
  <c r="AC167" i="1"/>
  <c r="AT143" i="1"/>
  <c r="AO17" i="11"/>
  <c r="AO962" i="1"/>
  <c r="AO90" i="1"/>
  <c r="AO89" i="1"/>
  <c r="AO91" i="1" s="1"/>
  <c r="AO88" i="1"/>
  <c r="AO87" i="1"/>
  <c r="AH167" i="1"/>
  <c r="P20" i="11"/>
  <c r="P29" i="1" s="1"/>
  <c r="P20" i="9" s="1"/>
  <c r="BQ223" i="1"/>
  <c r="L162" i="1"/>
  <c r="AP115" i="1"/>
  <c r="AQ63" i="1"/>
  <c r="AQ64" i="1" s="1"/>
  <c r="BR222" i="1"/>
  <c r="U143" i="1"/>
  <c r="AC115" i="1"/>
  <c r="AX962" i="1"/>
  <c r="BK1" i="9"/>
  <c r="BK1102" i="1"/>
  <c r="BK1072" i="1"/>
  <c r="BK430" i="1"/>
  <c r="BK3" i="1"/>
  <c r="C4" i="1"/>
  <c r="BA94" i="1"/>
  <c r="BA73" i="1"/>
  <c r="BA53" i="1"/>
  <c r="AV152" i="1"/>
  <c r="BV962" i="1"/>
  <c r="BU63" i="1"/>
  <c r="BU64" i="1" s="1"/>
  <c r="AY75" i="1"/>
  <c r="AJ24" i="9"/>
  <c r="AJ15" i="1"/>
  <c r="AN58" i="1"/>
  <c r="AN25" i="9" s="1"/>
  <c r="AJ79" i="1"/>
  <c r="BW649" i="1"/>
  <c r="BW645" i="1"/>
  <c r="BW650" i="1" s="1"/>
  <c r="BT646" i="1"/>
  <c r="BT648" i="1"/>
  <c r="AD649" i="1"/>
  <c r="AD645" i="1"/>
  <c r="AD647" i="1" s="1"/>
  <c r="BS604" i="1"/>
  <c r="BS602" i="1"/>
  <c r="AK645" i="1"/>
  <c r="AK647" i="1" s="1"/>
  <c r="AK649" i="1"/>
  <c r="AK630" i="1"/>
  <c r="AH601" i="1"/>
  <c r="AH603" i="1" s="1"/>
  <c r="AH605" i="1"/>
  <c r="BU548" i="1"/>
  <c r="BU547" i="1"/>
  <c r="AY827" i="1"/>
  <c r="AY659" i="1"/>
  <c r="AS550" i="1"/>
  <c r="AS548" i="1"/>
  <c r="L93" i="9"/>
  <c r="AT551" i="1"/>
  <c r="BV551" i="1" s="1"/>
  <c r="AT547" i="1"/>
  <c r="BQ106" i="9"/>
  <c r="BQ107" i="9" s="1"/>
  <c r="BQ944" i="1"/>
  <c r="BQ953" i="1" s="1"/>
  <c r="BQ955" i="1" s="1"/>
  <c r="U966" i="1"/>
  <c r="BK895" i="1"/>
  <c r="BK889" i="1"/>
  <c r="M827" i="1"/>
  <c r="M661" i="1" s="1"/>
  <c r="M659" i="1"/>
  <c r="AX877" i="1"/>
  <c r="BB874" i="1"/>
  <c r="BF874" i="1" s="1"/>
  <c r="AO659" i="1"/>
  <c r="AO827" i="1"/>
  <c r="AO661" i="1" s="1"/>
  <c r="AP665" i="1"/>
  <c r="AP968" i="1" s="1"/>
  <c r="AP841" i="1"/>
  <c r="BU976" i="1" s="1"/>
  <c r="BT827" i="1"/>
  <c r="BT659" i="1"/>
  <c r="AD92" i="9"/>
  <c r="AF93" i="9" s="1"/>
  <c r="BO827" i="1"/>
  <c r="BO659" i="1"/>
  <c r="AD665" i="1"/>
  <c r="AD968" i="1" s="1"/>
  <c r="AD841" i="1"/>
  <c r="BR976" i="1" s="1"/>
  <c r="AD373" i="1"/>
  <c r="F827" i="1"/>
  <c r="F661" i="1" s="1"/>
  <c r="F659" i="1"/>
  <c r="V106" i="9"/>
  <c r="V944" i="1"/>
  <c r="V953" i="1" s="1"/>
  <c r="V955" i="1" s="1"/>
  <c r="C860" i="1"/>
  <c r="BV892" i="1"/>
  <c r="BV894" i="1"/>
  <c r="X827" i="1"/>
  <c r="X659" i="1"/>
  <c r="AL815" i="1"/>
  <c r="BT974" i="1" s="1"/>
  <c r="P827" i="1"/>
  <c r="P661" i="1" s="1"/>
  <c r="P659" i="1"/>
  <c r="Q684" i="1"/>
  <c r="Q685" i="1" s="1"/>
  <c r="Q686" i="1" s="1"/>
  <c r="Q687" i="1" s="1"/>
  <c r="Q663" i="1"/>
  <c r="Q660" i="1"/>
  <c r="J98" i="9"/>
  <c r="AF85" i="9"/>
  <c r="AF100" i="9"/>
  <c r="BR85" i="9"/>
  <c r="BR100" i="9"/>
  <c r="BR705" i="1"/>
  <c r="BR706" i="1"/>
  <c r="AJ683" i="1"/>
  <c r="AN527" i="1"/>
  <c r="AN531" i="1" s="1"/>
  <c r="AN533" i="1" s="1"/>
  <c r="AN534" i="1" s="1"/>
  <c r="D64" i="9"/>
  <c r="G112" i="9"/>
  <c r="C33" i="9"/>
  <c r="BP37" i="9"/>
  <c r="BP417" i="1"/>
  <c r="AW876" i="1"/>
  <c r="BA873" i="1"/>
  <c r="BE873" i="1" s="1"/>
  <c r="AP104" i="9"/>
  <c r="AP389" i="1"/>
  <c r="AP169" i="1"/>
  <c r="AP326" i="1"/>
  <c r="AP56" i="9" s="1"/>
  <c r="W876" i="1"/>
  <c r="AC104" i="9"/>
  <c r="AC389" i="1"/>
  <c r="AC402" i="1"/>
  <c r="AC395" i="1"/>
  <c r="AC169" i="1"/>
  <c r="AC326" i="1"/>
  <c r="AC56" i="9" s="1"/>
  <c r="AH538" i="1"/>
  <c r="AH541" i="1"/>
  <c r="AH533" i="1"/>
  <c r="AH534" i="1" s="1"/>
  <c r="AK112" i="9"/>
  <c r="AG33" i="9"/>
  <c r="AG112" i="9"/>
  <c r="AC33" i="9"/>
  <c r="AP350" i="1"/>
  <c r="AP400" i="1" s="1"/>
  <c r="AP35" i="9" s="1"/>
  <c r="Y410" i="1"/>
  <c r="AH392" i="1"/>
  <c r="AH331" i="1"/>
  <c r="Z677" i="1"/>
  <c r="Z678" i="1" s="1"/>
  <c r="Z394" i="1"/>
  <c r="Z332" i="1" s="1"/>
  <c r="AW157" i="1"/>
  <c r="BA156" i="1"/>
  <c r="BO37" i="9"/>
  <c r="BS396" i="1"/>
  <c r="BS333" i="1"/>
  <c r="AX557" i="1"/>
  <c r="AW557" i="1"/>
  <c r="AV557" i="1"/>
  <c r="AU557" i="1"/>
  <c r="BW557" i="1"/>
  <c r="BW541" i="1"/>
  <c r="BU223" i="1"/>
  <c r="BU225" i="1" s="1"/>
  <c r="BU10" i="1"/>
  <c r="BU12" i="1" s="1"/>
  <c r="W47" i="9"/>
  <c r="W129" i="9" s="1"/>
  <c r="W327" i="1"/>
  <c r="W57" i="9" s="1"/>
  <c r="W174" i="1"/>
  <c r="AB225" i="1"/>
  <c r="H104" i="9"/>
  <c r="J105" i="9" s="1"/>
  <c r="H389" i="1"/>
  <c r="H402" i="1"/>
  <c r="H395" i="1"/>
  <c r="H326" i="1"/>
  <c r="H56" i="9" s="1"/>
  <c r="H169" i="1"/>
  <c r="G237" i="1"/>
  <c r="AE143" i="1"/>
  <c r="U395" i="1"/>
  <c r="S877" i="1"/>
  <c r="T237" i="1"/>
  <c r="AX143" i="1"/>
  <c r="AK395" i="1"/>
  <c r="BI333" i="1"/>
  <c r="BI396" i="1"/>
  <c r="BO233" i="1"/>
  <c r="AH555" i="1"/>
  <c r="BH395" i="1"/>
  <c r="AB876" i="1"/>
  <c r="AW959" i="1"/>
  <c r="AG410" i="1"/>
  <c r="AK538" i="1"/>
  <c r="BP222" i="1"/>
  <c r="BM126" i="1"/>
  <c r="BO234" i="1"/>
  <c r="BK157" i="1"/>
  <c r="AM64" i="1"/>
  <c r="AN963" i="1"/>
  <c r="BN236" i="1"/>
  <c r="BN237" i="1" s="1"/>
  <c r="BT89" i="1"/>
  <c r="BT91" i="1" s="1"/>
  <c r="BB94" i="1"/>
  <c r="BB73" i="1"/>
  <c r="AM47" i="9"/>
  <c r="AM129" i="9" s="1"/>
  <c r="AM327" i="1"/>
  <c r="AM57" i="9" s="1"/>
  <c r="AM174" i="1"/>
  <c r="BV233" i="1"/>
  <c r="AL142" i="1"/>
  <c r="BT241" i="1"/>
  <c r="BR17" i="11"/>
  <c r="BR19" i="11" s="1"/>
  <c r="BR20" i="11" s="1"/>
  <c r="BR29" i="1" s="1"/>
  <c r="BR20" i="9" s="1"/>
  <c r="BR962" i="1"/>
  <c r="BR88" i="1"/>
  <c r="BR87" i="1"/>
  <c r="BR90" i="1"/>
  <c r="BR89" i="1"/>
  <c r="BR91" i="1" s="1"/>
  <c r="B13" i="10"/>
  <c r="BK4" i="12"/>
  <c r="M151" i="10"/>
  <c r="N37" i="10"/>
  <c r="B59" i="10"/>
  <c r="M122" i="10"/>
  <c r="B67" i="10"/>
  <c r="B86" i="10"/>
  <c r="BK3" i="11"/>
  <c r="N45" i="10"/>
  <c r="M32" i="10"/>
  <c r="M92" i="10"/>
  <c r="B31" i="10"/>
  <c r="M126" i="10"/>
  <c r="BI4" i="11"/>
  <c r="N47" i="10"/>
  <c r="B151" i="10"/>
  <c r="B147" i="10"/>
  <c r="B113" i="10"/>
  <c r="B140" i="10"/>
  <c r="M156" i="10"/>
  <c r="M137" i="10"/>
  <c r="BT223" i="1"/>
  <c r="BR596" i="1"/>
  <c r="BR581" i="1"/>
  <c r="AD596" i="1"/>
  <c r="AD604" i="1"/>
  <c r="AP162" i="1"/>
  <c r="U115" i="1"/>
  <c r="BW63" i="1"/>
  <c r="BW64" i="1" s="1"/>
  <c r="BW60" i="1"/>
  <c r="BW49" i="1"/>
  <c r="BW17" i="1"/>
  <c r="C897" i="1"/>
  <c r="Q157" i="1"/>
  <c r="V167" i="1"/>
  <c r="BS222" i="1"/>
  <c r="AT162" i="1"/>
  <c r="R142" i="1"/>
  <c r="AX19" i="11"/>
  <c r="AX20" i="11" s="1"/>
  <c r="AX29" i="1" s="1"/>
  <c r="AX20" i="9" s="1"/>
  <c r="AX12" i="11"/>
  <c r="BW162" i="1"/>
  <c r="BN126" i="1"/>
  <c r="BN127" i="1" s="1"/>
  <c r="BL962" i="1"/>
  <c r="BR123" i="1"/>
  <c r="BR127" i="1" s="1"/>
  <c r="BB22" i="1"/>
  <c r="BA22" i="1"/>
  <c r="BA23" i="1"/>
  <c r="BA18" i="9" s="1"/>
  <c r="AZ83" i="1"/>
  <c r="AZ48" i="1"/>
  <c r="AZ49" i="1"/>
  <c r="AZ17" i="1"/>
  <c r="AJ152" i="1"/>
  <c r="BV19" i="11"/>
  <c r="BV20" i="11" s="1"/>
  <c r="BV29" i="1" s="1"/>
  <c r="BV20" i="9" s="1"/>
  <c r="BV12" i="11"/>
  <c r="N151" i="10"/>
  <c r="BY1060" i="1"/>
  <c r="CA1060" i="1"/>
  <c r="N72" i="10"/>
  <c r="N54" i="10"/>
  <c r="BE1060" i="1"/>
  <c r="N118" i="10"/>
  <c r="N93" i="10"/>
  <c r="N100" i="10"/>
  <c r="N122" i="10"/>
  <c r="N60" i="10"/>
  <c r="BD1060" i="1"/>
  <c r="N131" i="10"/>
  <c r="AZ1060" i="1"/>
  <c r="N13" i="10"/>
  <c r="BA1060" i="1"/>
  <c r="N126" i="10"/>
  <c r="N87" i="10"/>
  <c r="N75" i="10"/>
  <c r="N110" i="10"/>
  <c r="N147" i="10"/>
  <c r="N7" i="10"/>
  <c r="N114" i="10"/>
  <c r="N26" i="10"/>
  <c r="N104" i="10"/>
  <c r="N141" i="10"/>
  <c r="N48" i="10"/>
  <c r="N44" i="10"/>
  <c r="BZ1060" i="1"/>
  <c r="N38" i="10"/>
  <c r="N80" i="10"/>
  <c r="BC1060" i="1"/>
  <c r="CB1060" i="1"/>
  <c r="N137" i="10"/>
  <c r="N20" i="10"/>
  <c r="BX1060" i="1"/>
  <c r="N32" i="10"/>
  <c r="N66" i="10"/>
  <c r="BB1060" i="1"/>
  <c r="N157" i="10"/>
  <c r="H152" i="13" l="1"/>
  <c r="H108" i="13"/>
  <c r="G7" i="13"/>
  <c r="H8" i="13" s="1"/>
  <c r="H156" i="13"/>
  <c r="H72" i="13"/>
  <c r="H97" i="13"/>
  <c r="H95" i="13"/>
  <c r="H160" i="13"/>
  <c r="E100" i="13"/>
  <c r="E101" i="13" s="1"/>
  <c r="I68" i="13"/>
  <c r="H87" i="13"/>
  <c r="H76" i="13"/>
  <c r="O7" i="13"/>
  <c r="N135" i="13"/>
  <c r="H216" i="13"/>
  <c r="H99" i="13"/>
  <c r="Y149" i="14"/>
  <c r="R259" i="14"/>
  <c r="R258" i="14"/>
  <c r="R261" i="14"/>
  <c r="R260" i="14"/>
  <c r="H148" i="13"/>
  <c r="J123" i="13"/>
  <c r="J124" i="13" s="1"/>
  <c r="T46" i="14"/>
  <c r="T48" i="14" s="1"/>
  <c r="O231" i="14"/>
  <c r="AB255" i="14"/>
  <c r="AB262" i="14" s="1"/>
  <c r="U259" i="14"/>
  <c r="Z258" i="14"/>
  <c r="AW98" i="9"/>
  <c r="Z261" i="14"/>
  <c r="BJ36" i="9"/>
  <c r="BJ41" i="9" s="1"/>
  <c r="AC258" i="14"/>
  <c r="I100" i="13"/>
  <c r="I101" i="13" s="1"/>
  <c r="AM553" i="1"/>
  <c r="AM552" i="1"/>
  <c r="AA98" i="9"/>
  <c r="AI98" i="9"/>
  <c r="AS98" i="9"/>
  <c r="BX182" i="1"/>
  <c r="BX574" i="1" s="1"/>
  <c r="BR98" i="9"/>
  <c r="BR101" i="9"/>
  <c r="BR102" i="9" s="1"/>
  <c r="BO101" i="9"/>
  <c r="BO102" i="9" s="1"/>
  <c r="AT102" i="9"/>
  <c r="BN107" i="9"/>
  <c r="BS101" i="9"/>
  <c r="BS102" i="9" s="1"/>
  <c r="AP101" i="9"/>
  <c r="AP102" i="9" s="1"/>
  <c r="AV101" i="9"/>
  <c r="T98" i="9"/>
  <c r="AQ98" i="9"/>
  <c r="BT549" i="1"/>
  <c r="H166" i="13"/>
  <c r="H167" i="13"/>
  <c r="H164" i="13"/>
  <c r="F93" i="13"/>
  <c r="F95" i="13"/>
  <c r="F68" i="13"/>
  <c r="F99" i="13"/>
  <c r="F160" i="13"/>
  <c r="F156" i="13"/>
  <c r="F87" i="13"/>
  <c r="F216" i="13"/>
  <c r="F76" i="13"/>
  <c r="F72" i="13"/>
  <c r="F152" i="13"/>
  <c r="F148" i="13"/>
  <c r="F97" i="13"/>
  <c r="G68" i="13"/>
  <c r="G97" i="13"/>
  <c r="G76" i="13"/>
  <c r="G99" i="13"/>
  <c r="G72" i="13"/>
  <c r="G87" i="13"/>
  <c r="G156" i="13"/>
  <c r="G216" i="13"/>
  <c r="G93" i="13"/>
  <c r="G148" i="13"/>
  <c r="G152" i="13"/>
  <c r="G160" i="13"/>
  <c r="G95" i="13"/>
  <c r="K165" i="13"/>
  <c r="K166" i="13"/>
  <c r="K164" i="13"/>
  <c r="K167" i="13"/>
  <c r="J164" i="13"/>
  <c r="J167" i="13"/>
  <c r="J165" i="13"/>
  <c r="J166" i="13"/>
  <c r="W67" i="13"/>
  <c r="X67" i="13"/>
  <c r="J68" i="13"/>
  <c r="J97" i="13"/>
  <c r="J76" i="13"/>
  <c r="J99" i="13"/>
  <c r="J160" i="13"/>
  <c r="J72" i="13"/>
  <c r="J148" i="13"/>
  <c r="J108" i="13"/>
  <c r="J93" i="13"/>
  <c r="J156" i="13"/>
  <c r="J95" i="13"/>
  <c r="J216" i="13"/>
  <c r="J87" i="13"/>
  <c r="J152" i="13"/>
  <c r="H68" i="13"/>
  <c r="U260" i="14"/>
  <c r="U262" i="14"/>
  <c r="U258" i="14"/>
  <c r="Z262" i="14"/>
  <c r="Z259" i="14"/>
  <c r="F165" i="13"/>
  <c r="F167" i="13"/>
  <c r="F164" i="13"/>
  <c r="F166" i="13"/>
  <c r="H165" i="13"/>
  <c r="X149" i="14"/>
  <c r="I167" i="13"/>
  <c r="I164" i="13"/>
  <c r="I166" i="13"/>
  <c r="G166" i="13"/>
  <c r="G167" i="13"/>
  <c r="G165" i="13"/>
  <c r="O262" i="14"/>
  <c r="O261" i="14"/>
  <c r="O260" i="14"/>
  <c r="O258" i="14"/>
  <c r="T230" i="14"/>
  <c r="T231" i="14" s="1"/>
  <c r="T234" i="14" s="1"/>
  <c r="Y231" i="14"/>
  <c r="Y234" i="14" s="1"/>
  <c r="S231" i="14"/>
  <c r="S234" i="14" s="1"/>
  <c r="AI115" i="9"/>
  <c r="AA234" i="14"/>
  <c r="O162" i="14"/>
  <c r="O22" i="14"/>
  <c r="AH101" i="9"/>
  <c r="AH102" i="9" s="1"/>
  <c r="M101" i="9"/>
  <c r="M102" i="9" s="1"/>
  <c r="AX647" i="1"/>
  <c r="AV98" i="9"/>
  <c r="O105" i="9"/>
  <c r="AY549" i="1"/>
  <c r="Z101" i="9"/>
  <c r="Z102" i="9" s="1"/>
  <c r="BQ101" i="9"/>
  <c r="BQ102" i="9" s="1"/>
  <c r="AQ101" i="9"/>
  <c r="AQ102" i="9" s="1"/>
  <c r="AH105" i="9"/>
  <c r="BV552" i="1"/>
  <c r="AR98" i="9"/>
  <c r="AR108" i="9" s="1"/>
  <c r="AX98" i="9"/>
  <c r="AX108" i="9" s="1"/>
  <c r="AX109" i="9" s="1"/>
  <c r="L234" i="14"/>
  <c r="AB260" i="14"/>
  <c r="AC262" i="14"/>
  <c r="AC260" i="14"/>
  <c r="X234" i="14"/>
  <c r="R49" i="14"/>
  <c r="R48" i="14"/>
  <c r="Y49" i="14"/>
  <c r="Y48" i="14"/>
  <c r="L49" i="14"/>
  <c r="L56" i="14" s="1"/>
  <c r="L58" i="14" s="1"/>
  <c r="L48" i="14"/>
  <c r="U42" i="14"/>
  <c r="U233" i="14" s="1"/>
  <c r="U230" i="14"/>
  <c r="U231" i="14" s="1"/>
  <c r="U46" i="14"/>
  <c r="Q42" i="14"/>
  <c r="Q233" i="14" s="1"/>
  <c r="Q46" i="14"/>
  <c r="Q230" i="14"/>
  <c r="Q231" i="14" s="1"/>
  <c r="X49" i="14"/>
  <c r="X48" i="14"/>
  <c r="O49" i="14"/>
  <c r="O56" i="14" s="1"/>
  <c r="O58" i="14" s="1"/>
  <c r="O48" i="14"/>
  <c r="P42" i="14"/>
  <c r="P233" i="14" s="1"/>
  <c r="P46" i="14"/>
  <c r="P230" i="14"/>
  <c r="P231" i="14" s="1"/>
  <c r="AC261" i="14"/>
  <c r="S48" i="14"/>
  <c r="S49" i="14"/>
  <c r="N42" i="14"/>
  <c r="N233" i="14" s="1"/>
  <c r="N46" i="14"/>
  <c r="N230" i="14"/>
  <c r="N231" i="14" s="1"/>
  <c r="AB259" i="14"/>
  <c r="AA49" i="14"/>
  <c r="AA48" i="14"/>
  <c r="Z42" i="14"/>
  <c r="Z233" i="14" s="1"/>
  <c r="Z46" i="14"/>
  <c r="Z230" i="14"/>
  <c r="Z231" i="14" s="1"/>
  <c r="W231" i="14"/>
  <c r="W234" i="14" s="1"/>
  <c r="V230" i="14"/>
  <c r="V231" i="14" s="1"/>
  <c r="V42" i="14"/>
  <c r="V233" i="14" s="1"/>
  <c r="V46" i="14"/>
  <c r="W49" i="14"/>
  <c r="W48" i="14"/>
  <c r="O234" i="14"/>
  <c r="AB261" i="14"/>
  <c r="AB258" i="14"/>
  <c r="R230" i="14"/>
  <c r="R231" i="14" s="1"/>
  <c r="R234" i="14" s="1"/>
  <c r="AE76" i="9"/>
  <c r="S105" i="9"/>
  <c r="BW603" i="1"/>
  <c r="BK107" i="9"/>
  <c r="BK108" i="9" s="1"/>
  <c r="BK109" i="9" s="1"/>
  <c r="N101" i="9"/>
  <c r="N102" i="9" s="1"/>
  <c r="AP105" i="9"/>
  <c r="I107" i="9"/>
  <c r="AG98" i="9"/>
  <c r="AK98" i="9"/>
  <c r="BR603" i="1"/>
  <c r="X105" i="9"/>
  <c r="Y93" i="9"/>
  <c r="CB531" i="1"/>
  <c r="V98" i="9"/>
  <c r="U101" i="9"/>
  <c r="U102" i="9" s="1"/>
  <c r="W93" i="9"/>
  <c r="AY603" i="1"/>
  <c r="AE98" i="9"/>
  <c r="BX667" i="1"/>
  <c r="BX618" i="1" s="1"/>
  <c r="AF98" i="9"/>
  <c r="AM115" i="9"/>
  <c r="BQ964" i="1"/>
  <c r="BQ863" i="1"/>
  <c r="AH860" i="1"/>
  <c r="AA101" i="9"/>
  <c r="AA102" i="9" s="1"/>
  <c r="BT603" i="1"/>
  <c r="BL237" i="1"/>
  <c r="AL395" i="1"/>
  <c r="J860" i="1"/>
  <c r="BS603" i="1"/>
  <c r="V105" i="9"/>
  <c r="B138" i="10"/>
  <c r="M7" i="10"/>
  <c r="K98" i="9"/>
  <c r="BK360" i="1"/>
  <c r="BK365" i="1" s="1"/>
  <c r="BK357" i="1"/>
  <c r="BK355" i="1"/>
  <c r="BK959" i="1" s="1"/>
  <c r="I174" i="1"/>
  <c r="I177" i="1" s="1"/>
  <c r="I47" i="9"/>
  <c r="I129" i="9" s="1"/>
  <c r="I327" i="1"/>
  <c r="I57" i="9" s="1"/>
  <c r="AP143" i="1"/>
  <c r="BM237" i="1"/>
  <c r="AL98" i="9"/>
  <c r="BK4" i="11"/>
  <c r="X9" i="11"/>
  <c r="X10" i="11" s="1"/>
  <c r="X41" i="1" s="1"/>
  <c r="X14" i="9" s="1"/>
  <c r="AB10" i="11"/>
  <c r="AB41" i="1" s="1"/>
  <c r="AB14" i="9" s="1"/>
  <c r="U174" i="1"/>
  <c r="U177" i="1" s="1"/>
  <c r="U47" i="9"/>
  <c r="U129" i="9" s="1"/>
  <c r="U327" i="1"/>
  <c r="U57" i="9" s="1"/>
  <c r="BJ360" i="1"/>
  <c r="BJ365" i="1" s="1"/>
  <c r="BJ357" i="1"/>
  <c r="BJ355" i="1"/>
  <c r="BU91" i="1"/>
  <c r="AS105" i="9"/>
  <c r="AJ93" i="9"/>
  <c r="BP115" i="1"/>
  <c r="BN225" i="1"/>
  <c r="AD860" i="1"/>
  <c r="BF94" i="1"/>
  <c r="BF71" i="1"/>
  <c r="BP357" i="1"/>
  <c r="BP355" i="1"/>
  <c r="BH406" i="1"/>
  <c r="BH417" i="1"/>
  <c r="BH418" i="1"/>
  <c r="BJ660" i="1"/>
  <c r="BJ663" i="1"/>
  <c r="U171" i="1"/>
  <c r="Y172" i="1" s="1"/>
  <c r="Y170" i="1"/>
  <c r="BR959" i="1"/>
  <c r="M119" i="10"/>
  <c r="BR28" i="1"/>
  <c r="BR35" i="1"/>
  <c r="BT171" i="1"/>
  <c r="BT172" i="1" s="1"/>
  <c r="BT170" i="1"/>
  <c r="M360" i="1"/>
  <c r="M365" i="1" s="1"/>
  <c r="M357" i="1"/>
  <c r="M355" i="1"/>
  <c r="M959" i="1" s="1"/>
  <c r="BM663" i="1"/>
  <c r="BM715" i="1" s="1"/>
  <c r="BM684" i="1"/>
  <c r="BM685" i="1" s="1"/>
  <c r="BM686" i="1" s="1"/>
  <c r="BM687" i="1" s="1"/>
  <c r="BM660" i="1"/>
  <c r="BM860" i="1"/>
  <c r="BM964" i="1" s="1"/>
  <c r="BO237" i="1"/>
  <c r="AI91" i="1"/>
  <c r="BU603" i="1"/>
  <c r="M111" i="10"/>
  <c r="BU959" i="1"/>
  <c r="Y663" i="1"/>
  <c r="Y684" i="1"/>
  <c r="Y685" i="1" s="1"/>
  <c r="Y686" i="1" s="1"/>
  <c r="Y687" i="1" s="1"/>
  <c r="Y660" i="1"/>
  <c r="AM66" i="9"/>
  <c r="AM116" i="9" s="1"/>
  <c r="N88" i="10"/>
  <c r="Q88" i="10" s="1"/>
  <c r="BM975" i="1"/>
  <c r="BR647" i="1"/>
  <c r="B111" i="10"/>
  <c r="O101" i="9"/>
  <c r="O102" i="9" s="1"/>
  <c r="BU647" i="1"/>
  <c r="BO357" i="1"/>
  <c r="BO355" i="1"/>
  <c r="BI172" i="1"/>
  <c r="AU406" i="1"/>
  <c r="AU417" i="1"/>
  <c r="AU418" i="1"/>
  <c r="BT406" i="1"/>
  <c r="BT418" i="1"/>
  <c r="BT417" i="1"/>
  <c r="BE939" i="1"/>
  <c r="BD694" i="1"/>
  <c r="BD9" i="9" s="1"/>
  <c r="BF73" i="1"/>
  <c r="AD143" i="1"/>
  <c r="T105" i="9"/>
  <c r="N19" i="10"/>
  <c r="Q19" i="10" s="1"/>
  <c r="F105" i="9"/>
  <c r="K355" i="1"/>
  <c r="K959" i="1" s="1"/>
  <c r="K357" i="1"/>
  <c r="K360" i="1"/>
  <c r="K365" i="1" s="1"/>
  <c r="AV62" i="9"/>
  <c r="AV64" i="9" s="1"/>
  <c r="AV662" i="1"/>
  <c r="AV680" i="1"/>
  <c r="AV681" i="1" s="1"/>
  <c r="AV682" i="1" s="1"/>
  <c r="AV683" i="1" s="1"/>
  <c r="U62" i="9"/>
  <c r="U64" i="9" s="1"/>
  <c r="U680" i="1"/>
  <c r="U681" i="1" s="1"/>
  <c r="U682" i="1" s="1"/>
  <c r="U683" i="1" s="1"/>
  <c r="U662" i="1"/>
  <c r="AF101" i="9"/>
  <c r="AF102" i="9" s="1"/>
  <c r="AU91" i="1"/>
  <c r="AJ860" i="1"/>
  <c r="B132" i="10"/>
  <c r="N111" i="10"/>
  <c r="P111" i="10" s="1"/>
  <c r="BO225" i="1"/>
  <c r="H101" i="9"/>
  <c r="H102" i="9" s="1"/>
  <c r="BW552" i="1"/>
  <c r="AQ91" i="1"/>
  <c r="BU172" i="1"/>
  <c r="U663" i="1"/>
  <c r="U660" i="1"/>
  <c r="U684" i="1"/>
  <c r="U685" i="1" s="1"/>
  <c r="U686" i="1" s="1"/>
  <c r="U687" i="1" s="1"/>
  <c r="AQ62" i="9"/>
  <c r="AQ64" i="9" s="1"/>
  <c r="AU115" i="9" s="1"/>
  <c r="AQ680" i="1"/>
  <c r="AQ681" i="1" s="1"/>
  <c r="AQ682" i="1" s="1"/>
  <c r="AQ683" i="1" s="1"/>
  <c r="AQ662" i="1"/>
  <c r="U860" i="1"/>
  <c r="AJ663" i="1"/>
  <c r="AJ684" i="1"/>
  <c r="AJ685" i="1" s="1"/>
  <c r="AJ686" i="1" s="1"/>
  <c r="AJ687" i="1" s="1"/>
  <c r="AJ660" i="1"/>
  <c r="BV237" i="1"/>
  <c r="C964" i="1"/>
  <c r="BQ237" i="1"/>
  <c r="M860" i="1"/>
  <c r="M67" i="10"/>
  <c r="B47" i="10"/>
  <c r="V687" i="1"/>
  <c r="W357" i="1"/>
  <c r="W355" i="1"/>
  <c r="BS640" i="1"/>
  <c r="AH640" i="1"/>
  <c r="BS625" i="1"/>
  <c r="AE640" i="1"/>
  <c r="AF640" i="1"/>
  <c r="AG640" i="1"/>
  <c r="AQ372" i="1"/>
  <c r="AQ375" i="1" s="1"/>
  <c r="AQ661" i="1"/>
  <c r="BN115" i="1"/>
  <c r="N101" i="10"/>
  <c r="Q101" i="10" s="1"/>
  <c r="AN105" i="9"/>
  <c r="AE357" i="1"/>
  <c r="AE355" i="1"/>
  <c r="BV553" i="1"/>
  <c r="BV549" i="1"/>
  <c r="AG662" i="1"/>
  <c r="AG62" i="9"/>
  <c r="AG64" i="9" s="1"/>
  <c r="AG115" i="9" s="1"/>
  <c r="AG680" i="1"/>
  <c r="AG681" i="1" s="1"/>
  <c r="AG682" i="1" s="1"/>
  <c r="AG683" i="1" s="1"/>
  <c r="BQ62" i="9"/>
  <c r="BQ64" i="9" s="1"/>
  <c r="BQ115" i="9" s="1"/>
  <c r="BQ680" i="1"/>
  <c r="BQ681" i="1" s="1"/>
  <c r="BQ682" i="1" s="1"/>
  <c r="BQ683" i="1" s="1"/>
  <c r="BQ662" i="1"/>
  <c r="O355" i="1"/>
  <c r="O959" i="1" s="1"/>
  <c r="O357" i="1"/>
  <c r="AJ101" i="9"/>
  <c r="BJ3" i="11"/>
  <c r="BU101" i="9"/>
  <c r="BU102" i="9" s="1"/>
  <c r="AX603" i="1"/>
  <c r="C355" i="1"/>
  <c r="C959" i="1" s="1"/>
  <c r="C360" i="1"/>
  <c r="C365" i="1" s="1"/>
  <c r="BL970" i="1" s="1"/>
  <c r="C357" i="1"/>
  <c r="H360" i="1"/>
  <c r="H365" i="1" s="1"/>
  <c r="H357" i="1"/>
  <c r="H355" i="1"/>
  <c r="L360" i="1"/>
  <c r="L365" i="1" s="1"/>
  <c r="BN970" i="1" s="1"/>
  <c r="L355" i="1"/>
  <c r="L357" i="1"/>
  <c r="I171" i="1"/>
  <c r="M172" i="1" s="1"/>
  <c r="M170" i="1"/>
  <c r="AG661" i="1"/>
  <c r="AG860" i="1"/>
  <c r="BL7" i="11"/>
  <c r="BL9" i="11" s="1"/>
  <c r="BL10" i="11" s="1"/>
  <c r="BL41" i="1" s="1"/>
  <c r="BL14" i="9" s="1"/>
  <c r="BL40" i="1"/>
  <c r="BL15" i="9" s="1"/>
  <c r="Z149" i="1"/>
  <c r="Z150" i="1"/>
  <c r="Z152" i="1" s="1"/>
  <c r="AV372" i="1"/>
  <c r="AV375" i="1" s="1"/>
  <c r="AV661" i="1"/>
  <c r="AW62" i="9"/>
  <c r="AW64" i="9" s="1"/>
  <c r="AW662" i="1"/>
  <c r="AW372" i="1"/>
  <c r="AW375" i="1" s="1"/>
  <c r="AW661" i="1"/>
  <c r="BM62" i="9"/>
  <c r="BM64" i="9" s="1"/>
  <c r="BM115" i="9" s="1"/>
  <c r="BM662" i="1"/>
  <c r="AJ62" i="9"/>
  <c r="AJ64" i="9" s="1"/>
  <c r="AJ662" i="1"/>
  <c r="BJ62" i="9"/>
  <c r="BJ64" i="9" s="1"/>
  <c r="BJ87" i="9" s="1"/>
  <c r="BJ84" i="9" s="1"/>
  <c r="BJ662" i="1"/>
  <c r="Y62" i="9"/>
  <c r="Y64" i="9" s="1"/>
  <c r="AC115" i="9" s="1"/>
  <c r="Y662" i="1"/>
  <c r="BW62" i="9"/>
  <c r="BW64" i="9" s="1"/>
  <c r="BW662" i="1"/>
  <c r="BW661" i="1"/>
  <c r="BW372" i="1"/>
  <c r="BW375" i="1" s="1"/>
  <c r="BQ661" i="1"/>
  <c r="BQ372" i="1"/>
  <c r="BQ375" i="1" s="1"/>
  <c r="BE1061" i="1"/>
  <c r="AZ1061" i="1"/>
  <c r="BD1061" i="1"/>
  <c r="BB1061" i="1"/>
  <c r="BC1061" i="1"/>
  <c r="Q147" i="10"/>
  <c r="P147" i="10"/>
  <c r="Q137" i="10"/>
  <c r="P137" i="10"/>
  <c r="Q122" i="10"/>
  <c r="P122" i="10"/>
  <c r="P131" i="10"/>
  <c r="Q131" i="10"/>
  <c r="Q151" i="10"/>
  <c r="P151" i="10"/>
  <c r="Q54" i="10"/>
  <c r="P54" i="10"/>
  <c r="Q100" i="10"/>
  <c r="P100" i="10"/>
  <c r="Q80" i="10"/>
  <c r="P80" i="10"/>
  <c r="P75" i="10"/>
  <c r="Q75" i="10"/>
  <c r="Q87" i="10"/>
  <c r="P87" i="10"/>
  <c r="Q93" i="10"/>
  <c r="P93" i="10"/>
  <c r="Q118" i="10"/>
  <c r="P118" i="10"/>
  <c r="Q32" i="10"/>
  <c r="P32" i="10"/>
  <c r="Q141" i="10"/>
  <c r="P141" i="10"/>
  <c r="Q72" i="10"/>
  <c r="P72" i="10"/>
  <c r="Q66" i="10"/>
  <c r="P66" i="10"/>
  <c r="Q20" i="10"/>
  <c r="P20" i="10"/>
  <c r="Q104" i="10"/>
  <c r="P104" i="10"/>
  <c r="Q7" i="10"/>
  <c r="P7" i="10"/>
  <c r="P26" i="10"/>
  <c r="Q26" i="10"/>
  <c r="Q13" i="10"/>
  <c r="P13" i="10"/>
  <c r="P48" i="10"/>
  <c r="Q48" i="10"/>
  <c r="Q38" i="10"/>
  <c r="P38" i="10"/>
  <c r="P60" i="10"/>
  <c r="Q60" i="10"/>
  <c r="P126" i="10"/>
  <c r="Q126" i="10"/>
  <c r="P44" i="10"/>
  <c r="Q44" i="10"/>
  <c r="Q157" i="10"/>
  <c r="P157" i="10"/>
  <c r="Q114" i="10"/>
  <c r="P114" i="10"/>
  <c r="P110" i="10"/>
  <c r="Q110" i="10"/>
  <c r="BA1061" i="1"/>
  <c r="P65" i="10"/>
  <c r="Q65" i="10"/>
  <c r="Z128" i="9"/>
  <c r="Z36" i="9"/>
  <c r="Z41" i="9" s="1"/>
  <c r="AC563" i="1"/>
  <c r="AC565" i="1"/>
  <c r="AD128" i="9"/>
  <c r="AD36" i="9"/>
  <c r="AD41" i="9" s="1"/>
  <c r="Q81" i="10"/>
  <c r="P81" i="10"/>
  <c r="AP47" i="9"/>
  <c r="AP129" i="9" s="1"/>
  <c r="AP174" i="1"/>
  <c r="AP327" i="1"/>
  <c r="AP57" i="9" s="1"/>
  <c r="AO333" i="1"/>
  <c r="AO396" i="1"/>
  <c r="G128" i="9"/>
  <c r="G36" i="9"/>
  <c r="G41" i="9" s="1"/>
  <c r="P25" i="10"/>
  <c r="Q25" i="10"/>
  <c r="AV102" i="9"/>
  <c r="BT24" i="9"/>
  <c r="BT15" i="1"/>
  <c r="BT58" i="1"/>
  <c r="BT25" i="9" s="1"/>
  <c r="BT79" i="1"/>
  <c r="BK177" i="1"/>
  <c r="Z684" i="1"/>
  <c r="Z685" i="1" s="1"/>
  <c r="Z686" i="1" s="1"/>
  <c r="Z687" i="1" s="1"/>
  <c r="Z660" i="1"/>
  <c r="Z663" i="1"/>
  <c r="W863" i="1"/>
  <c r="BC53" i="1"/>
  <c r="X62" i="9"/>
  <c r="X64" i="9" s="1"/>
  <c r="X662" i="1"/>
  <c r="X680" i="1"/>
  <c r="X681" i="1" s="1"/>
  <c r="X682" i="1" s="1"/>
  <c r="X683" i="1" s="1"/>
  <c r="BA22" i="9"/>
  <c r="BB51" i="1"/>
  <c r="BA78" i="1"/>
  <c r="BA54" i="1"/>
  <c r="BA23" i="9" s="1"/>
  <c r="BA14" i="1"/>
  <c r="BY71" i="1"/>
  <c r="AS632" i="1"/>
  <c r="BL333" i="1"/>
  <c r="BL396" i="1"/>
  <c r="AD62" i="9"/>
  <c r="AD64" i="9" s="1"/>
  <c r="AD680" i="1"/>
  <c r="AD681" i="1" s="1"/>
  <c r="AD682" i="1" s="1"/>
  <c r="AD683" i="1" s="1"/>
  <c r="AD662" i="1"/>
  <c r="BT25" i="1"/>
  <c r="BT19" i="1"/>
  <c r="BT17" i="9" s="1"/>
  <c r="J177" i="1"/>
  <c r="BV58" i="9"/>
  <c r="BV969" i="1"/>
  <c r="AJ608" i="1"/>
  <c r="AJ611" i="1"/>
  <c r="AJ609" i="1"/>
  <c r="AJ606" i="1"/>
  <c r="BT572" i="1"/>
  <c r="AV18" i="1"/>
  <c r="AV25" i="1"/>
  <c r="AV19" i="1"/>
  <c r="AV17" i="9" s="1"/>
  <c r="E95" i="9"/>
  <c r="AN396" i="1"/>
  <c r="AN333" i="1"/>
  <c r="AT34" i="9"/>
  <c r="AT36" i="9" s="1"/>
  <c r="AT41" i="9" s="1"/>
  <c r="AT402" i="1"/>
  <c r="AC566" i="1"/>
  <c r="AC562" i="1"/>
  <c r="AD106" i="9"/>
  <c r="AD944" i="1"/>
  <c r="AD953" i="1" s="1"/>
  <c r="AD955" i="1" s="1"/>
  <c r="R396" i="1"/>
  <c r="R333" i="1"/>
  <c r="AJ128" i="9"/>
  <c r="AJ36" i="9"/>
  <c r="AJ41" i="9" s="1"/>
  <c r="Y420" i="1"/>
  <c r="Y411" i="1"/>
  <c r="Y412" i="1" s="1"/>
  <c r="AC170" i="1"/>
  <c r="AC171" i="1"/>
  <c r="AG170" i="1"/>
  <c r="X661" i="1"/>
  <c r="X860" i="1"/>
  <c r="W964" i="1" s="1"/>
  <c r="BT62" i="9"/>
  <c r="BT64" i="9" s="1"/>
  <c r="BT680" i="1"/>
  <c r="BT681" i="1" s="1"/>
  <c r="BT682" i="1" s="1"/>
  <c r="BT683" i="1" s="1"/>
  <c r="BT662" i="1"/>
  <c r="M684" i="1"/>
  <c r="M685" i="1" s="1"/>
  <c r="M686" i="1" s="1"/>
  <c r="M687" i="1" s="1"/>
  <c r="M660" i="1"/>
  <c r="M663" i="1"/>
  <c r="BA55" i="1"/>
  <c r="BA47" i="1" s="1"/>
  <c r="BP128" i="9"/>
  <c r="BP36" i="9"/>
  <c r="BP41" i="9" s="1"/>
  <c r="AO47" i="9"/>
  <c r="AO129" i="9" s="1"/>
  <c r="AO174" i="1"/>
  <c r="AO327" i="1"/>
  <c r="AO57" i="9" s="1"/>
  <c r="AH964" i="1"/>
  <c r="BV661" i="1"/>
  <c r="BV372" i="1"/>
  <c r="BV375" i="1" s="1"/>
  <c r="BV860" i="1"/>
  <c r="AW588" i="1"/>
  <c r="AW590" i="1"/>
  <c r="BF63" i="1"/>
  <c r="BV64" i="1"/>
  <c r="BC94" i="1"/>
  <c r="BC73" i="1"/>
  <c r="AQ128" i="9"/>
  <c r="AQ36" i="9"/>
  <c r="AQ41" i="9" s="1"/>
  <c r="BN170" i="1"/>
  <c r="BN171" i="1"/>
  <c r="G101" i="9"/>
  <c r="G102" i="9" s="1"/>
  <c r="BR661" i="1"/>
  <c r="BR372" i="1"/>
  <c r="BR375" i="1" s="1"/>
  <c r="BR860" i="1"/>
  <c r="BR964" i="1" s="1"/>
  <c r="BS62" i="9"/>
  <c r="BS64" i="9" s="1"/>
  <c r="BS680" i="1"/>
  <c r="BS681" i="1" s="1"/>
  <c r="BS682" i="1" s="1"/>
  <c r="BS683" i="1" s="1"/>
  <c r="BS662" i="1"/>
  <c r="AC591" i="1"/>
  <c r="AC587" i="1"/>
  <c r="BX74" i="1"/>
  <c r="BX75" i="1" s="1"/>
  <c r="BX73" i="1"/>
  <c r="S47" i="9"/>
  <c r="S129" i="9" s="1"/>
  <c r="S327" i="1"/>
  <c r="S57" i="9" s="1"/>
  <c r="S174" i="1"/>
  <c r="I420" i="1"/>
  <c r="I415" i="1"/>
  <c r="I411" i="1"/>
  <c r="I412" i="1" s="1"/>
  <c r="AV128" i="9"/>
  <c r="AV36" i="9"/>
  <c r="AV41" i="9" s="1"/>
  <c r="AP553" i="1"/>
  <c r="AP552" i="1"/>
  <c r="AQ527" i="1"/>
  <c r="AQ531" i="1" s="1"/>
  <c r="M105" i="9"/>
  <c r="BS128" i="9"/>
  <c r="BS36" i="9"/>
  <c r="BS41" i="9" s="1"/>
  <c r="AK24" i="9"/>
  <c r="AK15" i="1"/>
  <c r="AO58" i="1"/>
  <c r="AO25" i="9" s="1"/>
  <c r="AK79" i="1"/>
  <c r="BT127" i="1"/>
  <c r="AS566" i="1"/>
  <c r="AS562" i="1"/>
  <c r="AS564" i="1" s="1"/>
  <c r="AK860" i="1"/>
  <c r="AQ552" i="1"/>
  <c r="AR527" i="1"/>
  <c r="AR531" i="1" s="1"/>
  <c r="AQ553" i="1"/>
  <c r="AW18" i="1"/>
  <c r="AW25" i="1"/>
  <c r="AW19" i="1"/>
  <c r="AW17" i="9" s="1"/>
  <c r="AI101" i="9"/>
  <c r="AD661" i="1"/>
  <c r="AD372" i="1"/>
  <c r="AD375" i="1" s="1"/>
  <c r="Z143" i="1"/>
  <c r="AJ333" i="1"/>
  <c r="AJ396" i="1"/>
  <c r="AQ171" i="1"/>
  <c r="AQ170" i="1"/>
  <c r="AU170" i="1"/>
  <c r="BR128" i="9"/>
  <c r="BR36" i="9"/>
  <c r="BR41" i="9" s="1"/>
  <c r="O660" i="1"/>
  <c r="O684" i="1"/>
  <c r="O685" i="1" s="1"/>
  <c r="O686" i="1" s="1"/>
  <c r="O687" i="1" s="1"/>
  <c r="O663" i="1"/>
  <c r="BU98" i="9"/>
  <c r="AB650" i="1"/>
  <c r="BR616" i="1"/>
  <c r="CA527" i="1"/>
  <c r="CA531" i="1"/>
  <c r="B100" i="10"/>
  <c r="AS18" i="1"/>
  <c r="AS25" i="1"/>
  <c r="AS19" i="1"/>
  <c r="AS17" i="9" s="1"/>
  <c r="BP225" i="1"/>
  <c r="C684" i="1"/>
  <c r="C685" i="1" s="1"/>
  <c r="C686" i="1" s="1"/>
  <c r="C687" i="1" s="1"/>
  <c r="C660" i="1"/>
  <c r="C663" i="1"/>
  <c r="BH62" i="9"/>
  <c r="BH64" i="9" s="1"/>
  <c r="BH680" i="1"/>
  <c r="BH681" i="1" s="1"/>
  <c r="BH682" i="1" s="1"/>
  <c r="BH683" i="1" s="1"/>
  <c r="AS655" i="1"/>
  <c r="AS653" i="1"/>
  <c r="AS650" i="1"/>
  <c r="AS652" i="1"/>
  <c r="BV617" i="1"/>
  <c r="BS25" i="1"/>
  <c r="BS19" i="1"/>
  <c r="B109" i="10"/>
  <c r="M75" i="10"/>
  <c r="AL128" i="9"/>
  <c r="AL36" i="9"/>
  <c r="AL41" i="9" s="1"/>
  <c r="AN406" i="1"/>
  <c r="AN417" i="1"/>
  <c r="AN418" i="1"/>
  <c r="AI420" i="1"/>
  <c r="AI412" i="1"/>
  <c r="BR546" i="1"/>
  <c r="AD547" i="1"/>
  <c r="AD549" i="1" s="1"/>
  <c r="AD551" i="1"/>
  <c r="BR551" i="1" s="1"/>
  <c r="AP14" i="11"/>
  <c r="AP15" i="11" s="1"/>
  <c r="AP26" i="11"/>
  <c r="AP27" i="11" s="1"/>
  <c r="AW177" i="1"/>
  <c r="AW179" i="1" s="1"/>
  <c r="AW176" i="1"/>
  <c r="AB128" i="9"/>
  <c r="AB36" i="9"/>
  <c r="AB41" i="9" s="1"/>
  <c r="E396" i="1"/>
  <c r="E333" i="1"/>
  <c r="R406" i="1"/>
  <c r="R417" i="1"/>
  <c r="R418" i="1"/>
  <c r="Y101" i="9"/>
  <c r="AT661" i="1"/>
  <c r="AT372" i="1"/>
  <c r="AT375" i="1" s="1"/>
  <c r="BL964" i="1"/>
  <c r="AY611" i="1"/>
  <c r="AY608" i="1"/>
  <c r="AY606" i="1"/>
  <c r="AY609" i="1"/>
  <c r="AG631" i="1"/>
  <c r="AG633" i="1" s="1"/>
  <c r="AE47" i="9"/>
  <c r="AE129" i="9" s="1"/>
  <c r="AE327" i="1"/>
  <c r="AE57" i="9" s="1"/>
  <c r="AE174" i="1"/>
  <c r="BI225" i="1"/>
  <c r="BW101" i="9"/>
  <c r="BW102" i="9" s="1"/>
  <c r="AT536" i="1"/>
  <c r="AT540" i="1"/>
  <c r="AT539" i="1"/>
  <c r="AT380" i="1"/>
  <c r="AT537" i="1"/>
  <c r="AC527" i="1"/>
  <c r="AC531" i="1" s="1"/>
  <c r="AB552" i="1"/>
  <c r="AB553" i="1"/>
  <c r="AH330" i="1"/>
  <c r="AH395" i="1"/>
  <c r="AO539" i="1"/>
  <c r="AO536" i="1"/>
  <c r="AO380" i="1"/>
  <c r="V860" i="1"/>
  <c r="V964" i="1" s="1"/>
  <c r="BP977" i="1"/>
  <c r="M333" i="1"/>
  <c r="M396" i="1"/>
  <c r="AR47" i="9"/>
  <c r="AR129" i="9" s="1"/>
  <c r="AR327" i="1"/>
  <c r="AR57" i="9" s="1"/>
  <c r="AR174" i="1"/>
  <c r="T47" i="9"/>
  <c r="T129" i="9" s="1"/>
  <c r="T327" i="1"/>
  <c r="T57" i="9" s="1"/>
  <c r="T174" i="1"/>
  <c r="AX552" i="1"/>
  <c r="AY527" i="1"/>
  <c r="AX553" i="1"/>
  <c r="AU660" i="1"/>
  <c r="AU684" i="1"/>
  <c r="AU685" i="1" s="1"/>
  <c r="AU686" i="1" s="1"/>
  <c r="AU687" i="1" s="1"/>
  <c r="AU663" i="1"/>
  <c r="H105" i="9"/>
  <c r="AC606" i="1"/>
  <c r="BR573" i="1"/>
  <c r="AR105" i="9"/>
  <c r="BW616" i="1"/>
  <c r="AV655" i="1"/>
  <c r="AV652" i="1"/>
  <c r="AV653" i="1"/>
  <c r="AV650" i="1"/>
  <c r="BT647" i="1"/>
  <c r="Q31" i="10"/>
  <c r="P31" i="10"/>
  <c r="E171" i="1"/>
  <c r="I172" i="1" s="1"/>
  <c r="I170" i="1"/>
  <c r="Y98" i="9"/>
  <c r="W128" i="9"/>
  <c r="W36" i="9"/>
  <c r="W41" i="9" s="1"/>
  <c r="AS661" i="1"/>
  <c r="AS372" i="1"/>
  <c r="AS375" i="1" s="1"/>
  <c r="AS860" i="1"/>
  <c r="AZ18" i="1"/>
  <c r="AZ25" i="1"/>
  <c r="AZ19" i="1"/>
  <c r="AZ17" i="9" s="1"/>
  <c r="AY105" i="9"/>
  <c r="BW57" i="1"/>
  <c r="BW25" i="1"/>
  <c r="BW19" i="1"/>
  <c r="BW17" i="9" s="1"/>
  <c r="W177" i="1"/>
  <c r="BS58" i="9"/>
  <c r="BS969" i="1"/>
  <c r="AC333" i="1"/>
  <c r="AC396" i="1"/>
  <c r="BT661" i="1"/>
  <c r="BT372" i="1"/>
  <c r="BT375" i="1" s="1"/>
  <c r="BT860" i="1"/>
  <c r="BT964" i="1" s="1"/>
  <c r="AY62" i="9"/>
  <c r="AY64" i="9" s="1"/>
  <c r="AY115" i="9" s="1"/>
  <c r="AY662" i="1"/>
  <c r="AY680" i="1"/>
  <c r="AY681" i="1" s="1"/>
  <c r="AY682" i="1" s="1"/>
  <c r="AY683" i="1" s="1"/>
  <c r="AK653" i="1"/>
  <c r="AK652" i="1"/>
  <c r="AK650" i="1"/>
  <c r="AK655" i="1"/>
  <c r="BT617" i="1"/>
  <c r="AL650" i="1"/>
  <c r="BU614" i="1"/>
  <c r="AL647" i="1"/>
  <c r="AO105" i="9"/>
  <c r="AU606" i="1"/>
  <c r="AU609" i="1"/>
  <c r="BW571" i="1"/>
  <c r="AU608" i="1"/>
  <c r="AU610" i="1" s="1"/>
  <c r="AU611" i="1"/>
  <c r="AG608" i="1"/>
  <c r="AG606" i="1"/>
  <c r="AG611" i="1"/>
  <c r="BS573" i="1"/>
  <c r="AG609" i="1"/>
  <c r="BC22" i="1"/>
  <c r="BC23" i="1"/>
  <c r="BC18" i="9" s="1"/>
  <c r="BD22" i="1"/>
  <c r="AS420" i="1"/>
  <c r="AS412" i="1"/>
  <c r="BN333" i="1"/>
  <c r="BN396" i="1"/>
  <c r="BS661" i="1"/>
  <c r="BS372" i="1"/>
  <c r="BS375" i="1" s="1"/>
  <c r="AC603" i="1"/>
  <c r="AT91" i="1"/>
  <c r="W101" i="9"/>
  <c r="J62" i="9"/>
  <c r="J64" i="9" s="1"/>
  <c r="J680" i="1"/>
  <c r="J681" i="1" s="1"/>
  <c r="J682" i="1" s="1"/>
  <c r="J683" i="1" s="1"/>
  <c r="J662" i="1"/>
  <c r="W62" i="9"/>
  <c r="W64" i="9" s="1"/>
  <c r="W680" i="1"/>
  <c r="W681" i="1" s="1"/>
  <c r="W682" i="1" s="1"/>
  <c r="W683" i="1" s="1"/>
  <c r="W662" i="1"/>
  <c r="BU552" i="1"/>
  <c r="AQ19" i="1"/>
  <c r="AQ17" i="9" s="1"/>
  <c r="AQ18" i="1"/>
  <c r="AQ25" i="1"/>
  <c r="AG177" i="1"/>
  <c r="G663" i="1"/>
  <c r="G660" i="1"/>
  <c r="G684" i="1"/>
  <c r="G685" i="1" s="1"/>
  <c r="G686" i="1" s="1"/>
  <c r="G687" i="1" s="1"/>
  <c r="AK62" i="9"/>
  <c r="AK64" i="9" s="1"/>
  <c r="AK662" i="1"/>
  <c r="AK680" i="1"/>
  <c r="AK681" i="1" s="1"/>
  <c r="AK682" i="1" s="1"/>
  <c r="AK683" i="1" s="1"/>
  <c r="AG632" i="1"/>
  <c r="AK18" i="1"/>
  <c r="AK25" i="1"/>
  <c r="Q121" i="10"/>
  <c r="P121" i="10"/>
  <c r="N171" i="1"/>
  <c r="N172" i="1" s="1"/>
  <c r="N170" i="1"/>
  <c r="AD150" i="1"/>
  <c r="AH149" i="1"/>
  <c r="AD149" i="1"/>
  <c r="BT333" i="1"/>
  <c r="BT396" i="1"/>
  <c r="Y128" i="9"/>
  <c r="Y36" i="9"/>
  <c r="Y41" i="9" s="1"/>
  <c r="BF912" i="1"/>
  <c r="BQ115" i="1"/>
  <c r="N94" i="10"/>
  <c r="BP170" i="1"/>
  <c r="BP171" i="1"/>
  <c r="K101" i="9"/>
  <c r="K102" i="9" s="1"/>
  <c r="AV108" i="9"/>
  <c r="AV109" i="9" s="1"/>
  <c r="BW614" i="1"/>
  <c r="AT650" i="1"/>
  <c r="AM20" i="11"/>
  <c r="AM29" i="1" s="1"/>
  <c r="AM20" i="9" s="1"/>
  <c r="AQ333" i="1"/>
  <c r="AQ396" i="1"/>
  <c r="X128" i="9"/>
  <c r="X36" i="9"/>
  <c r="X41" i="9" s="1"/>
  <c r="BO975" i="1"/>
  <c r="Q101" i="9"/>
  <c r="Q102" i="9" s="1"/>
  <c r="BM115" i="1"/>
  <c r="AH177" i="1"/>
  <c r="R128" i="9"/>
  <c r="R36" i="9"/>
  <c r="R41" i="9" s="1"/>
  <c r="G76" i="9"/>
  <c r="G66" i="9"/>
  <c r="BL975" i="1"/>
  <c r="BH661" i="1"/>
  <c r="BH860" i="1"/>
  <c r="BV57" i="1"/>
  <c r="BV25" i="1"/>
  <c r="BV19" i="1"/>
  <c r="BV17" i="9" s="1"/>
  <c r="BJ4" i="12"/>
  <c r="AH24" i="9"/>
  <c r="AH79" i="1"/>
  <c r="AH15" i="1"/>
  <c r="AN47" i="9"/>
  <c r="AN129" i="9" s="1"/>
  <c r="AN327" i="1"/>
  <c r="AN57" i="9" s="1"/>
  <c r="AN174" i="1"/>
  <c r="AD550" i="1"/>
  <c r="BR550" i="1" s="1"/>
  <c r="BR545" i="1"/>
  <c r="AD548" i="1"/>
  <c r="AO860" i="1"/>
  <c r="BS977" i="1"/>
  <c r="AT606" i="1"/>
  <c r="BW570" i="1"/>
  <c r="AV177" i="1"/>
  <c r="E418" i="1"/>
  <c r="E406" i="1"/>
  <c r="E417" i="1"/>
  <c r="R47" i="9"/>
  <c r="R129" i="9" s="1"/>
  <c r="R327" i="1"/>
  <c r="R57" i="9" s="1"/>
  <c r="R174" i="1"/>
  <c r="AH62" i="9"/>
  <c r="AH64" i="9" s="1"/>
  <c r="AH680" i="1"/>
  <c r="AH681" i="1" s="1"/>
  <c r="AH682" i="1" s="1"/>
  <c r="AH683" i="1" s="1"/>
  <c r="AH662" i="1"/>
  <c r="AX827" i="1"/>
  <c r="AX860" i="1" s="1"/>
  <c r="AX964" i="1" s="1"/>
  <c r="AX659" i="1"/>
  <c r="BW974" i="1"/>
  <c r="AA967" i="1"/>
  <c r="AB862" i="1"/>
  <c r="AA870" i="1"/>
  <c r="R106" i="9"/>
  <c r="R944" i="1"/>
  <c r="R953" i="1" s="1"/>
  <c r="R955" i="1" s="1"/>
  <c r="AK632" i="1"/>
  <c r="AG653" i="1"/>
  <c r="AG650" i="1"/>
  <c r="BS617" i="1"/>
  <c r="AG652" i="1"/>
  <c r="AG655" i="1"/>
  <c r="AV26" i="11"/>
  <c r="AV14" i="11"/>
  <c r="U357" i="1"/>
  <c r="U355" i="1"/>
  <c r="AE105" i="9"/>
  <c r="BM170" i="1"/>
  <c r="BM171" i="1"/>
  <c r="BM172" i="1" s="1"/>
  <c r="BH95" i="9"/>
  <c r="BH96" i="9" s="1"/>
  <c r="BU128" i="9"/>
  <c r="BU36" i="9"/>
  <c r="BU41" i="9" s="1"/>
  <c r="J106" i="9"/>
  <c r="J944" i="1"/>
  <c r="J953" i="1" s="1"/>
  <c r="J955" i="1" s="1"/>
  <c r="T860" i="1"/>
  <c r="S964" i="1" s="1"/>
  <c r="F684" i="1"/>
  <c r="F685" i="1" s="1"/>
  <c r="F686" i="1" s="1"/>
  <c r="F687" i="1" s="1"/>
  <c r="F663" i="1"/>
  <c r="F660" i="1"/>
  <c r="Q86" i="10"/>
  <c r="P86" i="10"/>
  <c r="BE22" i="1"/>
  <c r="BE23" i="1"/>
  <c r="BE18" i="9" s="1"/>
  <c r="BF22" i="1"/>
  <c r="C333" i="1"/>
  <c r="C396" i="1"/>
  <c r="BT177" i="1"/>
  <c r="BT176" i="1"/>
  <c r="BV46" i="9"/>
  <c r="BV704" i="1"/>
  <c r="BV334" i="1"/>
  <c r="AR18" i="1"/>
  <c r="AR25" i="1"/>
  <c r="AR19" i="1"/>
  <c r="AR17" i="9" s="1"/>
  <c r="M62" i="9"/>
  <c r="M64" i="9" s="1"/>
  <c r="M680" i="1"/>
  <c r="M681" i="1" s="1"/>
  <c r="M682" i="1" s="1"/>
  <c r="M683" i="1" s="1"/>
  <c r="M662" i="1"/>
  <c r="Z106" i="9"/>
  <c r="Z944" i="1"/>
  <c r="Z953" i="1" s="1"/>
  <c r="Z955" i="1" s="1"/>
  <c r="BI420" i="1"/>
  <c r="BI415" i="1"/>
  <c r="BI411" i="1"/>
  <c r="BI412" i="1" s="1"/>
  <c r="BI421" i="1" s="1"/>
  <c r="BI42" i="9" s="1"/>
  <c r="S406" i="1"/>
  <c r="S417" i="1"/>
  <c r="S418" i="1"/>
  <c r="BU19" i="11"/>
  <c r="BU20" i="11" s="1"/>
  <c r="BU29" i="1" s="1"/>
  <c r="BU20" i="9" s="1"/>
  <c r="BU12" i="11"/>
  <c r="L333" i="1"/>
  <c r="L396" i="1"/>
  <c r="AE655" i="1"/>
  <c r="AE650" i="1"/>
  <c r="BS615" i="1"/>
  <c r="AE652" i="1"/>
  <c r="AE654" i="1" s="1"/>
  <c r="AE653" i="1"/>
  <c r="AU18" i="1"/>
  <c r="AU25" i="1"/>
  <c r="AU19" i="1"/>
  <c r="AU17" i="9" s="1"/>
  <c r="Z17" i="11"/>
  <c r="Z19" i="11" s="1"/>
  <c r="Z20" i="11" s="1"/>
  <c r="Z29" i="1" s="1"/>
  <c r="Z20" i="9" s="1"/>
  <c r="Z962" i="1"/>
  <c r="AU128" i="9"/>
  <c r="AU36" i="9"/>
  <c r="AU41" i="9" s="1"/>
  <c r="AK128" i="9"/>
  <c r="AK36" i="9"/>
  <c r="AK41" i="9" s="1"/>
  <c r="AU552" i="1"/>
  <c r="AV527" i="1"/>
  <c r="AV531" i="1" s="1"/>
  <c r="AU553" i="1"/>
  <c r="AC590" i="1"/>
  <c r="AC588" i="1"/>
  <c r="AJ412" i="1"/>
  <c r="AJ420" i="1"/>
  <c r="AT62" i="9"/>
  <c r="AT64" i="9" s="1"/>
  <c r="AT680" i="1"/>
  <c r="AT681" i="1" s="1"/>
  <c r="AT682" i="1" s="1"/>
  <c r="AT683" i="1" s="1"/>
  <c r="AT662" i="1"/>
  <c r="BL685" i="1"/>
  <c r="BL686" i="1" s="1"/>
  <c r="BL687" i="1" s="1"/>
  <c r="Z860" i="1"/>
  <c r="Z964" i="1" s="1"/>
  <c r="AJ28" i="1"/>
  <c r="AJ19" i="9" s="1"/>
  <c r="AJ35" i="1"/>
  <c r="AE406" i="1"/>
  <c r="AE417" i="1"/>
  <c r="N144" i="10" s="1"/>
  <c r="AE418" i="1"/>
  <c r="AJ653" i="1"/>
  <c r="AJ655" i="1"/>
  <c r="AJ652" i="1"/>
  <c r="AJ650" i="1"/>
  <c r="BT616" i="1"/>
  <c r="AX26" i="11"/>
  <c r="AX14" i="11"/>
  <c r="BS46" i="9"/>
  <c r="BS704" i="1"/>
  <c r="BS334" i="1"/>
  <c r="AC418" i="1"/>
  <c r="AC406" i="1"/>
  <c r="AC417" i="1"/>
  <c r="AD65" i="9"/>
  <c r="AD898" i="1"/>
  <c r="AD882" i="1"/>
  <c r="AD883" i="1" s="1"/>
  <c r="AD619" i="1"/>
  <c r="AG634" i="1" s="1"/>
  <c r="AD971" i="1"/>
  <c r="BR978" i="1"/>
  <c r="AY661" i="1"/>
  <c r="AY372" i="1"/>
  <c r="AY375" i="1" s="1"/>
  <c r="BA102" i="1"/>
  <c r="BA32" i="1"/>
  <c r="BX94" i="1"/>
  <c r="BS225" i="1"/>
  <c r="BU46" i="9"/>
  <c r="BU704" i="1"/>
  <c r="BU334" i="1"/>
  <c r="BL498" i="1"/>
  <c r="BL491" i="1"/>
  <c r="BI62" i="9"/>
  <c r="BI64" i="9" s="1"/>
  <c r="BI680" i="1"/>
  <c r="BI681" i="1" s="1"/>
  <c r="BI682" i="1" s="1"/>
  <c r="BI683" i="1" s="1"/>
  <c r="BI662" i="1"/>
  <c r="Q59" i="10"/>
  <c r="P59" i="10"/>
  <c r="BZ67" i="1"/>
  <c r="BY69" i="1"/>
  <c r="BY21" i="1"/>
  <c r="BY23" i="1" s="1"/>
  <c r="BY18" i="9" s="1"/>
  <c r="BY72" i="1"/>
  <c r="AL171" i="1"/>
  <c r="AL172" i="1" s="1"/>
  <c r="AL170" i="1"/>
  <c r="I105" i="9"/>
  <c r="BN406" i="1"/>
  <c r="BN417" i="1"/>
  <c r="BN418" i="1"/>
  <c r="X101" i="9"/>
  <c r="R65" i="9"/>
  <c r="R882" i="1"/>
  <c r="R883" i="1" s="1"/>
  <c r="R898" i="1"/>
  <c r="R619" i="1"/>
  <c r="R971" i="1"/>
  <c r="BO978" i="1"/>
  <c r="Q130" i="10"/>
  <c r="P130" i="10"/>
  <c r="BM225" i="1"/>
  <c r="BJ171" i="1"/>
  <c r="BJ172" i="1" s="1"/>
  <c r="BJ170" i="1"/>
  <c r="AS396" i="1"/>
  <c r="AS333" i="1"/>
  <c r="BU177" i="1"/>
  <c r="BU176" i="1"/>
  <c r="J663" i="1"/>
  <c r="J684" i="1"/>
  <c r="J685" i="1" s="1"/>
  <c r="J686" i="1" s="1"/>
  <c r="J687" i="1" s="1"/>
  <c r="J660" i="1"/>
  <c r="F860" i="1"/>
  <c r="F964" i="1" s="1"/>
  <c r="BQ975" i="1"/>
  <c r="W661" i="1"/>
  <c r="W372" i="1"/>
  <c r="W375" i="1" s="1"/>
  <c r="B4" i="11"/>
  <c r="B4" i="12"/>
  <c r="B3" i="1"/>
  <c r="P113" i="10"/>
  <c r="Q113" i="10"/>
  <c r="BO128" i="9"/>
  <c r="BO36" i="9"/>
  <c r="BO41" i="9" s="1"/>
  <c r="D964" i="1"/>
  <c r="AK684" i="1"/>
  <c r="AK685" i="1" s="1"/>
  <c r="AK686" i="1" s="1"/>
  <c r="AK687" i="1" s="1"/>
  <c r="AK663" i="1"/>
  <c r="AK660" i="1"/>
  <c r="AK552" i="1"/>
  <c r="AK553" i="1"/>
  <c r="AL527" i="1"/>
  <c r="AL531" i="1" s="1"/>
  <c r="J406" i="1"/>
  <c r="J417" i="1"/>
  <c r="J418" i="1"/>
  <c r="N333" i="1"/>
  <c r="N396" i="1"/>
  <c r="AL101" i="9"/>
  <c r="AL102" i="9" s="1"/>
  <c r="AA684" i="1"/>
  <c r="AA685" i="1" s="1"/>
  <c r="AA686" i="1" s="1"/>
  <c r="AA687" i="1" s="1"/>
  <c r="AA663" i="1"/>
  <c r="AA660" i="1"/>
  <c r="Q74" i="10"/>
  <c r="P74" i="10"/>
  <c r="BP333" i="1"/>
  <c r="BP396" i="1"/>
  <c r="BR420" i="1"/>
  <c r="BR411" i="1"/>
  <c r="BR412" i="1" s="1"/>
  <c r="AO533" i="1"/>
  <c r="AO534" i="1" s="1"/>
  <c r="C491" i="1"/>
  <c r="C498" i="1"/>
  <c r="AW539" i="1"/>
  <c r="AW537" i="1"/>
  <c r="AW536" i="1"/>
  <c r="AW540" i="1"/>
  <c r="AW380" i="1"/>
  <c r="AM98" i="9"/>
  <c r="AT647" i="1"/>
  <c r="AI653" i="1"/>
  <c r="AI655" i="1"/>
  <c r="BT615" i="1"/>
  <c r="AI652" i="1"/>
  <c r="AI654" i="1" s="1"/>
  <c r="AJ654" i="1" s="1"/>
  <c r="AI650" i="1"/>
  <c r="AM26" i="11"/>
  <c r="AM27" i="11" s="1"/>
  <c r="AM14" i="11"/>
  <c r="AM15" i="11" s="1"/>
  <c r="AS12" i="11"/>
  <c r="AS19" i="11"/>
  <c r="AS20" i="11" s="1"/>
  <c r="AS29" i="1" s="1"/>
  <c r="AS20" i="9" s="1"/>
  <c r="AQ406" i="1"/>
  <c r="AQ417" i="1"/>
  <c r="AQ418" i="1"/>
  <c r="N146" i="10"/>
  <c r="B12" i="10"/>
  <c r="BM7" i="11"/>
  <c r="BM9" i="11" s="1"/>
  <c r="BM40" i="1"/>
  <c r="BM15" i="9" s="1"/>
  <c r="AU76" i="9"/>
  <c r="AU66" i="9"/>
  <c r="BK101" i="9"/>
  <c r="BK102" i="9" s="1"/>
  <c r="AN98" i="9"/>
  <c r="AL20" i="11"/>
  <c r="AL29" i="1" s="1"/>
  <c r="AL20" i="9" s="1"/>
  <c r="M60" i="10"/>
  <c r="N33" i="10"/>
  <c r="K333" i="1"/>
  <c r="K396" i="1"/>
  <c r="Q128" i="9"/>
  <c r="Q36" i="9"/>
  <c r="Q41" i="9" s="1"/>
  <c r="AT603" i="1"/>
  <c r="BV603" i="1"/>
  <c r="BQ128" i="9"/>
  <c r="BQ36" i="9"/>
  <c r="BQ41" i="9" s="1"/>
  <c r="AF171" i="1"/>
  <c r="AJ170" i="1"/>
  <c r="AF170" i="1"/>
  <c r="E47" i="9"/>
  <c r="E129" i="9" s="1"/>
  <c r="E174" i="1"/>
  <c r="E327" i="1"/>
  <c r="E57" i="9" s="1"/>
  <c r="R105" i="9"/>
  <c r="AH661" i="1"/>
  <c r="AH372" i="1"/>
  <c r="AH375" i="1" s="1"/>
  <c r="BS975" i="1"/>
  <c r="AC793" i="1"/>
  <c r="AB794" i="1"/>
  <c r="R877" i="1"/>
  <c r="AW587" i="1"/>
  <c r="AW589" i="1" s="1"/>
  <c r="AW591" i="1"/>
  <c r="AQ19" i="11"/>
  <c r="AQ20" i="11" s="1"/>
  <c r="AQ29" i="1" s="1"/>
  <c r="AQ20" i="9" s="1"/>
  <c r="AQ12" i="11"/>
  <c r="AV20" i="11"/>
  <c r="AV29" i="1" s="1"/>
  <c r="AV20" i="9" s="1"/>
  <c r="BM396" i="1"/>
  <c r="BM333" i="1"/>
  <c r="AH128" i="9"/>
  <c r="AH36" i="9"/>
  <c r="AH41" i="9" s="1"/>
  <c r="U98" i="9"/>
  <c r="AK606" i="1"/>
  <c r="BT573" i="1"/>
  <c r="AK609" i="1"/>
  <c r="AK608" i="1"/>
  <c r="AK611" i="1"/>
  <c r="BQ967" i="1"/>
  <c r="BQ870" i="1"/>
  <c r="AU64" i="1"/>
  <c r="AI77" i="9"/>
  <c r="AI79" i="9" s="1"/>
  <c r="AI68" i="9"/>
  <c r="AI74" i="9" s="1"/>
  <c r="AI132" i="9" s="1"/>
  <c r="H47" i="9"/>
  <c r="H129" i="9" s="1"/>
  <c r="H327" i="1"/>
  <c r="H57" i="9" s="1"/>
  <c r="H174" i="1"/>
  <c r="AL70" i="9"/>
  <c r="BT978" i="1"/>
  <c r="AL971" i="1"/>
  <c r="Q148" i="10"/>
  <c r="P148" i="10"/>
  <c r="BZ531" i="1"/>
  <c r="BZ527" i="1"/>
  <c r="AY18" i="1"/>
  <c r="AY25" i="1"/>
  <c r="AY19" i="1"/>
  <c r="AY17" i="9" s="1"/>
  <c r="AE333" i="1"/>
  <c r="AE396" i="1"/>
  <c r="Y177" i="1"/>
  <c r="Y179" i="1" s="1"/>
  <c r="Y176" i="1"/>
  <c r="BF5" i="12"/>
  <c r="U396" i="1"/>
  <c r="U333" i="1"/>
  <c r="AH107" i="9"/>
  <c r="AH108" i="9" s="1"/>
  <c r="AJ107" i="9"/>
  <c r="AI107" i="9"/>
  <c r="AI108" i="9" s="1"/>
  <c r="AI109" i="9" s="1"/>
  <c r="BN47" i="9"/>
  <c r="BN129" i="9" s="1"/>
  <c r="BN174" i="1"/>
  <c r="BN327" i="1"/>
  <c r="BN57" i="9" s="1"/>
  <c r="AY650" i="1"/>
  <c r="AY653" i="1"/>
  <c r="AY655" i="1"/>
  <c r="AY652" i="1"/>
  <c r="AD33" i="1"/>
  <c r="AD35" i="1" s="1"/>
  <c r="AD351" i="1"/>
  <c r="AD353" i="1" s="1"/>
  <c r="F128" i="9"/>
  <c r="F36" i="9"/>
  <c r="F41" i="9" s="1"/>
  <c r="AR19" i="11"/>
  <c r="AR20" i="11" s="1"/>
  <c r="AR29" i="1" s="1"/>
  <c r="AR20" i="9" s="1"/>
  <c r="AR12" i="11"/>
  <c r="BN7" i="11"/>
  <c r="BN40" i="1"/>
  <c r="BN15" i="9" s="1"/>
  <c r="BO40" i="1"/>
  <c r="BO15" i="9" s="1"/>
  <c r="AH27" i="1"/>
  <c r="AH28" i="1"/>
  <c r="AH19" i="9" s="1"/>
  <c r="AH35" i="1"/>
  <c r="BK46" i="9"/>
  <c r="BK704" i="1"/>
  <c r="BK334" i="1"/>
  <c r="AM128" i="9"/>
  <c r="AM36" i="9"/>
  <c r="AM41" i="9" s="1"/>
  <c r="AI116" i="9"/>
  <c r="AE68" i="9"/>
  <c r="AE74" i="9" s="1"/>
  <c r="AE132" i="9" s="1"/>
  <c r="AE77" i="9"/>
  <c r="AE79" i="9" s="1"/>
  <c r="AE684" i="1"/>
  <c r="AE685" i="1" s="1"/>
  <c r="AE686" i="1" s="1"/>
  <c r="AE687" i="1" s="1"/>
  <c r="AE663" i="1"/>
  <c r="AE660" i="1"/>
  <c r="AD964" i="1"/>
  <c r="AS590" i="1"/>
  <c r="AS588" i="1"/>
  <c r="U410" i="1"/>
  <c r="U958" i="1"/>
  <c r="BM406" i="1"/>
  <c r="BM417" i="1"/>
  <c r="BM418" i="1"/>
  <c r="AW128" i="9"/>
  <c r="AW36" i="9"/>
  <c r="AW41" i="9" s="1"/>
  <c r="F101" i="9"/>
  <c r="F102" i="9" s="1"/>
  <c r="Q76" i="9"/>
  <c r="Q66" i="9"/>
  <c r="X93" i="9"/>
  <c r="AY177" i="1"/>
  <c r="AY176" i="1"/>
  <c r="AN170" i="1"/>
  <c r="AN171" i="1"/>
  <c r="AN172" i="1" s="1"/>
  <c r="AB660" i="1"/>
  <c r="AB684" i="1"/>
  <c r="AB685" i="1" s="1"/>
  <c r="AB686" i="1" s="1"/>
  <c r="AB687" i="1" s="1"/>
  <c r="AB663" i="1"/>
  <c r="I357" i="1"/>
  <c r="I355" i="1"/>
  <c r="I959" i="1" s="1"/>
  <c r="I360" i="1"/>
  <c r="I365" i="1" s="1"/>
  <c r="AG396" i="1"/>
  <c r="AG333" i="1"/>
  <c r="BV62" i="9"/>
  <c r="BV64" i="9" s="1"/>
  <c r="BV680" i="1"/>
  <c r="BV681" i="1" s="1"/>
  <c r="BV682" i="1" s="1"/>
  <c r="BV683" i="1" s="1"/>
  <c r="BV662" i="1"/>
  <c r="BR62" i="9"/>
  <c r="BR64" i="9" s="1"/>
  <c r="BR662" i="1"/>
  <c r="BR680" i="1"/>
  <c r="BR681" i="1" s="1"/>
  <c r="BR682" i="1" s="1"/>
  <c r="BR683" i="1" s="1"/>
  <c r="BI959" i="1"/>
  <c r="AS587" i="1"/>
  <c r="AS589" i="1" s="1"/>
  <c r="AS591" i="1"/>
  <c r="BK128" i="9"/>
  <c r="BK36" i="9"/>
  <c r="BK41" i="9" s="1"/>
  <c r="AX392" i="1"/>
  <c r="AX331" i="1"/>
  <c r="BV128" i="9"/>
  <c r="BV36" i="9"/>
  <c r="BV41" i="9" s="1"/>
  <c r="BR975" i="1"/>
  <c r="BA61" i="1"/>
  <c r="BE63" i="1"/>
  <c r="BP406" i="1"/>
  <c r="BP418" i="1"/>
  <c r="E459" i="1"/>
  <c r="E463" i="1" s="1"/>
  <c r="D476" i="1"/>
  <c r="D489" i="1" s="1"/>
  <c r="BM108" i="9"/>
  <c r="BM109" i="9" s="1"/>
  <c r="BI131" i="9"/>
  <c r="BI95" i="9"/>
  <c r="BI96" i="9" s="1"/>
  <c r="BI99" i="9" s="1"/>
  <c r="AX101" i="9"/>
  <c r="AX102" i="9" s="1"/>
  <c r="P45" i="10"/>
  <c r="Q45" i="10"/>
  <c r="AC128" i="9"/>
  <c r="AC36" i="9"/>
  <c r="AC41" i="9" s="1"/>
  <c r="AC105" i="9"/>
  <c r="AP65" i="9"/>
  <c r="AP882" i="1"/>
  <c r="AP883" i="1" s="1"/>
  <c r="AP898" i="1"/>
  <c r="AP619" i="1"/>
  <c r="AS634" i="1" s="1"/>
  <c r="BU978" i="1"/>
  <c r="AP971" i="1"/>
  <c r="BU553" i="1"/>
  <c r="BU549" i="1"/>
  <c r="BS177" i="1"/>
  <c r="BS179" i="1" s="1"/>
  <c r="BS176" i="1"/>
  <c r="BO170" i="1"/>
  <c r="BO171" i="1"/>
  <c r="BO172" i="1" s="1"/>
  <c r="BV647" i="1"/>
  <c r="AG587" i="1"/>
  <c r="AG589" i="1" s="1"/>
  <c r="AG591" i="1"/>
  <c r="BI177" i="1"/>
  <c r="BI179" i="1" s="1"/>
  <c r="BI176" i="1"/>
  <c r="AL406" i="1"/>
  <c r="AL418" i="1"/>
  <c r="AL417" i="1"/>
  <c r="M128" i="9"/>
  <c r="M36" i="9"/>
  <c r="M41" i="9" s="1"/>
  <c r="BL115" i="9"/>
  <c r="BK66" i="9"/>
  <c r="BK87" i="9"/>
  <c r="BK84" i="9" s="1"/>
  <c r="BK76" i="9"/>
  <c r="BK122" i="9" s="1"/>
  <c r="AY647" i="1"/>
  <c r="AB170" i="1"/>
  <c r="AB171" i="1"/>
  <c r="BJ406" i="1"/>
  <c r="BJ418" i="1"/>
  <c r="BJ417" i="1"/>
  <c r="A2" i="12"/>
  <c r="A2" i="11"/>
  <c r="BJ127" i="1"/>
  <c r="AX889" i="1"/>
  <c r="AX897" i="1"/>
  <c r="BM9" i="1"/>
  <c r="N47" i="9"/>
  <c r="N129" i="9" s="1"/>
  <c r="N327" i="1"/>
  <c r="N57" i="9" s="1"/>
  <c r="N174" i="1"/>
  <c r="AS565" i="1"/>
  <c r="AS563" i="1"/>
  <c r="BX940" i="1"/>
  <c r="N106" i="9"/>
  <c r="N944" i="1"/>
  <c r="N953" i="1" s="1"/>
  <c r="N955" i="1" s="1"/>
  <c r="AI18" i="1"/>
  <c r="AI25" i="1"/>
  <c r="AX18" i="1"/>
  <c r="AX25" i="1"/>
  <c r="AX19" i="1"/>
  <c r="AX17" i="9" s="1"/>
  <c r="Q138" i="10"/>
  <c r="P138" i="10"/>
  <c r="AW64" i="1"/>
  <c r="BP47" i="9"/>
  <c r="BP129" i="9" s="1"/>
  <c r="BP327" i="1"/>
  <c r="BP57" i="9" s="1"/>
  <c r="BP174" i="1"/>
  <c r="AE128" i="9"/>
  <c r="AE36" i="9"/>
  <c r="AE41" i="9" s="1"/>
  <c r="AA128" i="9"/>
  <c r="AA36" i="9"/>
  <c r="AA41" i="9" s="1"/>
  <c r="P103" i="10"/>
  <c r="Q103" i="10"/>
  <c r="O420" i="1"/>
  <c r="O411" i="1"/>
  <c r="O412" i="1" s="1"/>
  <c r="M420" i="1"/>
  <c r="M415" i="1"/>
  <c r="M411" i="1"/>
  <c r="M412" i="1" s="1"/>
  <c r="AQ105" i="9"/>
  <c r="W420" i="1"/>
  <c r="W411" i="1"/>
  <c r="W412" i="1" s="1"/>
  <c r="E684" i="1"/>
  <c r="E685" i="1" s="1"/>
  <c r="E686" i="1" s="1"/>
  <c r="E687" i="1" s="1"/>
  <c r="E663" i="1"/>
  <c r="E660" i="1"/>
  <c r="AC650" i="1"/>
  <c r="BR617" i="1"/>
  <c r="BS127" i="1"/>
  <c r="M12" i="10"/>
  <c r="M59" i="10"/>
  <c r="BD32" i="1"/>
  <c r="BD102" i="1"/>
  <c r="U128" i="9"/>
  <c r="U36" i="9"/>
  <c r="U41" i="9" s="1"/>
  <c r="AR62" i="9"/>
  <c r="AR64" i="9" s="1"/>
  <c r="AR680" i="1"/>
  <c r="AR681" i="1" s="1"/>
  <c r="AR682" i="1" s="1"/>
  <c r="AR683" i="1" s="1"/>
  <c r="AR662" i="1"/>
  <c r="P860" i="1"/>
  <c r="AO631" i="1"/>
  <c r="AO633" i="1" s="1"/>
  <c r="AO635" i="1"/>
  <c r="B60" i="10"/>
  <c r="M19" i="10"/>
  <c r="BK420" i="1"/>
  <c r="BK415" i="1"/>
  <c r="BK411" i="1"/>
  <c r="BK412" i="1" s="1"/>
  <c r="P170" i="1"/>
  <c r="P171" i="1"/>
  <c r="AI333" i="1"/>
  <c r="AI396" i="1"/>
  <c r="BW128" i="9"/>
  <c r="BW36" i="9"/>
  <c r="BW41" i="9" s="1"/>
  <c r="AH65" i="9"/>
  <c r="AH898" i="1"/>
  <c r="AH882" i="1"/>
  <c r="AH883" i="1" s="1"/>
  <c r="AH619" i="1"/>
  <c r="AK634" i="1" s="1"/>
  <c r="AH971" i="1"/>
  <c r="BS978" i="1"/>
  <c r="BW549" i="1"/>
  <c r="BK58" i="9"/>
  <c r="BK969" i="1"/>
  <c r="AI177" i="1"/>
  <c r="AI176" i="1"/>
  <c r="AF333" i="1"/>
  <c r="AF396" i="1"/>
  <c r="AP827" i="1"/>
  <c r="AP860" i="1" s="1"/>
  <c r="AP659" i="1"/>
  <c r="BJ98" i="9"/>
  <c r="AN18" i="1"/>
  <c r="AN25" i="1"/>
  <c r="AN19" i="1"/>
  <c r="AN17" i="9" s="1"/>
  <c r="N143" i="1"/>
  <c r="BR225" i="1"/>
  <c r="AL143" i="1"/>
  <c r="BM47" i="9"/>
  <c r="BM129" i="9" s="1"/>
  <c r="BM327" i="1"/>
  <c r="BM57" i="9" s="1"/>
  <c r="BM174" i="1"/>
  <c r="Q170" i="1"/>
  <c r="Q171" i="1"/>
  <c r="U170" i="1"/>
  <c r="AD170" i="1"/>
  <c r="AD171" i="1"/>
  <c r="AH170" i="1"/>
  <c r="AS101" i="9"/>
  <c r="AS102" i="9" s="1"/>
  <c r="AO101" i="9"/>
  <c r="AO102" i="9" s="1"/>
  <c r="K62" i="9"/>
  <c r="K64" i="9" s="1"/>
  <c r="K662" i="1"/>
  <c r="K680" i="1"/>
  <c r="K681" i="1" s="1"/>
  <c r="K682" i="1" s="1"/>
  <c r="K683" i="1" s="1"/>
  <c r="AW107" i="9"/>
  <c r="AW108" i="9" s="1"/>
  <c r="AW109" i="9" s="1"/>
  <c r="BV14" i="11"/>
  <c r="BV26" i="11"/>
  <c r="AL827" i="1"/>
  <c r="AL860" i="1" s="1"/>
  <c r="AL964" i="1" s="1"/>
  <c r="AL659" i="1"/>
  <c r="BY84" i="1"/>
  <c r="L128" i="9"/>
  <c r="L36" i="9"/>
  <c r="L41" i="9" s="1"/>
  <c r="AZ63" i="1"/>
  <c r="AV64" i="1"/>
  <c r="AG420" i="1"/>
  <c r="AG412" i="1"/>
  <c r="AQ609" i="1"/>
  <c r="AQ606" i="1"/>
  <c r="AQ608" i="1"/>
  <c r="AQ610" i="1" s="1"/>
  <c r="AQ611" i="1"/>
  <c r="BV571" i="1"/>
  <c r="C1" i="9"/>
  <c r="C1102" i="1"/>
  <c r="C1072" i="1"/>
  <c r="C430" i="1"/>
  <c r="C3" i="1"/>
  <c r="D4" i="1"/>
  <c r="C4" i="12"/>
  <c r="C4" i="11"/>
  <c r="BI661" i="1"/>
  <c r="BI860" i="1"/>
  <c r="E964" i="1" s="1"/>
  <c r="AL333" i="1"/>
  <c r="AL396" i="1"/>
  <c r="BJ333" i="1"/>
  <c r="BJ396" i="1"/>
  <c r="AO634" i="1"/>
  <c r="AO632" i="1"/>
  <c r="BE94" i="1"/>
  <c r="BE73" i="1"/>
  <c r="BM128" i="9"/>
  <c r="BM36" i="9"/>
  <c r="BM41" i="9" s="1"/>
  <c r="AZ85" i="1"/>
  <c r="BN962" i="1"/>
  <c r="AM177" i="1"/>
  <c r="AM176" i="1"/>
  <c r="BH333" i="1"/>
  <c r="BH396" i="1"/>
  <c r="BE156" i="1"/>
  <c r="C128" i="9"/>
  <c r="C36" i="9"/>
  <c r="C41" i="9" s="1"/>
  <c r="BO62" i="9"/>
  <c r="BO64" i="9" s="1"/>
  <c r="BO662" i="1"/>
  <c r="BO680" i="1"/>
  <c r="BO681" i="1" s="1"/>
  <c r="BO682" i="1" s="1"/>
  <c r="BO683" i="1" s="1"/>
  <c r="AO660" i="1"/>
  <c r="AO663" i="1"/>
  <c r="AO684" i="1"/>
  <c r="AO685" i="1" s="1"/>
  <c r="AO686" i="1" s="1"/>
  <c r="AO687" i="1" s="1"/>
  <c r="BS614" i="1"/>
  <c r="AD650" i="1"/>
  <c r="AM406" i="1"/>
  <c r="AM417" i="1"/>
  <c r="AM418" i="1"/>
  <c r="BM127" i="1"/>
  <c r="BQ171" i="1"/>
  <c r="BQ170" i="1"/>
  <c r="BR170" i="1"/>
  <c r="AP351" i="1"/>
  <c r="AP353" i="1" s="1"/>
  <c r="BO396" i="1"/>
  <c r="BO333" i="1"/>
  <c r="F107" i="9"/>
  <c r="F108" i="9" s="1"/>
  <c r="F109" i="9" s="1"/>
  <c r="H107" i="9"/>
  <c r="H108" i="9" s="1"/>
  <c r="H109" i="9" s="1"/>
  <c r="AN650" i="1"/>
  <c r="AN652" i="1"/>
  <c r="AN653" i="1"/>
  <c r="BU616" i="1"/>
  <c r="AN655" i="1"/>
  <c r="AS609" i="1"/>
  <c r="AS608" i="1"/>
  <c r="AS611" i="1"/>
  <c r="BV573" i="1"/>
  <c r="AS606" i="1"/>
  <c r="AU19" i="11"/>
  <c r="AU20" i="11" s="1"/>
  <c r="AU29" i="1" s="1"/>
  <c r="AU20" i="9" s="1"/>
  <c r="AU12" i="11"/>
  <c r="AL47" i="9"/>
  <c r="AL129" i="9" s="1"/>
  <c r="AL327" i="1"/>
  <c r="AL57" i="9" s="1"/>
  <c r="AL174" i="1"/>
  <c r="AI611" i="1"/>
  <c r="AI608" i="1"/>
  <c r="AI610" i="1" s="1"/>
  <c r="AI606" i="1"/>
  <c r="BT571" i="1"/>
  <c r="AI609" i="1"/>
  <c r="P136" i="10"/>
  <c r="Q136" i="10"/>
  <c r="AX171" i="1"/>
  <c r="AX172" i="1" s="1"/>
  <c r="AX170" i="1"/>
  <c r="AB396" i="1"/>
  <c r="AB333" i="1"/>
  <c r="BJ47" i="9"/>
  <c r="BJ129" i="9" s="1"/>
  <c r="BJ174" i="1"/>
  <c r="BJ327" i="1"/>
  <c r="BJ57" i="9" s="1"/>
  <c r="Y959" i="1"/>
  <c r="BT12" i="1"/>
  <c r="AI128" i="9"/>
  <c r="AI36" i="9"/>
  <c r="AI41" i="9" s="1"/>
  <c r="X98" i="9"/>
  <c r="AP25" i="1"/>
  <c r="AP19" i="1"/>
  <c r="AP17" i="9" s="1"/>
  <c r="AP18" i="1"/>
  <c r="D396" i="1"/>
  <c r="D333" i="1"/>
  <c r="AO587" i="1"/>
  <c r="AO589" i="1" s="1"/>
  <c r="AO591" i="1"/>
  <c r="AL24" i="9"/>
  <c r="AL15" i="1"/>
  <c r="AP58" i="1"/>
  <c r="AP25" i="9" s="1"/>
  <c r="AL79" i="1"/>
  <c r="AL58" i="1"/>
  <c r="AL25" i="9" s="1"/>
  <c r="P92" i="10"/>
  <c r="Q92" i="10"/>
  <c r="X171" i="1"/>
  <c r="X170" i="1"/>
  <c r="K459" i="1"/>
  <c r="K463" i="1" s="1"/>
  <c r="BN459" i="1"/>
  <c r="BN463" i="1" s="1"/>
  <c r="BM476" i="1"/>
  <c r="BM489" i="1" s="1"/>
  <c r="Q132" i="10"/>
  <c r="P132" i="10"/>
  <c r="Z171" i="1"/>
  <c r="Z170" i="1"/>
  <c r="AM18" i="1"/>
  <c r="AM25" i="1"/>
  <c r="AM19" i="1"/>
  <c r="AM17" i="9" s="1"/>
  <c r="Q53" i="10"/>
  <c r="P53" i="10"/>
  <c r="G171" i="1"/>
  <c r="G170" i="1"/>
  <c r="K170" i="1"/>
  <c r="N827" i="1"/>
  <c r="N659" i="1"/>
  <c r="E62" i="9"/>
  <c r="E64" i="9" s="1"/>
  <c r="E680" i="1"/>
  <c r="E681" i="1" s="1"/>
  <c r="E682" i="1" s="1"/>
  <c r="E683" i="1" s="1"/>
  <c r="E662" i="1"/>
  <c r="L62" i="9"/>
  <c r="L64" i="9" s="1"/>
  <c r="L680" i="1"/>
  <c r="L681" i="1" s="1"/>
  <c r="L682" i="1" s="1"/>
  <c r="L683" i="1" s="1"/>
  <c r="L662" i="1"/>
  <c r="AA177" i="1"/>
  <c r="AA179" i="1" s="1"/>
  <c r="AA176" i="1"/>
  <c r="O333" i="1"/>
  <c r="O396" i="1"/>
  <c r="BP7" i="11"/>
  <c r="BP40" i="1"/>
  <c r="BP15" i="9" s="1"/>
  <c r="AX351" i="1"/>
  <c r="AX353" i="1" s="1"/>
  <c r="AC684" i="1"/>
  <c r="AC685" i="1" s="1"/>
  <c r="AC686" i="1" s="1"/>
  <c r="AC687" i="1" s="1"/>
  <c r="AC660" i="1"/>
  <c r="AC663" i="1"/>
  <c r="AR661" i="1"/>
  <c r="AR372" i="1"/>
  <c r="AR375" i="1" s="1"/>
  <c r="BV975" i="1"/>
  <c r="M54" i="10"/>
  <c r="P396" i="1"/>
  <c r="P333" i="1"/>
  <c r="J101" i="9"/>
  <c r="J102" i="9" s="1"/>
  <c r="AW632" i="1"/>
  <c r="AW634" i="1"/>
  <c r="AP603" i="1"/>
  <c r="AP606" i="1"/>
  <c r="BV570" i="1"/>
  <c r="AF406" i="1"/>
  <c r="AF418" i="1"/>
  <c r="AF417" i="1"/>
  <c r="AW566" i="1"/>
  <c r="AW562" i="1"/>
  <c r="AW564" i="1" s="1"/>
  <c r="BP76" i="9"/>
  <c r="BP122" i="9" s="1"/>
  <c r="BP87" i="9"/>
  <c r="BP84" i="9" s="1"/>
  <c r="BP66" i="9"/>
  <c r="AN101" i="9"/>
  <c r="AN102" i="9" s="1"/>
  <c r="N65" i="9"/>
  <c r="N882" i="1"/>
  <c r="N883" i="1" s="1"/>
  <c r="N898" i="1"/>
  <c r="N619" i="1"/>
  <c r="AW606" i="1"/>
  <c r="AW609" i="1"/>
  <c r="AW608" i="1"/>
  <c r="BW573" i="1"/>
  <c r="AW611" i="1"/>
  <c r="AN611" i="1"/>
  <c r="AN609" i="1"/>
  <c r="AN606" i="1"/>
  <c r="AN608" i="1"/>
  <c r="BU572" i="1"/>
  <c r="Y46" i="9"/>
  <c r="Y704" i="1"/>
  <c r="Y334" i="1"/>
  <c r="AD395" i="1"/>
  <c r="AV964" i="1"/>
  <c r="K661" i="1"/>
  <c r="AK587" i="1"/>
  <c r="AK589" i="1" s="1"/>
  <c r="AK591" i="1"/>
  <c r="AP98" i="9"/>
  <c r="AK93" i="9"/>
  <c r="T128" i="9"/>
  <c r="T36" i="9"/>
  <c r="T41" i="9" s="1"/>
  <c r="AY128" i="9"/>
  <c r="AY36" i="9"/>
  <c r="AY41" i="9" s="1"/>
  <c r="V406" i="1"/>
  <c r="V418" i="1"/>
  <c r="V417" i="1"/>
  <c r="AM684" i="1"/>
  <c r="AM685" i="1" s="1"/>
  <c r="AM686" i="1" s="1"/>
  <c r="AM687" i="1" s="1"/>
  <c r="AM660" i="1"/>
  <c r="AM663" i="1"/>
  <c r="BS24" i="9"/>
  <c r="BS15" i="1"/>
  <c r="BS58" i="1"/>
  <c r="BS25" i="9" s="1"/>
  <c r="BS79" i="1"/>
  <c r="AO418" i="1"/>
  <c r="AO406" i="1"/>
  <c r="AO417" i="1"/>
  <c r="AV330" i="1"/>
  <c r="AV395" i="1"/>
  <c r="AK177" i="1"/>
  <c r="AK179" i="1" s="1"/>
  <c r="AK176" i="1"/>
  <c r="BU58" i="9"/>
  <c r="BU969" i="1"/>
  <c r="BB8" i="9"/>
  <c r="BB961" i="1"/>
  <c r="BB691" i="1"/>
  <c r="BB934" i="1" s="1"/>
  <c r="BX934" i="1" s="1"/>
  <c r="BX691" i="1" s="1"/>
  <c r="AQ47" i="9"/>
  <c r="AQ129" i="9" s="1"/>
  <c r="AQ327" i="1"/>
  <c r="AQ57" i="9" s="1"/>
  <c r="AQ174" i="1"/>
  <c r="H171" i="1"/>
  <c r="H172" i="1" s="1"/>
  <c r="H170" i="1"/>
  <c r="AG128" i="9"/>
  <c r="AG36" i="9"/>
  <c r="AG41" i="9" s="1"/>
  <c r="V107" i="9"/>
  <c r="V108" i="9" s="1"/>
  <c r="X107" i="9"/>
  <c r="Y107" i="9"/>
  <c r="W107" i="9"/>
  <c r="BO661" i="1"/>
  <c r="BO860" i="1"/>
  <c r="AO62" i="9"/>
  <c r="AO64" i="9" s="1"/>
  <c r="AO680" i="1"/>
  <c r="AO681" i="1" s="1"/>
  <c r="AO682" i="1" s="1"/>
  <c r="AO683" i="1" s="1"/>
  <c r="AO662" i="1"/>
  <c r="AI93" i="9"/>
  <c r="AT128" i="9"/>
  <c r="BO406" i="1"/>
  <c r="BO418" i="1"/>
  <c r="BM977" i="1"/>
  <c r="AF62" i="9"/>
  <c r="AF64" i="9" s="1"/>
  <c r="AF680" i="1"/>
  <c r="AF681" i="1" s="1"/>
  <c r="AF682" i="1" s="1"/>
  <c r="AF683" i="1" s="1"/>
  <c r="AF662" i="1"/>
  <c r="BV177" i="1"/>
  <c r="BV179" i="1" s="1"/>
  <c r="BV176" i="1"/>
  <c r="AG357" i="1"/>
  <c r="AG355" i="1"/>
  <c r="AG959" i="1" s="1"/>
  <c r="BV225" i="1"/>
  <c r="AP128" i="9"/>
  <c r="AP36" i="9"/>
  <c r="AP41" i="9" s="1"/>
  <c r="BJ95" i="9"/>
  <c r="BJ96" i="9" s="1"/>
  <c r="BJ103" i="9" s="1"/>
  <c r="BW108" i="9"/>
  <c r="BW109" i="9" s="1"/>
  <c r="AF650" i="1"/>
  <c r="AF655" i="1"/>
  <c r="AF652" i="1"/>
  <c r="AF653" i="1"/>
  <c r="BS616" i="1"/>
  <c r="BW19" i="11"/>
  <c r="BW20" i="11" s="1"/>
  <c r="BW29" i="1" s="1"/>
  <c r="BW20" i="9" s="1"/>
  <c r="BW12" i="11"/>
  <c r="AB406" i="1"/>
  <c r="AB417" i="1"/>
  <c r="AB418" i="1"/>
  <c r="AR171" i="1"/>
  <c r="AV170" i="1"/>
  <c r="AR170" i="1"/>
  <c r="BT225" i="1"/>
  <c r="B1113" i="1"/>
  <c r="Q39" i="10"/>
  <c r="P39" i="10"/>
  <c r="BL127" i="1"/>
  <c r="D406" i="1"/>
  <c r="D418" i="1"/>
  <c r="D417" i="1"/>
  <c r="I128" i="9"/>
  <c r="I36" i="9"/>
  <c r="I41" i="9" s="1"/>
  <c r="AI964" i="1"/>
  <c r="AY98" i="9"/>
  <c r="AK107" i="9"/>
  <c r="AK108" i="9" s="1"/>
  <c r="AK109" i="9" s="1"/>
  <c r="AL18" i="1"/>
  <c r="AL25" i="1"/>
  <c r="AL19" i="1"/>
  <c r="AL17" i="9" s="1"/>
  <c r="AO25" i="1"/>
  <c r="AO19" i="1"/>
  <c r="AO17" i="9" s="1"/>
  <c r="AO18" i="1"/>
  <c r="N105" i="9"/>
  <c r="T171" i="1"/>
  <c r="T172" i="1" s="1"/>
  <c r="T170" i="1"/>
  <c r="X406" i="1"/>
  <c r="X418" i="1"/>
  <c r="X417" i="1"/>
  <c r="AE115" i="9"/>
  <c r="AA76" i="9"/>
  <c r="AA66" i="9"/>
  <c r="H459" i="1"/>
  <c r="H463" i="1" s="1"/>
  <c r="G476" i="1"/>
  <c r="G489" i="1" s="1"/>
  <c r="BN684" i="1"/>
  <c r="BN660" i="1"/>
  <c r="BN663" i="1"/>
  <c r="BN715" i="1" s="1"/>
  <c r="J396" i="1"/>
  <c r="J333" i="1"/>
  <c r="AH410" i="1"/>
  <c r="AH959" i="1" s="1"/>
  <c r="AH958" i="1"/>
  <c r="Z355" i="1"/>
  <c r="Z357" i="1"/>
  <c r="Z395" i="1"/>
  <c r="BL128" i="9"/>
  <c r="BL36" i="9"/>
  <c r="BR107" i="9"/>
  <c r="BR108" i="9" s="1"/>
  <c r="BR109" i="9" s="1"/>
  <c r="BS107" i="9"/>
  <c r="BS108" i="9" s="1"/>
  <c r="BS109" i="9" s="1"/>
  <c r="BT64" i="1"/>
  <c r="BW127" i="1"/>
  <c r="G333" i="1"/>
  <c r="G396" i="1"/>
  <c r="AC76" i="9"/>
  <c r="AC66" i="9"/>
  <c r="L661" i="1"/>
  <c r="L860" i="1"/>
  <c r="AC631" i="1"/>
  <c r="AC633" i="1" s="1"/>
  <c r="AC635" i="1"/>
  <c r="BV614" i="1"/>
  <c r="AP650" i="1"/>
  <c r="AQ652" i="1"/>
  <c r="AQ654" i="1" s="1"/>
  <c r="BV615" i="1"/>
  <c r="AQ653" i="1"/>
  <c r="AQ650" i="1"/>
  <c r="AQ655" i="1"/>
  <c r="B45" i="10"/>
  <c r="R143" i="1"/>
  <c r="BP685" i="1"/>
  <c r="BP686" i="1" s="1"/>
  <c r="BP687" i="1" s="1"/>
  <c r="R62" i="9"/>
  <c r="R64" i="9" s="1"/>
  <c r="R680" i="1"/>
  <c r="R681" i="1" s="1"/>
  <c r="R682" i="1" s="1"/>
  <c r="R683" i="1" s="1"/>
  <c r="R662" i="1"/>
  <c r="F65" i="9"/>
  <c r="F898" i="1"/>
  <c r="F882" i="1"/>
  <c r="F883" i="1" s="1"/>
  <c r="F619" i="1"/>
  <c r="F971" i="1"/>
  <c r="BL978" i="1"/>
  <c r="AO650" i="1"/>
  <c r="AO652" i="1"/>
  <c r="BU617" i="1"/>
  <c r="AO653" i="1"/>
  <c r="AO655" i="1"/>
  <c r="AY26" i="11"/>
  <c r="AY14" i="11"/>
  <c r="AY15" i="11" s="1"/>
  <c r="BL225" i="1"/>
  <c r="M6" i="10"/>
  <c r="P406" i="1"/>
  <c r="P418" i="1"/>
  <c r="P417" i="1"/>
  <c r="AT177" i="1"/>
  <c r="AT176" i="1"/>
  <c r="F171" i="1"/>
  <c r="J172" i="1" s="1"/>
  <c r="J170" i="1"/>
  <c r="I101" i="9"/>
  <c r="I102" i="9" s="1"/>
  <c r="BL102" i="9"/>
  <c r="AW19" i="11"/>
  <c r="AW20" i="11" s="1"/>
  <c r="AW29" i="1" s="1"/>
  <c r="AW20" i="9" s="1"/>
  <c r="AW12" i="11"/>
  <c r="AM105" i="9"/>
  <c r="AF47" i="9"/>
  <c r="AF129" i="9" s="1"/>
  <c r="AF327" i="1"/>
  <c r="AF57" i="9" s="1"/>
  <c r="AF174" i="1"/>
  <c r="AJ176" i="1" s="1"/>
  <c r="BX65" i="9"/>
  <c r="BX898" i="1"/>
  <c r="BX619" i="1"/>
  <c r="AN603" i="1"/>
  <c r="AE609" i="1"/>
  <c r="AE606" i="1"/>
  <c r="BS571" i="1"/>
  <c r="AE611" i="1"/>
  <c r="AE608" i="1"/>
  <c r="AE610" i="1" s="1"/>
  <c r="Y58" i="9"/>
  <c r="Y969" i="1"/>
  <c r="AY330" i="1"/>
  <c r="AY395" i="1"/>
  <c r="BS412" i="1"/>
  <c r="BS420" i="1"/>
  <c r="Q333" i="1"/>
  <c r="Q396" i="1"/>
  <c r="AD406" i="1"/>
  <c r="AD417" i="1"/>
  <c r="N154" i="10" s="1"/>
  <c r="AD418" i="1"/>
  <c r="BN974" i="1"/>
  <c r="V77" i="9"/>
  <c r="V79" i="9" s="1"/>
  <c r="V68" i="9"/>
  <c r="V74" i="9" s="1"/>
  <c r="V132" i="9" s="1"/>
  <c r="AK333" i="1"/>
  <c r="AK396" i="1"/>
  <c r="C76" i="9"/>
  <c r="G115" i="9"/>
  <c r="C66" i="9"/>
  <c r="AF609" i="1"/>
  <c r="BS572" i="1"/>
  <c r="AF608" i="1"/>
  <c r="AF611" i="1"/>
  <c r="AF606" i="1"/>
  <c r="AN128" i="9"/>
  <c r="AN36" i="9"/>
  <c r="AN41" i="9" s="1"/>
  <c r="Z105" i="9"/>
  <c r="AD877" i="1"/>
  <c r="P101" i="9"/>
  <c r="P102" i="9" s="1"/>
  <c r="AC47" i="9"/>
  <c r="AC129" i="9" s="1"/>
  <c r="AC174" i="1"/>
  <c r="AC327" i="1"/>
  <c r="AC57" i="9" s="1"/>
  <c r="AO19" i="11"/>
  <c r="AO20" i="11" s="1"/>
  <c r="AO29" i="1" s="1"/>
  <c r="AO20" i="9" s="1"/>
  <c r="AO12" i="11"/>
  <c r="BW333" i="1"/>
  <c r="BW396" i="1"/>
  <c r="N406" i="1"/>
  <c r="N417" i="1"/>
  <c r="N418" i="1"/>
  <c r="AK101" i="9"/>
  <c r="P47" i="10"/>
  <c r="Q47" i="10"/>
  <c r="AP170" i="1"/>
  <c r="AP171" i="1"/>
  <c r="AT170" i="1"/>
  <c r="D66" i="9"/>
  <c r="D76" i="9"/>
  <c r="P62" i="9"/>
  <c r="P64" i="9" s="1"/>
  <c r="P662" i="1"/>
  <c r="P680" i="1"/>
  <c r="P681" i="1" s="1"/>
  <c r="P682" i="1" s="1"/>
  <c r="P683" i="1" s="1"/>
  <c r="AT553" i="1"/>
  <c r="AT552" i="1"/>
  <c r="AU527" i="1"/>
  <c r="AU531" i="1" s="1"/>
  <c r="N128" i="9"/>
  <c r="N36" i="9"/>
  <c r="N41" i="9" s="1"/>
  <c r="BQ333" i="1"/>
  <c r="BQ396" i="1"/>
  <c r="BJ12" i="1"/>
  <c r="BK12" i="1"/>
  <c r="BO47" i="9"/>
  <c r="BO129" i="9" s="1"/>
  <c r="BO174" i="1"/>
  <c r="BO327" i="1"/>
  <c r="BO57" i="9" s="1"/>
  <c r="BK685" i="1"/>
  <c r="BK686" i="1" s="1"/>
  <c r="BK687" i="1" s="1"/>
  <c r="BV101" i="9"/>
  <c r="BV102" i="9" s="1"/>
  <c r="Q964" i="1"/>
  <c r="AF684" i="1"/>
  <c r="AF685" i="1" s="1"/>
  <c r="AF686" i="1" s="1"/>
  <c r="AF687" i="1" s="1"/>
  <c r="AF663" i="1"/>
  <c r="AF660" i="1"/>
  <c r="AT107" i="9"/>
  <c r="AU107" i="9"/>
  <c r="AC632" i="1"/>
  <c r="AC634" i="1"/>
  <c r="AL606" i="1"/>
  <c r="BU570" i="1"/>
  <c r="Q140" i="10"/>
  <c r="P140" i="10"/>
  <c r="D128" i="9"/>
  <c r="D36" i="9"/>
  <c r="D41" i="9" s="1"/>
  <c r="BV12" i="1"/>
  <c r="R101" i="9"/>
  <c r="R102" i="9" s="1"/>
  <c r="C415" i="1"/>
  <c r="C420" i="1"/>
  <c r="C411" i="1"/>
  <c r="C412" i="1" s="1"/>
  <c r="P27" i="10"/>
  <c r="Q27" i="10"/>
  <c r="AT19" i="11"/>
  <c r="AT20" i="11" s="1"/>
  <c r="AT29" i="1" s="1"/>
  <c r="AT20" i="9" s="1"/>
  <c r="AT12" i="11"/>
  <c r="AX402" i="1"/>
  <c r="AB47" i="9"/>
  <c r="AB129" i="9" s="1"/>
  <c r="AB327" i="1"/>
  <c r="AB57" i="9" s="1"/>
  <c r="AB174" i="1"/>
  <c r="AO128" i="9"/>
  <c r="AO36" i="9"/>
  <c r="AO41" i="9" s="1"/>
  <c r="BT128" i="9"/>
  <c r="BT36" i="9"/>
  <c r="BT41" i="9" s="1"/>
  <c r="AE101" i="9"/>
  <c r="Y964" i="1"/>
  <c r="BS570" i="1"/>
  <c r="AD606" i="1"/>
  <c r="L171" i="1"/>
  <c r="L170" i="1"/>
  <c r="D47" i="9"/>
  <c r="D129" i="9" s="1"/>
  <c r="D327" i="1"/>
  <c r="D57" i="9" s="1"/>
  <c r="D174" i="1"/>
  <c r="D177" i="1" s="1"/>
  <c r="V171" i="1"/>
  <c r="V170" i="1"/>
  <c r="I58" i="9"/>
  <c r="I969" i="1"/>
  <c r="BX728" i="1"/>
  <c r="BX10" i="9" s="1"/>
  <c r="BC952" i="1"/>
  <c r="AO611" i="1"/>
  <c r="BU573" i="1"/>
  <c r="AO609" i="1"/>
  <c r="AO606" i="1"/>
  <c r="AO608" i="1"/>
  <c r="X47" i="9"/>
  <c r="X129" i="9" s="1"/>
  <c r="X327" i="1"/>
  <c r="X57" i="9" s="1"/>
  <c r="X174" i="1"/>
  <c r="J128" i="9"/>
  <c r="J36" i="9"/>
  <c r="J41" i="9" s="1"/>
  <c r="BN62" i="9"/>
  <c r="BN64" i="9" s="1"/>
  <c r="BN662" i="1"/>
  <c r="BN680" i="1"/>
  <c r="BN681" i="1" s="1"/>
  <c r="BN682" i="1" s="1"/>
  <c r="BN683" i="1" s="1"/>
  <c r="AL107" i="9"/>
  <c r="AO107" i="9"/>
  <c r="AM107" i="9"/>
  <c r="AS527" i="1"/>
  <c r="AS531" i="1" s="1"/>
  <c r="AR553" i="1"/>
  <c r="AR552" i="1"/>
  <c r="Q43" i="10"/>
  <c r="P43" i="10"/>
  <c r="AF128" i="9"/>
  <c r="AF36" i="9"/>
  <c r="AF41" i="9" s="1"/>
  <c r="AT105" i="9"/>
  <c r="Z406" i="1"/>
  <c r="Y965" i="1" s="1"/>
  <c r="Z417" i="1"/>
  <c r="Z418" i="1"/>
  <c r="AI684" i="1"/>
  <c r="AI685" i="1" s="1"/>
  <c r="AI686" i="1" s="1"/>
  <c r="AI687" i="1" s="1"/>
  <c r="AI663" i="1"/>
  <c r="AI660" i="1"/>
  <c r="G406" i="1"/>
  <c r="G417" i="1"/>
  <c r="G418" i="1"/>
  <c r="BQ225" i="1"/>
  <c r="AC551" i="1"/>
  <c r="AC547" i="1"/>
  <c r="AC549" i="1" s="1"/>
  <c r="H36" i="9"/>
  <c r="H41" i="9" s="1"/>
  <c r="H128" i="9"/>
  <c r="R17" i="11"/>
  <c r="R962" i="1"/>
  <c r="V128" i="9"/>
  <c r="V36" i="9"/>
  <c r="V41" i="9" s="1"/>
  <c r="R684" i="1"/>
  <c r="R685" i="1" s="1"/>
  <c r="R686" i="1" s="1"/>
  <c r="R687" i="1" s="1"/>
  <c r="R663" i="1"/>
  <c r="R660" i="1"/>
  <c r="AU964" i="1"/>
  <c r="F968" i="1"/>
  <c r="AA412" i="1"/>
  <c r="AA420" i="1"/>
  <c r="AY20" i="11"/>
  <c r="P47" i="9"/>
  <c r="P129" i="9" s="1"/>
  <c r="P327" i="1"/>
  <c r="P57" i="9" s="1"/>
  <c r="P174" i="1"/>
  <c r="AJ177" i="1"/>
  <c r="F396" i="1"/>
  <c r="F333" i="1"/>
  <c r="AN62" i="9"/>
  <c r="AN64" i="9" s="1"/>
  <c r="AN680" i="1"/>
  <c r="AN681" i="1" s="1"/>
  <c r="AN682" i="1" s="1"/>
  <c r="AN683" i="1" s="1"/>
  <c r="AN662" i="1"/>
  <c r="AL552" i="1"/>
  <c r="AL553" i="1"/>
  <c r="AM527" i="1"/>
  <c r="AM531" i="1" s="1"/>
  <c r="AJ959" i="1"/>
  <c r="BS20" i="11"/>
  <c r="BS29" i="1" s="1"/>
  <c r="BS20" i="9" s="1"/>
  <c r="AT64" i="1"/>
  <c r="S128" i="9"/>
  <c r="S36" i="9"/>
  <c r="S41" i="9" s="1"/>
  <c r="AF105" i="9"/>
  <c r="N968" i="1"/>
  <c r="AR655" i="1"/>
  <c r="AR652" i="1"/>
  <c r="AR653" i="1"/>
  <c r="AR650" i="1"/>
  <c r="BV616" i="1"/>
  <c r="AW420" i="1"/>
  <c r="AW412" i="1"/>
  <c r="W959" i="1"/>
  <c r="AR128" i="9"/>
  <c r="AR36" i="9"/>
  <c r="AR41" i="9" s="1"/>
  <c r="AV412" i="1"/>
  <c r="AV420" i="1"/>
  <c r="Q418" i="1"/>
  <c r="Q406" i="1"/>
  <c r="Q417" i="1"/>
  <c r="AD47" i="9"/>
  <c r="AD129" i="9" s="1"/>
  <c r="AD174" i="1"/>
  <c r="AH176" i="1" s="1"/>
  <c r="AD327" i="1"/>
  <c r="AD57" i="9" s="1"/>
  <c r="L101" i="9"/>
  <c r="L102" i="9" s="1"/>
  <c r="AW653" i="1"/>
  <c r="AW652" i="1"/>
  <c r="AW650" i="1"/>
  <c r="BW617" i="1"/>
  <c r="AW655" i="1"/>
  <c r="AF860" i="1"/>
  <c r="AF964" i="1" s="1"/>
  <c r="AS959" i="1"/>
  <c r="BW420" i="1"/>
  <c r="BW412" i="1"/>
  <c r="S333" i="1"/>
  <c r="S396" i="1"/>
  <c r="T663" i="1"/>
  <c r="T660" i="1"/>
  <c r="T684" i="1"/>
  <c r="T685" i="1" s="1"/>
  <c r="T686" i="1" s="1"/>
  <c r="T687" i="1" s="1"/>
  <c r="AK562" i="1"/>
  <c r="AK566" i="1"/>
  <c r="AT351" i="1"/>
  <c r="AT353" i="1" s="1"/>
  <c r="BX923" i="1"/>
  <c r="AM611" i="1"/>
  <c r="BU571" i="1"/>
  <c r="AM609" i="1"/>
  <c r="AM606" i="1"/>
  <c r="AM608" i="1"/>
  <c r="AM610" i="1" s="1"/>
  <c r="W58" i="9"/>
  <c r="W969" i="1"/>
  <c r="AS62" i="9"/>
  <c r="AS64" i="9" s="1"/>
  <c r="AS680" i="1"/>
  <c r="AS681" i="1" s="1"/>
  <c r="AS682" i="1" s="1"/>
  <c r="AS683" i="1" s="1"/>
  <c r="AS662" i="1"/>
  <c r="AM655" i="1"/>
  <c r="AM652" i="1"/>
  <c r="AM654" i="1" s="1"/>
  <c r="AM653" i="1"/>
  <c r="AM650" i="1"/>
  <c r="BU615" i="1"/>
  <c r="Q37" i="10"/>
  <c r="P37" i="10"/>
  <c r="AG101" i="9"/>
  <c r="BM360" i="1"/>
  <c r="BM365" i="1" s="1"/>
  <c r="BM970" i="1" s="1"/>
  <c r="BM357" i="1"/>
  <c r="BM355" i="1"/>
  <c r="K420" i="1"/>
  <c r="K415" i="1"/>
  <c r="K412" i="1"/>
  <c r="K411" i="1"/>
  <c r="AD101" i="9"/>
  <c r="BF5" i="11"/>
  <c r="AI24" i="9"/>
  <c r="AI15" i="1"/>
  <c r="AM58" i="1"/>
  <c r="AM25" i="9" s="1"/>
  <c r="AI79" i="1"/>
  <c r="AY101" i="9"/>
  <c r="AY102" i="9" s="1"/>
  <c r="BI46" i="9"/>
  <c r="BI704" i="1"/>
  <c r="BI334" i="1"/>
  <c r="H333" i="1"/>
  <c r="H396" i="1"/>
  <c r="AP395" i="1"/>
  <c r="P684" i="1"/>
  <c r="P685" i="1" s="1"/>
  <c r="P686" i="1" s="1"/>
  <c r="P687" i="1" s="1"/>
  <c r="P663" i="1"/>
  <c r="P660" i="1"/>
  <c r="AQ108" i="9"/>
  <c r="AD93" i="9"/>
  <c r="AE93" i="9"/>
  <c r="AG93" i="9"/>
  <c r="AS108" i="9"/>
  <c r="AS109" i="9" s="1"/>
  <c r="BK1092" i="1"/>
  <c r="BK1083" i="1"/>
  <c r="BK1081" i="1" s="1"/>
  <c r="BK720" i="1" s="1"/>
  <c r="BK1076" i="1"/>
  <c r="BK1074" i="1" s="1"/>
  <c r="BK719" i="1" s="1"/>
  <c r="BK1090" i="1"/>
  <c r="BK1088" i="1" s="1"/>
  <c r="BK721" i="1" s="1"/>
  <c r="BK1078" i="1"/>
  <c r="BK1085" i="1"/>
  <c r="BQ406" i="1"/>
  <c r="BQ418" i="1"/>
  <c r="BQ12" i="1"/>
  <c r="BJ225" i="1"/>
  <c r="AC101" i="9"/>
  <c r="AC102" i="9" s="1"/>
  <c r="S62" i="9"/>
  <c r="S64" i="9" s="1"/>
  <c r="S115" i="9" s="1"/>
  <c r="S680" i="1"/>
  <c r="S681" i="1" s="1"/>
  <c r="S682" i="1" s="1"/>
  <c r="S683" i="1" s="1"/>
  <c r="S662" i="1"/>
  <c r="AF603" i="1"/>
  <c r="AM333" i="1"/>
  <c r="AM396" i="1"/>
  <c r="AK420" i="1"/>
  <c r="AK412" i="1"/>
  <c r="AU46" i="9"/>
  <c r="AU704" i="1"/>
  <c r="AU334" i="1"/>
  <c r="Q128" i="10"/>
  <c r="P128" i="10"/>
  <c r="O128" i="9"/>
  <c r="O36" i="9"/>
  <c r="O41" i="9" s="1"/>
  <c r="BY65" i="9"/>
  <c r="BY898" i="1"/>
  <c r="BY619" i="1"/>
  <c r="AR606" i="1"/>
  <c r="AR608" i="1"/>
  <c r="BV572" i="1"/>
  <c r="AR611" i="1"/>
  <c r="AR609" i="1"/>
  <c r="AX47" i="9"/>
  <c r="AX129" i="9" s="1"/>
  <c r="AX327" i="1"/>
  <c r="AX57" i="9" s="1"/>
  <c r="AX174" i="1"/>
  <c r="AR333" i="1"/>
  <c r="AR396" i="1"/>
  <c r="AU177" i="1"/>
  <c r="AU176" i="1"/>
  <c r="AM101" i="9"/>
  <c r="AM102" i="9" s="1"/>
  <c r="L406" i="1"/>
  <c r="L417" i="1"/>
  <c r="L418" i="1"/>
  <c r="V47" i="9"/>
  <c r="V129" i="9" s="1"/>
  <c r="V327" i="1"/>
  <c r="V57" i="9" s="1"/>
  <c r="V174" i="1"/>
  <c r="I46" i="9"/>
  <c r="I704" i="1"/>
  <c r="I334" i="1"/>
  <c r="AS128" i="9"/>
  <c r="AS36" i="9"/>
  <c r="AS41" i="9" s="1"/>
  <c r="S101" i="9"/>
  <c r="S102" i="9" s="1"/>
  <c r="AB860" i="1"/>
  <c r="K964" i="1"/>
  <c r="AU655" i="1"/>
  <c r="BW615" i="1"/>
  <c r="AU652" i="1"/>
  <c r="AU654" i="1" s="1"/>
  <c r="AU653" i="1"/>
  <c r="AU650" i="1"/>
  <c r="P128" i="9"/>
  <c r="P36" i="9"/>
  <c r="P41" i="9" s="1"/>
  <c r="T333" i="1"/>
  <c r="T396" i="1"/>
  <c r="H793" i="1"/>
  <c r="G794" i="1"/>
  <c r="BN108" i="9"/>
  <c r="BN109" i="9" s="1"/>
  <c r="AA105" i="9"/>
  <c r="BE161" i="1"/>
  <c r="Z47" i="9"/>
  <c r="Z129" i="9" s="1"/>
  <c r="Z327" i="1"/>
  <c r="Z57" i="9" s="1"/>
  <c r="Z174" i="1"/>
  <c r="AR101" i="9"/>
  <c r="AR102" i="9" s="1"/>
  <c r="AB101" i="9"/>
  <c r="AB102" i="9" s="1"/>
  <c r="AV606" i="1"/>
  <c r="AV609" i="1"/>
  <c r="AV611" i="1"/>
  <c r="BW572" i="1"/>
  <c r="AV608" i="1"/>
  <c r="BU57" i="1"/>
  <c r="BU25" i="1"/>
  <c r="BU19" i="1"/>
  <c r="BU17" i="9" s="1"/>
  <c r="Q71" i="10"/>
  <c r="P71" i="10"/>
  <c r="G47" i="9"/>
  <c r="G129" i="9" s="1"/>
  <c r="G327" i="1"/>
  <c r="G57" i="9" s="1"/>
  <c r="G174" i="1"/>
  <c r="BR58" i="9"/>
  <c r="BR969" i="1"/>
  <c r="BL87" i="9"/>
  <c r="BL84" i="9" s="1"/>
  <c r="BL76" i="9"/>
  <c r="BL122" i="9" s="1"/>
  <c r="BL66" i="9"/>
  <c r="I62" i="9"/>
  <c r="I64" i="9" s="1"/>
  <c r="I680" i="1"/>
  <c r="I681" i="1" s="1"/>
  <c r="I682" i="1" s="1"/>
  <c r="I683" i="1" s="1"/>
  <c r="I662" i="1"/>
  <c r="BF1059" i="1"/>
  <c r="BF667" i="1"/>
  <c r="BF618" i="1" s="1"/>
  <c r="BF620" i="1" s="1"/>
  <c r="BF621" i="1" s="1"/>
  <c r="BF380" i="1"/>
  <c r="BF182" i="1"/>
  <c r="BF574" i="1" s="1"/>
  <c r="B146" i="10"/>
  <c r="B71" i="10"/>
  <c r="M158" i="10"/>
  <c r="N117" i="10"/>
  <c r="N109" i="10"/>
  <c r="M66" i="10"/>
  <c r="B81" i="10"/>
  <c r="BK3" i="12"/>
  <c r="B92" i="10"/>
  <c r="B141" i="10"/>
  <c r="M72" i="10"/>
  <c r="B27" i="10"/>
  <c r="B8" i="10"/>
  <c r="B44" i="10"/>
  <c r="B156" i="10"/>
  <c r="M125" i="10"/>
  <c r="M140" i="10"/>
  <c r="N158" i="10"/>
  <c r="N150" i="10"/>
  <c r="N125" i="10"/>
  <c r="M99" i="10"/>
  <c r="B55" i="10"/>
  <c r="B79" i="10"/>
  <c r="BH4" i="12"/>
  <c r="M101" i="10"/>
  <c r="M48" i="10"/>
  <c r="B88" i="10"/>
  <c r="B74" i="10"/>
  <c r="B136" i="10"/>
  <c r="B25" i="10"/>
  <c r="M55" i="10"/>
  <c r="AC550" i="1"/>
  <c r="AC548" i="1"/>
  <c r="BW977" i="1"/>
  <c r="AY552" i="1"/>
  <c r="AY553" i="1"/>
  <c r="AZ380" i="1"/>
  <c r="BS647" i="1"/>
  <c r="M94" i="10"/>
  <c r="B101" i="10"/>
  <c r="AT330" i="1"/>
  <c r="AT395" i="1"/>
  <c r="F406" i="1"/>
  <c r="F417" i="1"/>
  <c r="F418" i="1"/>
  <c r="AN661" i="1"/>
  <c r="AN860" i="1"/>
  <c r="BT552" i="1"/>
  <c r="AA46" i="9"/>
  <c r="AA704" i="1"/>
  <c r="AA334" i="1"/>
  <c r="AT18" i="1"/>
  <c r="AT25" i="1"/>
  <c r="AT19" i="1"/>
  <c r="AT17" i="9" s="1"/>
  <c r="K177" i="1"/>
  <c r="K176" i="1"/>
  <c r="W105" i="9"/>
  <c r="AW563" i="1"/>
  <c r="AW565" i="1"/>
  <c r="V683" i="1"/>
  <c r="AW101" i="9"/>
  <c r="AW102" i="9" s="1"/>
  <c r="BO107" i="9"/>
  <c r="BO108" i="9" s="1"/>
  <c r="BO109" i="9" s="1"/>
  <c r="AO98" i="9"/>
  <c r="BQ108" i="9"/>
  <c r="BQ109" i="9" s="1"/>
  <c r="AG588" i="1"/>
  <c r="AG590" i="1"/>
  <c r="Q47" i="9"/>
  <c r="Q129" i="9" s="1"/>
  <c r="Q327" i="1"/>
  <c r="Q57" i="9" s="1"/>
  <c r="Q174" i="1"/>
  <c r="AD105" i="9"/>
  <c r="AO563" i="1"/>
  <c r="AO565" i="1"/>
  <c r="J65" i="9"/>
  <c r="J898" i="1"/>
  <c r="J882" i="1"/>
  <c r="J883" i="1" s="1"/>
  <c r="J619" i="1"/>
  <c r="J971" i="1"/>
  <c r="BM978" i="1"/>
  <c r="BU62" i="9"/>
  <c r="BU64" i="9" s="1"/>
  <c r="BU680" i="1"/>
  <c r="BU681" i="1" s="1"/>
  <c r="BU682" i="1" s="1"/>
  <c r="BU683" i="1" s="1"/>
  <c r="BU662" i="1"/>
  <c r="AY860" i="1"/>
  <c r="I98" i="9"/>
  <c r="AW635" i="1"/>
  <c r="AW631" i="1"/>
  <c r="AW633" i="1" s="1"/>
  <c r="U964" i="1"/>
  <c r="BV98" i="9"/>
  <c r="AK631" i="1"/>
  <c r="AK633" i="1" s="1"/>
  <c r="AK635" i="1"/>
  <c r="BT108" i="9"/>
  <c r="BT109" i="9" s="1"/>
  <c r="H661" i="1"/>
  <c r="H860" i="1"/>
  <c r="H964" i="1" s="1"/>
  <c r="BT614" i="1"/>
  <c r="AH650" i="1"/>
  <c r="BB32" i="1"/>
  <c r="BB102" i="1"/>
  <c r="BI58" i="9"/>
  <c r="BI969" i="1"/>
  <c r="H406" i="1"/>
  <c r="H417" i="1"/>
  <c r="H418" i="1"/>
  <c r="AP402" i="1"/>
  <c r="AN539" i="1"/>
  <c r="AN537" i="1"/>
  <c r="AN536" i="1"/>
  <c r="AN540" i="1"/>
  <c r="AN380" i="1"/>
  <c r="V101" i="9"/>
  <c r="V102" i="9" s="1"/>
  <c r="F62" i="9"/>
  <c r="F64" i="9" s="1"/>
  <c r="F680" i="1"/>
  <c r="F681" i="1" s="1"/>
  <c r="F682" i="1" s="1"/>
  <c r="F683" i="1" s="1"/>
  <c r="F662" i="1"/>
  <c r="AT549" i="1"/>
  <c r="AH606" i="1"/>
  <c r="BT570" i="1"/>
  <c r="BW647" i="1"/>
  <c r="AX128" i="9"/>
  <c r="AX36" i="9"/>
  <c r="AX41" i="9" s="1"/>
  <c r="BQ47" i="9"/>
  <c r="BQ129" i="9" s="1"/>
  <c r="BQ327" i="1"/>
  <c r="BQ57" i="9" s="1"/>
  <c r="BQ174" i="1"/>
  <c r="AO170" i="1"/>
  <c r="AO171" i="1"/>
  <c r="AS170" i="1"/>
  <c r="AW552" i="1"/>
  <c r="AX527" i="1"/>
  <c r="AX531" i="1" s="1"/>
  <c r="AW553" i="1"/>
  <c r="AW549" i="1"/>
  <c r="S661" i="1"/>
  <c r="BP975" i="1"/>
  <c r="AO552" i="1"/>
  <c r="AO553" i="1"/>
  <c r="AP527" i="1"/>
  <c r="AP531" i="1" s="1"/>
  <c r="BW177" i="1"/>
  <c r="BW176" i="1"/>
  <c r="BL177" i="1"/>
  <c r="BL176" i="1"/>
  <c r="AU58" i="9"/>
  <c r="AU969" i="1"/>
  <c r="G964" i="1"/>
  <c r="AJ98" i="9"/>
  <c r="BY968" i="1"/>
  <c r="BI108" i="9"/>
  <c r="BI109" i="9" s="1"/>
  <c r="AK588" i="1"/>
  <c r="AK590" i="1"/>
  <c r="AR603" i="1"/>
  <c r="AY406" i="1"/>
  <c r="AY418" i="1"/>
  <c r="AY417" i="1"/>
  <c r="AD17" i="11"/>
  <c r="AD19" i="11" s="1"/>
  <c r="AD20" i="11" s="1"/>
  <c r="AD29" i="1" s="1"/>
  <c r="AD20" i="9" s="1"/>
  <c r="AD962" i="1"/>
  <c r="P99" i="10"/>
  <c r="Q99" i="10"/>
  <c r="AB367" i="1"/>
  <c r="AD367" i="1" s="1"/>
  <c r="AD370" i="1" s="1"/>
  <c r="BV406" i="1"/>
  <c r="BV417" i="1"/>
  <c r="BV418" i="1"/>
  <c r="AB105" i="9"/>
  <c r="S171" i="1"/>
  <c r="S170" i="1"/>
  <c r="W170" i="1"/>
  <c r="AR406" i="1"/>
  <c r="AR418" i="1"/>
  <c r="AR417" i="1"/>
  <c r="T62" i="9"/>
  <c r="T64" i="9" s="1"/>
  <c r="T680" i="1"/>
  <c r="T681" i="1" s="1"/>
  <c r="T682" i="1" s="1"/>
  <c r="T683" i="1" s="1"/>
  <c r="T662" i="1"/>
  <c r="BD947" i="1"/>
  <c r="BC729" i="1"/>
  <c r="AV647" i="1"/>
  <c r="BY531" i="1"/>
  <c r="BY527" i="1"/>
  <c r="L47" i="9"/>
  <c r="L129" i="9" s="1"/>
  <c r="L327" i="1"/>
  <c r="L57" i="9" s="1"/>
  <c r="L174" i="1"/>
  <c r="V396" i="1"/>
  <c r="V333" i="1"/>
  <c r="BU412" i="1"/>
  <c r="BU420" i="1"/>
  <c r="BS115" i="1"/>
  <c r="AN26" i="11"/>
  <c r="AN27" i="11" s="1"/>
  <c r="AN14" i="11"/>
  <c r="AN15" i="11" s="1"/>
  <c r="AW330" i="1"/>
  <c r="AW395" i="1"/>
  <c r="T406" i="1"/>
  <c r="T418" i="1"/>
  <c r="T417" i="1"/>
  <c r="X333" i="1"/>
  <c r="X396" i="1"/>
  <c r="O76" i="9"/>
  <c r="O66" i="9"/>
  <c r="T101" i="9"/>
  <c r="T102" i="9" s="1"/>
  <c r="AR549" i="1"/>
  <c r="O177" i="1"/>
  <c r="O179" i="1" s="1"/>
  <c r="O176" i="1"/>
  <c r="M177" i="1"/>
  <c r="M179" i="1" s="1"/>
  <c r="M176" i="1"/>
  <c r="AK563" i="1"/>
  <c r="AK565" i="1"/>
  <c r="H62" i="9"/>
  <c r="H64" i="9" s="1"/>
  <c r="H680" i="1"/>
  <c r="H681" i="1" s="1"/>
  <c r="H682" i="1" s="1"/>
  <c r="H683" i="1" s="1"/>
  <c r="H662" i="1"/>
  <c r="BN12" i="1"/>
  <c r="G105" i="9"/>
  <c r="BR46" i="9"/>
  <c r="BR704" i="1"/>
  <c r="BR334" i="1"/>
  <c r="BN128" i="9"/>
  <c r="BN36" i="9"/>
  <c r="BN41" i="9" s="1"/>
  <c r="K128" i="9"/>
  <c r="K36" i="9"/>
  <c r="K41" i="9" s="1"/>
  <c r="I684" i="1"/>
  <c r="I685" i="1" s="1"/>
  <c r="I686" i="1" s="1"/>
  <c r="I687" i="1" s="1"/>
  <c r="I663" i="1"/>
  <c r="I660" i="1"/>
  <c r="AU98" i="9"/>
  <c r="BX531" i="1"/>
  <c r="BX527" i="1"/>
  <c r="AJ603" i="1"/>
  <c r="BR115" i="1"/>
  <c r="BE527" i="1"/>
  <c r="BE531" i="1"/>
  <c r="K105" i="9"/>
  <c r="Z62" i="9"/>
  <c r="Z64" i="9" s="1"/>
  <c r="Z662" i="1"/>
  <c r="Z680" i="1"/>
  <c r="Z681" i="1" s="1"/>
  <c r="Z682" i="1" s="1"/>
  <c r="Z683" i="1" s="1"/>
  <c r="G108" i="9"/>
  <c r="AS635" i="1"/>
  <c r="AS631" i="1"/>
  <c r="B137" i="10"/>
  <c r="B80" i="10"/>
  <c r="P105" i="9"/>
  <c r="Y105" i="9"/>
  <c r="F47" i="9"/>
  <c r="F129" i="9" s="1"/>
  <c r="F174" i="1"/>
  <c r="F177" i="1" s="1"/>
  <c r="F327" i="1"/>
  <c r="F57" i="9" s="1"/>
  <c r="AB62" i="9"/>
  <c r="AB64" i="9" s="1"/>
  <c r="AB680" i="1"/>
  <c r="AB681" i="1" s="1"/>
  <c r="AB682" i="1" s="1"/>
  <c r="AB683" i="1" s="1"/>
  <c r="AB662" i="1"/>
  <c r="Z98" i="9"/>
  <c r="AC98" i="9"/>
  <c r="AA58" i="9"/>
  <c r="AA969" i="1"/>
  <c r="U105" i="9"/>
  <c r="R170" i="1"/>
  <c r="R171" i="1"/>
  <c r="R172" i="1" s="1"/>
  <c r="AO588" i="1"/>
  <c r="AO590" i="1"/>
  <c r="AG105" i="9"/>
  <c r="AE171" i="1"/>
  <c r="AE170" i="1"/>
  <c r="AI170" i="1"/>
  <c r="W46" i="9"/>
  <c r="W704" i="1"/>
  <c r="W334" i="1"/>
  <c r="Q105" i="9"/>
  <c r="AO562" i="1"/>
  <c r="AO564" i="1" s="1"/>
  <c r="AO566" i="1"/>
  <c r="BU661" i="1"/>
  <c r="BU372" i="1"/>
  <c r="BU375" i="1" s="1"/>
  <c r="W98" i="9"/>
  <c r="N79" i="10"/>
  <c r="BY55" i="1"/>
  <c r="BY53" i="1"/>
  <c r="AT98" i="9"/>
  <c r="N156" i="10"/>
  <c r="N17" i="10"/>
  <c r="BF1060" i="1"/>
  <c r="H100" i="13" l="1"/>
  <c r="O135" i="13"/>
  <c r="O8" i="13"/>
  <c r="F7" i="13"/>
  <c r="G8" i="13" s="1"/>
  <c r="E104" i="13"/>
  <c r="E105" i="13" s="1"/>
  <c r="P7" i="13"/>
  <c r="T49" i="14"/>
  <c r="T56" i="14" s="1"/>
  <c r="T58" i="14" s="1"/>
  <c r="AB60" i="14" s="1"/>
  <c r="I104" i="13"/>
  <c r="I105" i="13" s="1"/>
  <c r="P19" i="10"/>
  <c r="W102" i="9"/>
  <c r="AQ109" i="9"/>
  <c r="Q111" i="10"/>
  <c r="AH109" i="9"/>
  <c r="AK654" i="1"/>
  <c r="AF610" i="1"/>
  <c r="AG610" i="1" s="1"/>
  <c r="H101" i="13"/>
  <c r="H104" i="13"/>
  <c r="H105" i="13" s="1"/>
  <c r="F100" i="13"/>
  <c r="G100" i="13"/>
  <c r="J100" i="13"/>
  <c r="BQ66" i="9"/>
  <c r="BQ77" i="9" s="1"/>
  <c r="BQ79" i="9" s="1"/>
  <c r="BQ87" i="9"/>
  <c r="BQ84" i="9" s="1"/>
  <c r="BQ76" i="9"/>
  <c r="BQ122" i="9" s="1"/>
  <c r="V234" i="14"/>
  <c r="BI103" i="9"/>
  <c r="G109" i="9"/>
  <c r="BR115" i="9"/>
  <c r="P101" i="10"/>
  <c r="V109" i="9"/>
  <c r="Z49" i="14"/>
  <c r="Z48" i="14"/>
  <c r="P48" i="14"/>
  <c r="P49" i="14"/>
  <c r="X51" i="14" s="1"/>
  <c r="AA51" i="14"/>
  <c r="AA50" i="14"/>
  <c r="AA56" i="14"/>
  <c r="AA58" i="14" s="1"/>
  <c r="W51" i="14"/>
  <c r="W56" i="14"/>
  <c r="W58" i="14" s="1"/>
  <c r="W50" i="14"/>
  <c r="Y56" i="14"/>
  <c r="Y58" i="14" s="1"/>
  <c r="T51" i="14"/>
  <c r="AB51" i="14"/>
  <c r="N234" i="14"/>
  <c r="N49" i="14"/>
  <c r="N56" i="14" s="1"/>
  <c r="N58" i="14" s="1"/>
  <c r="N48" i="14"/>
  <c r="X56" i="14"/>
  <c r="X50" i="14"/>
  <c r="AB50" i="14"/>
  <c r="R56" i="14"/>
  <c r="R58" i="14" s="1"/>
  <c r="V49" i="14"/>
  <c r="V48" i="14"/>
  <c r="Q234" i="14"/>
  <c r="S56" i="14"/>
  <c r="S58" i="14" s="1"/>
  <c r="S59" i="14" s="1"/>
  <c r="S50" i="14"/>
  <c r="Q49" i="14"/>
  <c r="Y51" i="14" s="1"/>
  <c r="Q48" i="14"/>
  <c r="U48" i="14"/>
  <c r="U49" i="14"/>
  <c r="Z234" i="14"/>
  <c r="P234" i="14"/>
  <c r="U234" i="14"/>
  <c r="AY531" i="1"/>
  <c r="Y102" i="9"/>
  <c r="AJ102" i="9"/>
  <c r="AL108" i="9"/>
  <c r="AL109" i="9" s="1"/>
  <c r="AD102" i="9"/>
  <c r="AV654" i="1"/>
  <c r="AW654" i="1" s="1"/>
  <c r="AY654" i="1"/>
  <c r="P88" i="10"/>
  <c r="AY610" i="1"/>
  <c r="AQ115" i="9"/>
  <c r="AQ66" i="9"/>
  <c r="AQ68" i="9" s="1"/>
  <c r="AQ74" i="9" s="1"/>
  <c r="AQ132" i="9" s="1"/>
  <c r="AW87" i="9"/>
  <c r="AW84" i="9" s="1"/>
  <c r="AQ76" i="9"/>
  <c r="Y115" i="9"/>
  <c r="Q156" i="10"/>
  <c r="P156" i="10"/>
  <c r="BT179" i="1"/>
  <c r="AC87" i="9"/>
  <c r="AC84" i="9" s="1"/>
  <c r="AK115" i="9"/>
  <c r="I964" i="1"/>
  <c r="BT975" i="1"/>
  <c r="U76" i="9"/>
  <c r="AG66" i="9"/>
  <c r="AG68" i="9" s="1"/>
  <c r="AG74" i="9" s="1"/>
  <c r="AG132" i="9" s="1"/>
  <c r="X172" i="1"/>
  <c r="BM87" i="9"/>
  <c r="BM84" i="9" s="1"/>
  <c r="BM76" i="9"/>
  <c r="BM122" i="9" s="1"/>
  <c r="BM66" i="9"/>
  <c r="BM116" i="9" s="1"/>
  <c r="AG663" i="1"/>
  <c r="AG684" i="1"/>
  <c r="AG685" i="1" s="1"/>
  <c r="AG686" i="1" s="1"/>
  <c r="AG687" i="1" s="1"/>
  <c r="AG660" i="1"/>
  <c r="BF939" i="1"/>
  <c r="BE694" i="1"/>
  <c r="BE9" i="9" s="1"/>
  <c r="U66" i="9"/>
  <c r="U116" i="9" s="1"/>
  <c r="AG76" i="9"/>
  <c r="U115" i="9"/>
  <c r="AV76" i="9"/>
  <c r="AV66" i="9"/>
  <c r="N115" i="10"/>
  <c r="N119" i="10"/>
  <c r="N123" i="10"/>
  <c r="BH958" i="1"/>
  <c r="BH410" i="1"/>
  <c r="BH965" i="1"/>
  <c r="BN964" i="1"/>
  <c r="AJ66" i="9"/>
  <c r="AJ76" i="9"/>
  <c r="BM10" i="11"/>
  <c r="BM41" i="1" s="1"/>
  <c r="BM14" i="9" s="1"/>
  <c r="BK172" i="1"/>
  <c r="BW660" i="1"/>
  <c r="BW684" i="1"/>
  <c r="BW685" i="1" s="1"/>
  <c r="BW686" i="1" s="1"/>
  <c r="BW687" i="1" s="1"/>
  <c r="BW663" i="1"/>
  <c r="BW715" i="1" s="1"/>
  <c r="BR19" i="9"/>
  <c r="AG635" i="1"/>
  <c r="BT965" i="1"/>
  <c r="BT410" i="1"/>
  <c r="BT958" i="1"/>
  <c r="BU965" i="1"/>
  <c r="BL179" i="1"/>
  <c r="BS964" i="1"/>
  <c r="BW76" i="9"/>
  <c r="BW122" i="9" s="1"/>
  <c r="BW87" i="9"/>
  <c r="BW84" i="9" s="1"/>
  <c r="BW66" i="9"/>
  <c r="AW66" i="9"/>
  <c r="AW76" i="9"/>
  <c r="BJ66" i="9"/>
  <c r="BJ68" i="9" s="1"/>
  <c r="BJ74" i="9" s="1"/>
  <c r="BJ132" i="9" s="1"/>
  <c r="AV663" i="1"/>
  <c r="AV684" i="1"/>
  <c r="AV685" i="1" s="1"/>
  <c r="AV686" i="1" s="1"/>
  <c r="AV687" i="1" s="1"/>
  <c r="AV660" i="1"/>
  <c r="Y76" i="9"/>
  <c r="Y66" i="9"/>
  <c r="AC116" i="9" s="1"/>
  <c r="AU958" i="1"/>
  <c r="AU410" i="1"/>
  <c r="BF102" i="1"/>
  <c r="BF32" i="1"/>
  <c r="N67" i="10"/>
  <c r="Q67" i="10" s="1"/>
  <c r="N107" i="10"/>
  <c r="Q107" i="10" s="1"/>
  <c r="AQ684" i="1"/>
  <c r="AQ685" i="1" s="1"/>
  <c r="AQ686" i="1" s="1"/>
  <c r="AQ687" i="1" s="1"/>
  <c r="AQ663" i="1"/>
  <c r="AQ660" i="1"/>
  <c r="AM68" i="9"/>
  <c r="AM74" i="9" s="1"/>
  <c r="AM132" i="9" s="1"/>
  <c r="AM77" i="9"/>
  <c r="AM79" i="9" s="1"/>
  <c r="U959" i="1"/>
  <c r="AO540" i="1"/>
  <c r="BQ684" i="1"/>
  <c r="BQ685" i="1" s="1"/>
  <c r="BQ686" i="1" s="1"/>
  <c r="BQ687" i="1" s="1"/>
  <c r="BQ660" i="1"/>
  <c r="BQ663" i="1"/>
  <c r="BQ715" i="1" s="1"/>
  <c r="AW663" i="1"/>
  <c r="AW660" i="1"/>
  <c r="AW684" i="1"/>
  <c r="AW685" i="1" s="1"/>
  <c r="AW686" i="1" s="1"/>
  <c r="AW687" i="1" s="1"/>
  <c r="AG87" i="9"/>
  <c r="AG84" i="9" s="1"/>
  <c r="G87" i="9"/>
  <c r="G84" i="9" s="1"/>
  <c r="AA87" i="9"/>
  <c r="AA84" i="9" s="1"/>
  <c r="Q17" i="10"/>
  <c r="P17" i="10"/>
  <c r="BF1061" i="1"/>
  <c r="CA1061" i="1"/>
  <c r="CB1061" i="1"/>
  <c r="BX1061" i="1"/>
  <c r="BY1061" i="1"/>
  <c r="BZ1061" i="1"/>
  <c r="AP964" i="1"/>
  <c r="AT964" i="1"/>
  <c r="AQ964" i="1"/>
  <c r="I421" i="1"/>
  <c r="I42" i="9" s="1"/>
  <c r="I448" i="1"/>
  <c r="C448" i="1"/>
  <c r="C421" i="1"/>
  <c r="C42" i="9" s="1"/>
  <c r="BR421" i="1"/>
  <c r="BR42" i="9" s="1"/>
  <c r="BR415" i="1"/>
  <c r="M421" i="1"/>
  <c r="M42" i="9" s="1"/>
  <c r="M448" i="1"/>
  <c r="O448" i="1"/>
  <c r="O415" i="1"/>
  <c r="O421" i="1"/>
  <c r="O42" i="9" s="1"/>
  <c r="AT95" i="9"/>
  <c r="H46" i="9"/>
  <c r="H704" i="1"/>
  <c r="H334" i="1"/>
  <c r="J95" i="9"/>
  <c r="AT26" i="11"/>
  <c r="AT27" i="11" s="1"/>
  <c r="AT14" i="11"/>
  <c r="AT15" i="11" s="1"/>
  <c r="N95" i="9"/>
  <c r="AP172" i="1"/>
  <c r="AT172" i="1"/>
  <c r="Q154" i="10"/>
  <c r="P154" i="10"/>
  <c r="AF177" i="1"/>
  <c r="AF176" i="1"/>
  <c r="J46" i="9"/>
  <c r="J704" i="1"/>
  <c r="J334" i="1"/>
  <c r="BH1098" i="1"/>
  <c r="BH1099" i="1"/>
  <c r="BH1097" i="1"/>
  <c r="BH1095" i="1" s="1"/>
  <c r="BH723" i="1" s="1"/>
  <c r="A725" i="1"/>
  <c r="A724" i="1"/>
  <c r="A723" i="1"/>
  <c r="A722" i="1"/>
  <c r="A721" i="1"/>
  <c r="A720" i="1"/>
  <c r="A719" i="1"/>
  <c r="A3" i="1"/>
  <c r="B1116" i="1"/>
  <c r="BF4" i="9" s="1"/>
  <c r="BJ1099" i="1"/>
  <c r="BI1098" i="1"/>
  <c r="BJ1098" i="1"/>
  <c r="BI1099" i="1"/>
  <c r="BJ1097" i="1"/>
  <c r="BJ1095" i="1" s="1"/>
  <c r="BJ723" i="1" s="1"/>
  <c r="BI1097" i="1"/>
  <c r="BI1095" i="1" s="1"/>
  <c r="BI723" i="1" s="1"/>
  <c r="BK1097" i="1"/>
  <c r="BK1095" i="1" s="1"/>
  <c r="BK723" i="1" s="1"/>
  <c r="BK1098" i="1"/>
  <c r="BK1099" i="1"/>
  <c r="AO595" i="1"/>
  <c r="AO594" i="1"/>
  <c r="AF965" i="1"/>
  <c r="AF410" i="1"/>
  <c r="AF958" i="1"/>
  <c r="AJ965" i="1"/>
  <c r="O46" i="9"/>
  <c r="O704" i="1"/>
  <c r="O334" i="1"/>
  <c r="N661" i="1"/>
  <c r="N860" i="1"/>
  <c r="X108" i="9"/>
  <c r="X109" i="9" s="1"/>
  <c r="AR595" i="1"/>
  <c r="AR594" i="1"/>
  <c r="L95" i="9"/>
  <c r="O115" i="9"/>
  <c r="K87" i="9"/>
  <c r="K84" i="9" s="1"/>
  <c r="K76" i="9"/>
  <c r="K66" i="9"/>
  <c r="AF58" i="9"/>
  <c r="AF969" i="1"/>
  <c r="BW131" i="9"/>
  <c r="BW95" i="9"/>
  <c r="BW96" i="9" s="1"/>
  <c r="BW99" i="9" s="1"/>
  <c r="W448" i="1"/>
  <c r="W415" i="1"/>
  <c r="W421" i="1"/>
  <c r="W42" i="9" s="1"/>
  <c r="AX28" i="1"/>
  <c r="AX19" i="9" s="1"/>
  <c r="AX27" i="1"/>
  <c r="AX35" i="1"/>
  <c r="W684" i="1"/>
  <c r="W685" i="1" s="1"/>
  <c r="W686" i="1" s="1"/>
  <c r="W687" i="1" s="1"/>
  <c r="W663" i="1"/>
  <c r="W660" i="1"/>
  <c r="AE965" i="1"/>
  <c r="AE958" i="1"/>
  <c r="AE410" i="1"/>
  <c r="AE131" i="9" s="1"/>
  <c r="BS972" i="1"/>
  <c r="AI965" i="1"/>
  <c r="AJ448" i="1"/>
  <c r="AJ415" i="1"/>
  <c r="AJ421" i="1"/>
  <c r="AJ42" i="9" s="1"/>
  <c r="BU26" i="11"/>
  <c r="BU27" i="11" s="1"/>
  <c r="BU14" i="11"/>
  <c r="BU15" i="11" s="1"/>
  <c r="AH87" i="9"/>
  <c r="AH84" i="9" s="1"/>
  <c r="AH76" i="9"/>
  <c r="AH66" i="9"/>
  <c r="AJ87" i="9"/>
  <c r="AJ84" i="9" s="1"/>
  <c r="AI87" i="9"/>
  <c r="AI84" i="9" s="1"/>
  <c r="AO964" i="1"/>
  <c r="R95" i="9"/>
  <c r="AK27" i="1"/>
  <c r="AK28" i="1"/>
  <c r="AK19" i="9" s="1"/>
  <c r="AK35" i="1"/>
  <c r="AQ28" i="1"/>
  <c r="AQ19" i="9" s="1"/>
  <c r="AQ35" i="1"/>
  <c r="AQ27" i="1"/>
  <c r="AT663" i="1"/>
  <c r="AT684" i="1"/>
  <c r="AT685" i="1" s="1"/>
  <c r="AT686" i="1" s="1"/>
  <c r="AT687" i="1" s="1"/>
  <c r="AT660" i="1"/>
  <c r="AC639" i="1"/>
  <c r="AC638" i="1"/>
  <c r="AJ58" i="9"/>
  <c r="AJ969" i="1"/>
  <c r="S176" i="1"/>
  <c r="S177" i="1"/>
  <c r="S179" i="1" s="1"/>
  <c r="AJ131" i="9"/>
  <c r="AJ95" i="9"/>
  <c r="BL46" i="9"/>
  <c r="BL113" i="9" s="1"/>
  <c r="BL704" i="1"/>
  <c r="BL334" i="1"/>
  <c r="AO58" i="9"/>
  <c r="AO969" i="1"/>
  <c r="AW595" i="1"/>
  <c r="AW594" i="1"/>
  <c r="AU127" i="9"/>
  <c r="AU59" i="9"/>
  <c r="AT357" i="1"/>
  <c r="AT355" i="1"/>
  <c r="BM498" i="1"/>
  <c r="BM491" i="1"/>
  <c r="AM958" i="1"/>
  <c r="AM965" i="1"/>
  <c r="AM410" i="1"/>
  <c r="BE32" i="1"/>
  <c r="BE102" i="1"/>
  <c r="D498" i="1"/>
  <c r="D491" i="1"/>
  <c r="BK131" i="9"/>
  <c r="BK95" i="9"/>
  <c r="BK96" i="9" s="1"/>
  <c r="BK99" i="9" s="1"/>
  <c r="BM58" i="9"/>
  <c r="BM969" i="1"/>
  <c r="AU77" i="9"/>
  <c r="AU79" i="9" s="1"/>
  <c r="AU68" i="9"/>
  <c r="AU74" i="9" s="1"/>
  <c r="AU132" i="9" s="1"/>
  <c r="Q146" i="10"/>
  <c r="P146" i="10"/>
  <c r="BN972" i="1"/>
  <c r="BN965" i="1"/>
  <c r="BN410" i="1"/>
  <c r="BN958" i="1"/>
  <c r="BI87" i="9"/>
  <c r="BI84" i="9" s="1"/>
  <c r="BI66" i="9"/>
  <c r="BI68" i="9" s="1"/>
  <c r="BI74" i="9" s="1"/>
  <c r="BI132" i="9" s="1"/>
  <c r="AY684" i="1"/>
  <c r="AY685" i="1" s="1"/>
  <c r="AY686" i="1" s="1"/>
  <c r="AY687" i="1" s="1"/>
  <c r="AY660" i="1"/>
  <c r="AY663" i="1"/>
  <c r="Q115" i="9"/>
  <c r="M87" i="9"/>
  <c r="M84" i="9" s="1"/>
  <c r="M76" i="9"/>
  <c r="M66" i="9"/>
  <c r="R176" i="1"/>
  <c r="R177" i="1"/>
  <c r="AU638" i="1"/>
  <c r="AU639" i="1"/>
  <c r="Y131" i="9"/>
  <c r="Y95" i="9"/>
  <c r="AR177" i="1"/>
  <c r="AR176" i="1"/>
  <c r="AK964" i="1"/>
  <c r="BR684" i="1"/>
  <c r="BR660" i="1"/>
  <c r="BR663" i="1"/>
  <c r="BR715" i="1" s="1"/>
  <c r="AN58" i="9"/>
  <c r="AN969" i="1"/>
  <c r="BL58" i="9"/>
  <c r="BL969" i="1"/>
  <c r="AB115" i="9"/>
  <c r="X87" i="9"/>
  <c r="X84" i="9" s="1"/>
  <c r="X76" i="9"/>
  <c r="X66" i="9"/>
  <c r="Y87" i="9"/>
  <c r="Y84" i="9" s="1"/>
  <c r="BA1063" i="1"/>
  <c r="BA379" i="1" s="1"/>
  <c r="BA26" i="1" s="1"/>
  <c r="BA1064" i="1"/>
  <c r="BA1062" i="1"/>
  <c r="BA321" i="1" s="1"/>
  <c r="BA151" i="1" s="1"/>
  <c r="BA1066" i="1"/>
  <c r="BA1065" i="1"/>
  <c r="BA1067" i="1"/>
  <c r="BA1068" i="1"/>
  <c r="AT108" i="9"/>
  <c r="AT109" i="9" s="1"/>
  <c r="X115" i="9"/>
  <c r="T76" i="9"/>
  <c r="T87" i="9"/>
  <c r="T84" i="9" s="1"/>
  <c r="T66" i="9"/>
  <c r="AJ179" i="1"/>
  <c r="AY108" i="9"/>
  <c r="AY109" i="9" s="1"/>
  <c r="AP108" i="9"/>
  <c r="AP109" i="9" s="1"/>
  <c r="O58" i="9"/>
  <c r="O969" i="1"/>
  <c r="D1102" i="1"/>
  <c r="D1098" i="1"/>
  <c r="D1" i="9"/>
  <c r="D430" i="1"/>
  <c r="D3" i="1"/>
  <c r="E4" i="1"/>
  <c r="D4" i="12"/>
  <c r="D4" i="11"/>
  <c r="AA131" i="9"/>
  <c r="AA95" i="9"/>
  <c r="BK127" i="9"/>
  <c r="BK86" i="9"/>
  <c r="BK83" i="9" s="1"/>
  <c r="BK59" i="9"/>
  <c r="BY22" i="9"/>
  <c r="BZ51" i="1"/>
  <c r="BY78" i="1"/>
  <c r="BY54" i="1"/>
  <c r="BY23" i="9" s="1"/>
  <c r="BY14" i="1"/>
  <c r="W127" i="9"/>
  <c r="AA113" i="9"/>
  <c r="W59" i="9"/>
  <c r="L177" i="1"/>
  <c r="L176" i="1"/>
  <c r="BQ176" i="1"/>
  <c r="BQ177" i="1"/>
  <c r="BR176" i="1"/>
  <c r="AK636" i="1"/>
  <c r="AL614" i="1"/>
  <c r="AL618" i="1" s="1"/>
  <c r="AN964" i="1"/>
  <c r="AM964" i="1"/>
  <c r="Q125" i="10"/>
  <c r="P125" i="10"/>
  <c r="BY620" i="1"/>
  <c r="BY621" i="1" s="1"/>
  <c r="BY625" i="1"/>
  <c r="BZ625" i="1"/>
  <c r="AK415" i="1"/>
  <c r="AK421" i="1"/>
  <c r="AK42" i="9" s="1"/>
  <c r="AK448" i="1"/>
  <c r="Q965" i="1"/>
  <c r="Q410" i="1"/>
  <c r="Q131" i="9" s="1"/>
  <c r="Q958" i="1"/>
  <c r="P176" i="1"/>
  <c r="P177" i="1"/>
  <c r="P179" i="1" s="1"/>
  <c r="V95" i="9"/>
  <c r="G965" i="1"/>
  <c r="G958" i="1"/>
  <c r="G410" i="1"/>
  <c r="K965" i="1"/>
  <c r="X177" i="1"/>
  <c r="X176" i="1"/>
  <c r="AE102" i="9"/>
  <c r="AM595" i="1"/>
  <c r="AM594" i="1"/>
  <c r="AU536" i="1"/>
  <c r="AU539" i="1"/>
  <c r="AU380" i="1"/>
  <c r="AU533" i="1"/>
  <c r="AU534" i="1" s="1"/>
  <c r="AK46" i="9"/>
  <c r="AK704" i="1"/>
  <c r="AK334" i="1"/>
  <c r="Q46" i="9"/>
  <c r="Q704" i="1"/>
  <c r="Q334" i="1"/>
  <c r="P965" i="1"/>
  <c r="P410" i="1"/>
  <c r="P958" i="1"/>
  <c r="O965" i="1"/>
  <c r="L964" i="1"/>
  <c r="X965" i="1"/>
  <c r="X958" i="1"/>
  <c r="X410" i="1"/>
  <c r="AH20" i="11"/>
  <c r="AH29" i="1" s="1"/>
  <c r="AH20" i="9" s="1"/>
  <c r="AS115" i="9"/>
  <c r="AO76" i="9"/>
  <c r="AO66" i="9"/>
  <c r="BO459" i="1"/>
  <c r="BO463" i="1" s="1"/>
  <c r="O459" i="1"/>
  <c r="O463" i="1" s="1"/>
  <c r="BN476" i="1"/>
  <c r="BN489" i="1" s="1"/>
  <c r="AU14" i="11"/>
  <c r="AU15" i="11" s="1"/>
  <c r="AU26" i="11"/>
  <c r="BH46" i="9"/>
  <c r="BH704" i="1"/>
  <c r="BH334" i="1"/>
  <c r="C3" i="12"/>
  <c r="C3" i="11"/>
  <c r="AR610" i="1"/>
  <c r="AS610" i="1" s="1"/>
  <c r="AG964" i="1"/>
  <c r="AI46" i="9"/>
  <c r="AI704" i="1"/>
  <c r="AI334" i="1"/>
  <c r="AO636" i="1"/>
  <c r="AP614" i="1"/>
  <c r="AP618" i="1" s="1"/>
  <c r="AI27" i="1"/>
  <c r="AI28" i="1"/>
  <c r="AI19" i="9" s="1"/>
  <c r="AI35" i="1"/>
  <c r="AC95" i="9"/>
  <c r="F459" i="1"/>
  <c r="F463" i="1" s="1"/>
  <c r="F476" i="1" s="1"/>
  <c r="F489" i="1" s="1"/>
  <c r="E476" i="1"/>
  <c r="E489" i="1" s="1"/>
  <c r="BR76" i="9"/>
  <c r="BR122" i="9" s="1"/>
  <c r="BR87" i="9"/>
  <c r="BR84" i="9" s="1"/>
  <c r="BS115" i="9"/>
  <c r="BR66" i="9"/>
  <c r="BM46" i="9"/>
  <c r="BM704" i="1"/>
  <c r="BM334" i="1"/>
  <c r="AH663" i="1"/>
  <c r="AH660" i="1"/>
  <c r="AH684" i="1"/>
  <c r="AH685" i="1" s="1"/>
  <c r="AH686" i="1" s="1"/>
  <c r="AH687" i="1" s="1"/>
  <c r="AE964" i="1"/>
  <c r="AJ639" i="1"/>
  <c r="AJ638" i="1"/>
  <c r="N46" i="9"/>
  <c r="N704" i="1"/>
  <c r="N334" i="1"/>
  <c r="BS127" i="9"/>
  <c r="BS86" i="9"/>
  <c r="BS83" i="9" s="1"/>
  <c r="BS59" i="9"/>
  <c r="AR964" i="1"/>
  <c r="C46" i="9"/>
  <c r="C704" i="1"/>
  <c r="C334" i="1"/>
  <c r="T964" i="1"/>
  <c r="BR548" i="1"/>
  <c r="BV28" i="1"/>
  <c r="BV19" i="9" s="1"/>
  <c r="BV35" i="1"/>
  <c r="AM638" i="1"/>
  <c r="AM639" i="1"/>
  <c r="BT663" i="1"/>
  <c r="BT715" i="1" s="1"/>
  <c r="BT684" i="1"/>
  <c r="BT660" i="1"/>
  <c r="AZ378" i="1"/>
  <c r="AZ962" i="1" s="1"/>
  <c r="AZ28" i="1"/>
  <c r="AZ19" i="9" s="1"/>
  <c r="AZ27" i="1"/>
  <c r="AH396" i="1"/>
  <c r="AH333" i="1"/>
  <c r="BR552" i="1"/>
  <c r="BU108" i="9"/>
  <c r="BU109" i="9" s="1"/>
  <c r="AR109" i="9"/>
  <c r="BV964" i="1"/>
  <c r="BW964" i="1"/>
  <c r="AC172" i="1"/>
  <c r="AG172" i="1"/>
  <c r="AN46" i="9"/>
  <c r="AN704" i="1"/>
  <c r="AN334" i="1"/>
  <c r="BC22" i="9"/>
  <c r="BD51" i="1"/>
  <c r="BC78" i="1"/>
  <c r="BC54" i="1"/>
  <c r="BC23" i="9" s="1"/>
  <c r="BC14" i="1"/>
  <c r="AP176" i="1"/>
  <c r="AP177" i="1"/>
  <c r="V58" i="9"/>
  <c r="V969" i="1"/>
  <c r="AO172" i="1"/>
  <c r="AS172" i="1"/>
  <c r="BV115" i="9"/>
  <c r="BU87" i="9"/>
  <c r="BU84" i="9" s="1"/>
  <c r="BU66" i="9"/>
  <c r="BU76" i="9"/>
  <c r="BU122" i="9" s="1"/>
  <c r="BN131" i="9"/>
  <c r="BN95" i="9"/>
  <c r="BN96" i="9" s="1"/>
  <c r="V46" i="9"/>
  <c r="V704" i="1"/>
  <c r="V334" i="1"/>
  <c r="H58" i="9"/>
  <c r="H969" i="1"/>
  <c r="AC636" i="1"/>
  <c r="AD614" i="1"/>
  <c r="AD618" i="1" s="1"/>
  <c r="AD620" i="1" s="1"/>
  <c r="AD621" i="1" s="1"/>
  <c r="AQ594" i="1"/>
  <c r="AQ595" i="1"/>
  <c r="AJ108" i="9"/>
  <c r="AJ109" i="9" s="1"/>
  <c r="BV108" i="9"/>
  <c r="BV109" i="9" s="1"/>
  <c r="AN684" i="1"/>
  <c r="AN685" i="1" s="1"/>
  <c r="AN686" i="1" s="1"/>
  <c r="AN687" i="1" s="1"/>
  <c r="AN663" i="1"/>
  <c r="AN660" i="1"/>
  <c r="Q150" i="10"/>
  <c r="P150" i="10"/>
  <c r="AR46" i="9"/>
  <c r="AR704" i="1"/>
  <c r="AR334" i="1"/>
  <c r="AW115" i="9"/>
  <c r="AS76" i="9"/>
  <c r="AS66" i="9"/>
  <c r="BT530" i="1"/>
  <c r="BT531" i="1" s="1"/>
  <c r="AK567" i="1"/>
  <c r="AM539" i="1"/>
  <c r="AM536" i="1"/>
  <c r="AM380" i="1"/>
  <c r="AM533" i="1"/>
  <c r="AM534" i="1" s="1"/>
  <c r="AO14" i="11"/>
  <c r="AO15" i="11" s="1"/>
  <c r="AO26" i="11"/>
  <c r="AO27" i="11" s="1"/>
  <c r="AN95" i="9"/>
  <c r="AK58" i="9"/>
  <c r="AK969" i="1"/>
  <c r="Q58" i="9"/>
  <c r="Q969" i="1"/>
  <c r="AF595" i="1"/>
  <c r="AF594" i="1"/>
  <c r="L684" i="1"/>
  <c r="L685" i="1" s="1"/>
  <c r="L686" i="1" s="1"/>
  <c r="L687" i="1" s="1"/>
  <c r="L660" i="1"/>
  <c r="L663" i="1"/>
  <c r="I131" i="9"/>
  <c r="I95" i="9"/>
  <c r="BO964" i="1"/>
  <c r="BP964" i="1"/>
  <c r="AV333" i="1"/>
  <c r="AV396" i="1"/>
  <c r="BP77" i="9"/>
  <c r="BP79" i="9" s="1"/>
  <c r="BP68" i="9"/>
  <c r="BP74" i="9" s="1"/>
  <c r="BP132" i="9" s="1"/>
  <c r="G172" i="1"/>
  <c r="K172" i="1"/>
  <c r="K476" i="1"/>
  <c r="K489" i="1" s="1"/>
  <c r="L459" i="1"/>
  <c r="L463" i="1" s="1"/>
  <c r="AO592" i="1"/>
  <c r="AP570" i="1"/>
  <c r="AP574" i="1" s="1"/>
  <c r="AE639" i="1"/>
  <c r="AE638" i="1"/>
  <c r="BH58" i="9"/>
  <c r="BH969" i="1"/>
  <c r="AI58" i="9"/>
  <c r="AI969" i="1"/>
  <c r="P964" i="1"/>
  <c r="O964" i="1"/>
  <c r="AE95" i="9"/>
  <c r="BJ965" i="1"/>
  <c r="BJ410" i="1"/>
  <c r="BJ958" i="1"/>
  <c r="BK965" i="1"/>
  <c r="BI965" i="1"/>
  <c r="AL965" i="1"/>
  <c r="AL410" i="1"/>
  <c r="AK965" i="1"/>
  <c r="AL958" i="1"/>
  <c r="BT972" i="1"/>
  <c r="AW131" i="9"/>
  <c r="AW95" i="9"/>
  <c r="Q95" i="9"/>
  <c r="AU87" i="9"/>
  <c r="AU84" i="9" s="1"/>
  <c r="N58" i="9"/>
  <c r="N969" i="1"/>
  <c r="AX15" i="11"/>
  <c r="AJ27" i="1"/>
  <c r="AU27" i="1"/>
  <c r="AU28" i="1"/>
  <c r="AU19" i="9" s="1"/>
  <c r="AU35" i="1"/>
  <c r="C58" i="9"/>
  <c r="C969" i="1"/>
  <c r="R107" i="9"/>
  <c r="R108" i="9" s="1"/>
  <c r="R109" i="9" s="1"/>
  <c r="T107" i="9"/>
  <c r="T108" i="9" s="1"/>
  <c r="T109" i="9" s="1"/>
  <c r="U107" i="9"/>
  <c r="S107" i="9"/>
  <c r="S108" i="9" s="1"/>
  <c r="S109" i="9" s="1"/>
  <c r="BV24" i="9"/>
  <c r="BV15" i="1"/>
  <c r="BV58" i="1"/>
  <c r="BV25" i="9" s="1"/>
  <c r="BV79" i="1"/>
  <c r="BT46" i="9"/>
  <c r="BT113" i="9" s="1"/>
  <c r="BT704" i="1"/>
  <c r="BT334" i="1"/>
  <c r="BS595" i="1"/>
  <c r="BS574" i="1"/>
  <c r="BS594" i="1"/>
  <c r="AH595" i="1"/>
  <c r="AH594" i="1"/>
  <c r="AC46" i="9"/>
  <c r="AC113" i="9" s="1"/>
  <c r="AC704" i="1"/>
  <c r="AC334" i="1"/>
  <c r="AH614" i="1"/>
  <c r="AH618" i="1" s="1"/>
  <c r="AH620" i="1" s="1"/>
  <c r="AH621" i="1" s="1"/>
  <c r="AG636" i="1"/>
  <c r="AD552" i="1"/>
  <c r="AD553" i="1"/>
  <c r="AE527" i="1"/>
  <c r="AE531" i="1" s="1"/>
  <c r="BV530" i="1"/>
  <c r="BV531" i="1" s="1"/>
  <c r="AS567" i="1"/>
  <c r="AQ539" i="1"/>
  <c r="AQ536" i="1"/>
  <c r="AQ380" i="1"/>
  <c r="AQ533" i="1"/>
  <c r="AQ534" i="1" s="1"/>
  <c r="BN172" i="1"/>
  <c r="J176" i="1"/>
  <c r="BC55" i="1"/>
  <c r="BC47" i="1" s="1"/>
  <c r="AP536" i="1"/>
  <c r="AP539" i="1"/>
  <c r="AP380" i="1"/>
  <c r="AP533" i="1"/>
  <c r="AP534" i="1" s="1"/>
  <c r="AD410" i="1"/>
  <c r="AD411" i="1" s="1"/>
  <c r="AD965" i="1"/>
  <c r="AD958" i="1"/>
  <c r="AI131" i="9"/>
  <c r="AI95" i="9"/>
  <c r="Q79" i="10"/>
  <c r="P79" i="10"/>
  <c r="AS636" i="1"/>
  <c r="AT614" i="1"/>
  <c r="AT618" i="1" s="1"/>
  <c r="T965" i="1"/>
  <c r="T410" i="1"/>
  <c r="T958" i="1"/>
  <c r="AR965" i="1"/>
  <c r="AR410" i="1"/>
  <c r="AR958" i="1"/>
  <c r="AV965" i="1"/>
  <c r="S684" i="1"/>
  <c r="S685" i="1" s="1"/>
  <c r="S686" i="1" s="1"/>
  <c r="S687" i="1" s="1"/>
  <c r="S663" i="1"/>
  <c r="S660" i="1"/>
  <c r="K179" i="1"/>
  <c r="P158" i="10"/>
  <c r="Q158" i="10"/>
  <c r="G176" i="1"/>
  <c r="G177" i="1"/>
  <c r="G179" i="1" s="1"/>
  <c r="AB964" i="1"/>
  <c r="AA964" i="1"/>
  <c r="L965" i="1"/>
  <c r="L410" i="1"/>
  <c r="L131" i="9" s="1"/>
  <c r="L958" i="1"/>
  <c r="AR58" i="9"/>
  <c r="AR969" i="1"/>
  <c r="AM46" i="9"/>
  <c r="AM704" i="1"/>
  <c r="AM334" i="1"/>
  <c r="BI127" i="9"/>
  <c r="BI86" i="9"/>
  <c r="BI83" i="9" s="1"/>
  <c r="BI59" i="9"/>
  <c r="AK564" i="1"/>
  <c r="AX639" i="1"/>
  <c r="BW639" i="1"/>
  <c r="BW638" i="1"/>
  <c r="BW618" i="1"/>
  <c r="AX638" i="1"/>
  <c r="V172" i="1"/>
  <c r="BT131" i="9"/>
  <c r="BT95" i="9"/>
  <c r="BT96" i="9" s="1"/>
  <c r="AW26" i="11"/>
  <c r="AW14" i="11"/>
  <c r="AW15" i="11" s="1"/>
  <c r="AR172" i="1"/>
  <c r="AV172" i="1"/>
  <c r="BO684" i="1"/>
  <c r="BO660" i="1"/>
  <c r="BO663" i="1"/>
  <c r="BO715" i="1" s="1"/>
  <c r="AQ176" i="1"/>
  <c r="AQ177" i="1"/>
  <c r="AQ179" i="1" s="1"/>
  <c r="AL570" i="1"/>
  <c r="AL574" i="1" s="1"/>
  <c r="AK592" i="1"/>
  <c r="AR684" i="1"/>
  <c r="AR685" i="1" s="1"/>
  <c r="AR686" i="1" s="1"/>
  <c r="AR687" i="1" s="1"/>
  <c r="AR663" i="1"/>
  <c r="AR660" i="1"/>
  <c r="D58" i="9"/>
  <c r="D969" i="1"/>
  <c r="BO58" i="9"/>
  <c r="BO969" i="1"/>
  <c r="BJ46" i="9"/>
  <c r="BJ704" i="1"/>
  <c r="BJ334" i="1"/>
  <c r="C1098" i="1"/>
  <c r="AL62" i="9"/>
  <c r="AL64" i="9" s="1"/>
  <c r="AO87" i="9" s="1"/>
  <c r="AO84" i="9" s="1"/>
  <c r="AL662" i="1"/>
  <c r="AL680" i="1"/>
  <c r="AL681" i="1" s="1"/>
  <c r="AL682" i="1" s="1"/>
  <c r="AL683" i="1" s="1"/>
  <c r="P172" i="1"/>
  <c r="AB172" i="1"/>
  <c r="BP965" i="1"/>
  <c r="BP972" i="1"/>
  <c r="BP958" i="1"/>
  <c r="BP410" i="1"/>
  <c r="BN176" i="1"/>
  <c r="BN177" i="1"/>
  <c r="AQ26" i="11"/>
  <c r="AQ27" i="11" s="1"/>
  <c r="AQ14" i="11"/>
  <c r="AQ15" i="11" s="1"/>
  <c r="BO95" i="9"/>
  <c r="BO96" i="9" s="1"/>
  <c r="AX27" i="11"/>
  <c r="AV539" i="1"/>
  <c r="AV536" i="1"/>
  <c r="AV380" i="1"/>
  <c r="AV533" i="1"/>
  <c r="AV534" i="1" s="1"/>
  <c r="S965" i="1"/>
  <c r="S410" i="1"/>
  <c r="S958" i="1"/>
  <c r="W965" i="1"/>
  <c r="AR28" i="1"/>
  <c r="AR19" i="9" s="1"/>
  <c r="AR35" i="1"/>
  <c r="AR27" i="1"/>
  <c r="BH964" i="1"/>
  <c r="BH863" i="1"/>
  <c r="BT58" i="9"/>
  <c r="BT969" i="1"/>
  <c r="BS684" i="1"/>
  <c r="BS663" i="1"/>
  <c r="BS715" i="1" s="1"/>
  <c r="BS660" i="1"/>
  <c r="AL638" i="1"/>
  <c r="BT639" i="1"/>
  <c r="AL639" i="1"/>
  <c r="BT638" i="1"/>
  <c r="BT618" i="1"/>
  <c r="AC58" i="9"/>
  <c r="AC969" i="1"/>
  <c r="AS964" i="1"/>
  <c r="AW964" i="1"/>
  <c r="M46" i="9"/>
  <c r="M113" i="9" s="1"/>
  <c r="M704" i="1"/>
  <c r="M334" i="1"/>
  <c r="R965" i="1"/>
  <c r="R410" i="1"/>
  <c r="R131" i="9" s="1"/>
  <c r="R958" i="1"/>
  <c r="BS28" i="1"/>
  <c r="BS19" i="9" s="1"/>
  <c r="BS35" i="1"/>
  <c r="AD684" i="1"/>
  <c r="AD685" i="1" s="1"/>
  <c r="AD686" i="1" s="1"/>
  <c r="AD687" i="1" s="1"/>
  <c r="AD663" i="1"/>
  <c r="AD660" i="1"/>
  <c r="BV663" i="1"/>
  <c r="BV715" i="1" s="1"/>
  <c r="BV660" i="1"/>
  <c r="BV684" i="1"/>
  <c r="R58" i="9"/>
  <c r="R969" i="1"/>
  <c r="J179" i="1"/>
  <c r="J964" i="1"/>
  <c r="W967" i="1"/>
  <c r="W870" i="1"/>
  <c r="X862" i="1"/>
  <c r="X863" i="1" s="1"/>
  <c r="I793" i="1"/>
  <c r="H794" i="1"/>
  <c r="AX177" i="1"/>
  <c r="AX179" i="1" s="1"/>
  <c r="AX176" i="1"/>
  <c r="AM58" i="9"/>
  <c r="AM969" i="1"/>
  <c r="AG102" i="9"/>
  <c r="AV448" i="1"/>
  <c r="AV415" i="1"/>
  <c r="AV421" i="1"/>
  <c r="AV42" i="9" s="1"/>
  <c r="AY29" i="1"/>
  <c r="AY20" i="9" s="1"/>
  <c r="R19" i="11"/>
  <c r="R20" i="11" s="1"/>
  <c r="R29" i="1" s="1"/>
  <c r="R20" i="9" s="1"/>
  <c r="V20" i="11"/>
  <c r="V29" i="1" s="1"/>
  <c r="V20" i="9" s="1"/>
  <c r="AS536" i="1"/>
  <c r="AS539" i="1"/>
  <c r="AS380" i="1"/>
  <c r="AS533" i="1"/>
  <c r="AS534" i="1" s="1"/>
  <c r="AK102" i="9"/>
  <c r="BS421" i="1"/>
  <c r="BS42" i="9" s="1"/>
  <c r="BS415" i="1"/>
  <c r="AC77" i="9"/>
  <c r="AC79" i="9" s="1"/>
  <c r="AC68" i="9"/>
  <c r="AC74" i="9" s="1"/>
  <c r="AC132" i="9" s="1"/>
  <c r="Z333" i="1"/>
  <c r="Z396" i="1"/>
  <c r="BN685" i="1"/>
  <c r="BN686" i="1" s="1"/>
  <c r="BN687" i="1" s="1"/>
  <c r="AJ115" i="9"/>
  <c r="AF76" i="9"/>
  <c r="AF66" i="9"/>
  <c r="AF87" i="9"/>
  <c r="AF84" i="9" s="1"/>
  <c r="K684" i="1"/>
  <c r="K685" i="1" s="1"/>
  <c r="K686" i="1" s="1"/>
  <c r="K687" i="1" s="1"/>
  <c r="K660" i="1"/>
  <c r="K663" i="1"/>
  <c r="D46" i="9"/>
  <c r="D704" i="1"/>
  <c r="D334" i="1"/>
  <c r="AJ595" i="1"/>
  <c r="AJ594" i="1"/>
  <c r="BV594" i="1"/>
  <c r="AT595" i="1"/>
  <c r="AT594" i="1"/>
  <c r="BV595" i="1"/>
  <c r="BV574" i="1"/>
  <c r="BO46" i="9"/>
  <c r="BO704" i="1"/>
  <c r="BO334" i="1"/>
  <c r="BJ58" i="9"/>
  <c r="BJ969" i="1"/>
  <c r="C1090" i="1"/>
  <c r="C1092" i="1"/>
  <c r="C1083" i="1"/>
  <c r="C1085" i="1"/>
  <c r="C1076" i="1"/>
  <c r="C1078" i="1"/>
  <c r="AL661" i="1"/>
  <c r="AL372" i="1"/>
  <c r="AL375" i="1" s="1"/>
  <c r="M48" i="9"/>
  <c r="M422" i="1"/>
  <c r="M49" i="9" s="1"/>
  <c r="M80" i="9" s="1"/>
  <c r="BP176" i="1"/>
  <c r="BP177" i="1"/>
  <c r="N107" i="9"/>
  <c r="N108" i="9" s="1"/>
  <c r="N109" i="9" s="1"/>
  <c r="O107" i="9"/>
  <c r="O108" i="9" s="1"/>
  <c r="O109" i="9" s="1"/>
  <c r="Q107" i="9"/>
  <c r="Q108" i="9" s="1"/>
  <c r="Q109" i="9" s="1"/>
  <c r="P107" i="9"/>
  <c r="P108" i="9" s="1"/>
  <c r="P109" i="9" s="1"/>
  <c r="BW115" i="9"/>
  <c r="BV87" i="9"/>
  <c r="BV84" i="9" s="1"/>
  <c r="BV66" i="9"/>
  <c r="BV76" i="9"/>
  <c r="BV122" i="9" s="1"/>
  <c r="F131" i="9"/>
  <c r="F95" i="9"/>
  <c r="AE46" i="9"/>
  <c r="AE113" i="9" s="1"/>
  <c r="AE704" i="1"/>
  <c r="AE334" i="1"/>
  <c r="H177" i="1"/>
  <c r="H179" i="1" s="1"/>
  <c r="H176" i="1"/>
  <c r="E177" i="1"/>
  <c r="I179" i="1" s="1"/>
  <c r="I176" i="1"/>
  <c r="K46" i="9"/>
  <c r="K704" i="1"/>
  <c r="K334" i="1"/>
  <c r="BY74" i="1"/>
  <c r="BY73" i="1"/>
  <c r="AD625" i="1"/>
  <c r="AK639" i="1"/>
  <c r="AK638" i="1"/>
  <c r="AV15" i="11"/>
  <c r="AB863" i="1"/>
  <c r="E965" i="1"/>
  <c r="E410" i="1"/>
  <c r="E958" i="1"/>
  <c r="I965" i="1"/>
  <c r="AN176" i="1"/>
  <c r="AN177" i="1"/>
  <c r="AN179" i="1" s="1"/>
  <c r="BH684" i="1"/>
  <c r="BH685" i="1" s="1"/>
  <c r="BH686" i="1" s="1"/>
  <c r="BH687" i="1" s="1"/>
  <c r="BH660" i="1"/>
  <c r="BH706" i="1"/>
  <c r="M58" i="9"/>
  <c r="M969" i="1"/>
  <c r="E58" i="9"/>
  <c r="E969" i="1"/>
  <c r="BR547" i="1"/>
  <c r="BR553" i="1" s="1"/>
  <c r="AT638" i="1"/>
  <c r="BV618" i="1"/>
  <c r="AT639" i="1"/>
  <c r="BV639" i="1"/>
  <c r="BV638" i="1"/>
  <c r="AI102" i="9"/>
  <c r="AC592" i="1"/>
  <c r="AD570" i="1"/>
  <c r="AD574" i="1" s="1"/>
  <c r="AQ95" i="9"/>
  <c r="BU115" i="9"/>
  <c r="BT76" i="9"/>
  <c r="BT122" i="9" s="1"/>
  <c r="BT87" i="9"/>
  <c r="BT84" i="9" s="1"/>
  <c r="BT66" i="9"/>
  <c r="Y415" i="1"/>
  <c r="Y421" i="1"/>
  <c r="Y42" i="9" s="1"/>
  <c r="Y448" i="1"/>
  <c r="R46" i="9"/>
  <c r="R704" i="1"/>
  <c r="R334" i="1"/>
  <c r="Z95" i="9"/>
  <c r="BC1065" i="1"/>
  <c r="BC1066" i="1"/>
  <c r="BC1063" i="1"/>
  <c r="BC379" i="1" s="1"/>
  <c r="BC26" i="1" s="1"/>
  <c r="BC1062" i="1"/>
  <c r="BC321" i="1" s="1"/>
  <c r="BC151" i="1" s="1"/>
  <c r="BC1068" i="1"/>
  <c r="BC1064" i="1"/>
  <c r="BC1067" i="1"/>
  <c r="AZ527" i="1"/>
  <c r="AZ531" i="1"/>
  <c r="AX95" i="9"/>
  <c r="AS633" i="1"/>
  <c r="AT27" i="1"/>
  <c r="AT28" i="1"/>
  <c r="AT19" i="9" s="1"/>
  <c r="AT35" i="1"/>
  <c r="T46" i="9"/>
  <c r="T704" i="1"/>
  <c r="T334" i="1"/>
  <c r="AS131" i="9"/>
  <c r="AS95" i="9"/>
  <c r="BQ965" i="1"/>
  <c r="BQ972" i="1"/>
  <c r="BQ410" i="1"/>
  <c r="BQ958" i="1"/>
  <c r="BR965" i="1"/>
  <c r="AN610" i="1"/>
  <c r="AO610" i="1" s="1"/>
  <c r="AR131" i="9"/>
  <c r="AR95" i="9"/>
  <c r="AO95" i="9"/>
  <c r="BO176" i="1"/>
  <c r="BO177" i="1"/>
  <c r="AC176" i="1"/>
  <c r="AC177" i="1"/>
  <c r="AC179" i="1" s="1"/>
  <c r="AY333" i="1"/>
  <c r="AY396" i="1"/>
  <c r="G498" i="1"/>
  <c r="G491" i="1"/>
  <c r="AO410" i="1"/>
  <c r="AO958" i="1"/>
  <c r="BN975" i="1"/>
  <c r="AX595" i="1"/>
  <c r="AX594" i="1"/>
  <c r="BW595" i="1"/>
  <c r="BW574" i="1"/>
  <c r="BW594" i="1"/>
  <c r="AP355" i="1"/>
  <c r="AP357" i="1"/>
  <c r="AM179" i="1"/>
  <c r="AL46" i="9"/>
  <c r="AL704" i="1"/>
  <c r="AL334" i="1"/>
  <c r="C1097" i="1"/>
  <c r="A1095" i="1" s="1"/>
  <c r="AD172" i="1"/>
  <c r="AH172" i="1"/>
  <c r="AN28" i="1"/>
  <c r="AN19" i="9" s="1"/>
  <c r="AN27" i="1"/>
  <c r="AN35" i="1"/>
  <c r="AV115" i="9"/>
  <c r="AR76" i="9"/>
  <c r="AR66" i="9"/>
  <c r="BR638" i="1"/>
  <c r="BR618" i="1"/>
  <c r="AD639" i="1"/>
  <c r="AD638" i="1"/>
  <c r="BR639" i="1"/>
  <c r="BA93" i="1"/>
  <c r="BA62" i="1"/>
  <c r="AG58" i="9"/>
  <c r="AG969" i="1"/>
  <c r="AE58" i="9"/>
  <c r="AE969" i="1"/>
  <c r="K58" i="9"/>
  <c r="K969" i="1"/>
  <c r="AM108" i="9"/>
  <c r="AM109" i="9" s="1"/>
  <c r="BP46" i="9"/>
  <c r="BP704" i="1"/>
  <c r="BP334" i="1"/>
  <c r="J965" i="1"/>
  <c r="J410" i="1"/>
  <c r="J131" i="9" s="1"/>
  <c r="J958" i="1"/>
  <c r="BU127" i="9"/>
  <c r="BV113" i="9"/>
  <c r="BU86" i="9"/>
  <c r="BU83" i="9" s="1"/>
  <c r="BU59" i="9"/>
  <c r="AF654" i="1"/>
  <c r="AG654" i="1" s="1"/>
  <c r="BI48" i="9"/>
  <c r="BI422" i="1"/>
  <c r="BI49" i="9" s="1"/>
  <c r="AO115" i="9"/>
  <c r="AK87" i="9"/>
  <c r="AK84" i="9" s="1"/>
  <c r="AK76" i="9"/>
  <c r="AK66" i="9"/>
  <c r="AJ964" i="1"/>
  <c r="AS684" i="1"/>
  <c r="AS685" i="1" s="1"/>
  <c r="AS686" i="1" s="1"/>
  <c r="AS687" i="1" s="1"/>
  <c r="AS663" i="1"/>
  <c r="AS660" i="1"/>
  <c r="AY536" i="1"/>
  <c r="AY539" i="1"/>
  <c r="AY380" i="1"/>
  <c r="AY533" i="1"/>
  <c r="AC380" i="1"/>
  <c r="AC533" i="1"/>
  <c r="AC534" i="1" s="1"/>
  <c r="E46" i="9"/>
  <c r="E704" i="1"/>
  <c r="E334" i="1"/>
  <c r="AI448" i="1"/>
  <c r="AI415" i="1"/>
  <c r="AI421" i="1"/>
  <c r="AI42" i="9" s="1"/>
  <c r="AS28" i="1"/>
  <c r="AS19" i="9" s="1"/>
  <c r="AS27" i="1"/>
  <c r="AS35" i="1"/>
  <c r="BR131" i="9"/>
  <c r="BR95" i="9"/>
  <c r="BR96" i="9" s="1"/>
  <c r="AV131" i="9"/>
  <c r="AV95" i="9"/>
  <c r="AC589" i="1"/>
  <c r="X964" i="1"/>
  <c r="AV27" i="1"/>
  <c r="AV28" i="1"/>
  <c r="AV19" i="9" s="1"/>
  <c r="AV35" i="1"/>
  <c r="BT28" i="1"/>
  <c r="BT19" i="9" s="1"/>
  <c r="BT35" i="1"/>
  <c r="V87" i="9"/>
  <c r="V84" i="9" s="1"/>
  <c r="BB1066" i="1"/>
  <c r="BB1062" i="1"/>
  <c r="BB321" i="1" s="1"/>
  <c r="BB151" i="1" s="1"/>
  <c r="BB1063" i="1"/>
  <c r="BB379" i="1" s="1"/>
  <c r="BB26" i="1" s="1"/>
  <c r="BB1064" i="1"/>
  <c r="BB1065" i="1"/>
  <c r="BB1068" i="1"/>
  <c r="BB1067" i="1"/>
  <c r="T58" i="9"/>
  <c r="T969" i="1"/>
  <c r="O131" i="9"/>
  <c r="O95" i="9"/>
  <c r="AA448" i="1"/>
  <c r="AA415" i="1"/>
  <c r="AA421" i="1"/>
  <c r="AA42" i="9" s="1"/>
  <c r="H95" i="9"/>
  <c r="C48" i="9"/>
  <c r="C422" i="1"/>
  <c r="C49" i="9" s="1"/>
  <c r="C80" i="9" s="1"/>
  <c r="T115" i="9"/>
  <c r="P76" i="9"/>
  <c r="P66" i="9"/>
  <c r="AY27" i="11"/>
  <c r="AR639" i="1"/>
  <c r="AR638" i="1"/>
  <c r="I459" i="1"/>
  <c r="I463" i="1" s="1"/>
  <c r="H476" i="1"/>
  <c r="H489" i="1" s="1"/>
  <c r="AB965" i="1"/>
  <c r="AB410" i="1"/>
  <c r="AB958" i="1"/>
  <c r="AA965" i="1"/>
  <c r="BR972" i="1"/>
  <c r="AP95" i="9"/>
  <c r="V965" i="1"/>
  <c r="V410" i="1"/>
  <c r="V131" i="9" s="1"/>
  <c r="V958" i="1"/>
  <c r="P115" i="9"/>
  <c r="L87" i="9"/>
  <c r="L84" i="9" s="1"/>
  <c r="L76" i="9"/>
  <c r="L66" i="9"/>
  <c r="AM28" i="1"/>
  <c r="AM27" i="1"/>
  <c r="AM35" i="1"/>
  <c r="BJ177" i="1"/>
  <c r="BJ179" i="1" s="1"/>
  <c r="BJ176" i="1"/>
  <c r="AJ610" i="1"/>
  <c r="AK610" i="1" s="1"/>
  <c r="AL58" i="9"/>
  <c r="AL969" i="1"/>
  <c r="C1099" i="1"/>
  <c r="BV15" i="11"/>
  <c r="BK48" i="9"/>
  <c r="BK422" i="1"/>
  <c r="U131" i="9"/>
  <c r="U95" i="9"/>
  <c r="BX693" i="1"/>
  <c r="BX692" i="1"/>
  <c r="BC692" i="1" s="1"/>
  <c r="AP620" i="1"/>
  <c r="AP621" i="1" s="1"/>
  <c r="AT625" i="1"/>
  <c r="AP625" i="1"/>
  <c r="AG46" i="9"/>
  <c r="AG704" i="1"/>
  <c r="AG334" i="1"/>
  <c r="AY179" i="1"/>
  <c r="BM972" i="1"/>
  <c r="BM965" i="1"/>
  <c r="BM410" i="1"/>
  <c r="BM959" i="1" s="1"/>
  <c r="BM958" i="1"/>
  <c r="AD355" i="1"/>
  <c r="AD357" i="1"/>
  <c r="Q33" i="10"/>
  <c r="P33" i="10"/>
  <c r="AQ958" i="1"/>
  <c r="AQ410" i="1"/>
  <c r="BP58" i="9"/>
  <c r="BP969" i="1"/>
  <c r="AL536" i="1"/>
  <c r="AL539" i="1"/>
  <c r="AL380" i="1"/>
  <c r="AL533" i="1"/>
  <c r="AL534" i="1" s="1"/>
  <c r="BU179" i="1"/>
  <c r="AF639" i="1"/>
  <c r="AF638" i="1"/>
  <c r="J107" i="9"/>
  <c r="J108" i="9" s="1"/>
  <c r="J109" i="9" s="1"/>
  <c r="L107" i="9"/>
  <c r="L108" i="9" s="1"/>
  <c r="L109" i="9" s="1"/>
  <c r="M107" i="9"/>
  <c r="M108" i="9" s="1"/>
  <c r="M109" i="9" s="1"/>
  <c r="K107" i="9"/>
  <c r="K108" i="9" s="1"/>
  <c r="K109" i="9" s="1"/>
  <c r="AV176" i="1"/>
  <c r="X131" i="9"/>
  <c r="X95" i="9"/>
  <c r="BP172" i="1"/>
  <c r="AD152" i="1"/>
  <c r="AH152" i="1"/>
  <c r="BN46" i="9"/>
  <c r="BN704" i="1"/>
  <c r="BN334" i="1"/>
  <c r="W176" i="1"/>
  <c r="W131" i="9"/>
  <c r="W95" i="9"/>
  <c r="AO176" i="1"/>
  <c r="AO177" i="1"/>
  <c r="AS176" i="1"/>
  <c r="X684" i="1"/>
  <c r="X685" i="1" s="1"/>
  <c r="X686" i="1" s="1"/>
  <c r="X687" i="1" s="1"/>
  <c r="X660" i="1"/>
  <c r="X663" i="1"/>
  <c r="AD107" i="9"/>
  <c r="AD108" i="9" s="1"/>
  <c r="AD109" i="9" s="1"/>
  <c r="AF107" i="9"/>
  <c r="AF108" i="9" s="1"/>
  <c r="AF109" i="9" s="1"/>
  <c r="AG107" i="9"/>
  <c r="AG108" i="9" s="1"/>
  <c r="AG109" i="9" s="1"/>
  <c r="AE107" i="9"/>
  <c r="AE108" i="9" s="1"/>
  <c r="AE109" i="9" s="1"/>
  <c r="AC964" i="1"/>
  <c r="BD1068" i="1"/>
  <c r="BD1064" i="1"/>
  <c r="BD1067" i="1"/>
  <c r="BD1066" i="1"/>
  <c r="BD1062" i="1"/>
  <c r="BD321" i="1" s="1"/>
  <c r="BD151" i="1" s="1"/>
  <c r="BD1063" i="1"/>
  <c r="BD379" i="1" s="1"/>
  <c r="BD26" i="1" s="1"/>
  <c r="BD1065" i="1"/>
  <c r="AU108" i="9"/>
  <c r="AU109" i="9" s="1"/>
  <c r="S172" i="1"/>
  <c r="W172" i="1"/>
  <c r="AF115" i="9"/>
  <c r="AB87" i="9"/>
  <c r="AB84" i="9" s="1"/>
  <c r="AB66" i="9"/>
  <c r="AB76" i="9"/>
  <c r="O77" i="9"/>
  <c r="O79" i="9" s="1"/>
  <c r="O68" i="9"/>
  <c r="O74" i="9" s="1"/>
  <c r="O132" i="9" s="1"/>
  <c r="AY410" i="1"/>
  <c r="AY958" i="1"/>
  <c r="AI595" i="1"/>
  <c r="AI594" i="1"/>
  <c r="AP406" i="1"/>
  <c r="BU972" i="1" s="1"/>
  <c r="AP418" i="1"/>
  <c r="AP417" i="1"/>
  <c r="I108" i="9"/>
  <c r="I109" i="9" s="1"/>
  <c r="AT396" i="1"/>
  <c r="AT333" i="1"/>
  <c r="Z177" i="1"/>
  <c r="Z176" i="1"/>
  <c r="P131" i="9"/>
  <c r="P95" i="9"/>
  <c r="AN638" i="1"/>
  <c r="AN639" i="1"/>
  <c r="AR115" i="9"/>
  <c r="AN66" i="9"/>
  <c r="AN76" i="9"/>
  <c r="AN115" i="9"/>
  <c r="AD527" i="1"/>
  <c r="AD531" i="1" s="1"/>
  <c r="AC552" i="1"/>
  <c r="AC553" i="1"/>
  <c r="AP594" i="1"/>
  <c r="BU594" i="1"/>
  <c r="BU595" i="1"/>
  <c r="AP595" i="1"/>
  <c r="BU574" i="1"/>
  <c r="AB176" i="1"/>
  <c r="AB177" i="1"/>
  <c r="AB179" i="1" s="1"/>
  <c r="AR654" i="1"/>
  <c r="AS654" i="1" s="1"/>
  <c r="AE116" i="9"/>
  <c r="AA77" i="9"/>
  <c r="AA79" i="9" s="1"/>
  <c r="AA68" i="9"/>
  <c r="AA74" i="9" s="1"/>
  <c r="AA132" i="9" s="1"/>
  <c r="AO28" i="1"/>
  <c r="AO19" i="9" s="1"/>
  <c r="AO27" i="1"/>
  <c r="AO35" i="1"/>
  <c r="D965" i="1"/>
  <c r="D410" i="1"/>
  <c r="D131" i="9" s="1"/>
  <c r="D958" i="1"/>
  <c r="C965" i="1"/>
  <c r="BL972" i="1"/>
  <c r="BW14" i="11"/>
  <c r="BW15" i="11" s="1"/>
  <c r="BW26" i="11"/>
  <c r="BW27" i="11" s="1"/>
  <c r="BO965" i="1"/>
  <c r="BO972" i="1"/>
  <c r="BO410" i="1"/>
  <c r="BO958" i="1"/>
  <c r="AY131" i="9"/>
  <c r="AY95" i="9"/>
  <c r="AD396" i="1"/>
  <c r="AD333" i="1"/>
  <c r="BW530" i="1"/>
  <c r="BW531" i="1" s="1"/>
  <c r="AW567" i="1"/>
  <c r="P58" i="9"/>
  <c r="P969" i="1"/>
  <c r="AP28" i="1"/>
  <c r="AP19" i="9" s="1"/>
  <c r="AP27" i="1"/>
  <c r="AP35" i="1"/>
  <c r="AZ146" i="1"/>
  <c r="AZ90" i="1"/>
  <c r="BI964" i="1"/>
  <c r="BJ964" i="1"/>
  <c r="AG421" i="1"/>
  <c r="AG42" i="9" s="1"/>
  <c r="AG448" i="1"/>
  <c r="AG415" i="1"/>
  <c r="BJ108" i="9"/>
  <c r="BJ109" i="9" s="1"/>
  <c r="BJ99" i="9"/>
  <c r="AL625" i="1"/>
  <c r="AH625" i="1"/>
  <c r="BK448" i="1"/>
  <c r="BK421" i="1"/>
  <c r="BK42" i="9" s="1"/>
  <c r="AG592" i="1"/>
  <c r="AH570" i="1"/>
  <c r="AH574" i="1" s="1"/>
  <c r="BV95" i="9"/>
  <c r="BV96" i="9" s="1"/>
  <c r="BV99" i="9" s="1"/>
  <c r="AS592" i="1"/>
  <c r="AT570" i="1"/>
  <c r="AT574" i="1" s="1"/>
  <c r="AM131" i="9"/>
  <c r="AM95" i="9"/>
  <c r="AY28" i="1"/>
  <c r="AY19" i="9" s="1"/>
  <c r="AY27" i="1"/>
  <c r="AY35" i="1"/>
  <c r="AL595" i="1"/>
  <c r="BT594" i="1"/>
  <c r="BT595" i="1"/>
  <c r="BT574" i="1"/>
  <c r="AL594" i="1"/>
  <c r="AW592" i="1"/>
  <c r="AX570" i="1"/>
  <c r="AX574" i="1" s="1"/>
  <c r="B3" i="12"/>
  <c r="B3" i="11"/>
  <c r="BF725" i="1"/>
  <c r="BY722" i="1"/>
  <c r="BY431" i="1" s="1"/>
  <c r="AZ722" i="1"/>
  <c r="AZ431" i="1" s="1"/>
  <c r="BE725" i="1"/>
  <c r="BD725" i="1"/>
  <c r="BC725" i="1"/>
  <c r="BB725" i="1"/>
  <c r="CB725" i="1"/>
  <c r="BA725" i="1"/>
  <c r="BY725" i="1"/>
  <c r="CA722" i="1"/>
  <c r="CA431" i="1" s="1"/>
  <c r="BA722" i="1"/>
  <c r="BA431" i="1" s="1"/>
  <c r="BF722" i="1"/>
  <c r="BF431" i="1" s="1"/>
  <c r="AZ725" i="1"/>
  <c r="BE722" i="1"/>
  <c r="BE431" i="1" s="1"/>
  <c r="BD722" i="1"/>
  <c r="BD431" i="1" s="1"/>
  <c r="BZ725" i="1"/>
  <c r="BB722" i="1"/>
  <c r="BB431" i="1" s="1"/>
  <c r="BX725" i="1"/>
  <c r="CB722" i="1"/>
  <c r="CB431" i="1" s="1"/>
  <c r="BZ722" i="1"/>
  <c r="BZ431" i="1" s="1"/>
  <c r="BX722" i="1"/>
  <c r="BX431" i="1" s="1"/>
  <c r="BC722" i="1"/>
  <c r="BC431" i="1" s="1"/>
  <c r="CA725" i="1"/>
  <c r="AS58" i="9"/>
  <c r="AS969" i="1"/>
  <c r="BZ84" i="1"/>
  <c r="BZ21" i="1"/>
  <c r="BZ23" i="1" s="1"/>
  <c r="BZ18" i="9" s="1"/>
  <c r="BZ72" i="1"/>
  <c r="BZ71" i="1"/>
  <c r="CA67" i="1"/>
  <c r="BX102" i="1"/>
  <c r="BX32" i="1"/>
  <c r="AK131" i="9"/>
  <c r="AK95" i="9"/>
  <c r="BU131" i="9"/>
  <c r="BU95" i="9"/>
  <c r="BU96" i="9" s="1"/>
  <c r="BU103" i="9" s="1"/>
  <c r="AX62" i="9"/>
  <c r="AX64" i="9" s="1"/>
  <c r="AY87" i="9" s="1"/>
  <c r="AY84" i="9" s="1"/>
  <c r="AX662" i="1"/>
  <c r="AX680" i="1"/>
  <c r="AX681" i="1" s="1"/>
  <c r="AX682" i="1" s="1"/>
  <c r="AX683" i="1" s="1"/>
  <c r="AV179" i="1"/>
  <c r="G68" i="9"/>
  <c r="G74" i="9" s="1"/>
  <c r="G132" i="9" s="1"/>
  <c r="G77" i="9"/>
  <c r="G79" i="9" s="1"/>
  <c r="AA115" i="9"/>
  <c r="W87" i="9"/>
  <c r="W84" i="9" s="1"/>
  <c r="W66" i="9"/>
  <c r="W76" i="9"/>
  <c r="BN58" i="9"/>
  <c r="BN969" i="1"/>
  <c r="AV610" i="1"/>
  <c r="AW610" i="1" s="1"/>
  <c r="W179" i="1"/>
  <c r="AO537" i="1"/>
  <c r="AB131" i="9"/>
  <c r="AB95" i="9"/>
  <c r="AW27" i="1"/>
  <c r="AW28" i="1"/>
  <c r="AW19" i="9" s="1"/>
  <c r="AW35" i="1"/>
  <c r="BY94" i="1"/>
  <c r="BC32" i="1"/>
  <c r="BC102" i="1"/>
  <c r="AC567" i="1"/>
  <c r="BR530" i="1"/>
  <c r="BR531" i="1" s="1"/>
  <c r="AK594" i="1"/>
  <c r="AK595" i="1"/>
  <c r="AD95" i="9"/>
  <c r="AZ1065" i="1"/>
  <c r="AZ1062" i="1"/>
  <c r="AZ321" i="1" s="1"/>
  <c r="AZ151" i="1" s="1"/>
  <c r="AZ1064" i="1"/>
  <c r="AZ1066" i="1"/>
  <c r="AZ1067" i="1"/>
  <c r="AZ1068" i="1"/>
  <c r="AZ1063" i="1"/>
  <c r="AZ379" i="1" s="1"/>
  <c r="AZ26" i="1" s="1"/>
  <c r="X58" i="9"/>
  <c r="X969" i="1"/>
  <c r="AE172" i="1"/>
  <c r="AI172" i="1"/>
  <c r="AI639" i="1"/>
  <c r="AI638" i="1"/>
  <c r="AO108" i="9"/>
  <c r="AO109" i="9" s="1"/>
  <c r="F965" i="1"/>
  <c r="F410" i="1"/>
  <c r="F958" i="1"/>
  <c r="BL407" i="1"/>
  <c r="BU530" i="1"/>
  <c r="BU531" i="1" s="1"/>
  <c r="AO567" i="1"/>
  <c r="AX539" i="1"/>
  <c r="AX536" i="1"/>
  <c r="AX380" i="1"/>
  <c r="AX533" i="1"/>
  <c r="AX534" i="1" s="1"/>
  <c r="H660" i="1"/>
  <c r="H684" i="1"/>
  <c r="H685" i="1" s="1"/>
  <c r="H686" i="1" s="1"/>
  <c r="H687" i="1" s="1"/>
  <c r="H663" i="1"/>
  <c r="M115" i="9"/>
  <c r="I76" i="9"/>
  <c r="I66" i="9"/>
  <c r="I87" i="9"/>
  <c r="I84" i="9" s="1"/>
  <c r="W115" i="9"/>
  <c r="S76" i="9"/>
  <c r="S87" i="9"/>
  <c r="S84" i="9" s="1"/>
  <c r="S66" i="9"/>
  <c r="S116" i="9" s="1"/>
  <c r="AN595" i="1"/>
  <c r="AN594" i="1"/>
  <c r="S46" i="9"/>
  <c r="S704" i="1"/>
  <c r="S334" i="1"/>
  <c r="AW415" i="1"/>
  <c r="AW421" i="1"/>
  <c r="AW42" i="9" s="1"/>
  <c r="AW448" i="1"/>
  <c r="Z410" i="1"/>
  <c r="Z959" i="1" s="1"/>
  <c r="Z965" i="1"/>
  <c r="Z958" i="1"/>
  <c r="L172" i="1"/>
  <c r="D77" i="9"/>
  <c r="D79" i="9" s="1"/>
  <c r="D68" i="9"/>
  <c r="D74" i="9" s="1"/>
  <c r="D132" i="9" s="1"/>
  <c r="N965" i="1"/>
  <c r="N410" i="1"/>
  <c r="N131" i="9" s="1"/>
  <c r="N958" i="1"/>
  <c r="M965" i="1"/>
  <c r="AG595" i="1"/>
  <c r="AG594" i="1"/>
  <c r="AY640" i="1"/>
  <c r="BX620" i="1"/>
  <c r="BX621" i="1" s="1"/>
  <c r="BX625" i="1"/>
  <c r="V115" i="9"/>
  <c r="R87" i="9"/>
  <c r="R84" i="9" s="1"/>
  <c r="R76" i="9"/>
  <c r="R66" i="9"/>
  <c r="G46" i="9"/>
  <c r="G704" i="1"/>
  <c r="G334" i="1"/>
  <c r="AH412" i="1"/>
  <c r="AH420" i="1"/>
  <c r="P46" i="9"/>
  <c r="P704" i="1"/>
  <c r="P334" i="1"/>
  <c r="AX355" i="1"/>
  <c r="AX357" i="1"/>
  <c r="AB58" i="9"/>
  <c r="AB969" i="1"/>
  <c r="BQ172" i="1"/>
  <c r="BR172" i="1"/>
  <c r="BP115" i="9"/>
  <c r="BO87" i="9"/>
  <c r="BO84" i="9" s="1"/>
  <c r="BO76" i="9"/>
  <c r="BO122" i="9" s="1"/>
  <c r="BO66" i="9"/>
  <c r="AZ89" i="1"/>
  <c r="AZ91" i="1" s="1"/>
  <c r="BI684" i="1"/>
  <c r="BI685" i="1" s="1"/>
  <c r="BI686" i="1" s="1"/>
  <c r="BI687" i="1" s="1"/>
  <c r="BI660" i="1"/>
  <c r="BI663" i="1"/>
  <c r="Q172" i="1"/>
  <c r="U172" i="1"/>
  <c r="AP62" i="9"/>
  <c r="AP64" i="9" s="1"/>
  <c r="AS87" i="9" s="1"/>
  <c r="AS84" i="9" s="1"/>
  <c r="AP662" i="1"/>
  <c r="AP680" i="1"/>
  <c r="AP681" i="1" s="1"/>
  <c r="AP682" i="1" s="1"/>
  <c r="AP683" i="1" s="1"/>
  <c r="BL116" i="9"/>
  <c r="BK77" i="9"/>
  <c r="BK79" i="9" s="1"/>
  <c r="BK68" i="9"/>
  <c r="BK74" i="9" s="1"/>
  <c r="BK132" i="9" s="1"/>
  <c r="U420" i="1"/>
  <c r="U411" i="1"/>
  <c r="U412" i="1" s="1"/>
  <c r="U58" i="9"/>
  <c r="U969" i="1"/>
  <c r="AF172" i="1"/>
  <c r="AJ172" i="1"/>
  <c r="AS26" i="11"/>
  <c r="AS27" i="11" s="1"/>
  <c r="AS14" i="11"/>
  <c r="AS15" i="11" s="1"/>
  <c r="AS46" i="9"/>
  <c r="AS704" i="1"/>
  <c r="AS334" i="1"/>
  <c r="BV127" i="9"/>
  <c r="BV86" i="9"/>
  <c r="BV83" i="9" s="1"/>
  <c r="BV59" i="9"/>
  <c r="BS639" i="1"/>
  <c r="AH638" i="1"/>
  <c r="BS638" i="1"/>
  <c r="BS618" i="1"/>
  <c r="AH639" i="1"/>
  <c r="AX661" i="1"/>
  <c r="AX372" i="1"/>
  <c r="AX375" i="1" s="1"/>
  <c r="BW975" i="1"/>
  <c r="AU595" i="1"/>
  <c r="AU594" i="1"/>
  <c r="AQ46" i="9"/>
  <c r="AQ704" i="1"/>
  <c r="AQ334" i="1"/>
  <c r="Q94" i="10"/>
  <c r="P94" i="10"/>
  <c r="AS421" i="1"/>
  <c r="AS42" i="9" s="1"/>
  <c r="AS448" i="1"/>
  <c r="AS415" i="1"/>
  <c r="AV595" i="1"/>
  <c r="AV594" i="1"/>
  <c r="Y108" i="9"/>
  <c r="Y109" i="9" s="1"/>
  <c r="AW639" i="1"/>
  <c r="AW638" i="1"/>
  <c r="T177" i="1"/>
  <c r="T179" i="1" s="1"/>
  <c r="T176" i="1"/>
  <c r="AE176" i="1"/>
  <c r="AE177" i="1"/>
  <c r="AE179" i="1" s="1"/>
  <c r="I48" i="9"/>
  <c r="I422" i="1"/>
  <c r="I49" i="9" s="1"/>
  <c r="I80" i="9" s="1"/>
  <c r="BP131" i="9"/>
  <c r="BP95" i="9"/>
  <c r="BP96" i="9" s="1"/>
  <c r="AH115" i="9"/>
  <c r="AD87" i="9"/>
  <c r="AD84" i="9" s="1"/>
  <c r="AD76" i="9"/>
  <c r="AD66" i="9"/>
  <c r="AE87" i="9"/>
  <c r="AE84" i="9" s="1"/>
  <c r="BB53" i="1"/>
  <c r="BB55" i="1" s="1"/>
  <c r="BB47" i="1" s="1"/>
  <c r="BK176" i="1"/>
  <c r="G95" i="9"/>
  <c r="G131" i="9"/>
  <c r="BE1068" i="1"/>
  <c r="BE1066" i="1"/>
  <c r="BE1067" i="1"/>
  <c r="BE1063" i="1"/>
  <c r="BE379" i="1" s="1"/>
  <c r="BE26" i="1" s="1"/>
  <c r="BE1062" i="1"/>
  <c r="BE321" i="1" s="1"/>
  <c r="BE151" i="1" s="1"/>
  <c r="BE1065" i="1"/>
  <c r="BE1064" i="1"/>
  <c r="BF527" i="1"/>
  <c r="BF531" i="1"/>
  <c r="W108" i="9"/>
  <c r="W109" i="9" s="1"/>
  <c r="BR127" i="9"/>
  <c r="BS113" i="9"/>
  <c r="BR59" i="9"/>
  <c r="BR86" i="9"/>
  <c r="BR83" i="9" s="1"/>
  <c r="AW333" i="1"/>
  <c r="AW396" i="1"/>
  <c r="AX614" i="1"/>
  <c r="AX618" i="1" s="1"/>
  <c r="AW636" i="1"/>
  <c r="BU684" i="1"/>
  <c r="BU660" i="1"/>
  <c r="BU663" i="1"/>
  <c r="BU715" i="1" s="1"/>
  <c r="L115" i="9"/>
  <c r="H76" i="9"/>
  <c r="H87" i="9"/>
  <c r="H84" i="9" s="1"/>
  <c r="H66" i="9"/>
  <c r="H116" i="9" s="1"/>
  <c r="BE947" i="1"/>
  <c r="BD729" i="1"/>
  <c r="N55" i="10"/>
  <c r="N61" i="10"/>
  <c r="Q176" i="1"/>
  <c r="Q177" i="1"/>
  <c r="U176" i="1"/>
  <c r="AA127" i="9"/>
  <c r="AA59" i="9"/>
  <c r="Q109" i="10"/>
  <c r="P109" i="10"/>
  <c r="BL77" i="9"/>
  <c r="BL79" i="9" s="1"/>
  <c r="BL68" i="9"/>
  <c r="BL74" i="9" s="1"/>
  <c r="BL132" i="9" s="1"/>
  <c r="BU28" i="1"/>
  <c r="BU19" i="9" s="1"/>
  <c r="BU35" i="1"/>
  <c r="I127" i="9"/>
  <c r="I59" i="9"/>
  <c r="AS595" i="1"/>
  <c r="AS594" i="1"/>
  <c r="K448" i="1"/>
  <c r="K421" i="1"/>
  <c r="K42" i="9" s="1"/>
  <c r="S58" i="9"/>
  <c r="S969" i="1"/>
  <c r="S131" i="9"/>
  <c r="S95" i="9"/>
  <c r="S96" i="9" s="1"/>
  <c r="S99" i="9" s="1"/>
  <c r="F58" i="9"/>
  <c r="F969" i="1"/>
  <c r="BC728" i="1"/>
  <c r="BC10" i="9" s="1"/>
  <c r="BD952" i="1"/>
  <c r="D95" i="9"/>
  <c r="BQ46" i="9"/>
  <c r="BQ704" i="1"/>
  <c r="BQ334" i="1"/>
  <c r="H115" i="9"/>
  <c r="BW46" i="9"/>
  <c r="BW704" i="1"/>
  <c r="BW334" i="1"/>
  <c r="BU639" i="1"/>
  <c r="AP639" i="1"/>
  <c r="BU638" i="1"/>
  <c r="AP638" i="1"/>
  <c r="BU618" i="1"/>
  <c r="AQ639" i="1"/>
  <c r="AQ638" i="1"/>
  <c r="G58" i="9"/>
  <c r="G969" i="1"/>
  <c r="AH965" i="1"/>
  <c r="AL28" i="1"/>
  <c r="AL19" i="9" s="1"/>
  <c r="AL27" i="1"/>
  <c r="AL35" i="1"/>
  <c r="AG639" i="1"/>
  <c r="AG638" i="1"/>
  <c r="AG131" i="9"/>
  <c r="AG95" i="9"/>
  <c r="T95" i="9"/>
  <c r="T131" i="9"/>
  <c r="I115" i="9"/>
  <c r="E76" i="9"/>
  <c r="E66" i="9"/>
  <c r="Z172" i="1"/>
  <c r="AB46" i="9"/>
  <c r="AB704" i="1"/>
  <c r="AB334" i="1"/>
  <c r="AO639" i="1"/>
  <c r="AO638" i="1"/>
  <c r="C131" i="9"/>
  <c r="C95" i="9"/>
  <c r="BM131" i="9"/>
  <c r="BM95" i="9"/>
  <c r="BM96" i="9" s="1"/>
  <c r="AP661" i="1"/>
  <c r="AP372" i="1"/>
  <c r="AP375" i="1" s="1"/>
  <c r="BU975" i="1"/>
  <c r="Q77" i="9"/>
  <c r="Q79" i="9" s="1"/>
  <c r="Q68" i="9"/>
  <c r="Q74" i="9" s="1"/>
  <c r="Q132" i="9" s="1"/>
  <c r="U965" i="1"/>
  <c r="BN9" i="11"/>
  <c r="BN10" i="11" s="1"/>
  <c r="BN41" i="1" s="1"/>
  <c r="BN14" i="9" s="1"/>
  <c r="BO10" i="11"/>
  <c r="BO41" i="1" s="1"/>
  <c r="BO14" i="9" s="1"/>
  <c r="U46" i="9"/>
  <c r="U704" i="1"/>
  <c r="U334" i="1"/>
  <c r="U108" i="9"/>
  <c r="U109" i="9" s="1"/>
  <c r="BQ131" i="9"/>
  <c r="BQ95" i="9"/>
  <c r="BQ96" i="9" s="1"/>
  <c r="X102" i="9"/>
  <c r="AC965" i="1"/>
  <c r="AC410" i="1"/>
  <c r="AC131" i="9" s="1"/>
  <c r="AC958" i="1"/>
  <c r="AG965" i="1"/>
  <c r="AT87" i="9"/>
  <c r="AT84" i="9" s="1"/>
  <c r="AT76" i="9"/>
  <c r="AT66" i="9"/>
  <c r="AV87" i="9"/>
  <c r="AV84" i="9" s="1"/>
  <c r="AU131" i="9"/>
  <c r="AU95" i="9"/>
  <c r="L46" i="9"/>
  <c r="L704" i="1"/>
  <c r="L334" i="1"/>
  <c r="Z107" i="9"/>
  <c r="Z108" i="9" s="1"/>
  <c r="Z109" i="9" s="1"/>
  <c r="AC107" i="9"/>
  <c r="AC108" i="9" s="1"/>
  <c r="AC109" i="9" s="1"/>
  <c r="AA107" i="9"/>
  <c r="AA108" i="9" s="1"/>
  <c r="AA109" i="9" s="1"/>
  <c r="AB107" i="9"/>
  <c r="AB108" i="9" s="1"/>
  <c r="AB109" i="9" s="1"/>
  <c r="AQ58" i="9"/>
  <c r="AQ969" i="1"/>
  <c r="AG176" i="1"/>
  <c r="BW28" i="1"/>
  <c r="BW19" i="9" s="1"/>
  <c r="BW35" i="1"/>
  <c r="AN965" i="1"/>
  <c r="AN410" i="1"/>
  <c r="AN131" i="9" s="1"/>
  <c r="AN958" i="1"/>
  <c r="AQ172" i="1"/>
  <c r="AU172" i="1"/>
  <c r="BS131" i="9"/>
  <c r="BS95" i="9"/>
  <c r="BS96" i="9" s="1"/>
  <c r="BT115" i="9"/>
  <c r="BS76" i="9"/>
  <c r="BS122" i="9" s="1"/>
  <c r="BS87" i="9"/>
  <c r="BS84" i="9" s="1"/>
  <c r="BS66" i="9"/>
  <c r="AC564" i="1"/>
  <c r="BK179" i="1"/>
  <c r="X46" i="9"/>
  <c r="X704" i="1"/>
  <c r="X334" i="1"/>
  <c r="J115" i="9"/>
  <c r="F87" i="9"/>
  <c r="F84" i="9" s="1"/>
  <c r="F76" i="9"/>
  <c r="F66" i="9"/>
  <c r="AV639" i="1"/>
  <c r="AV638" i="1"/>
  <c r="AD115" i="9"/>
  <c r="Z76" i="9"/>
  <c r="Z66" i="9"/>
  <c r="Z87" i="9"/>
  <c r="Z84" i="9" s="1"/>
  <c r="Z115" i="9"/>
  <c r="K131" i="9"/>
  <c r="K95" i="9"/>
  <c r="BU415" i="1"/>
  <c r="BU421" i="1"/>
  <c r="BU42" i="9" s="1"/>
  <c r="BV965" i="1"/>
  <c r="BV410" i="1"/>
  <c r="BV131" i="9" s="1"/>
  <c r="BV958" i="1"/>
  <c r="BW965" i="1"/>
  <c r="BW179" i="1"/>
  <c r="H965" i="1"/>
  <c r="H410" i="1"/>
  <c r="H958" i="1"/>
  <c r="Q117" i="10"/>
  <c r="P117" i="10"/>
  <c r="BU24" i="9"/>
  <c r="BU15" i="1"/>
  <c r="BU58" i="1"/>
  <c r="BU25" i="9" s="1"/>
  <c r="BU79" i="1"/>
  <c r="V177" i="1"/>
  <c r="V179" i="1" s="1"/>
  <c r="V176" i="1"/>
  <c r="U87" i="9"/>
  <c r="U84" i="9" s="1"/>
  <c r="AP396" i="1"/>
  <c r="AP333" i="1"/>
  <c r="K48" i="9"/>
  <c r="K422" i="1"/>
  <c r="K49" i="9" s="1"/>
  <c r="K80" i="9" s="1"/>
  <c r="AN654" i="1"/>
  <c r="AO654" i="1" s="1"/>
  <c r="BC923" i="1"/>
  <c r="BW421" i="1"/>
  <c r="BW42" i="9" s="1"/>
  <c r="BW415" i="1"/>
  <c r="AD176" i="1"/>
  <c r="AD177" i="1"/>
  <c r="AD179" i="1" s="1"/>
  <c r="AS639" i="1"/>
  <c r="AS638" i="1"/>
  <c r="F46" i="9"/>
  <c r="F704" i="1"/>
  <c r="F334" i="1"/>
  <c r="AF131" i="9"/>
  <c r="AF95" i="9"/>
  <c r="AF96" i="9" s="1"/>
  <c r="AF99" i="9" s="1"/>
  <c r="BO115" i="9"/>
  <c r="BN87" i="9"/>
  <c r="BN84" i="9" s="1"/>
  <c r="BN76" i="9"/>
  <c r="BN122" i="9" s="1"/>
  <c r="BN66" i="9"/>
  <c r="BN115" i="9"/>
  <c r="AE595" i="1"/>
  <c r="AE594" i="1"/>
  <c r="AX406" i="1"/>
  <c r="AX417" i="1"/>
  <c r="AX418" i="1"/>
  <c r="BQ58" i="9"/>
  <c r="BQ969" i="1"/>
  <c r="BW58" i="9"/>
  <c r="BW969" i="1"/>
  <c r="G116" i="9"/>
  <c r="C77" i="9"/>
  <c r="C79" i="9" s="1"/>
  <c r="C68" i="9"/>
  <c r="C74" i="9" s="1"/>
  <c r="C132" i="9" s="1"/>
  <c r="J58" i="9"/>
  <c r="J969" i="1"/>
  <c r="Y127" i="9"/>
  <c r="Y59" i="9"/>
  <c r="BP9" i="11"/>
  <c r="BP10" i="11" s="1"/>
  <c r="BP41" i="1" s="1"/>
  <c r="BP14" i="9" s="1"/>
  <c r="BQ10" i="11"/>
  <c r="BQ41" i="1" s="1"/>
  <c r="BQ14" i="9" s="1"/>
  <c r="N62" i="9"/>
  <c r="N64" i="9" s="1"/>
  <c r="P87" i="9" s="1"/>
  <c r="P84" i="9" s="1"/>
  <c r="N662" i="1"/>
  <c r="N680" i="1"/>
  <c r="N681" i="1" s="1"/>
  <c r="N682" i="1" s="1"/>
  <c r="N683" i="1" s="1"/>
  <c r="BU964" i="1"/>
  <c r="AL177" i="1"/>
  <c r="AL179" i="1" s="1"/>
  <c r="AL176" i="1"/>
  <c r="AZ61" i="1"/>
  <c r="BD63" i="1"/>
  <c r="BM176" i="1"/>
  <c r="BM177" i="1"/>
  <c r="BM179" i="1" s="1"/>
  <c r="AF46" i="9"/>
  <c r="AF704" i="1"/>
  <c r="AF334" i="1"/>
  <c r="N177" i="1"/>
  <c r="N179" i="1" s="1"/>
  <c r="N176" i="1"/>
  <c r="M131" i="9"/>
  <c r="M95" i="9"/>
  <c r="AX330" i="1"/>
  <c r="AX395" i="1"/>
  <c r="AR26" i="11"/>
  <c r="AR27" i="11" s="1"/>
  <c r="AR14" i="11"/>
  <c r="AR15" i="11" s="1"/>
  <c r="AH131" i="9"/>
  <c r="AH95" i="9"/>
  <c r="AD793" i="1"/>
  <c r="AC794" i="1"/>
  <c r="AN108" i="9"/>
  <c r="AN109" i="9" s="1"/>
  <c r="Q144" i="10"/>
  <c r="P144" i="10"/>
  <c r="L58" i="9"/>
  <c r="L969" i="1"/>
  <c r="K115" i="9"/>
  <c r="BY912" i="1"/>
  <c r="AG179" i="1"/>
  <c r="J87" i="9"/>
  <c r="J84" i="9" s="1"/>
  <c r="J76" i="9"/>
  <c r="J66" i="9"/>
  <c r="AY76" i="9"/>
  <c r="AY66" i="9"/>
  <c r="AY116" i="9" s="1"/>
  <c r="BW24" i="9"/>
  <c r="BW58" i="1"/>
  <c r="BW25" i="9" s="1"/>
  <c r="BW79" i="1"/>
  <c r="BW15" i="1"/>
  <c r="AD594" i="1"/>
  <c r="BR595" i="1"/>
  <c r="BR574" i="1"/>
  <c r="AD595" i="1"/>
  <c r="BR594" i="1"/>
  <c r="AL131" i="9"/>
  <c r="AL95" i="9"/>
  <c r="BH87" i="9"/>
  <c r="BH84" i="9" s="1"/>
  <c r="BH66" i="9"/>
  <c r="BH68" i="9" s="1"/>
  <c r="BH74" i="9" s="1"/>
  <c r="BH132" i="9" s="1"/>
  <c r="AJ46" i="9"/>
  <c r="AJ704" i="1"/>
  <c r="AJ334" i="1"/>
  <c r="AR536" i="1"/>
  <c r="AR539" i="1"/>
  <c r="AR380" i="1"/>
  <c r="AR533" i="1"/>
  <c r="AR534" i="1" s="1"/>
  <c r="BA83" i="1"/>
  <c r="BA60" i="1"/>
  <c r="BA48" i="1"/>
  <c r="BA49" i="1"/>
  <c r="BA17" i="1"/>
  <c r="AT406" i="1"/>
  <c r="AU965" i="1" s="1"/>
  <c r="AT418" i="1"/>
  <c r="AT417" i="1"/>
  <c r="N51" i="10" s="1"/>
  <c r="AO46" i="9"/>
  <c r="AO704" i="1"/>
  <c r="AO334" i="1"/>
  <c r="N97" i="10"/>
  <c r="N10" i="10"/>
  <c r="E7" i="13" l="1"/>
  <c r="E8" i="13" s="1"/>
  <c r="F8" i="13"/>
  <c r="P135" i="13"/>
  <c r="P8" i="13"/>
  <c r="BR116" i="9"/>
  <c r="BQ116" i="9"/>
  <c r="BQ68" i="9"/>
  <c r="BQ74" i="9" s="1"/>
  <c r="BQ132" i="9" s="1"/>
  <c r="P107" i="10"/>
  <c r="AY96" i="9"/>
  <c r="AY99" i="9" s="1"/>
  <c r="I86" i="9"/>
  <c r="I83" i="9" s="1"/>
  <c r="AR537" i="1"/>
  <c r="M96" i="9"/>
  <c r="W100" i="13"/>
  <c r="J101" i="13"/>
  <c r="J104" i="13"/>
  <c r="X100" i="13"/>
  <c r="J126" i="13"/>
  <c r="J127" i="13" s="1"/>
  <c r="G101" i="13"/>
  <c r="G104" i="13"/>
  <c r="G105" i="13" s="1"/>
  <c r="F101" i="13"/>
  <c r="F104" i="13"/>
  <c r="F105" i="13" s="1"/>
  <c r="X58" i="14"/>
  <c r="AB59" i="14" s="1"/>
  <c r="AC56" i="14"/>
  <c r="AQ77" i="9"/>
  <c r="AQ79" i="9" s="1"/>
  <c r="AK116" i="9"/>
  <c r="AQ116" i="9"/>
  <c r="AU116" i="9"/>
  <c r="BB4" i="9"/>
  <c r="BE4" i="9"/>
  <c r="T50" i="14"/>
  <c r="R59" i="14"/>
  <c r="R50" i="14"/>
  <c r="BK103" i="9"/>
  <c r="AL96" i="9"/>
  <c r="AL99" i="9" s="1"/>
  <c r="W60" i="14"/>
  <c r="W59" i="14"/>
  <c r="Q50" i="14"/>
  <c r="Q56" i="14"/>
  <c r="Q58" i="14" s="1"/>
  <c r="Q59" i="14" s="1"/>
  <c r="AA59" i="14"/>
  <c r="AA60" i="14"/>
  <c r="P56" i="14"/>
  <c r="P58" i="14" s="1"/>
  <c r="P59" i="14" s="1"/>
  <c r="P50" i="14"/>
  <c r="V51" i="14"/>
  <c r="V56" i="14"/>
  <c r="V58" i="14" s="1"/>
  <c r="V50" i="14"/>
  <c r="T60" i="14"/>
  <c r="U51" i="14"/>
  <c r="U56" i="14"/>
  <c r="U58" i="14" s="1"/>
  <c r="Y59" i="14" s="1"/>
  <c r="U50" i="14"/>
  <c r="Y50" i="14"/>
  <c r="Z51" i="14"/>
  <c r="Z56" i="14"/>
  <c r="Z58" i="14" s="1"/>
  <c r="Z50" i="14"/>
  <c r="AH96" i="9"/>
  <c r="AH103" i="9" s="1"/>
  <c r="AP537" i="1"/>
  <c r="H96" i="9"/>
  <c r="BW103" i="9"/>
  <c r="AY534" i="1"/>
  <c r="AU96" i="9"/>
  <c r="AU103" i="9" s="1"/>
  <c r="P67" i="10"/>
  <c r="AY540" i="1"/>
  <c r="AQ537" i="1"/>
  <c r="AP540" i="1"/>
  <c r="U77" i="9"/>
  <c r="U79" i="9" s="1"/>
  <c r="Y116" i="9"/>
  <c r="U68" i="9"/>
  <c r="U74" i="9" s="1"/>
  <c r="U132" i="9" s="1"/>
  <c r="AX115" i="9"/>
  <c r="AG77" i="9"/>
  <c r="AG79" i="9" s="1"/>
  <c r="AG116" i="9"/>
  <c r="AS96" i="9"/>
  <c r="AS99" i="9" s="1"/>
  <c r="AU537" i="1"/>
  <c r="BW77" i="9"/>
  <c r="BW79" i="9" s="1"/>
  <c r="BW68" i="9"/>
  <c r="BW74" i="9" s="1"/>
  <c r="BW132" i="9" s="1"/>
  <c r="P115" i="10"/>
  <c r="Q115" i="10"/>
  <c r="AV77" i="9"/>
  <c r="AV79" i="9" s="1"/>
  <c r="AV68" i="9"/>
  <c r="AV74" i="9" s="1"/>
  <c r="AV132" i="9" s="1"/>
  <c r="T96" i="9"/>
  <c r="T99" i="9" s="1"/>
  <c r="AD131" i="9"/>
  <c r="AU540" i="1"/>
  <c r="AU420" i="1"/>
  <c r="AU412" i="1"/>
  <c r="AU959" i="1"/>
  <c r="AX540" i="1"/>
  <c r="AD96" i="9"/>
  <c r="AD99" i="9" s="1"/>
  <c r="AQ965" i="1"/>
  <c r="BR549" i="1"/>
  <c r="AI179" i="1"/>
  <c r="Y77" i="9"/>
  <c r="Y79" i="9" s="1"/>
  <c r="Y68" i="9"/>
  <c r="Y74" i="9" s="1"/>
  <c r="Y132" i="9" s="1"/>
  <c r="O96" i="9"/>
  <c r="Y96" i="9"/>
  <c r="Y103" i="9" s="1"/>
  <c r="AJ77" i="9"/>
  <c r="AJ79" i="9" s="1"/>
  <c r="AJ68" i="9"/>
  <c r="AJ74" i="9" s="1"/>
  <c r="AJ132" i="9" s="1"/>
  <c r="BN179" i="1"/>
  <c r="BT412" i="1"/>
  <c r="BT420" i="1"/>
  <c r="BT959" i="1"/>
  <c r="BY939" i="1"/>
  <c r="BF694" i="1"/>
  <c r="BF9" i="9" s="1"/>
  <c r="AD959" i="1"/>
  <c r="AY537" i="1"/>
  <c r="AS540" i="1"/>
  <c r="AM540" i="1"/>
  <c r="BH959" i="1"/>
  <c r="BH415" i="1"/>
  <c r="BH48" i="9" s="1"/>
  <c r="BH412" i="1"/>
  <c r="BH131" i="9"/>
  <c r="N96" i="9"/>
  <c r="N103" i="9" s="1"/>
  <c r="AM537" i="1"/>
  <c r="AP179" i="1"/>
  <c r="Q123" i="10"/>
  <c r="P123" i="10"/>
  <c r="AS537" i="1"/>
  <c r="AW68" i="9"/>
  <c r="AW74" i="9" s="1"/>
  <c r="AW132" i="9" s="1"/>
  <c r="AW77" i="9"/>
  <c r="AW79" i="9" s="1"/>
  <c r="Q119" i="10"/>
  <c r="P119" i="10"/>
  <c r="BM77" i="9"/>
  <c r="BM79" i="9" s="1"/>
  <c r="BM68" i="9"/>
  <c r="BM74" i="9" s="1"/>
  <c r="BM132" i="9" s="1"/>
  <c r="BY4" i="9"/>
  <c r="N115" i="9"/>
  <c r="BX4" i="9"/>
  <c r="BA4" i="9"/>
  <c r="BD4" i="9"/>
  <c r="BC4" i="9"/>
  <c r="BZ4" i="9"/>
  <c r="CA4" i="9"/>
  <c r="AZ4" i="9"/>
  <c r="CB4" i="9"/>
  <c r="Q97" i="10"/>
  <c r="P97" i="10"/>
  <c r="P10" i="10"/>
  <c r="Q10" i="10"/>
  <c r="BB83" i="1"/>
  <c r="BB60" i="1"/>
  <c r="BB48" i="1"/>
  <c r="BB49" i="1"/>
  <c r="BB17" i="1"/>
  <c r="BB61" i="1"/>
  <c r="BX47" i="1"/>
  <c r="F77" i="9"/>
  <c r="F79" i="9" s="1"/>
  <c r="J116" i="9"/>
  <c r="F68" i="9"/>
  <c r="F74" i="9" s="1"/>
  <c r="F132" i="9" s="1"/>
  <c r="AG48" i="9"/>
  <c r="AG422" i="1"/>
  <c r="AG49" i="9" s="1"/>
  <c r="AG80" i="9" s="1"/>
  <c r="BO116" i="9"/>
  <c r="BN68" i="9"/>
  <c r="BN74" i="9" s="1"/>
  <c r="BN132" i="9" s="1"/>
  <c r="BN77" i="9"/>
  <c r="BN79" i="9" s="1"/>
  <c r="BN116" i="9"/>
  <c r="AX667" i="1"/>
  <c r="AX620" i="1"/>
  <c r="AX621" i="1" s="1"/>
  <c r="AX623" i="1"/>
  <c r="AG449" i="1"/>
  <c r="AG451" i="1"/>
  <c r="BS685" i="1"/>
  <c r="BS686" i="1" s="1"/>
  <c r="BS687" i="1" s="1"/>
  <c r="F491" i="1"/>
  <c r="F498" i="1"/>
  <c r="E1" i="9"/>
  <c r="E1102" i="1"/>
  <c r="E1098" i="1"/>
  <c r="E430" i="1"/>
  <c r="E3" i="1"/>
  <c r="E1072" i="1" s="1"/>
  <c r="F4" i="1"/>
  <c r="E4" i="11"/>
  <c r="E4" i="12"/>
  <c r="BA25" i="1"/>
  <c r="BA19" i="1"/>
  <c r="BA17" i="9" s="1"/>
  <c r="BA18" i="1"/>
  <c r="BW48" i="9"/>
  <c r="BW422" i="1"/>
  <c r="BU48" i="9"/>
  <c r="BU422" i="1"/>
  <c r="BS99" i="9"/>
  <c r="BS103" i="9"/>
  <c r="AW46" i="9"/>
  <c r="AW704" i="1"/>
  <c r="AW334" i="1"/>
  <c r="I130" i="9"/>
  <c r="M114" i="9"/>
  <c r="I90" i="9"/>
  <c r="AS449" i="1"/>
  <c r="AS451" i="1"/>
  <c r="AX556" i="1"/>
  <c r="AX555" i="1"/>
  <c r="BW539" i="1"/>
  <c r="BW556" i="1"/>
  <c r="BW555" i="1"/>
  <c r="BW380" i="1"/>
  <c r="BW533" i="1"/>
  <c r="BW534" i="1" s="1"/>
  <c r="AR116" i="9"/>
  <c r="AN77" i="9"/>
  <c r="AN79" i="9" s="1"/>
  <c r="AN68" i="9"/>
  <c r="AN74" i="9" s="1"/>
  <c r="AN132" i="9" s="1"/>
  <c r="AN116" i="9"/>
  <c r="AG127" i="9"/>
  <c r="AG59" i="9"/>
  <c r="AK113" i="9"/>
  <c r="P116" i="9"/>
  <c r="L77" i="9"/>
  <c r="L79" i="9" s="1"/>
  <c r="L68" i="9"/>
  <c r="L74" i="9" s="1"/>
  <c r="L132" i="9" s="1"/>
  <c r="AV27" i="11"/>
  <c r="Y449" i="1"/>
  <c r="Y451" i="1"/>
  <c r="C1081" i="1"/>
  <c r="C720" i="1" s="1"/>
  <c r="A1081" i="1"/>
  <c r="S103" i="9"/>
  <c r="AQ113" i="9"/>
  <c r="AM127" i="9"/>
  <c r="AM86" i="9"/>
  <c r="AM83" i="9" s="1"/>
  <c r="AM59" i="9"/>
  <c r="BV539" i="1"/>
  <c r="BV556" i="1"/>
  <c r="BV555" i="1"/>
  <c r="AT556" i="1"/>
  <c r="AT555" i="1"/>
  <c r="BV380" i="1"/>
  <c r="BV533" i="1"/>
  <c r="BV534" i="1" s="1"/>
  <c r="BS579" i="1"/>
  <c r="BS182" i="1"/>
  <c r="BS576" i="1"/>
  <c r="BS577" i="1" s="1"/>
  <c r="AR127" i="9"/>
  <c r="AR59" i="9"/>
  <c r="BN103" i="9"/>
  <c r="BN99" i="9"/>
  <c r="AC96" i="9"/>
  <c r="S459" i="1"/>
  <c r="S463" i="1" s="1"/>
  <c r="BP459" i="1"/>
  <c r="BP463" i="1" s="1"/>
  <c r="BO476" i="1"/>
  <c r="BO489" i="1" s="1"/>
  <c r="V96" i="9"/>
  <c r="BZ53" i="1"/>
  <c r="D3" i="12"/>
  <c r="D3" i="11"/>
  <c r="O449" i="1"/>
  <c r="O451" i="1"/>
  <c r="BK130" i="9"/>
  <c r="BK90" i="9"/>
  <c r="BK91" i="9" s="1"/>
  <c r="BK94" i="9" s="1"/>
  <c r="T127" i="9"/>
  <c r="T86" i="9"/>
  <c r="T83" i="9" s="1"/>
  <c r="X113" i="9"/>
  <c r="T59" i="9"/>
  <c r="BV685" i="1"/>
  <c r="BV686" i="1" s="1"/>
  <c r="BV687" i="1" s="1"/>
  <c r="O116" i="9"/>
  <c r="K77" i="9"/>
  <c r="K79" i="9" s="1"/>
  <c r="K68" i="9"/>
  <c r="K74" i="9" s="1"/>
  <c r="K132" i="9" s="1"/>
  <c r="N684" i="1"/>
  <c r="N685" i="1" s="1"/>
  <c r="N686" i="1" s="1"/>
  <c r="N687" i="1" s="1"/>
  <c r="N663" i="1"/>
  <c r="N660" i="1"/>
  <c r="AS48" i="9"/>
  <c r="AS422" i="1"/>
  <c r="AS49" i="9" s="1"/>
  <c r="AS80" i="9" s="1"/>
  <c r="V113" i="9"/>
  <c r="R127" i="9"/>
  <c r="R86" i="9"/>
  <c r="R83" i="9" s="1"/>
  <c r="R59" i="9"/>
  <c r="BT685" i="1"/>
  <c r="BT686" i="1" s="1"/>
  <c r="BT687" i="1" s="1"/>
  <c r="BQ179" i="1"/>
  <c r="BR179" i="1"/>
  <c r="AJ127" i="9"/>
  <c r="AN113" i="9"/>
  <c r="AJ59" i="9"/>
  <c r="BZ912" i="1"/>
  <c r="AF127" i="9"/>
  <c r="AJ113" i="9"/>
  <c r="AF59" i="9"/>
  <c r="K96" i="9"/>
  <c r="I116" i="9"/>
  <c r="E77" i="9"/>
  <c r="E79" i="9" s="1"/>
  <c r="E68" i="9"/>
  <c r="E74" i="9" s="1"/>
  <c r="E132" i="9" s="1"/>
  <c r="BW127" i="9"/>
  <c r="BW86" i="9"/>
  <c r="BW83" i="9" s="1"/>
  <c r="BW59" i="9"/>
  <c r="BF947" i="1"/>
  <c r="BE729" i="1"/>
  <c r="AW58" i="9"/>
  <c r="AW969" i="1"/>
  <c r="AH116" i="9"/>
  <c r="AD77" i="9"/>
  <c r="AD79" i="9" s="1"/>
  <c r="AD68" i="9"/>
  <c r="AD74" i="9" s="1"/>
  <c r="AD132" i="9" s="1"/>
  <c r="BS623" i="1"/>
  <c r="BS667" i="1"/>
  <c r="BS620" i="1"/>
  <c r="BS621" i="1" s="1"/>
  <c r="F415" i="1"/>
  <c r="F420" i="1"/>
  <c r="F412" i="1"/>
  <c r="F411" i="1"/>
  <c r="F959" i="1"/>
  <c r="AX76" i="9"/>
  <c r="AX87" i="9"/>
  <c r="AX84" i="9" s="1"/>
  <c r="AX66" i="9"/>
  <c r="AX116" i="9" s="1"/>
  <c r="AH579" i="1"/>
  <c r="AH182" i="1"/>
  <c r="AH576" i="1"/>
  <c r="AH577" i="1" s="1"/>
  <c r="AD58" i="9"/>
  <c r="AD969" i="1"/>
  <c r="AN87" i="9"/>
  <c r="AN84" i="9" s="1"/>
  <c r="AO179" i="1"/>
  <c r="AS179" i="1"/>
  <c r="X96" i="9"/>
  <c r="X99" i="9" s="1"/>
  <c r="AB412" i="1"/>
  <c r="AB420" i="1"/>
  <c r="AB959" i="1"/>
  <c r="AB411" i="1"/>
  <c r="BP127" i="9"/>
  <c r="BQ113" i="9"/>
  <c r="BP86" i="9"/>
  <c r="BP83" i="9" s="1"/>
  <c r="BP59" i="9"/>
  <c r="BA95" i="1"/>
  <c r="BA97" i="1" s="1"/>
  <c r="BA31" i="1"/>
  <c r="BA101" i="1"/>
  <c r="BW579" i="1"/>
  <c r="BW182" i="1"/>
  <c r="BW576" i="1"/>
  <c r="BW577" i="1" s="1"/>
  <c r="AY46" i="9"/>
  <c r="AY704" i="1"/>
  <c r="AY334" i="1"/>
  <c r="BP420" i="1"/>
  <c r="BP411" i="1"/>
  <c r="BP412" i="1" s="1"/>
  <c r="BP959" i="1"/>
  <c r="BW667" i="1"/>
  <c r="BW623" i="1"/>
  <c r="BW620" i="1"/>
  <c r="BW621" i="1" s="1"/>
  <c r="AE539" i="1"/>
  <c r="AE536" i="1"/>
  <c r="AE380" i="1"/>
  <c r="AE533" i="1"/>
  <c r="AE534" i="1" s="1"/>
  <c r="Q96" i="9"/>
  <c r="BJ420" i="1"/>
  <c r="BJ415" i="1"/>
  <c r="BJ411" i="1"/>
  <c r="BJ412" i="1" s="1"/>
  <c r="BJ421" i="1" s="1"/>
  <c r="BJ42" i="9" s="1"/>
  <c r="BJ959" i="1"/>
  <c r="BJ131" i="9"/>
  <c r="AV46" i="9"/>
  <c r="AV113" i="9" s="1"/>
  <c r="AV704" i="1"/>
  <c r="AV334" i="1"/>
  <c r="P420" i="1"/>
  <c r="P411" i="1"/>
  <c r="P412" i="1" s="1"/>
  <c r="P959" i="1"/>
  <c r="AU179" i="1"/>
  <c r="AM412" i="1"/>
  <c r="AM420" i="1"/>
  <c r="AM959" i="1"/>
  <c r="R96" i="9"/>
  <c r="AJ48" i="9"/>
  <c r="AJ422" i="1"/>
  <c r="AJ49" i="9" s="1"/>
  <c r="AJ80" i="9" s="1"/>
  <c r="S113" i="9"/>
  <c r="O127" i="9"/>
  <c r="O86" i="9"/>
  <c r="O83" i="9" s="1"/>
  <c r="O59" i="9"/>
  <c r="J127" i="9"/>
  <c r="N113" i="9"/>
  <c r="J86" i="9"/>
  <c r="J83" i="9" s="1"/>
  <c r="J59" i="9"/>
  <c r="M449" i="1"/>
  <c r="M451" i="1"/>
  <c r="AT77" i="9"/>
  <c r="AT79" i="9" s="1"/>
  <c r="AT68" i="9"/>
  <c r="AT74" i="9" s="1"/>
  <c r="AT132" i="9" s="1"/>
  <c r="AT58" i="9"/>
  <c r="AT969" i="1"/>
  <c r="R115" i="9"/>
  <c r="N76" i="9"/>
  <c r="N87" i="9"/>
  <c r="N84" i="9" s="1"/>
  <c r="N66" i="9"/>
  <c r="N116" i="9" s="1"/>
  <c r="O87" i="9"/>
  <c r="O84" i="9" s="1"/>
  <c r="Q87" i="9"/>
  <c r="Q84" i="9" s="1"/>
  <c r="BL38" i="9"/>
  <c r="BL41" i="9" s="1"/>
  <c r="BL410" i="1"/>
  <c r="BZ73" i="1"/>
  <c r="BZ94" i="1"/>
  <c r="O48" i="9"/>
  <c r="O114" i="9" s="1"/>
  <c r="O422" i="1"/>
  <c r="O49" i="9" s="1"/>
  <c r="O80" i="9" s="1"/>
  <c r="U127" i="9"/>
  <c r="Y113" i="9"/>
  <c r="U59" i="9"/>
  <c r="U86" i="9"/>
  <c r="U83" i="9" s="1"/>
  <c r="AP684" i="1"/>
  <c r="AP685" i="1" s="1"/>
  <c r="AP686" i="1" s="1"/>
  <c r="AP687" i="1" s="1"/>
  <c r="AP663" i="1"/>
  <c r="AP660" i="1"/>
  <c r="BP116" i="9"/>
  <c r="BO77" i="9"/>
  <c r="BO79" i="9" s="1"/>
  <c r="BO68" i="9"/>
  <c r="BO74" i="9" s="1"/>
  <c r="BO132" i="9" s="1"/>
  <c r="T113" i="9"/>
  <c r="P127" i="9"/>
  <c r="P86" i="9"/>
  <c r="P83" i="9" s="1"/>
  <c r="P59" i="9"/>
  <c r="W116" i="9"/>
  <c r="S68" i="9"/>
  <c r="S74" i="9" s="1"/>
  <c r="S132" i="9" s="1"/>
  <c r="S77" i="9"/>
  <c r="S79" i="9" s="1"/>
  <c r="AD46" i="9"/>
  <c r="AG86" i="9" s="1"/>
  <c r="AG83" i="9" s="1"/>
  <c r="AD704" i="1"/>
  <c r="AD334" i="1"/>
  <c r="D415" i="1"/>
  <c r="D420" i="1"/>
  <c r="D411" i="1"/>
  <c r="D412" i="1" s="1"/>
  <c r="D959" i="1"/>
  <c r="BU579" i="1"/>
  <c r="BU182" i="1"/>
  <c r="BU576" i="1"/>
  <c r="BU577" i="1" s="1"/>
  <c r="AB77" i="9"/>
  <c r="AB79" i="9" s="1"/>
  <c r="AF116" i="9"/>
  <c r="AB68" i="9"/>
  <c r="AB74" i="9" s="1"/>
  <c r="AB132" i="9" s="1"/>
  <c r="AL540" i="1"/>
  <c r="AI48" i="9"/>
  <c r="AI422" i="1"/>
  <c r="AI49" i="9" s="1"/>
  <c r="AI80" i="9" s="1"/>
  <c r="BI130" i="9"/>
  <c r="BI90" i="9"/>
  <c r="BI91" i="9" s="1"/>
  <c r="BI94" i="9" s="1"/>
  <c r="AY58" i="9"/>
  <c r="AY969" i="1"/>
  <c r="Y48" i="9"/>
  <c r="Y422" i="1"/>
  <c r="Y49" i="9" s="1"/>
  <c r="Y80" i="9" s="1"/>
  <c r="C1088" i="1"/>
  <c r="C721" i="1" s="1"/>
  <c r="A1088" i="1"/>
  <c r="AV48" i="9"/>
  <c r="AV422" i="1"/>
  <c r="AV49" i="9" s="1"/>
  <c r="AV80" i="9" s="1"/>
  <c r="J793" i="1"/>
  <c r="I794" i="1"/>
  <c r="BH967" i="1"/>
  <c r="BI862" i="1"/>
  <c r="BI863" i="1" s="1"/>
  <c r="BH870" i="1"/>
  <c r="AV537" i="1"/>
  <c r="BJ127" i="9"/>
  <c r="BJ86" i="9"/>
  <c r="BJ83" i="9" s="1"/>
  <c r="BJ59" i="9"/>
  <c r="BC83" i="1"/>
  <c r="BC60" i="1"/>
  <c r="BC48" i="1"/>
  <c r="BC49" i="1"/>
  <c r="BC17" i="1"/>
  <c r="BC61" i="1"/>
  <c r="AP579" i="1"/>
  <c r="AP182" i="1"/>
  <c r="AP576" i="1"/>
  <c r="AP577" i="1" s="1"/>
  <c r="AV58" i="9"/>
  <c r="AV969" i="1"/>
  <c r="AS116" i="9"/>
  <c r="AO77" i="9"/>
  <c r="AO79" i="9" s="1"/>
  <c r="AO68" i="9"/>
  <c r="AO74" i="9" s="1"/>
  <c r="AO132" i="9" s="1"/>
  <c r="L179" i="1"/>
  <c r="D1072" i="1"/>
  <c r="BV103" i="9"/>
  <c r="R179" i="1"/>
  <c r="BN420" i="1"/>
  <c r="BN415" i="1"/>
  <c r="BN411" i="1"/>
  <c r="BN412" i="1" s="1"/>
  <c r="BN421" i="1" s="1"/>
  <c r="BN42" i="9" s="1"/>
  <c r="BN959" i="1"/>
  <c r="AJ449" i="1"/>
  <c r="AJ451" i="1"/>
  <c r="L96" i="9"/>
  <c r="J96" i="9"/>
  <c r="BZ1066" i="1"/>
  <c r="BZ1064" i="1"/>
  <c r="BZ1063" i="1"/>
  <c r="BZ379" i="1" s="1"/>
  <c r="BZ26" i="1" s="1"/>
  <c r="BZ1062" i="1"/>
  <c r="BZ321" i="1" s="1"/>
  <c r="BZ151" i="1" s="1"/>
  <c r="BZ1065" i="1"/>
  <c r="BZ1067" i="1"/>
  <c r="BZ1068" i="1"/>
  <c r="BU539" i="1"/>
  <c r="BU556" i="1"/>
  <c r="BU555" i="1"/>
  <c r="AP556" i="1"/>
  <c r="AP555" i="1"/>
  <c r="BU380" i="1"/>
  <c r="BU533" i="1"/>
  <c r="BU534" i="1" s="1"/>
  <c r="AJ116" i="9"/>
  <c r="AF77" i="9"/>
  <c r="AF79" i="9" s="1"/>
  <c r="AF68" i="9"/>
  <c r="AF74" i="9" s="1"/>
  <c r="AF132" i="9" s="1"/>
  <c r="E498" i="1"/>
  <c r="E491" i="1"/>
  <c r="AS127" i="9"/>
  <c r="AW113" i="9"/>
  <c r="AS59" i="9"/>
  <c r="S127" i="9"/>
  <c r="S86" i="9"/>
  <c r="S83" i="9" s="1"/>
  <c r="W113" i="9"/>
  <c r="S59" i="9"/>
  <c r="BT579" i="1"/>
  <c r="BT182" i="1"/>
  <c r="BT576" i="1"/>
  <c r="BT577" i="1" s="1"/>
  <c r="AT46" i="9"/>
  <c r="AT704" i="1"/>
  <c r="AT334" i="1"/>
  <c r="AT667" i="1"/>
  <c r="AT623" i="1"/>
  <c r="AT620" i="1"/>
  <c r="AT621" i="1" s="1"/>
  <c r="V127" i="9"/>
  <c r="V86" i="9"/>
  <c r="V83" i="9" s="1"/>
  <c r="V59" i="9"/>
  <c r="P459" i="1"/>
  <c r="P463" i="1" s="1"/>
  <c r="O476" i="1"/>
  <c r="O489" i="1" s="1"/>
  <c r="AY77" i="9"/>
  <c r="AY79" i="9" s="1"/>
  <c r="AY68" i="9"/>
  <c r="AY74" i="9" s="1"/>
  <c r="AY132" i="9" s="1"/>
  <c r="AX333" i="1"/>
  <c r="AX396" i="1"/>
  <c r="Y86" i="9"/>
  <c r="Y83" i="9" s="1"/>
  <c r="BD923" i="1"/>
  <c r="H415" i="1"/>
  <c r="H420" i="1"/>
  <c r="H411" i="1"/>
  <c r="H412" i="1" s="1"/>
  <c r="H959" i="1"/>
  <c r="BM99" i="9"/>
  <c r="BM103" i="9"/>
  <c r="L116" i="9"/>
  <c r="H77" i="9"/>
  <c r="H79" i="9" s="1"/>
  <c r="H68" i="9"/>
  <c r="H74" i="9" s="1"/>
  <c r="H132" i="9" s="1"/>
  <c r="H498" i="1"/>
  <c r="H491" i="1"/>
  <c r="AI449" i="1"/>
  <c r="AI451" i="1"/>
  <c r="BQ412" i="1"/>
  <c r="BQ420" i="1"/>
  <c r="BQ411" i="1"/>
  <c r="BQ959" i="1"/>
  <c r="BU116" i="9"/>
  <c r="BT77" i="9"/>
  <c r="BT79" i="9" s="1"/>
  <c r="BT68" i="9"/>
  <c r="BT74" i="9" s="1"/>
  <c r="BT132" i="9" s="1"/>
  <c r="BV667" i="1"/>
  <c r="BV623" i="1"/>
  <c r="BV620" i="1"/>
  <c r="BV621" i="1" s="1"/>
  <c r="AE127" i="9"/>
  <c r="AI113" i="9"/>
  <c r="AE86" i="9"/>
  <c r="AE83" i="9" s="1"/>
  <c r="AE59" i="9"/>
  <c r="BP179" i="1"/>
  <c r="AV449" i="1"/>
  <c r="AV451" i="1"/>
  <c r="X967" i="1"/>
  <c r="X870" i="1"/>
  <c r="Y862" i="1"/>
  <c r="Y863" i="1" s="1"/>
  <c r="AV540" i="1"/>
  <c r="AI96" i="9"/>
  <c r="AI99" i="9" s="1"/>
  <c r="AW96" i="9"/>
  <c r="AE96" i="9"/>
  <c r="AE99" i="9" s="1"/>
  <c r="BV116" i="9"/>
  <c r="BU77" i="9"/>
  <c r="BU79" i="9" s="1"/>
  <c r="BU68" i="9"/>
  <c r="BU74" i="9" s="1"/>
  <c r="BU132" i="9" s="1"/>
  <c r="BD53" i="1"/>
  <c r="BD55" i="1" s="1"/>
  <c r="BD47" i="1" s="1"/>
  <c r="BU99" i="9"/>
  <c r="BM127" i="9"/>
  <c r="BN113" i="9"/>
  <c r="BM59" i="9"/>
  <c r="BM86" i="9"/>
  <c r="BM83" i="9" s="1"/>
  <c r="AF179" i="1"/>
  <c r="BY1062" i="1"/>
  <c r="BY321" i="1" s="1"/>
  <c r="BY151" i="1" s="1"/>
  <c r="BY1064" i="1"/>
  <c r="BY1066" i="1"/>
  <c r="BY1068" i="1"/>
  <c r="BY1067" i="1"/>
  <c r="BY1065" i="1"/>
  <c r="BY1063" i="1"/>
  <c r="BY379" i="1" s="1"/>
  <c r="BY26" i="1" s="1"/>
  <c r="Q61" i="10"/>
  <c r="P61" i="10"/>
  <c r="Q55" i="10"/>
  <c r="P55" i="10"/>
  <c r="AD556" i="1"/>
  <c r="AD555" i="1"/>
  <c r="BR556" i="1"/>
  <c r="BR555" i="1"/>
  <c r="BR380" i="1"/>
  <c r="BR533" i="1"/>
  <c r="BR534" i="1" s="1"/>
  <c r="Q113" i="9"/>
  <c r="M127" i="9"/>
  <c r="M86" i="9"/>
  <c r="M83" i="9" s="1"/>
  <c r="M59" i="9"/>
  <c r="BA85" i="1"/>
  <c r="BA89" i="1"/>
  <c r="X127" i="9"/>
  <c r="AB113" i="9"/>
  <c r="X86" i="9"/>
  <c r="X83" i="9" s="1"/>
  <c r="X59" i="9"/>
  <c r="AC420" i="1"/>
  <c r="AC411" i="1"/>
  <c r="AC412" i="1" s="1"/>
  <c r="AC959" i="1"/>
  <c r="AH448" i="1"/>
  <c r="AH415" i="1"/>
  <c r="AH421" i="1"/>
  <c r="AH42" i="9" s="1"/>
  <c r="Z420" i="1"/>
  <c r="Z411" i="1"/>
  <c r="Z412" i="1" s="1"/>
  <c r="BY102" i="1"/>
  <c r="BY32" i="1"/>
  <c r="AA116" i="9"/>
  <c r="W77" i="9"/>
  <c r="W79" i="9" s="1"/>
  <c r="W68" i="9"/>
  <c r="W74" i="9" s="1"/>
  <c r="W132" i="9" s="1"/>
  <c r="AK96" i="9"/>
  <c r="AK99" i="9" s="1"/>
  <c r="BK449" i="1"/>
  <c r="BK451" i="1"/>
  <c r="AZ159" i="1"/>
  <c r="AZ164" i="1"/>
  <c r="AZ154" i="1"/>
  <c r="AP965" i="1"/>
  <c r="AP410" i="1"/>
  <c r="AP958" i="1"/>
  <c r="W96" i="9"/>
  <c r="AL537" i="1"/>
  <c r="BC940" i="1"/>
  <c r="BD692" i="1"/>
  <c r="J459" i="1"/>
  <c r="J463" i="1" s="1"/>
  <c r="J476" i="1" s="1"/>
  <c r="J489" i="1" s="1"/>
  <c r="I476" i="1"/>
  <c r="I489" i="1" s="1"/>
  <c r="C130" i="9"/>
  <c r="C90" i="9"/>
  <c r="BV27" i="11"/>
  <c r="BY75" i="1"/>
  <c r="BZ75" i="1"/>
  <c r="F96" i="9"/>
  <c r="F103" i="9" s="1"/>
  <c r="Z46" i="9"/>
  <c r="AB86" i="9" s="1"/>
  <c r="AB83" i="9" s="1"/>
  <c r="Z704" i="1"/>
  <c r="Z334" i="1"/>
  <c r="BT667" i="1"/>
  <c r="BT623" i="1"/>
  <c r="BT620" i="1"/>
  <c r="BT621" i="1" s="1"/>
  <c r="BO685" i="1"/>
  <c r="BO686" i="1" s="1"/>
  <c r="BO687" i="1" s="1"/>
  <c r="L420" i="1"/>
  <c r="L415" i="1"/>
  <c r="L411" i="1"/>
  <c r="L412" i="1" s="1"/>
  <c r="L959" i="1"/>
  <c r="BT127" i="9"/>
  <c r="BU113" i="9"/>
  <c r="BT86" i="9"/>
  <c r="BT83" i="9" s="1"/>
  <c r="BT59" i="9"/>
  <c r="M459" i="1"/>
  <c r="M463" i="1" s="1"/>
  <c r="L476" i="1"/>
  <c r="L489" i="1" s="1"/>
  <c r="BT555" i="1"/>
  <c r="BT539" i="1"/>
  <c r="BT556" i="1"/>
  <c r="AL556" i="1"/>
  <c r="AL555" i="1"/>
  <c r="BT380" i="1"/>
  <c r="BT533" i="1"/>
  <c r="BT534" i="1" s="1"/>
  <c r="AD624" i="1"/>
  <c r="AD623" i="1"/>
  <c r="AD667" i="1"/>
  <c r="AF103" i="9"/>
  <c r="Q116" i="9"/>
  <c r="M77" i="9"/>
  <c r="M79" i="9" s="1"/>
  <c r="M68" i="9"/>
  <c r="M74" i="9" s="1"/>
  <c r="M132" i="9" s="1"/>
  <c r="W48" i="9"/>
  <c r="W422" i="1"/>
  <c r="W49" i="9" s="1"/>
  <c r="W80" i="9" s="1"/>
  <c r="AF412" i="1"/>
  <c r="AF420" i="1"/>
  <c r="AF959" i="1"/>
  <c r="C1095" i="1"/>
  <c r="C723" i="1" s="1"/>
  <c r="BX1063" i="1"/>
  <c r="BX379" i="1" s="1"/>
  <c r="BX26" i="1" s="1"/>
  <c r="BX1065" i="1"/>
  <c r="BX1067" i="1"/>
  <c r="BX1068" i="1"/>
  <c r="BX1066" i="1"/>
  <c r="BX1064" i="1"/>
  <c r="BX1062" i="1"/>
  <c r="BX321" i="1" s="1"/>
  <c r="BX151" i="1" s="1"/>
  <c r="O99" i="9"/>
  <c r="O103" i="9"/>
  <c r="AD116" i="9"/>
  <c r="Z68" i="9"/>
  <c r="Z74" i="9" s="1"/>
  <c r="Z132" i="9" s="1"/>
  <c r="Z77" i="9"/>
  <c r="Z79" i="9" s="1"/>
  <c r="Z116" i="9"/>
  <c r="K449" i="1"/>
  <c r="K451" i="1"/>
  <c r="BX8" i="9"/>
  <c r="BX961" i="1"/>
  <c r="BC693" i="1"/>
  <c r="H99" i="9"/>
  <c r="H103" i="9"/>
  <c r="BR623" i="1"/>
  <c r="BR620" i="1"/>
  <c r="BR621" i="1" s="1"/>
  <c r="BR667" i="1"/>
  <c r="BO179" i="1"/>
  <c r="H113" i="9"/>
  <c r="D127" i="9"/>
  <c r="D59" i="9"/>
  <c r="Z58" i="9"/>
  <c r="Z969" i="1"/>
  <c r="AH667" i="1"/>
  <c r="AH623" i="1"/>
  <c r="AH624" i="1"/>
  <c r="AH179" i="1"/>
  <c r="K498" i="1"/>
  <c r="K491" i="1"/>
  <c r="I96" i="9"/>
  <c r="AN96" i="9"/>
  <c r="AW116" i="9"/>
  <c r="AS77" i="9"/>
  <c r="AS79" i="9" s="1"/>
  <c r="AS68" i="9"/>
  <c r="AS74" i="9" s="1"/>
  <c r="AS132" i="9" s="1"/>
  <c r="AH58" i="9"/>
  <c r="AH969" i="1"/>
  <c r="R113" i="9"/>
  <c r="N86" i="9"/>
  <c r="N83" i="9" s="1"/>
  <c r="N127" i="9"/>
  <c r="N59" i="9"/>
  <c r="AP667" i="1"/>
  <c r="AP623" i="1"/>
  <c r="AP624" i="1"/>
  <c r="U113" i="9"/>
  <c r="Q127" i="9"/>
  <c r="Q86" i="9"/>
  <c r="Q83" i="9" s="1"/>
  <c r="Q59" i="9"/>
  <c r="Q420" i="1"/>
  <c r="Q411" i="1"/>
  <c r="Q412" i="1" s="1"/>
  <c r="Q959" i="1"/>
  <c r="X116" i="9"/>
  <c r="T77" i="9"/>
  <c r="T79" i="9" s="1"/>
  <c r="T68" i="9"/>
  <c r="T74" i="9" s="1"/>
  <c r="T132" i="9" s="1"/>
  <c r="BR685" i="1"/>
  <c r="BR686" i="1" s="1"/>
  <c r="BR687" i="1" s="1"/>
  <c r="AE412" i="1"/>
  <c r="AE420" i="1"/>
  <c r="AE959" i="1"/>
  <c r="W449" i="1"/>
  <c r="W451" i="1"/>
  <c r="BR48" i="9"/>
  <c r="BR422" i="1"/>
  <c r="CB1066" i="1"/>
  <c r="CB1067" i="1"/>
  <c r="CB1068" i="1"/>
  <c r="CB1064" i="1"/>
  <c r="CB1062" i="1"/>
  <c r="CB321" i="1" s="1"/>
  <c r="CB151" i="1" s="1"/>
  <c r="CB1063" i="1"/>
  <c r="CB379" i="1" s="1"/>
  <c r="CB26" i="1" s="1"/>
  <c r="CB1065" i="1"/>
  <c r="BB22" i="9"/>
  <c r="BB78" i="1"/>
  <c r="BB54" i="1"/>
  <c r="BB23" i="9" s="1"/>
  <c r="BB14" i="1"/>
  <c r="BS48" i="9"/>
  <c r="BS422" i="1"/>
  <c r="AP115" i="9"/>
  <c r="AL76" i="9"/>
  <c r="AL87" i="9"/>
  <c r="AL84" i="9" s="1"/>
  <c r="AL66" i="9"/>
  <c r="AL116" i="9" s="1"/>
  <c r="AM87" i="9"/>
  <c r="AM84" i="9" s="1"/>
  <c r="AF113" i="9"/>
  <c r="AB127" i="9"/>
  <c r="AB59" i="9"/>
  <c r="M99" i="9"/>
  <c r="M103" i="9"/>
  <c r="BQ127" i="9"/>
  <c r="BR113" i="9"/>
  <c r="BQ86" i="9"/>
  <c r="BQ83" i="9" s="1"/>
  <c r="BQ59" i="9"/>
  <c r="N23" i="10"/>
  <c r="L127" i="9"/>
  <c r="P113" i="9"/>
  <c r="L86" i="9"/>
  <c r="L83" i="9" s="1"/>
  <c r="L59" i="9"/>
  <c r="X103" i="9"/>
  <c r="AG96" i="9"/>
  <c r="AG99" i="9" s="1"/>
  <c r="BU667" i="1"/>
  <c r="BU620" i="1"/>
  <c r="BU621" i="1" s="1"/>
  <c r="BU623" i="1"/>
  <c r="AQ127" i="9"/>
  <c r="AU113" i="9"/>
  <c r="AQ59" i="9"/>
  <c r="AM96" i="9"/>
  <c r="BO420" i="1"/>
  <c r="BO412" i="1"/>
  <c r="BO411" i="1"/>
  <c r="BO959" i="1"/>
  <c r="P96" i="9"/>
  <c r="BM415" i="1"/>
  <c r="BM420" i="1"/>
  <c r="BM411" i="1"/>
  <c r="BM412" i="1" s="1"/>
  <c r="BM421" i="1" s="1"/>
  <c r="BM42" i="9" s="1"/>
  <c r="V420" i="1"/>
  <c r="V411" i="1"/>
  <c r="V412" i="1" s="1"/>
  <c r="V959" i="1"/>
  <c r="H131" i="9"/>
  <c r="AV96" i="9"/>
  <c r="I113" i="9"/>
  <c r="E127" i="9"/>
  <c r="E59" i="9"/>
  <c r="AS965" i="1"/>
  <c r="Z96" i="9"/>
  <c r="M130" i="9"/>
  <c r="M90" i="9"/>
  <c r="BO99" i="9"/>
  <c r="BO103" i="9"/>
  <c r="AR412" i="1"/>
  <c r="AR420" i="1"/>
  <c r="AR959" i="1"/>
  <c r="AH46" i="9"/>
  <c r="AK86" i="9" s="1"/>
  <c r="AK83" i="9" s="1"/>
  <c r="AH704" i="1"/>
  <c r="AH334" i="1"/>
  <c r="BS116" i="9"/>
  <c r="BR77" i="9"/>
  <c r="BR79" i="9" s="1"/>
  <c r="BR68" i="9"/>
  <c r="BR74" i="9" s="1"/>
  <c r="BR132" i="9" s="1"/>
  <c r="W86" i="9"/>
  <c r="W83" i="9" s="1"/>
  <c r="AA96" i="9"/>
  <c r="BM113" i="9"/>
  <c r="BL86" i="9"/>
  <c r="BL83" i="9" s="1"/>
  <c r="BL127" i="9"/>
  <c r="BL59" i="9"/>
  <c r="AH77" i="9"/>
  <c r="AH79" i="9" s="1"/>
  <c r="AH68" i="9"/>
  <c r="AH74" i="9" s="1"/>
  <c r="AH132" i="9" s="1"/>
  <c r="BY724" i="1"/>
  <c r="BY709" i="1" s="1"/>
  <c r="AZ724" i="1"/>
  <c r="AZ709" i="1" s="1"/>
  <c r="BF724" i="1"/>
  <c r="BF709" i="1" s="1"/>
  <c r="BE724" i="1"/>
  <c r="BE709" i="1" s="1"/>
  <c r="BD724" i="1"/>
  <c r="BD709" i="1" s="1"/>
  <c r="BC724" i="1"/>
  <c r="BC709" i="1" s="1"/>
  <c r="CB724" i="1"/>
  <c r="CB709" i="1" s="1"/>
  <c r="BB724" i="1"/>
  <c r="BB709" i="1" s="1"/>
  <c r="BX724" i="1"/>
  <c r="BX709" i="1" s="1"/>
  <c r="CA724" i="1"/>
  <c r="CA709" i="1" s="1"/>
  <c r="BZ724" i="1"/>
  <c r="BZ709" i="1" s="1"/>
  <c r="BA724" i="1"/>
  <c r="BA709" i="1" s="1"/>
  <c r="H127" i="9"/>
  <c r="L113" i="9"/>
  <c r="H86" i="9"/>
  <c r="H83" i="9" s="1"/>
  <c r="H59" i="9"/>
  <c r="CA1068" i="1"/>
  <c r="CA1065" i="1"/>
  <c r="CA1063" i="1"/>
  <c r="CA379" i="1" s="1"/>
  <c r="CA26" i="1" s="1"/>
  <c r="CA1062" i="1"/>
  <c r="CA321" i="1" s="1"/>
  <c r="CA151" i="1" s="1"/>
  <c r="CA1067" i="1"/>
  <c r="CA1064" i="1"/>
  <c r="CA1066" i="1"/>
  <c r="C1074" i="1"/>
  <c r="C719" i="1" s="1"/>
  <c r="A1074" i="1"/>
  <c r="BN491" i="1"/>
  <c r="BN498" i="1"/>
  <c r="AW449" i="1"/>
  <c r="AW451" i="1"/>
  <c r="AS113" i="9"/>
  <c r="AO127" i="9"/>
  <c r="AO86" i="9"/>
  <c r="AO83" i="9" s="1"/>
  <c r="AO59" i="9"/>
  <c r="J77" i="9"/>
  <c r="J79" i="9" s="1"/>
  <c r="J68" i="9"/>
  <c r="J74" i="9" s="1"/>
  <c r="J132" i="9" s="1"/>
  <c r="AX965" i="1"/>
  <c r="AX410" i="1"/>
  <c r="AX959" i="1" s="1"/>
  <c r="AW965" i="1"/>
  <c r="AX958" i="1"/>
  <c r="BW972" i="1"/>
  <c r="J113" i="9"/>
  <c r="F127" i="9"/>
  <c r="F86" i="9"/>
  <c r="F83" i="9" s="1"/>
  <c r="F59" i="9"/>
  <c r="K130" i="9"/>
  <c r="K90" i="9"/>
  <c r="Y99" i="9"/>
  <c r="AT115" i="9"/>
  <c r="AP87" i="9"/>
  <c r="AP84" i="9" s="1"/>
  <c r="AP76" i="9"/>
  <c r="AP66" i="9"/>
  <c r="AQ87" i="9"/>
  <c r="AQ84" i="9" s="1"/>
  <c r="G127" i="9"/>
  <c r="K113" i="9"/>
  <c r="G86" i="9"/>
  <c r="G83" i="9" s="1"/>
  <c r="G59" i="9"/>
  <c r="AW48" i="9"/>
  <c r="AW422" i="1"/>
  <c r="AW49" i="9" s="1"/>
  <c r="AW80" i="9" s="1"/>
  <c r="M116" i="9"/>
  <c r="I77" i="9"/>
  <c r="I79" i="9" s="1"/>
  <c r="I68" i="9"/>
  <c r="I74" i="9" s="1"/>
  <c r="I132" i="9" s="1"/>
  <c r="AX537" i="1"/>
  <c r="T103" i="9"/>
  <c r="U96" i="9"/>
  <c r="AO116" i="9"/>
  <c r="AK77" i="9"/>
  <c r="AK79" i="9" s="1"/>
  <c r="AK68" i="9"/>
  <c r="AK74" i="9" s="1"/>
  <c r="AK132" i="9" s="1"/>
  <c r="AV116" i="9"/>
  <c r="AR77" i="9"/>
  <c r="AR79" i="9" s="1"/>
  <c r="AR68" i="9"/>
  <c r="AR74" i="9" s="1"/>
  <c r="AR132" i="9" s="1"/>
  <c r="AO96" i="9"/>
  <c r="AX96" i="9"/>
  <c r="Z131" i="9"/>
  <c r="AQ96" i="9"/>
  <c r="E412" i="1"/>
  <c r="E420" i="1"/>
  <c r="E415" i="1"/>
  <c r="E411" i="1"/>
  <c r="E959" i="1"/>
  <c r="E131" i="9"/>
  <c r="BW116" i="9"/>
  <c r="BV77" i="9"/>
  <c r="BV79" i="9" s="1"/>
  <c r="BV68" i="9"/>
  <c r="BV74" i="9" s="1"/>
  <c r="BV132" i="9" s="1"/>
  <c r="BO127" i="9"/>
  <c r="BP113" i="9"/>
  <c r="BO86" i="9"/>
  <c r="BO83" i="9" s="1"/>
  <c r="BO59" i="9"/>
  <c r="R420" i="1"/>
  <c r="R411" i="1"/>
  <c r="R412" i="1" s="1"/>
  <c r="R959" i="1"/>
  <c r="BO131" i="9"/>
  <c r="AD420" i="1"/>
  <c r="AD412" i="1"/>
  <c r="AR113" i="9"/>
  <c r="AN127" i="9"/>
  <c r="AN59" i="9"/>
  <c r="AN86" i="9"/>
  <c r="AN83" i="9" s="1"/>
  <c r="BH127" i="9"/>
  <c r="BH86" i="9"/>
  <c r="BH83" i="9" s="1"/>
  <c r="BH59" i="9"/>
  <c r="X420" i="1"/>
  <c r="X411" i="1"/>
  <c r="X412" i="1" s="1"/>
  <c r="X959" i="1"/>
  <c r="X179" i="1"/>
  <c r="AK449" i="1"/>
  <c r="AK451" i="1"/>
  <c r="AL667" i="1"/>
  <c r="AL623" i="1"/>
  <c r="AL620" i="1"/>
  <c r="AL621" i="1" s="1"/>
  <c r="AB116" i="9"/>
  <c r="X77" i="9"/>
  <c r="X79" i="9" s="1"/>
  <c r="X68" i="9"/>
  <c r="X74" i="9" s="1"/>
  <c r="X132" i="9" s="1"/>
  <c r="AJ96" i="9"/>
  <c r="A3" i="12"/>
  <c r="A3" i="11"/>
  <c r="BF1065" i="1"/>
  <c r="BF1067" i="1"/>
  <c r="BF1064" i="1"/>
  <c r="BF1066" i="1"/>
  <c r="BF1068" i="1"/>
  <c r="BF1062" i="1"/>
  <c r="BF321" i="1" s="1"/>
  <c r="BF151" i="1" s="1"/>
  <c r="BF1063" i="1"/>
  <c r="BF379" i="1" s="1"/>
  <c r="BF26" i="1" s="1"/>
  <c r="T116" i="9"/>
  <c r="P77" i="9"/>
  <c r="P79" i="9" s="1"/>
  <c r="P68" i="9"/>
  <c r="P74" i="9" s="1"/>
  <c r="P132" i="9" s="1"/>
  <c r="AX684" i="1"/>
  <c r="AX685" i="1" s="1"/>
  <c r="AX686" i="1" s="1"/>
  <c r="AX687" i="1" s="1"/>
  <c r="AX660" i="1"/>
  <c r="AX663" i="1"/>
  <c r="AM19" i="9"/>
  <c r="Q51" i="10"/>
  <c r="P51" i="10"/>
  <c r="AR540" i="1"/>
  <c r="BR579" i="1"/>
  <c r="BR182" i="1"/>
  <c r="BR576" i="1"/>
  <c r="BR577" i="1" s="1"/>
  <c r="AP58" i="9"/>
  <c r="AP969" i="1"/>
  <c r="BV420" i="1"/>
  <c r="BV412" i="1"/>
  <c r="BV959" i="1"/>
  <c r="BT116" i="9"/>
  <c r="BS77" i="9"/>
  <c r="BS79" i="9" s="1"/>
  <c r="BS68" i="9"/>
  <c r="BS74" i="9" s="1"/>
  <c r="BS132" i="9" s="1"/>
  <c r="BQ99" i="9"/>
  <c r="BQ103" i="9"/>
  <c r="BE952" i="1"/>
  <c r="BD728" i="1"/>
  <c r="BD10" i="9" s="1"/>
  <c r="Q179" i="1"/>
  <c r="U179" i="1"/>
  <c r="G96" i="9"/>
  <c r="BW113" i="9"/>
  <c r="V116" i="9"/>
  <c r="R77" i="9"/>
  <c r="R79" i="9" s="1"/>
  <c r="R68" i="9"/>
  <c r="R74" i="9" s="1"/>
  <c r="R132" i="9" s="1"/>
  <c r="N412" i="1"/>
  <c r="N415" i="1"/>
  <c r="N420" i="1"/>
  <c r="N411" i="1"/>
  <c r="N959" i="1"/>
  <c r="AB96" i="9"/>
  <c r="AX579" i="1"/>
  <c r="AX182" i="1"/>
  <c r="AX576" i="1"/>
  <c r="AX577" i="1" s="1"/>
  <c r="AT579" i="1"/>
  <c r="AT182" i="1"/>
  <c r="AT576" i="1"/>
  <c r="AT577" i="1" s="1"/>
  <c r="AY412" i="1"/>
  <c r="AY420" i="1"/>
  <c r="AY959" i="1"/>
  <c r="AU99" i="9"/>
  <c r="AQ412" i="1"/>
  <c r="AQ420" i="1"/>
  <c r="AQ959" i="1"/>
  <c r="AP96" i="9"/>
  <c r="AA48" i="9"/>
  <c r="AA422" i="1"/>
  <c r="AA49" i="9" s="1"/>
  <c r="AA80" i="9" s="1"/>
  <c r="BR103" i="9"/>
  <c r="BR99" i="9"/>
  <c r="AR87" i="9"/>
  <c r="AR84" i="9" s="1"/>
  <c r="AL127" i="9"/>
  <c r="AL86" i="9"/>
  <c r="AL83" i="9" s="1"/>
  <c r="AL59" i="9"/>
  <c r="AO412" i="1"/>
  <c r="AO420" i="1"/>
  <c r="AO959" i="1"/>
  <c r="AO131" i="9"/>
  <c r="AQ131" i="9"/>
  <c r="K127" i="9"/>
  <c r="O113" i="9"/>
  <c r="K86" i="9"/>
  <c r="K83" i="9" s="1"/>
  <c r="K59" i="9"/>
  <c r="AL684" i="1"/>
  <c r="AL685" i="1" s="1"/>
  <c r="AL686" i="1" s="1"/>
  <c r="AL687" i="1" s="1"/>
  <c r="AL660" i="1"/>
  <c r="AL663" i="1"/>
  <c r="BV579" i="1"/>
  <c r="BV182" i="1"/>
  <c r="BV576" i="1"/>
  <c r="BV577" i="1" s="1"/>
  <c r="AW27" i="11"/>
  <c r="AG113" i="9"/>
  <c r="AC127" i="9"/>
  <c r="AC86" i="9"/>
  <c r="AC83" i="9" s="1"/>
  <c r="AC59" i="9"/>
  <c r="AL412" i="1"/>
  <c r="AL420" i="1"/>
  <c r="AL959" i="1"/>
  <c r="AU27" i="11"/>
  <c r="AO113" i="9"/>
  <c r="AK127" i="9"/>
  <c r="AK59" i="9"/>
  <c r="AT96" i="9"/>
  <c r="C449" i="1"/>
  <c r="C451" i="1"/>
  <c r="AT965" i="1"/>
  <c r="AT410" i="1"/>
  <c r="AT958" i="1"/>
  <c r="BR793" i="1"/>
  <c r="AD794" i="1"/>
  <c r="AL579" i="1"/>
  <c r="AL182" i="1"/>
  <c r="AL576" i="1"/>
  <c r="AL577" i="1" s="1"/>
  <c r="AZ93" i="1"/>
  <c r="AZ62" i="1"/>
  <c r="AZ60" i="1"/>
  <c r="BX60" i="1" s="1"/>
  <c r="AN412" i="1"/>
  <c r="AN420" i="1"/>
  <c r="AN959" i="1"/>
  <c r="AT179" i="1"/>
  <c r="AP46" i="9"/>
  <c r="AQ86" i="9" s="1"/>
  <c r="AQ83" i="9" s="1"/>
  <c r="AP704" i="1"/>
  <c r="AP334" i="1"/>
  <c r="BV972" i="1"/>
  <c r="BU685" i="1"/>
  <c r="BU686" i="1" s="1"/>
  <c r="BU687" i="1" s="1"/>
  <c r="BP99" i="9"/>
  <c r="BP103" i="9"/>
  <c r="U421" i="1"/>
  <c r="U42" i="9" s="1"/>
  <c r="U448" i="1"/>
  <c r="U415" i="1"/>
  <c r="K116" i="9"/>
  <c r="CA21" i="1"/>
  <c r="CA23" i="1" s="1"/>
  <c r="CA18" i="9" s="1"/>
  <c r="CA72" i="1"/>
  <c r="CA71" i="1" s="1"/>
  <c r="CB67" i="1"/>
  <c r="CA84" i="1"/>
  <c r="AD380" i="1"/>
  <c r="AD533" i="1"/>
  <c r="AD534" i="1" s="1"/>
  <c r="Z179" i="1"/>
  <c r="BN127" i="9"/>
  <c r="BO113" i="9"/>
  <c r="BN86" i="9"/>
  <c r="BN83" i="9" s="1"/>
  <c r="BN59" i="9"/>
  <c r="BK49" i="9"/>
  <c r="BK713" i="1"/>
  <c r="AA449" i="1"/>
  <c r="AA451" i="1"/>
  <c r="J415" i="1"/>
  <c r="J420" i="1"/>
  <c r="J411" i="1"/>
  <c r="J412" i="1" s="1"/>
  <c r="J959" i="1"/>
  <c r="AO965" i="1"/>
  <c r="AR96" i="9"/>
  <c r="AD579" i="1"/>
  <c r="AD182" i="1"/>
  <c r="AD576" i="1"/>
  <c r="AD577" i="1" s="1"/>
  <c r="AB870" i="1"/>
  <c r="AB967" i="1"/>
  <c r="AC862" i="1"/>
  <c r="AC863" i="1" s="1"/>
  <c r="S420" i="1"/>
  <c r="S411" i="1"/>
  <c r="S412" i="1" s="1"/>
  <c r="S959" i="1"/>
  <c r="BT99" i="9"/>
  <c r="BT103" i="9"/>
  <c r="T412" i="1"/>
  <c r="T420" i="1"/>
  <c r="T411" i="1"/>
  <c r="T959" i="1"/>
  <c r="AQ540" i="1"/>
  <c r="AZ28" i="9"/>
  <c r="AZ931" i="1"/>
  <c r="AZ905" i="1"/>
  <c r="AZ677" i="1"/>
  <c r="AZ189" i="1" s="1"/>
  <c r="AZ532" i="1"/>
  <c r="G113" i="9"/>
  <c r="C127" i="9"/>
  <c r="C59" i="9"/>
  <c r="AI127" i="9"/>
  <c r="AM113" i="9"/>
  <c r="AI59" i="9"/>
  <c r="G415" i="1"/>
  <c r="G420" i="1"/>
  <c r="G411" i="1"/>
  <c r="G412" i="1" s="1"/>
  <c r="G959" i="1"/>
  <c r="AK48" i="9"/>
  <c r="AK422" i="1"/>
  <c r="AK49" i="9" s="1"/>
  <c r="AK80" i="9" s="1"/>
  <c r="AR179" i="1"/>
  <c r="AL115" i="9"/>
  <c r="N964" i="1"/>
  <c r="R964" i="1"/>
  <c r="M964" i="1"/>
  <c r="I449" i="1"/>
  <c r="I451" i="1"/>
  <c r="X59" i="14" l="1"/>
  <c r="AY103" i="9"/>
  <c r="AH99" i="9"/>
  <c r="AD103" i="9"/>
  <c r="AS103" i="9"/>
  <c r="AL103" i="9"/>
  <c r="N99" i="9"/>
  <c r="W104" i="13"/>
  <c r="J105" i="13"/>
  <c r="X104" i="13"/>
  <c r="J129" i="13"/>
  <c r="J130" i="13" s="1"/>
  <c r="AE103" i="9"/>
  <c r="AI86" i="9"/>
  <c r="AI83" i="9" s="1"/>
  <c r="BV580" i="1"/>
  <c r="AH580" i="1"/>
  <c r="BS624" i="1"/>
  <c r="BS580" i="1"/>
  <c r="U60" i="14"/>
  <c r="U59" i="14"/>
  <c r="T59" i="14"/>
  <c r="X60" i="14"/>
  <c r="Z60" i="14"/>
  <c r="Z59" i="14"/>
  <c r="V60" i="14"/>
  <c r="V59" i="14"/>
  <c r="Y60" i="14"/>
  <c r="BU624" i="1"/>
  <c r="AD580" i="1"/>
  <c r="BR580" i="1"/>
  <c r="BV624" i="1"/>
  <c r="AE540" i="1"/>
  <c r="AE537" i="1"/>
  <c r="BU580" i="1"/>
  <c r="AG103" i="9"/>
  <c r="BT580" i="1"/>
  <c r="AP580" i="1"/>
  <c r="AT580" i="1"/>
  <c r="BV540" i="1"/>
  <c r="AI103" i="9"/>
  <c r="BZ939" i="1"/>
  <c r="BY694" i="1"/>
  <c r="BY9" i="9" s="1"/>
  <c r="BW580" i="1"/>
  <c r="BT415" i="1"/>
  <c r="BT421" i="1"/>
  <c r="BT42" i="9" s="1"/>
  <c r="BH130" i="9"/>
  <c r="BH90" i="9"/>
  <c r="BH91" i="9" s="1"/>
  <c r="AU448" i="1"/>
  <c r="AU415" i="1"/>
  <c r="AU421" i="1"/>
  <c r="AU42" i="9" s="1"/>
  <c r="AC421" i="1"/>
  <c r="AC42" i="9" s="1"/>
  <c r="AC448" i="1"/>
  <c r="AC415" i="1"/>
  <c r="H421" i="1"/>
  <c r="H42" i="9" s="1"/>
  <c r="H448" i="1"/>
  <c r="D448" i="1"/>
  <c r="D421" i="1"/>
  <c r="D42" i="9" s="1"/>
  <c r="BD48" i="1"/>
  <c r="BD49" i="1"/>
  <c r="BD17" i="1"/>
  <c r="BD83" i="1"/>
  <c r="BD61" i="1"/>
  <c r="BD60" i="1" s="1"/>
  <c r="L448" i="1"/>
  <c r="L421" i="1"/>
  <c r="L42" i="9" s="1"/>
  <c r="R415" i="1"/>
  <c r="R448" i="1"/>
  <c r="R421" i="1"/>
  <c r="R42" i="9" s="1"/>
  <c r="V448" i="1"/>
  <c r="V415" i="1"/>
  <c r="V421" i="1"/>
  <c r="V42" i="9" s="1"/>
  <c r="Z448" i="1"/>
  <c r="Z421" i="1"/>
  <c r="Z42" i="9" s="1"/>
  <c r="Z415" i="1"/>
  <c r="S415" i="1"/>
  <c r="S421" i="1"/>
  <c r="S42" i="9" s="1"/>
  <c r="S448" i="1"/>
  <c r="G421" i="1"/>
  <c r="G42" i="9" s="1"/>
  <c r="G448" i="1"/>
  <c r="BS90" i="9"/>
  <c r="BS91" i="9" s="1"/>
  <c r="BS94" i="9" s="1"/>
  <c r="BS130" i="9"/>
  <c r="BR130" i="9"/>
  <c r="BS114" i="9"/>
  <c r="BR90" i="9"/>
  <c r="BR91" i="9" s="1"/>
  <c r="BR94" i="9" s="1"/>
  <c r="BD940" i="1"/>
  <c r="BE692" i="1"/>
  <c r="BK5" i="9"/>
  <c r="BK6" i="9" s="1"/>
  <c r="BK710" i="1"/>
  <c r="BZ32" i="1"/>
  <c r="BZ102" i="1"/>
  <c r="AS130" i="9"/>
  <c r="AW114" i="9"/>
  <c r="AS90" i="9"/>
  <c r="AR86" i="9"/>
  <c r="AR83" i="9" s="1"/>
  <c r="BU49" i="9"/>
  <c r="BU713" i="1"/>
  <c r="E1090" i="1"/>
  <c r="E1088" i="1" s="1"/>
  <c r="E721" i="1" s="1"/>
  <c r="E1092" i="1"/>
  <c r="E1083" i="1"/>
  <c r="E1081" i="1" s="1"/>
  <c r="E720" i="1" s="1"/>
  <c r="E1085" i="1"/>
  <c r="E1076" i="1"/>
  <c r="E1074" i="1" s="1"/>
  <c r="E719" i="1" s="1"/>
  <c r="E1078" i="1"/>
  <c r="AG5" i="9"/>
  <c r="AG6" i="9" s="1"/>
  <c r="AG11" i="9" s="1"/>
  <c r="AG710" i="1"/>
  <c r="BX83" i="1"/>
  <c r="BX61" i="1"/>
  <c r="BX49" i="1"/>
  <c r="BX17" i="1"/>
  <c r="P448" i="1"/>
  <c r="P415" i="1"/>
  <c r="P421" i="1"/>
  <c r="P42" i="9" s="1"/>
  <c r="BP415" i="1"/>
  <c r="BP421" i="1"/>
  <c r="BP42" i="9" s="1"/>
  <c r="AA5" i="9"/>
  <c r="AA6" i="9" s="1"/>
  <c r="AA11" i="9" s="1"/>
  <c r="AA710" i="1"/>
  <c r="AO421" i="1"/>
  <c r="AO42" i="9" s="1"/>
  <c r="AO448" i="1"/>
  <c r="AO415" i="1"/>
  <c r="AL624" i="1"/>
  <c r="AN99" i="9"/>
  <c r="AN103" i="9"/>
  <c r="K5" i="9"/>
  <c r="K6" i="9" s="1"/>
  <c r="K11" i="9" s="1"/>
  <c r="K710" i="1"/>
  <c r="W130" i="9"/>
  <c r="W90" i="9"/>
  <c r="AA114" i="9"/>
  <c r="BT540" i="1"/>
  <c r="L48" i="9"/>
  <c r="L422" i="1"/>
  <c r="L49" i="9" s="1"/>
  <c r="L80" i="9" s="1"/>
  <c r="BN973" i="1"/>
  <c r="AX46" i="9"/>
  <c r="AX704" i="1"/>
  <c r="AX334" i="1"/>
  <c r="AT624" i="1"/>
  <c r="BC93" i="1"/>
  <c r="BC62" i="1"/>
  <c r="BI967" i="1"/>
  <c r="BJ862" i="1"/>
  <c r="BJ863" i="1" s="1"/>
  <c r="BI870" i="1"/>
  <c r="BU130" i="9"/>
  <c r="BU90" i="9"/>
  <c r="BU91" i="9" s="1"/>
  <c r="BU94" i="9" s="1"/>
  <c r="E1097" i="1"/>
  <c r="E1095" i="1" s="1"/>
  <c r="E723" i="1" s="1"/>
  <c r="BB93" i="1"/>
  <c r="BB62" i="1"/>
  <c r="AM103" i="9"/>
  <c r="AM99" i="9"/>
  <c r="BR49" i="9"/>
  <c r="BR713" i="1"/>
  <c r="J491" i="1"/>
  <c r="J498" i="1"/>
  <c r="AP103" i="9"/>
  <c r="AP99" i="9"/>
  <c r="AN448" i="1"/>
  <c r="AN415" i="1"/>
  <c r="AN421" i="1"/>
  <c r="AN42" i="9" s="1"/>
  <c r="BR862" i="1"/>
  <c r="BR863" i="1" s="1"/>
  <c r="BR794" i="1"/>
  <c r="AE793" i="1" s="1"/>
  <c r="AX580" i="1"/>
  <c r="E48" i="9"/>
  <c r="E422" i="1"/>
  <c r="E49" i="9" s="1"/>
  <c r="E80" i="9" s="1"/>
  <c r="AW130" i="9"/>
  <c r="AW90" i="9"/>
  <c r="I103" i="9"/>
  <c r="I99" i="9"/>
  <c r="AD113" i="9"/>
  <c r="Z127" i="9"/>
  <c r="Z86" i="9"/>
  <c r="Z83" i="9" s="1"/>
  <c r="Z59" i="9"/>
  <c r="AA86" i="9"/>
  <c r="AA83" i="9" s="1"/>
  <c r="AX58" i="9"/>
  <c r="AX969" i="1"/>
  <c r="D1090" i="1"/>
  <c r="D1088" i="1" s="1"/>
  <c r="D721" i="1" s="1"/>
  <c r="D1085" i="1"/>
  <c r="D1076" i="1"/>
  <c r="D1074" i="1" s="1"/>
  <c r="D719" i="1" s="1"/>
  <c r="D1078" i="1"/>
  <c r="D1083" i="1"/>
  <c r="D1081" i="1" s="1"/>
  <c r="D720" i="1" s="1"/>
  <c r="D1092" i="1"/>
  <c r="D1097" i="1"/>
  <c r="D1095" i="1" s="1"/>
  <c r="D723" i="1" s="1"/>
  <c r="D1099" i="1"/>
  <c r="BC19" i="1"/>
  <c r="BC17" i="9" s="1"/>
  <c r="BC18" i="1"/>
  <c r="BC25" i="1"/>
  <c r="BL415" i="1"/>
  <c r="BL420" i="1"/>
  <c r="BL411" i="1"/>
  <c r="BL412" i="1" s="1"/>
  <c r="BL421" i="1" s="1"/>
  <c r="BL42" i="9" s="1"/>
  <c r="BL959" i="1"/>
  <c r="AJ130" i="9"/>
  <c r="AJ90" i="9"/>
  <c r="AV127" i="9"/>
  <c r="AV86" i="9"/>
  <c r="AV83" i="9" s="1"/>
  <c r="AV59" i="9"/>
  <c r="AY127" i="9"/>
  <c r="AY86" i="9"/>
  <c r="AY83" i="9" s="1"/>
  <c r="AY59" i="9"/>
  <c r="AY113" i="9"/>
  <c r="K99" i="9"/>
  <c r="K103" i="9"/>
  <c r="BZ22" i="9"/>
  <c r="CA51" i="1"/>
  <c r="BZ78" i="1"/>
  <c r="BZ54" i="1"/>
  <c r="BZ23" i="9" s="1"/>
  <c r="BZ14" i="1"/>
  <c r="AS5" i="9"/>
  <c r="AS6" i="9" s="1"/>
  <c r="AS11" i="9" s="1"/>
  <c r="AS710" i="1"/>
  <c r="BW49" i="9"/>
  <c r="BW713" i="1"/>
  <c r="BB25" i="1"/>
  <c r="BB19" i="1"/>
  <c r="BB17" i="9" s="1"/>
  <c r="BB18" i="1"/>
  <c r="T415" i="1"/>
  <c r="T421" i="1"/>
  <c r="T42" i="9" s="1"/>
  <c r="T448" i="1"/>
  <c r="BK80" i="9"/>
  <c r="BK119" i="9"/>
  <c r="CB72" i="1"/>
  <c r="CB71" i="1" s="1"/>
  <c r="CB84" i="1"/>
  <c r="CB21" i="1"/>
  <c r="CB23" i="1" s="1"/>
  <c r="CB18" i="9" s="1"/>
  <c r="AQ415" i="1"/>
  <c r="AQ421" i="1"/>
  <c r="AQ42" i="9" s="1"/>
  <c r="AQ448" i="1"/>
  <c r="U103" i="9"/>
  <c r="U99" i="9"/>
  <c r="Z103" i="9"/>
  <c r="Z99" i="9"/>
  <c r="BR624" i="1"/>
  <c r="W103" i="9"/>
  <c r="W99" i="9"/>
  <c r="AH48" i="9"/>
  <c r="AH422" i="1"/>
  <c r="AH49" i="9" s="1"/>
  <c r="AH80" i="9" s="1"/>
  <c r="BA146" i="1"/>
  <c r="BA90" i="1"/>
  <c r="BA91" i="1" s="1"/>
  <c r="AS86" i="9"/>
  <c r="AS83" i="9" s="1"/>
  <c r="J99" i="9"/>
  <c r="J103" i="9"/>
  <c r="BL131" i="9"/>
  <c r="BL95" i="9"/>
  <c r="BL96" i="9" s="1"/>
  <c r="M5" i="9"/>
  <c r="M6" i="9" s="1"/>
  <c r="M11" i="9" s="1"/>
  <c r="M710" i="1"/>
  <c r="R99" i="9"/>
  <c r="R103" i="9"/>
  <c r="BZ55" i="1"/>
  <c r="BW130" i="9"/>
  <c r="BW90" i="9"/>
  <c r="BW91" i="9" s="1"/>
  <c r="BW94" i="9" s="1"/>
  <c r="AK130" i="9"/>
  <c r="AK90" i="9"/>
  <c r="AT412" i="1"/>
  <c r="AT420" i="1"/>
  <c r="AT131" i="9"/>
  <c r="AL448" i="1"/>
  <c r="AL421" i="1"/>
  <c r="AL42" i="9" s="1"/>
  <c r="AL415" i="1"/>
  <c r="G99" i="9"/>
  <c r="G103" i="9"/>
  <c r="AK5" i="9"/>
  <c r="AK6" i="9" s="1"/>
  <c r="AK11" i="9" s="1"/>
  <c r="AK710" i="1"/>
  <c r="E421" i="1"/>
  <c r="E42" i="9" s="1"/>
  <c r="E448" i="1"/>
  <c r="W5" i="9"/>
  <c r="W6" i="9" s="1"/>
  <c r="W11" i="9" s="1"/>
  <c r="W710" i="1"/>
  <c r="AH449" i="1"/>
  <c r="BS448" i="1"/>
  <c r="AH451" i="1"/>
  <c r="AW99" i="9"/>
  <c r="AW103" i="9"/>
  <c r="L99" i="9"/>
  <c r="L103" i="9"/>
  <c r="BM793" i="1"/>
  <c r="BM794" i="1" s="1"/>
  <c r="K793" i="1" s="1"/>
  <c r="J794" i="1"/>
  <c r="F448" i="1"/>
  <c r="F421" i="1"/>
  <c r="F42" i="9" s="1"/>
  <c r="AF86" i="9"/>
  <c r="AF83" i="9" s="1"/>
  <c r="V99" i="9"/>
  <c r="V103" i="9"/>
  <c r="E1099" i="1"/>
  <c r="AR99" i="9"/>
  <c r="AR103" i="9"/>
  <c r="CA73" i="1"/>
  <c r="CA94" i="1"/>
  <c r="AZ95" i="1"/>
  <c r="AZ97" i="1" s="1"/>
  <c r="AZ31" i="1"/>
  <c r="AZ101" i="1"/>
  <c r="BX93" i="1"/>
  <c r="AP113" i="9"/>
  <c r="BV415" i="1"/>
  <c r="BV421" i="1"/>
  <c r="BV42" i="9" s="1"/>
  <c r="AQ99" i="9"/>
  <c r="AQ103" i="9"/>
  <c r="BM48" i="9"/>
  <c r="BM422" i="1"/>
  <c r="L498" i="1"/>
  <c r="L491" i="1"/>
  <c r="AP420" i="1"/>
  <c r="AP412" i="1"/>
  <c r="AP131" i="9"/>
  <c r="BQ415" i="1"/>
  <c r="BQ421" i="1"/>
  <c r="BQ42" i="9" s="1"/>
  <c r="AJ5" i="9"/>
  <c r="AJ6" i="9" s="1"/>
  <c r="AJ11" i="9" s="1"/>
  <c r="AJ710" i="1"/>
  <c r="AI130" i="9"/>
  <c r="AI90" i="9"/>
  <c r="BW624" i="1"/>
  <c r="BO498" i="1"/>
  <c r="BO491" i="1"/>
  <c r="AZ541" i="1"/>
  <c r="AZ538" i="1"/>
  <c r="AZ533" i="1"/>
  <c r="AZ534" i="1" s="1"/>
  <c r="C5" i="9"/>
  <c r="C6" i="9" s="1"/>
  <c r="C11" i="9" s="1"/>
  <c r="C710" i="1"/>
  <c r="AB99" i="9"/>
  <c r="AB103" i="9"/>
  <c r="AD415" i="1"/>
  <c r="AD448" i="1"/>
  <c r="AD421" i="1"/>
  <c r="AD42" i="9" s="1"/>
  <c r="AH127" i="9"/>
  <c r="AL113" i="9"/>
  <c r="AH86" i="9"/>
  <c r="AH83" i="9" s="1"/>
  <c r="AH59" i="9"/>
  <c r="P99" i="9"/>
  <c r="P103" i="9"/>
  <c r="Q23" i="10"/>
  <c r="P23" i="10"/>
  <c r="AP116" i="9"/>
  <c r="AL68" i="9"/>
  <c r="AL74" i="9" s="1"/>
  <c r="AL132" i="9" s="1"/>
  <c r="AL77" i="9"/>
  <c r="AL79" i="9" s="1"/>
  <c r="N459" i="1"/>
  <c r="N463" i="1" s="1"/>
  <c r="N476" i="1" s="1"/>
  <c r="N489" i="1" s="1"/>
  <c r="M476" i="1"/>
  <c r="M489" i="1" s="1"/>
  <c r="AI5" i="9"/>
  <c r="AI6" i="9" s="1"/>
  <c r="AI11" i="9" s="1"/>
  <c r="AI710" i="1"/>
  <c r="O498" i="1"/>
  <c r="O491" i="1"/>
  <c r="AT127" i="9"/>
  <c r="AT86" i="9"/>
  <c r="AT83" i="9" s="1"/>
  <c r="AT59" i="9"/>
  <c r="AU86" i="9"/>
  <c r="AU83" i="9" s="1"/>
  <c r="AV90" i="9"/>
  <c r="AV130" i="9"/>
  <c r="D48" i="9"/>
  <c r="D422" i="1"/>
  <c r="D49" i="9" s="1"/>
  <c r="D80" i="9" s="1"/>
  <c r="BL973" i="1"/>
  <c r="R116" i="9"/>
  <c r="N77" i="9"/>
  <c r="N79" i="9" s="1"/>
  <c r="N68" i="9"/>
  <c r="N74" i="9" s="1"/>
  <c r="N132" i="9" s="1"/>
  <c r="AM448" i="1"/>
  <c r="AM415" i="1"/>
  <c r="AM421" i="1"/>
  <c r="AM42" i="9" s="1"/>
  <c r="AB448" i="1"/>
  <c r="AB415" i="1"/>
  <c r="AB421" i="1"/>
  <c r="AB42" i="9" s="1"/>
  <c r="F48" i="9"/>
  <c r="F422" i="1"/>
  <c r="F49" i="9" s="1"/>
  <c r="F80" i="9" s="1"/>
  <c r="BY947" i="1"/>
  <c r="BF729" i="1"/>
  <c r="W459" i="1"/>
  <c r="W463" i="1" s="1"/>
  <c r="BQ459" i="1"/>
  <c r="BQ463" i="1" s="1"/>
  <c r="BP476" i="1"/>
  <c r="BP489" i="1" s="1"/>
  <c r="BA378" i="1"/>
  <c r="BA28" i="1"/>
  <c r="BA19" i="9" s="1"/>
  <c r="BA27" i="1"/>
  <c r="AX624" i="1"/>
  <c r="BB85" i="1"/>
  <c r="AA130" i="9"/>
  <c r="AA90" i="9"/>
  <c r="AX412" i="1"/>
  <c r="AX420" i="1"/>
  <c r="AX131" i="9"/>
  <c r="O130" i="9"/>
  <c r="O90" i="9"/>
  <c r="I5" i="9"/>
  <c r="I6" i="9" s="1"/>
  <c r="I11" i="9" s="1"/>
  <c r="I710" i="1"/>
  <c r="AZ394" i="1"/>
  <c r="AT113" i="9"/>
  <c r="AP127" i="9"/>
  <c r="AP86" i="9"/>
  <c r="AP83" i="9" s="1"/>
  <c r="AP59" i="9"/>
  <c r="AY448" i="1"/>
  <c r="AY415" i="1"/>
  <c r="AY421" i="1"/>
  <c r="AY42" i="9" s="1"/>
  <c r="AX99" i="9"/>
  <c r="AX103" i="9"/>
  <c r="Q421" i="1"/>
  <c r="Q42" i="9" s="1"/>
  <c r="Q415" i="1"/>
  <c r="Q448" i="1"/>
  <c r="AZ385" i="1"/>
  <c r="AZ155" i="1"/>
  <c r="Y967" i="1"/>
  <c r="Z862" i="1"/>
  <c r="Z863" i="1" s="1"/>
  <c r="Y870" i="1"/>
  <c r="Q459" i="1"/>
  <c r="Q463" i="1" s="1"/>
  <c r="P476" i="1"/>
  <c r="P489" i="1" s="1"/>
  <c r="BU540" i="1"/>
  <c r="BC85" i="1"/>
  <c r="BJ48" i="9"/>
  <c r="BJ422" i="1"/>
  <c r="BJ49" i="9" s="1"/>
  <c r="CA912" i="1"/>
  <c r="T459" i="1"/>
  <c r="T463" i="1" s="1"/>
  <c r="S476" i="1"/>
  <c r="S489" i="1" s="1"/>
  <c r="AG130" i="9"/>
  <c r="AK114" i="9"/>
  <c r="AG90" i="9"/>
  <c r="N448" i="1"/>
  <c r="N421" i="1"/>
  <c r="N42" i="9" s="1"/>
  <c r="Y5" i="9"/>
  <c r="Y6" i="9" s="1"/>
  <c r="Y11" i="9" s="1"/>
  <c r="Y710" i="1"/>
  <c r="G48" i="9"/>
  <c r="BM973" i="1"/>
  <c r="G422" i="1"/>
  <c r="G49" i="9" s="1"/>
  <c r="G80" i="9" s="1"/>
  <c r="AZ816" i="1"/>
  <c r="U48" i="9"/>
  <c r="U422" i="1"/>
  <c r="U49" i="9" s="1"/>
  <c r="U80" i="9" s="1"/>
  <c r="AL580" i="1"/>
  <c r="AT103" i="9"/>
  <c r="AT99" i="9"/>
  <c r="BF952" i="1"/>
  <c r="BE728" i="1"/>
  <c r="BE10" i="9" s="1"/>
  <c r="AJ103" i="9"/>
  <c r="AJ99" i="9"/>
  <c r="AO103" i="9"/>
  <c r="AO99" i="9"/>
  <c r="AP77" i="9"/>
  <c r="AP79" i="9" s="1"/>
  <c r="AP68" i="9"/>
  <c r="AP74" i="9" s="1"/>
  <c r="AP132" i="9" s="1"/>
  <c r="AT116" i="9"/>
  <c r="AW5" i="9"/>
  <c r="AW6" i="9" s="1"/>
  <c r="AW11" i="9" s="1"/>
  <c r="AW710" i="1"/>
  <c r="AT959" i="1"/>
  <c r="AV99" i="9"/>
  <c r="AV103" i="9"/>
  <c r="AE415" i="1"/>
  <c r="AE421" i="1"/>
  <c r="AE42" i="9" s="1"/>
  <c r="AE448" i="1"/>
  <c r="BT624" i="1"/>
  <c r="AP959" i="1"/>
  <c r="O5" i="9"/>
  <c r="O6" i="9" s="1"/>
  <c r="O11" i="9" s="1"/>
  <c r="O710" i="1"/>
  <c r="AC103" i="9"/>
  <c r="AC99" i="9"/>
  <c r="AK103" i="9"/>
  <c r="J448" i="1"/>
  <c r="J421" i="1"/>
  <c r="J42" i="9" s="1"/>
  <c r="AZ823" i="1"/>
  <c r="AZ935" i="1"/>
  <c r="U449" i="1"/>
  <c r="U451" i="1"/>
  <c r="AA103" i="9"/>
  <c r="AA99" i="9"/>
  <c r="AR415" i="1"/>
  <c r="AR421" i="1"/>
  <c r="AR42" i="9" s="1"/>
  <c r="AR448" i="1"/>
  <c r="BO415" i="1"/>
  <c r="BO421" i="1"/>
  <c r="BO42" i="9" s="1"/>
  <c r="BC8" i="9"/>
  <c r="BC961" i="1"/>
  <c r="BD693" i="1"/>
  <c r="BC691" i="1"/>
  <c r="BC934" i="1" s="1"/>
  <c r="AZ387" i="1"/>
  <c r="AZ165" i="1"/>
  <c r="BD22" i="9"/>
  <c r="BD78" i="1"/>
  <c r="BD54" i="1"/>
  <c r="BD23" i="9" s="1"/>
  <c r="BD14" i="1"/>
  <c r="BE51" i="1"/>
  <c r="H48" i="9"/>
  <c r="H422" i="1"/>
  <c r="H49" i="9" s="1"/>
  <c r="H80" i="9" s="1"/>
  <c r="BN48" i="9"/>
  <c r="BN422" i="1"/>
  <c r="AH113" i="9"/>
  <c r="AD127" i="9"/>
  <c r="AD86" i="9"/>
  <c r="AD83" i="9" s="1"/>
  <c r="AD59" i="9"/>
  <c r="Q99" i="9"/>
  <c r="Q103" i="9"/>
  <c r="BW540" i="1"/>
  <c r="AW127" i="9"/>
  <c r="AW86" i="9"/>
  <c r="AW83" i="9" s="1"/>
  <c r="AW59" i="9"/>
  <c r="F1" i="9"/>
  <c r="F1098" i="1"/>
  <c r="F1102" i="1"/>
  <c r="F430" i="1"/>
  <c r="F3" i="1"/>
  <c r="F1072" i="1" s="1"/>
  <c r="BL4" i="1"/>
  <c r="F4" i="11"/>
  <c r="F4" i="12"/>
  <c r="AC967" i="1"/>
  <c r="AC870" i="1"/>
  <c r="AD862" i="1"/>
  <c r="AD863" i="1" s="1"/>
  <c r="J48" i="9"/>
  <c r="J422" i="1"/>
  <c r="J49" i="9" s="1"/>
  <c r="J80" i="9" s="1"/>
  <c r="N48" i="9"/>
  <c r="N422" i="1"/>
  <c r="N49" i="9" s="1"/>
  <c r="N80" i="9" s="1"/>
  <c r="X448" i="1"/>
  <c r="X415" i="1"/>
  <c r="X421" i="1"/>
  <c r="X42" i="9" s="1"/>
  <c r="BS49" i="9"/>
  <c r="BS713" i="1"/>
  <c r="AF415" i="1"/>
  <c r="AF421" i="1"/>
  <c r="AF42" i="9" s="1"/>
  <c r="AF448" i="1"/>
  <c r="I498" i="1"/>
  <c r="I491" i="1"/>
  <c r="AZ386" i="1"/>
  <c r="AZ160" i="1"/>
  <c r="AV5" i="9"/>
  <c r="AV6" i="9" s="1"/>
  <c r="AV11" i="9" s="1"/>
  <c r="AV710" i="1"/>
  <c r="BE923" i="1"/>
  <c r="Z113" i="9"/>
  <c r="Y90" i="9"/>
  <c r="Y130" i="9"/>
  <c r="BA169" i="1"/>
  <c r="BA103" i="1"/>
  <c r="BA98" i="1"/>
  <c r="BA99" i="1" s="1"/>
  <c r="AX77" i="9"/>
  <c r="AX79" i="9" s="1"/>
  <c r="AX68" i="9"/>
  <c r="AX74" i="9" s="1"/>
  <c r="AX132" i="9" s="1"/>
  <c r="AJ86" i="9"/>
  <c r="AJ83" i="9" s="1"/>
  <c r="E3" i="12"/>
  <c r="E3" i="11"/>
  <c r="F1099" i="1" l="1"/>
  <c r="F1097" i="1"/>
  <c r="F1095" i="1" s="1"/>
  <c r="F723" i="1" s="1"/>
  <c r="BT48" i="9"/>
  <c r="BT422" i="1"/>
  <c r="CA939" i="1"/>
  <c r="BZ694" i="1"/>
  <c r="BZ9" i="9" s="1"/>
  <c r="AU48" i="9"/>
  <c r="AU422" i="1"/>
  <c r="AU49" i="9" s="1"/>
  <c r="AU80" i="9" s="1"/>
  <c r="AU449" i="1"/>
  <c r="AU451" i="1"/>
  <c r="AX127" i="9"/>
  <c r="AX86" i="9"/>
  <c r="AX83" i="9" s="1"/>
  <c r="AX59" i="9"/>
  <c r="P48" i="9"/>
  <c r="P114" i="9" s="1"/>
  <c r="P422" i="1"/>
  <c r="P49" i="9" s="1"/>
  <c r="P80" i="9" s="1"/>
  <c r="BO973" i="1"/>
  <c r="BK11" i="9"/>
  <c r="BK123" i="9"/>
  <c r="I13" i="12"/>
  <c r="I135" i="12" s="1"/>
  <c r="I711" i="1"/>
  <c r="BS449" i="1"/>
  <c r="BS451" i="1"/>
  <c r="AR48" i="9"/>
  <c r="AR422" i="1"/>
  <c r="AR49" i="9" s="1"/>
  <c r="AR80" i="9" s="1"/>
  <c r="P449" i="1"/>
  <c r="P451" i="1"/>
  <c r="G449" i="1"/>
  <c r="G451" i="1"/>
  <c r="V48" i="9"/>
  <c r="V422" i="1"/>
  <c r="V49" i="9" s="1"/>
  <c r="V80" i="9" s="1"/>
  <c r="BD85" i="1"/>
  <c r="BD89" i="1"/>
  <c r="X48" i="9"/>
  <c r="X422" i="1"/>
  <c r="X49" i="9" s="1"/>
  <c r="X80" i="9" s="1"/>
  <c r="BQ973" i="1"/>
  <c r="P498" i="1"/>
  <c r="P491" i="1"/>
  <c r="AB48" i="9"/>
  <c r="AB422" i="1"/>
  <c r="AB49" i="9" s="1"/>
  <c r="AB80" i="9" s="1"/>
  <c r="BR973" i="1"/>
  <c r="M491" i="1"/>
  <c r="M498" i="1"/>
  <c r="AP415" i="1"/>
  <c r="AP448" i="1"/>
  <c r="AP421" i="1"/>
  <c r="AP42" i="9" s="1"/>
  <c r="W13" i="12"/>
  <c r="W135" i="12" s="1"/>
  <c r="W711" i="1"/>
  <c r="M13" i="12"/>
  <c r="M135" i="12" s="1"/>
  <c r="M711" i="1"/>
  <c r="AS13" i="12"/>
  <c r="AS135" i="12" s="1"/>
  <c r="AS711" i="1"/>
  <c r="BX57" i="1"/>
  <c r="BX25" i="1"/>
  <c r="BX28" i="1" s="1"/>
  <c r="BX19" i="9" s="1"/>
  <c r="BX19" i="1"/>
  <c r="BX17" i="9" s="1"/>
  <c r="BP448" i="1"/>
  <c r="V449" i="1"/>
  <c r="V451" i="1"/>
  <c r="BD18" i="1"/>
  <c r="BD25" i="1"/>
  <c r="BD19" i="1"/>
  <c r="BD17" i="9" s="1"/>
  <c r="AL449" i="1"/>
  <c r="BT448" i="1"/>
  <c r="AL451" i="1"/>
  <c r="X449" i="1"/>
  <c r="X451" i="1"/>
  <c r="AZ32" i="9"/>
  <c r="AZ325" i="1"/>
  <c r="AZ55" i="9" s="1"/>
  <c r="O13" i="12"/>
  <c r="O135" i="12" s="1"/>
  <c r="O711" i="1"/>
  <c r="R459" i="1"/>
  <c r="R463" i="1" s="1"/>
  <c r="R476" i="1" s="1"/>
  <c r="R489" i="1" s="1"/>
  <c r="Q476" i="1"/>
  <c r="Q489" i="1" s="1"/>
  <c r="AB449" i="1"/>
  <c r="AB451" i="1"/>
  <c r="N491" i="1"/>
  <c r="N498" i="1"/>
  <c r="CB73" i="1"/>
  <c r="CB94" i="1"/>
  <c r="BL48" i="9"/>
  <c r="BL422" i="1"/>
  <c r="BU80" i="9"/>
  <c r="BU119" i="9"/>
  <c r="BC962" i="1"/>
  <c r="BC146" i="1"/>
  <c r="BC90" i="1"/>
  <c r="BQ48" i="9"/>
  <c r="BQ422" i="1"/>
  <c r="BN49" i="9"/>
  <c r="BN713" i="1"/>
  <c r="BL448" i="1"/>
  <c r="F449" i="1"/>
  <c r="F451" i="1"/>
  <c r="AT448" i="1"/>
  <c r="AT415" i="1"/>
  <c r="AT421" i="1"/>
  <c r="AT42" i="9" s="1"/>
  <c r="L90" i="9"/>
  <c r="L130" i="9"/>
  <c r="AO48" i="9"/>
  <c r="AO422" i="1"/>
  <c r="AO49" i="9" s="1"/>
  <c r="AO80" i="9" s="1"/>
  <c r="BL99" i="9"/>
  <c r="BL103" i="9"/>
  <c r="BC378" i="1"/>
  <c r="BC28" i="1"/>
  <c r="BC19" i="9" s="1"/>
  <c r="BC27" i="1"/>
  <c r="BX63" i="1"/>
  <c r="BX64" i="1" s="1"/>
  <c r="BX62" i="1"/>
  <c r="S449" i="1"/>
  <c r="S451" i="1"/>
  <c r="BA170" i="1"/>
  <c r="BA174" i="1"/>
  <c r="BA171" i="1"/>
  <c r="BA172" i="1" s="1"/>
  <c r="BA33" i="1"/>
  <c r="BA35" i="1" s="1"/>
  <c r="AZ31" i="9"/>
  <c r="AZ324" i="1"/>
  <c r="AZ54" i="9" s="1"/>
  <c r="N130" i="9"/>
  <c r="N90" i="9"/>
  <c r="BL1" i="9"/>
  <c r="BL1102" i="1"/>
  <c r="BL1098" i="1"/>
  <c r="BL430" i="1"/>
  <c r="BL3" i="1"/>
  <c r="BL1072" i="1" s="1"/>
  <c r="G4" i="1"/>
  <c r="BL4" i="11"/>
  <c r="BL4" i="12"/>
  <c r="BN130" i="9"/>
  <c r="BN90" i="9"/>
  <c r="BN91" i="9" s="1"/>
  <c r="BN94" i="9" s="1"/>
  <c r="BD8" i="9"/>
  <c r="BD961" i="1"/>
  <c r="BE693" i="1"/>
  <c r="BD691" i="1"/>
  <c r="BD934" i="1" s="1"/>
  <c r="AZ63" i="9"/>
  <c r="S498" i="1"/>
  <c r="S491" i="1"/>
  <c r="Z870" i="1"/>
  <c r="Z967" i="1"/>
  <c r="AY449" i="1"/>
  <c r="AY451" i="1"/>
  <c r="BP491" i="1"/>
  <c r="BP498" i="1"/>
  <c r="AM48" i="9"/>
  <c r="BU973" i="1"/>
  <c r="AM422" i="1"/>
  <c r="AM49" i="9" s="1"/>
  <c r="AM80" i="9" s="1"/>
  <c r="AZ169" i="1"/>
  <c r="AZ103" i="1"/>
  <c r="AZ98" i="1"/>
  <c r="AZ99" i="1" s="1"/>
  <c r="E449" i="1"/>
  <c r="E451" i="1"/>
  <c r="E130" i="9"/>
  <c r="I114" i="9"/>
  <c r="E90" i="9"/>
  <c r="BJ967" i="1"/>
  <c r="BJ870" i="1"/>
  <c r="BK862" i="1"/>
  <c r="BK863" i="1" s="1"/>
  <c r="AO449" i="1"/>
  <c r="AO451" i="1"/>
  <c r="BX85" i="1"/>
  <c r="AC48" i="9"/>
  <c r="AC422" i="1"/>
  <c r="AC49" i="9" s="1"/>
  <c r="AC80" i="9" s="1"/>
  <c r="F130" i="9"/>
  <c r="J114" i="9"/>
  <c r="F90" i="9"/>
  <c r="AW13" i="12"/>
  <c r="AW135" i="12" s="1"/>
  <c r="AW711" i="1"/>
  <c r="AY48" i="9"/>
  <c r="AY422" i="1"/>
  <c r="AY49" i="9" s="1"/>
  <c r="AY80" i="9" s="1"/>
  <c r="F3" i="11"/>
  <c r="F3" i="12"/>
  <c r="F894" i="1"/>
  <c r="U5" i="9"/>
  <c r="U6" i="9" s="1"/>
  <c r="U11" i="9" s="1"/>
  <c r="U710" i="1"/>
  <c r="U459" i="1"/>
  <c r="U463" i="1" s="1"/>
  <c r="T476" i="1"/>
  <c r="T489" i="1" s="1"/>
  <c r="AA463" i="1"/>
  <c r="AA476" i="1" s="1"/>
  <c r="AA489" i="1" s="1"/>
  <c r="BQ476" i="1"/>
  <c r="BQ489" i="1" s="1"/>
  <c r="BR459" i="1"/>
  <c r="AC463" i="1"/>
  <c r="AC476" i="1" s="1"/>
  <c r="AC489" i="1" s="1"/>
  <c r="AB463" i="1"/>
  <c r="AB476" i="1" s="1"/>
  <c r="AB489" i="1" s="1"/>
  <c r="AM449" i="1"/>
  <c r="AM451" i="1"/>
  <c r="AD449" i="1"/>
  <c r="BR448" i="1"/>
  <c r="AD451" i="1"/>
  <c r="BM49" i="9"/>
  <c r="BM713" i="1"/>
  <c r="CA32" i="1"/>
  <c r="CA102" i="1"/>
  <c r="L793" i="1"/>
  <c r="K794" i="1"/>
  <c r="T449" i="1"/>
  <c r="T451" i="1"/>
  <c r="BR80" i="9"/>
  <c r="BR119" i="9"/>
  <c r="AG13" i="12"/>
  <c r="AG135" i="12" s="1"/>
  <c r="AG711" i="1"/>
  <c r="S48" i="9"/>
  <c r="BP973" i="1"/>
  <c r="S422" i="1"/>
  <c r="S49" i="9" s="1"/>
  <c r="S80" i="9" s="1"/>
  <c r="AC449" i="1"/>
  <c r="AC451" i="1"/>
  <c r="BS119" i="9"/>
  <c r="BS80" i="9"/>
  <c r="BB146" i="1"/>
  <c r="BX146" i="1" s="1"/>
  <c r="BB90" i="1"/>
  <c r="AV13" i="12"/>
  <c r="AV135" i="12" s="1"/>
  <c r="AV711" i="1"/>
  <c r="N449" i="1"/>
  <c r="BN448" i="1"/>
  <c r="N451" i="1"/>
  <c r="BX101" i="1"/>
  <c r="BX95" i="1"/>
  <c r="BX97" i="1" s="1"/>
  <c r="BX31" i="1"/>
  <c r="BW80" i="9"/>
  <c r="BW119" i="9"/>
  <c r="BE940" i="1"/>
  <c r="BF692" i="1"/>
  <c r="BF940" i="1" s="1"/>
  <c r="U130" i="9"/>
  <c r="Y114" i="9"/>
  <c r="U90" i="9"/>
  <c r="BA28" i="9"/>
  <c r="BA905" i="1"/>
  <c r="BA931" i="1"/>
  <c r="BA677" i="1"/>
  <c r="BA189" i="1" s="1"/>
  <c r="BA532" i="1"/>
  <c r="N114" i="9"/>
  <c r="J130" i="9"/>
  <c r="J90" i="9"/>
  <c r="H130" i="9"/>
  <c r="L114" i="9"/>
  <c r="H90" i="9"/>
  <c r="AE449" i="1"/>
  <c r="AE451" i="1"/>
  <c r="CB912" i="1"/>
  <c r="AX448" i="1"/>
  <c r="AX421" i="1"/>
  <c r="AX42" i="9" s="1"/>
  <c r="AX415" i="1"/>
  <c r="X459" i="1"/>
  <c r="X463" i="1" s="1"/>
  <c r="W476" i="1"/>
  <c r="W489" i="1" s="1"/>
  <c r="AD48" i="9"/>
  <c r="AD422" i="1"/>
  <c r="AD49" i="9" s="1"/>
  <c r="AD80" i="9" s="1"/>
  <c r="BN114" i="9"/>
  <c r="BM130" i="9"/>
  <c r="BM90" i="9"/>
  <c r="BM91" i="9" s="1"/>
  <c r="BM94" i="9" s="1"/>
  <c r="AK13" i="12"/>
  <c r="AK135" i="12" s="1"/>
  <c r="AK711" i="1"/>
  <c r="CA53" i="1"/>
  <c r="CA55" i="1"/>
  <c r="AE862" i="1"/>
  <c r="AE863" i="1" s="1"/>
  <c r="AF793" i="1"/>
  <c r="AE794" i="1"/>
  <c r="AA13" i="12"/>
  <c r="AA135" i="12" s="1"/>
  <c r="AA711" i="1"/>
  <c r="BO448" i="1"/>
  <c r="R449" i="1"/>
  <c r="R451" i="1"/>
  <c r="AH130" i="9"/>
  <c r="AH90" i="9"/>
  <c r="AF449" i="1"/>
  <c r="AF451" i="1"/>
  <c r="AD870" i="1"/>
  <c r="AD967" i="1"/>
  <c r="F1090" i="1"/>
  <c r="F1088" i="1" s="1"/>
  <c r="F721" i="1" s="1"/>
  <c r="F1092" i="1"/>
  <c r="F1083" i="1"/>
  <c r="F1081" i="1" s="1"/>
  <c r="F720" i="1" s="1"/>
  <c r="F1078" i="1"/>
  <c r="F1085" i="1"/>
  <c r="F1076" i="1"/>
  <c r="F1074" i="1" s="1"/>
  <c r="F719" i="1" s="1"/>
  <c r="BE53" i="1"/>
  <c r="BE55" i="1" s="1"/>
  <c r="BE47" i="1" s="1"/>
  <c r="AZ106" i="9"/>
  <c r="AZ107" i="9" s="1"/>
  <c r="AX113" i="9"/>
  <c r="T48" i="9"/>
  <c r="T422" i="1"/>
  <c r="T49" i="9" s="1"/>
  <c r="T80" i="9" s="1"/>
  <c r="BR870" i="1"/>
  <c r="BR967" i="1"/>
  <c r="BC31" i="1"/>
  <c r="BC101" i="1"/>
  <c r="BC97" i="1"/>
  <c r="BC95" i="1"/>
  <c r="R48" i="9"/>
  <c r="R114" i="9" s="1"/>
  <c r="R422" i="1"/>
  <c r="R49" i="9" s="1"/>
  <c r="R80" i="9" s="1"/>
  <c r="BS973" i="1"/>
  <c r="AE48" i="9"/>
  <c r="AE422" i="1"/>
  <c r="AE49" i="9" s="1"/>
  <c r="AE80" i="9" s="1"/>
  <c r="G130" i="9"/>
  <c r="K114" i="9"/>
  <c r="G90" i="9"/>
  <c r="G114" i="9"/>
  <c r="AJ13" i="12"/>
  <c r="AJ135" i="12" s="1"/>
  <c r="AJ711" i="1"/>
  <c r="AQ449" i="1"/>
  <c r="AQ451" i="1"/>
  <c r="K13" i="12"/>
  <c r="K135" i="12" s="1"/>
  <c r="K711" i="1"/>
  <c r="Z48" i="9"/>
  <c r="Z422" i="1"/>
  <c r="Z49" i="9" s="1"/>
  <c r="Z80" i="9" s="1"/>
  <c r="D130" i="9"/>
  <c r="H114" i="9"/>
  <c r="D90" i="9"/>
  <c r="AF48" i="9"/>
  <c r="AF422" i="1"/>
  <c r="AF49" i="9" s="1"/>
  <c r="AF80" i="9" s="1"/>
  <c r="BO48" i="9"/>
  <c r="BO114" i="9" s="1"/>
  <c r="BO422" i="1"/>
  <c r="Y13" i="12"/>
  <c r="Y135" i="12" s="1"/>
  <c r="Y711" i="1"/>
  <c r="BJ90" i="9"/>
  <c r="BJ91" i="9" s="1"/>
  <c r="BJ94" i="9" s="1"/>
  <c r="BJ130" i="9"/>
  <c r="Q449" i="1"/>
  <c r="Q451" i="1"/>
  <c r="BZ947" i="1"/>
  <c r="BY729" i="1"/>
  <c r="C13" i="12"/>
  <c r="C135" i="12" s="1"/>
  <c r="C711" i="1"/>
  <c r="BA164" i="1"/>
  <c r="BA148" i="1" s="1"/>
  <c r="BA154" i="1"/>
  <c r="BA159" i="1"/>
  <c r="AN48" i="9"/>
  <c r="AN422" i="1"/>
  <c r="AN49" i="9" s="1"/>
  <c r="AN80" i="9" s="1"/>
  <c r="BB95" i="1"/>
  <c r="BB97" i="1" s="1"/>
  <c r="BB31" i="1"/>
  <c r="BB101" i="1"/>
  <c r="BP48" i="9"/>
  <c r="BP422" i="1"/>
  <c r="L449" i="1"/>
  <c r="L451" i="1"/>
  <c r="D449" i="1"/>
  <c r="D451" i="1"/>
  <c r="AI13" i="12"/>
  <c r="AI135" i="12" s="1"/>
  <c r="AI711" i="1"/>
  <c r="AZ30" i="9"/>
  <c r="AZ323" i="1"/>
  <c r="AZ53" i="9" s="1"/>
  <c r="BF923" i="1"/>
  <c r="AR449" i="1"/>
  <c r="AR451" i="1"/>
  <c r="J449" i="1"/>
  <c r="BM448" i="1"/>
  <c r="J451" i="1"/>
  <c r="BY952" i="1"/>
  <c r="BF728" i="1"/>
  <c r="BF10" i="9" s="1"/>
  <c r="BC89" i="1"/>
  <c r="BC91" i="1" s="1"/>
  <c r="Q48" i="9"/>
  <c r="Q422" i="1"/>
  <c r="Q49" i="9" s="1"/>
  <c r="Q80" i="9" s="1"/>
  <c r="AZ808" i="1"/>
  <c r="AZ332" i="1"/>
  <c r="BB89" i="1"/>
  <c r="BB91" i="1" s="1"/>
  <c r="BV48" i="9"/>
  <c r="BV422" i="1"/>
  <c r="AH5" i="9"/>
  <c r="AH6" i="9" s="1"/>
  <c r="AH11" i="9" s="1"/>
  <c r="AH710" i="1"/>
  <c r="AL48" i="9"/>
  <c r="AL422" i="1"/>
  <c r="AL49" i="9" s="1"/>
  <c r="AL80" i="9" s="1"/>
  <c r="BT973" i="1"/>
  <c r="BA962" i="1"/>
  <c r="AQ48" i="9"/>
  <c r="BV973" i="1"/>
  <c r="AQ422" i="1"/>
  <c r="AQ49" i="9" s="1"/>
  <c r="AQ80" i="9" s="1"/>
  <c r="BB378" i="1"/>
  <c r="BB28" i="1"/>
  <c r="BB19" i="9" s="1"/>
  <c r="BB27" i="1"/>
  <c r="AN449" i="1"/>
  <c r="AN451" i="1"/>
  <c r="BK13" i="12"/>
  <c r="BK135" i="12" s="1"/>
  <c r="BK711" i="1"/>
  <c r="BK716" i="1"/>
  <c r="Z449" i="1"/>
  <c r="BQ448" i="1"/>
  <c r="Z451" i="1"/>
  <c r="BD93" i="1"/>
  <c r="BD62" i="1"/>
  <c r="H449" i="1"/>
  <c r="H451" i="1"/>
  <c r="BL1099" i="1" l="1"/>
  <c r="BL1097" i="1"/>
  <c r="BL1095" i="1" s="1"/>
  <c r="BL723" i="1" s="1"/>
  <c r="AU5" i="9"/>
  <c r="AU6" i="9" s="1"/>
  <c r="AU11" i="9" s="1"/>
  <c r="AU710" i="1"/>
  <c r="F91" i="9"/>
  <c r="AU130" i="9"/>
  <c r="AU90" i="9"/>
  <c r="CB939" i="1"/>
  <c r="CB694" i="1" s="1"/>
  <c r="CB9" i="9" s="1"/>
  <c r="CA694" i="1"/>
  <c r="CA9" i="9" s="1"/>
  <c r="BT49" i="9"/>
  <c r="BT713" i="1"/>
  <c r="F895" i="1"/>
  <c r="BU114" i="9"/>
  <c r="BT90" i="9"/>
  <c r="BT91" i="9" s="1"/>
  <c r="BT94" i="9" s="1"/>
  <c r="BT130" i="9"/>
  <c r="BT114" i="9"/>
  <c r="BE48" i="1"/>
  <c r="BE49" i="1"/>
  <c r="BE17" i="1"/>
  <c r="BE83" i="1"/>
  <c r="BE61" i="1"/>
  <c r="E5" i="9"/>
  <c r="E6" i="9" s="1"/>
  <c r="E11" i="9" s="1"/>
  <c r="E710" i="1"/>
  <c r="BA383" i="1"/>
  <c r="BA150" i="1"/>
  <c r="BA152" i="1" s="1"/>
  <c r="BA149" i="1"/>
  <c r="AL5" i="9"/>
  <c r="AL6" i="9" s="1"/>
  <c r="AL11" i="9" s="1"/>
  <c r="AL710" i="1"/>
  <c r="D5" i="9"/>
  <c r="D6" i="9" s="1"/>
  <c r="D11" i="9" s="1"/>
  <c r="D710" i="1"/>
  <c r="BX24" i="9"/>
  <c r="BX58" i="1"/>
  <c r="BX25" i="9" s="1"/>
  <c r="BX79" i="1"/>
  <c r="BX15" i="1"/>
  <c r="BB28" i="9"/>
  <c r="BB931" i="1"/>
  <c r="BB905" i="1"/>
  <c r="BX905" i="1" s="1"/>
  <c r="BB677" i="1"/>
  <c r="BB532" i="1"/>
  <c r="BW114" i="9"/>
  <c r="BV130" i="9"/>
  <c r="BV90" i="9"/>
  <c r="BV91" i="9" s="1"/>
  <c r="BV94" i="9" s="1"/>
  <c r="BV114" i="9"/>
  <c r="BA160" i="1"/>
  <c r="BA386" i="1"/>
  <c r="AE130" i="9"/>
  <c r="AI114" i="9"/>
  <c r="AE90" i="9"/>
  <c r="AE114" i="9"/>
  <c r="AE5" i="9"/>
  <c r="AE6" i="9" s="1"/>
  <c r="AE11" i="9" s="1"/>
  <c r="AE710" i="1"/>
  <c r="AC5" i="9"/>
  <c r="AC6" i="9" s="1"/>
  <c r="AC11" i="9" s="1"/>
  <c r="AC710" i="1"/>
  <c r="M793" i="1"/>
  <c r="L794" i="1"/>
  <c r="AB498" i="1"/>
  <c r="AB491" i="1"/>
  <c r="BX90" i="1"/>
  <c r="S5" i="9"/>
  <c r="S6" i="9" s="1"/>
  <c r="S11" i="9" s="1"/>
  <c r="S710" i="1"/>
  <c r="L91" i="9"/>
  <c r="L94" i="9" s="1"/>
  <c r="M91" i="9"/>
  <c r="M94" i="9" s="1"/>
  <c r="BT449" i="1"/>
  <c r="BT451" i="1"/>
  <c r="BA823" i="1"/>
  <c r="BA935" i="1"/>
  <c r="BD31" i="1"/>
  <c r="BD101" i="1"/>
  <c r="BD95" i="1"/>
  <c r="AR5" i="9"/>
  <c r="AR6" i="9" s="1"/>
  <c r="AR11" i="9" s="1"/>
  <c r="AR710" i="1"/>
  <c r="L5" i="9"/>
  <c r="L6" i="9" s="1"/>
  <c r="L11" i="9" s="1"/>
  <c r="L710" i="1"/>
  <c r="BA385" i="1"/>
  <c r="BA155" i="1"/>
  <c r="BO449" i="1"/>
  <c r="BO451" i="1"/>
  <c r="BA816" i="1"/>
  <c r="AC498" i="1"/>
  <c r="AC491" i="1"/>
  <c r="BX89" i="1"/>
  <c r="BX91" i="1" s="1"/>
  <c r="N91" i="9"/>
  <c r="N94" i="9" s="1"/>
  <c r="BC154" i="1"/>
  <c r="BC159" i="1"/>
  <c r="BC164" i="1"/>
  <c r="Q498" i="1"/>
  <c r="Q491" i="1"/>
  <c r="BD146" i="1"/>
  <c r="BD90" i="1"/>
  <c r="BD91" i="1" s="1"/>
  <c r="BM449" i="1"/>
  <c r="BM451" i="1"/>
  <c r="BX103" i="1"/>
  <c r="BX98" i="1"/>
  <c r="BX99" i="1" s="1"/>
  <c r="X130" i="9"/>
  <c r="AB114" i="9"/>
  <c r="X90" i="9"/>
  <c r="Z5" i="9"/>
  <c r="Z6" i="9" s="1"/>
  <c r="Z11" i="9" s="1"/>
  <c r="Z710" i="1"/>
  <c r="AJ91" i="9"/>
  <c r="AJ94" i="9" s="1"/>
  <c r="H91" i="9"/>
  <c r="H94" i="9" s="1"/>
  <c r="I91" i="9"/>
  <c r="I94" i="9" s="1"/>
  <c r="N5" i="9"/>
  <c r="N6" i="9" s="1"/>
  <c r="N11" i="9" s="1"/>
  <c r="N710" i="1"/>
  <c r="AO5" i="9"/>
  <c r="AO6" i="9" s="1"/>
  <c r="AO11" i="9" s="1"/>
  <c r="AO710" i="1"/>
  <c r="R491" i="1"/>
  <c r="R498" i="1"/>
  <c r="R5" i="9"/>
  <c r="R6" i="9" s="1"/>
  <c r="R11" i="9" s="1"/>
  <c r="R710" i="1"/>
  <c r="BA387" i="1"/>
  <c r="BA165" i="1"/>
  <c r="T130" i="9"/>
  <c r="X114" i="9"/>
  <c r="T90" i="9"/>
  <c r="BQ449" i="1"/>
  <c r="BQ451" i="1"/>
  <c r="AQ130" i="9"/>
  <c r="AU114" i="9"/>
  <c r="AQ90" i="9"/>
  <c r="BP49" i="9"/>
  <c r="BP713" i="1"/>
  <c r="BA147" i="1"/>
  <c r="BA181" i="1" s="1"/>
  <c r="BA575" i="1" s="1"/>
  <c r="BO49" i="9"/>
  <c r="BO713" i="1"/>
  <c r="AQ5" i="9"/>
  <c r="AQ6" i="9" s="1"/>
  <c r="AQ11" i="9" s="1"/>
  <c r="AQ710" i="1"/>
  <c r="BN449" i="1"/>
  <c r="BN451" i="1"/>
  <c r="BQ498" i="1"/>
  <c r="BQ491" i="1"/>
  <c r="AY130" i="9"/>
  <c r="AY90" i="9"/>
  <c r="AY114" i="9"/>
  <c r="AZ148" i="1"/>
  <c r="AZ170" i="1"/>
  <c r="AZ174" i="1"/>
  <c r="AZ171" i="1"/>
  <c r="AZ172" i="1" s="1"/>
  <c r="AZ33" i="1"/>
  <c r="AZ35" i="1" s="1"/>
  <c r="AT48" i="9"/>
  <c r="AT422" i="1"/>
  <c r="AT49" i="9" s="1"/>
  <c r="AT80" i="9" s="1"/>
  <c r="BD378" i="1"/>
  <c r="BD28" i="1"/>
  <c r="BD19" i="9" s="1"/>
  <c r="BD27" i="1"/>
  <c r="V130" i="9"/>
  <c r="V90" i="9"/>
  <c r="Z114" i="9"/>
  <c r="BK121" i="9"/>
  <c r="BK120" i="9"/>
  <c r="BK124" i="9"/>
  <c r="BY923" i="1"/>
  <c r="AD130" i="9"/>
  <c r="AH114" i="9"/>
  <c r="AD90" i="9"/>
  <c r="S130" i="9"/>
  <c r="W114" i="9"/>
  <c r="S90" i="9"/>
  <c r="S114" i="9"/>
  <c r="AA498" i="1"/>
  <c r="AA491" i="1"/>
  <c r="BK967" i="1"/>
  <c r="BK870" i="1"/>
  <c r="BL862" i="1"/>
  <c r="BL863" i="1" s="1"/>
  <c r="C862" i="1"/>
  <c r="C863" i="1" s="1"/>
  <c r="G1" i="9"/>
  <c r="G1102" i="1"/>
  <c r="G1098" i="1"/>
  <c r="G430" i="1"/>
  <c r="G3" i="1"/>
  <c r="G1072" i="1" s="1"/>
  <c r="H4" i="1"/>
  <c r="G4" i="12"/>
  <c r="G4" i="11"/>
  <c r="AT449" i="1"/>
  <c r="BV448" i="1"/>
  <c r="AT451" i="1"/>
  <c r="AB130" i="9"/>
  <c r="AF114" i="9"/>
  <c r="AB90" i="9"/>
  <c r="G5" i="9"/>
  <c r="G6" i="9" s="1"/>
  <c r="G11" i="9" s="1"/>
  <c r="G710" i="1"/>
  <c r="Z130" i="9"/>
  <c r="AD114" i="9"/>
  <c r="Z90" i="9"/>
  <c r="BA394" i="1"/>
  <c r="BQ130" i="9"/>
  <c r="BR114" i="9"/>
  <c r="BQ90" i="9"/>
  <c r="BQ91" i="9" s="1"/>
  <c r="BQ94" i="9" s="1"/>
  <c r="AB5" i="9"/>
  <c r="AB6" i="9" s="1"/>
  <c r="AB11" i="9" s="1"/>
  <c r="AB710" i="1"/>
  <c r="AZ948" i="1"/>
  <c r="BP130" i="9"/>
  <c r="BQ114" i="9"/>
  <c r="BP90" i="9"/>
  <c r="BP91" i="9" s="1"/>
  <c r="BP94" i="9" s="1"/>
  <c r="BO130" i="9"/>
  <c r="BP114" i="9"/>
  <c r="BO90" i="9"/>
  <c r="BO91" i="9" s="1"/>
  <c r="BO94" i="9" s="1"/>
  <c r="R130" i="9"/>
  <c r="V114" i="9"/>
  <c r="R90" i="9"/>
  <c r="AF5" i="9"/>
  <c r="AF6" i="9" s="1"/>
  <c r="AF11" i="9" s="1"/>
  <c r="AF710" i="1"/>
  <c r="W498" i="1"/>
  <c r="W491" i="1"/>
  <c r="J91" i="9"/>
  <c r="J94" i="9" s="1"/>
  <c r="K91" i="9"/>
  <c r="K94" i="9" s="1"/>
  <c r="BM119" i="9"/>
  <c r="BM80" i="9"/>
  <c r="T491" i="1"/>
  <c r="T498" i="1"/>
  <c r="E893" i="1"/>
  <c r="D893" i="1"/>
  <c r="C893" i="1"/>
  <c r="F893" i="1"/>
  <c r="BL3" i="12"/>
  <c r="C892" i="1"/>
  <c r="D702" i="1"/>
  <c r="E702" i="1"/>
  <c r="E892" i="1"/>
  <c r="C702" i="1"/>
  <c r="F892" i="1"/>
  <c r="D892" i="1"/>
  <c r="BL3" i="11"/>
  <c r="F702" i="1"/>
  <c r="C895" i="1"/>
  <c r="C894" i="1"/>
  <c r="D894" i="1"/>
  <c r="D895" i="1"/>
  <c r="E895" i="1"/>
  <c r="E894" i="1"/>
  <c r="F5" i="9"/>
  <c r="F6" i="9" s="1"/>
  <c r="F11" i="9" s="1"/>
  <c r="F710" i="1"/>
  <c r="BL49" i="9"/>
  <c r="BL713" i="1"/>
  <c r="V5" i="9"/>
  <c r="V6" i="9" s="1"/>
  <c r="V11" i="9" s="1"/>
  <c r="V710" i="1"/>
  <c r="O91" i="9"/>
  <c r="O94" i="9" s="1"/>
  <c r="BC28" i="9"/>
  <c r="BC905" i="1"/>
  <c r="BC931" i="1"/>
  <c r="BC677" i="1"/>
  <c r="BC189" i="1" s="1"/>
  <c r="BC532" i="1"/>
  <c r="BM114" i="9"/>
  <c r="BL130" i="9"/>
  <c r="BL90" i="9"/>
  <c r="BL91" i="9" s="1"/>
  <c r="BL94" i="9" s="1"/>
  <c r="BL114" i="9"/>
  <c r="P5" i="9"/>
  <c r="P6" i="9" s="1"/>
  <c r="P11" i="9" s="1"/>
  <c r="P710" i="1"/>
  <c r="P130" i="9"/>
  <c r="T114" i="9"/>
  <c r="P90" i="9"/>
  <c r="P91" i="9" s="1"/>
  <c r="P94" i="9" s="1"/>
  <c r="BK714" i="1"/>
  <c r="BK717" i="1"/>
  <c r="Q130" i="9"/>
  <c r="U114" i="9"/>
  <c r="Q90" i="9"/>
  <c r="Q114" i="9"/>
  <c r="AF130" i="9"/>
  <c r="AJ114" i="9"/>
  <c r="AF90" i="9"/>
  <c r="BC169" i="1"/>
  <c r="BC103" i="1"/>
  <c r="BC98" i="1"/>
  <c r="AG793" i="1"/>
  <c r="AF794" i="1"/>
  <c r="Y459" i="1"/>
  <c r="Y463" i="1" s="1"/>
  <c r="X476" i="1"/>
  <c r="X489" i="1" s="1"/>
  <c r="BY940" i="1"/>
  <c r="V459" i="1"/>
  <c r="V463" i="1" s="1"/>
  <c r="V476" i="1" s="1"/>
  <c r="V489" i="1" s="1"/>
  <c r="U476" i="1"/>
  <c r="U489" i="1" s="1"/>
  <c r="CA947" i="1"/>
  <c r="BZ729" i="1"/>
  <c r="AE967" i="1"/>
  <c r="AE870" i="1"/>
  <c r="AF862" i="1"/>
  <c r="AF863" i="1" s="1"/>
  <c r="AX48" i="9"/>
  <c r="AX422" i="1"/>
  <c r="AX49" i="9" s="1"/>
  <c r="AX80" i="9" s="1"/>
  <c r="BW973" i="1"/>
  <c r="AD5" i="9"/>
  <c r="AD6" i="9" s="1"/>
  <c r="AD11" i="9" s="1"/>
  <c r="AD710" i="1"/>
  <c r="U13" i="12"/>
  <c r="U135" i="12" s="1"/>
  <c r="U711" i="1"/>
  <c r="AM130" i="9"/>
  <c r="AQ114" i="9"/>
  <c r="AM90" i="9"/>
  <c r="AM114" i="9"/>
  <c r="BE8" i="9"/>
  <c r="BE961" i="1"/>
  <c r="BF693" i="1"/>
  <c r="BE691" i="1"/>
  <c r="BE934" i="1" s="1"/>
  <c r="BL1090" i="1"/>
  <c r="BL1088" i="1" s="1"/>
  <c r="BL721" i="1" s="1"/>
  <c r="BL1092" i="1"/>
  <c r="BL1083" i="1"/>
  <c r="BL1081" i="1" s="1"/>
  <c r="BL720" i="1" s="1"/>
  <c r="BL1085" i="1"/>
  <c r="BL1076" i="1"/>
  <c r="BL1074" i="1" s="1"/>
  <c r="BL719" i="1" s="1"/>
  <c r="BL1078" i="1"/>
  <c r="BL449" i="1"/>
  <c r="BL451" i="1"/>
  <c r="CB32" i="1"/>
  <c r="CB102" i="1"/>
  <c r="BP449" i="1"/>
  <c r="BP451" i="1"/>
  <c r="BV49" i="9"/>
  <c r="BV713" i="1"/>
  <c r="AL130" i="9"/>
  <c r="AL90" i="9"/>
  <c r="AL91" i="9" s="1"/>
  <c r="AL94" i="9" s="1"/>
  <c r="BC99" i="1"/>
  <c r="BX378" i="1"/>
  <c r="BB159" i="1"/>
  <c r="BX159" i="1" s="1"/>
  <c r="BB164" i="1"/>
  <c r="BB154" i="1"/>
  <c r="BX154" i="1" s="1"/>
  <c r="BR449" i="1"/>
  <c r="BR451" i="1"/>
  <c r="X5" i="9"/>
  <c r="X6" i="9" s="1"/>
  <c r="X11" i="9" s="1"/>
  <c r="X710" i="1"/>
  <c r="AN5" i="9"/>
  <c r="AN6" i="9" s="1"/>
  <c r="AN11" i="9" s="1"/>
  <c r="AN710" i="1"/>
  <c r="BB169" i="1"/>
  <c r="BB103" i="1"/>
  <c r="BB98" i="1"/>
  <c r="BB99" i="1" s="1"/>
  <c r="G91" i="9"/>
  <c r="G94" i="9" s="1"/>
  <c r="BE22" i="9"/>
  <c r="BE78" i="1"/>
  <c r="BE54" i="1"/>
  <c r="BE23" i="9" s="1"/>
  <c r="BE14" i="1"/>
  <c r="BF51" i="1"/>
  <c r="AH13" i="12"/>
  <c r="AH135" i="12" s="1"/>
  <c r="AH711" i="1"/>
  <c r="BZ952" i="1"/>
  <c r="BY728" i="1"/>
  <c r="BY10" i="9" s="1"/>
  <c r="Q5" i="9"/>
  <c r="Q6" i="9" s="1"/>
  <c r="Q11" i="9" s="1"/>
  <c r="Q710" i="1"/>
  <c r="CA22" i="9"/>
  <c r="CA78" i="1"/>
  <c r="CA54" i="1"/>
  <c r="CA23" i="9" s="1"/>
  <c r="CA14" i="1"/>
  <c r="CB51" i="1"/>
  <c r="AX449" i="1"/>
  <c r="BW448" i="1"/>
  <c r="AX451" i="1"/>
  <c r="BB962" i="1"/>
  <c r="T5" i="9"/>
  <c r="T6" i="9" s="1"/>
  <c r="T11" i="9" s="1"/>
  <c r="T710" i="1"/>
  <c r="BA176" i="1"/>
  <c r="BA177" i="1"/>
  <c r="BA179" i="1" s="1"/>
  <c r="BN80" i="9"/>
  <c r="BN119" i="9"/>
  <c r="BU448" i="1"/>
  <c r="AP449" i="1"/>
  <c r="AP451" i="1"/>
  <c r="AR130" i="9"/>
  <c r="AV114" i="9"/>
  <c r="AR90" i="9"/>
  <c r="H5" i="9"/>
  <c r="H6" i="9" s="1"/>
  <c r="H11" i="9" s="1"/>
  <c r="H710" i="1"/>
  <c r="J5" i="9"/>
  <c r="J6" i="9" s="1"/>
  <c r="J11" i="9" s="1"/>
  <c r="J710" i="1"/>
  <c r="AN130" i="9"/>
  <c r="AR114" i="9"/>
  <c r="AN90" i="9"/>
  <c r="AN114" i="9"/>
  <c r="AL114" i="9"/>
  <c r="BA533" i="1"/>
  <c r="BA534" i="1" s="1"/>
  <c r="BA541" i="1"/>
  <c r="BA538" i="1"/>
  <c r="AM5" i="9"/>
  <c r="AM6" i="9" s="1"/>
  <c r="AM11" i="9" s="1"/>
  <c r="AM710" i="1"/>
  <c r="AC130" i="9"/>
  <c r="AG114" i="9"/>
  <c r="AC90" i="9"/>
  <c r="AC114" i="9"/>
  <c r="AK91" i="9"/>
  <c r="AK94" i="9" s="1"/>
  <c r="AY5" i="9"/>
  <c r="AY6" i="9" s="1"/>
  <c r="AY11" i="9" s="1"/>
  <c r="AY710" i="1"/>
  <c r="AO130" i="9"/>
  <c r="AS114" i="9"/>
  <c r="AO90" i="9"/>
  <c r="AO114" i="9"/>
  <c r="BQ49" i="9"/>
  <c r="BQ713" i="1"/>
  <c r="AP48" i="9"/>
  <c r="AP422" i="1"/>
  <c r="AP49" i="9" s="1"/>
  <c r="AP80" i="9" s="1"/>
  <c r="BS5" i="9"/>
  <c r="BS6" i="9" s="1"/>
  <c r="BS710" i="1"/>
  <c r="AN91" i="9" l="1"/>
  <c r="AN94" i="9" s="1"/>
  <c r="AB91" i="9"/>
  <c r="AB94" i="9" s="1"/>
  <c r="U91" i="9"/>
  <c r="U94" i="9" s="1"/>
  <c r="AC91" i="9"/>
  <c r="AC94" i="9" s="1"/>
  <c r="BT119" i="9"/>
  <c r="BT80" i="9"/>
  <c r="T91" i="9"/>
  <c r="T94" i="9" s="1"/>
  <c r="BB816" i="1"/>
  <c r="Q91" i="9"/>
  <c r="Q94" i="9" s="1"/>
  <c r="AU13" i="12"/>
  <c r="AU135" i="12" s="1"/>
  <c r="AU711" i="1"/>
  <c r="BX155" i="1"/>
  <c r="BX156" i="1"/>
  <c r="BX157" i="1" s="1"/>
  <c r="G1092" i="1"/>
  <c r="G1083" i="1"/>
  <c r="G1081" i="1" s="1"/>
  <c r="G720" i="1" s="1"/>
  <c r="G1085" i="1"/>
  <c r="G1076" i="1"/>
  <c r="G1074" i="1" s="1"/>
  <c r="G719" i="1" s="1"/>
  <c r="G1078" i="1"/>
  <c r="G1090" i="1"/>
  <c r="G1088" i="1" s="1"/>
  <c r="G721" i="1" s="1"/>
  <c r="G1099" i="1"/>
  <c r="G1097" i="1"/>
  <c r="G1095" i="1" s="1"/>
  <c r="G723" i="1" s="1"/>
  <c r="AP130" i="9"/>
  <c r="AT114" i="9"/>
  <c r="AP90" i="9"/>
  <c r="AP91" i="9" s="1"/>
  <c r="AP94" i="9" s="1"/>
  <c r="BR5" i="9"/>
  <c r="BR6" i="9" s="1"/>
  <c r="BR710" i="1"/>
  <c r="E13" i="12"/>
  <c r="E135" i="12" s="1"/>
  <c r="E711" i="1"/>
  <c r="AD13" i="12"/>
  <c r="AD135" i="12" s="1"/>
  <c r="AD711" i="1"/>
  <c r="BA106" i="9"/>
  <c r="BA107" i="9" s="1"/>
  <c r="BQ80" i="9"/>
  <c r="BQ119" i="9"/>
  <c r="AF91" i="9"/>
  <c r="AF94" i="9" s="1"/>
  <c r="AG91" i="9"/>
  <c r="AG94" i="9" s="1"/>
  <c r="N13" i="12"/>
  <c r="N135" i="12" s="1"/>
  <c r="N711" i="1"/>
  <c r="BB387" i="1"/>
  <c r="BX387" i="1" s="1"/>
  <c r="BB165" i="1"/>
  <c r="V491" i="1"/>
  <c r="V498" i="1"/>
  <c r="AB13" i="12"/>
  <c r="AB135" i="12" s="1"/>
  <c r="AB711" i="1"/>
  <c r="S91" i="9"/>
  <c r="S94" i="9" s="1"/>
  <c r="V91" i="9"/>
  <c r="V94" i="9" s="1"/>
  <c r="W91" i="9"/>
  <c r="W94" i="9" s="1"/>
  <c r="AZ383" i="1"/>
  <c r="AZ149" i="1"/>
  <c r="AZ150" i="1"/>
  <c r="AZ152" i="1" s="1"/>
  <c r="AZ147" i="1"/>
  <c r="AZ181" i="1" s="1"/>
  <c r="AZ575" i="1" s="1"/>
  <c r="BC385" i="1"/>
  <c r="BC155" i="1"/>
  <c r="N793" i="1"/>
  <c r="M794" i="1"/>
  <c r="BC174" i="1"/>
  <c r="BC171" i="1"/>
  <c r="BC172" i="1" s="1"/>
  <c r="BC148" i="1"/>
  <c r="BC170" i="1"/>
  <c r="BC33" i="1"/>
  <c r="BC35" i="1" s="1"/>
  <c r="AQ13" i="12"/>
  <c r="AQ135" i="12" s="1"/>
  <c r="AQ711" i="1"/>
  <c r="H13" i="12"/>
  <c r="H135" i="12" s="1"/>
  <c r="H711" i="1"/>
  <c r="AO91" i="9"/>
  <c r="AO94" i="9" s="1"/>
  <c r="AS91" i="9"/>
  <c r="AS94" i="9" s="1"/>
  <c r="CA952" i="1"/>
  <c r="BZ728" i="1"/>
  <c r="BZ10" i="9" s="1"/>
  <c r="BB386" i="1"/>
  <c r="BB160" i="1"/>
  <c r="BF8" i="9"/>
  <c r="BF961" i="1"/>
  <c r="BF691" i="1"/>
  <c r="BF934" i="1" s="1"/>
  <c r="BY934" i="1" s="1"/>
  <c r="BY691" i="1" s="1"/>
  <c r="V13" i="12"/>
  <c r="V135" i="12" s="1"/>
  <c r="V711" i="1"/>
  <c r="R91" i="9"/>
  <c r="R94" i="9" s="1"/>
  <c r="BO80" i="9"/>
  <c r="BO119" i="9"/>
  <c r="BX164" i="1"/>
  <c r="BA30" i="9"/>
  <c r="BA323" i="1"/>
  <c r="BA53" i="9" s="1"/>
  <c r="BT5" i="9"/>
  <c r="BT6" i="9" s="1"/>
  <c r="BT710" i="1"/>
  <c r="AC13" i="12"/>
  <c r="AC135" i="12" s="1"/>
  <c r="AC711" i="1"/>
  <c r="J13" i="12"/>
  <c r="J135" i="12" s="1"/>
  <c r="J711" i="1"/>
  <c r="G3" i="12"/>
  <c r="G3" i="11"/>
  <c r="BX160" i="1"/>
  <c r="BX161" i="1"/>
  <c r="BX162" i="1" s="1"/>
  <c r="AX5" i="9"/>
  <c r="AX6" i="9" s="1"/>
  <c r="AX11" i="9" s="1"/>
  <c r="AX710" i="1"/>
  <c r="BB170" i="1"/>
  <c r="BB174" i="1"/>
  <c r="BX174" i="1" s="1"/>
  <c r="BB171" i="1"/>
  <c r="BB172" i="1" s="1"/>
  <c r="BB148" i="1"/>
  <c r="BX148" i="1" s="1"/>
  <c r="BB33" i="1"/>
  <c r="BB35" i="1" s="1"/>
  <c r="BY692" i="1"/>
  <c r="BZ692" i="1" s="1"/>
  <c r="AY91" i="9"/>
  <c r="AY94" i="9" s="1"/>
  <c r="BA576" i="1"/>
  <c r="BA577" i="1" s="1"/>
  <c r="BA581" i="1"/>
  <c r="L13" i="12"/>
  <c r="L135" i="12" s="1"/>
  <c r="L711" i="1"/>
  <c r="D13" i="12"/>
  <c r="D135" i="12" s="1"/>
  <c r="D711" i="1"/>
  <c r="BE93" i="1"/>
  <c r="BE62" i="1"/>
  <c r="BC935" i="1"/>
  <c r="AZ176" i="1"/>
  <c r="AZ177" i="1"/>
  <c r="AZ179" i="1" s="1"/>
  <c r="BC387" i="1"/>
  <c r="BC165" i="1"/>
  <c r="T13" i="12"/>
  <c r="T135" i="12" s="1"/>
  <c r="T711" i="1"/>
  <c r="BW449" i="1"/>
  <c r="BW451" i="1"/>
  <c r="BX28" i="9"/>
  <c r="BX532" i="1"/>
  <c r="BL5" i="9"/>
  <c r="BL6" i="9" s="1"/>
  <c r="BL710" i="1"/>
  <c r="AX130" i="9"/>
  <c r="AX90" i="9"/>
  <c r="AX91" i="9" s="1"/>
  <c r="AX94" i="9" s="1"/>
  <c r="X498" i="1"/>
  <c r="X491" i="1"/>
  <c r="AT5" i="9"/>
  <c r="AT6" i="9" s="1"/>
  <c r="AT11" i="9" s="1"/>
  <c r="AT710" i="1"/>
  <c r="AD91" i="9"/>
  <c r="AD94" i="9" s="1"/>
  <c r="BA32" i="9"/>
  <c r="BA325" i="1"/>
  <c r="BA55" i="9" s="1"/>
  <c r="BM5" i="9"/>
  <c r="BM6" i="9" s="1"/>
  <c r="BM710" i="1"/>
  <c r="AE13" i="12"/>
  <c r="AE135" i="12" s="1"/>
  <c r="AE711" i="1"/>
  <c r="BE85" i="1"/>
  <c r="BE89" i="1" s="1"/>
  <c r="AM13" i="12"/>
  <c r="AM135" i="12" s="1"/>
  <c r="AM711" i="1"/>
  <c r="BB155" i="1"/>
  <c r="BB385" i="1"/>
  <c r="AY13" i="12"/>
  <c r="AY135" i="12" s="1"/>
  <c r="AY711" i="1"/>
  <c r="AP5" i="9"/>
  <c r="AP6" i="9" s="1"/>
  <c r="AP11" i="9" s="1"/>
  <c r="AP710" i="1"/>
  <c r="AN13" i="12"/>
  <c r="AN135" i="12" s="1"/>
  <c r="AN711" i="1"/>
  <c r="AF967" i="1"/>
  <c r="AG862" i="1"/>
  <c r="AG863" i="1" s="1"/>
  <c r="AF870" i="1"/>
  <c r="Z459" i="1"/>
  <c r="Z463" i="1" s="1"/>
  <c r="Z476" i="1" s="1"/>
  <c r="Z489" i="1" s="1"/>
  <c r="Y476" i="1"/>
  <c r="Y489" i="1" s="1"/>
  <c r="BL119" i="9"/>
  <c r="BL80" i="9"/>
  <c r="BV449" i="1"/>
  <c r="BV451" i="1"/>
  <c r="BD28" i="9"/>
  <c r="BD677" i="1"/>
  <c r="BD189" i="1" s="1"/>
  <c r="BD394" i="1" s="1"/>
  <c r="BD905" i="1"/>
  <c r="BD816" i="1" s="1"/>
  <c r="BD931" i="1"/>
  <c r="BD532" i="1"/>
  <c r="BP119" i="9"/>
  <c r="BP80" i="9"/>
  <c r="AR13" i="12"/>
  <c r="AR135" i="12" s="1"/>
  <c r="AR711" i="1"/>
  <c r="AL13" i="12"/>
  <c r="AL135" i="12" s="1"/>
  <c r="AL711" i="1"/>
  <c r="BE18" i="1"/>
  <c r="BE25" i="1"/>
  <c r="BE19" i="1"/>
  <c r="BE17" i="9" s="1"/>
  <c r="BV80" i="9"/>
  <c r="BV119" i="9"/>
  <c r="X91" i="9"/>
  <c r="X94" i="9" s="1"/>
  <c r="Y91" i="9"/>
  <c r="Y94" i="9" s="1"/>
  <c r="BA31" i="9"/>
  <c r="BA324" i="1"/>
  <c r="BA54" i="9" s="1"/>
  <c r="BX386" i="1"/>
  <c r="U498" i="1"/>
  <c r="U491" i="1"/>
  <c r="AF13" i="12"/>
  <c r="AF135" i="12" s="1"/>
  <c r="AF711" i="1"/>
  <c r="CB53" i="1"/>
  <c r="CB55" i="1" s="1"/>
  <c r="AH91" i="9"/>
  <c r="AH94" i="9" s="1"/>
  <c r="AM91" i="9"/>
  <c r="AM94" i="9" s="1"/>
  <c r="F13" i="12"/>
  <c r="F135" i="12" s="1"/>
  <c r="F711" i="1"/>
  <c r="C870" i="1"/>
  <c r="D862" i="1"/>
  <c r="D863" i="1" s="1"/>
  <c r="C967" i="1"/>
  <c r="R13" i="12"/>
  <c r="R135" i="12" s="1"/>
  <c r="R711" i="1"/>
  <c r="S13" i="12"/>
  <c r="S135" i="12" s="1"/>
  <c r="S711" i="1"/>
  <c r="BB533" i="1"/>
  <c r="BB534" i="1" s="1"/>
  <c r="BB541" i="1"/>
  <c r="BB538" i="1"/>
  <c r="CB947" i="1"/>
  <c r="CA729" i="1"/>
  <c r="BO5" i="9"/>
  <c r="BO6" i="9" s="1"/>
  <c r="BO710" i="1"/>
  <c r="Q13" i="12"/>
  <c r="Q135" i="12" s="1"/>
  <c r="Q711" i="1"/>
  <c r="P13" i="12"/>
  <c r="P135" i="12" s="1"/>
  <c r="P711" i="1"/>
  <c r="BC386" i="1"/>
  <c r="BC160" i="1"/>
  <c r="BU449" i="1"/>
  <c r="BU451" i="1"/>
  <c r="BF53" i="1"/>
  <c r="BF55" i="1"/>
  <c r="BF47" i="1" s="1"/>
  <c r="AH793" i="1"/>
  <c r="AG794" i="1"/>
  <c r="BA808" i="1"/>
  <c r="BA332" i="1"/>
  <c r="BL967" i="1"/>
  <c r="G862" i="1"/>
  <c r="G863" i="1" s="1"/>
  <c r="BL870" i="1"/>
  <c r="BM862" i="1"/>
  <c r="BM863" i="1" s="1"/>
  <c r="BZ923" i="1"/>
  <c r="AX114" i="9"/>
  <c r="AT130" i="9"/>
  <c r="AT90" i="9"/>
  <c r="BD154" i="1"/>
  <c r="BD164" i="1"/>
  <c r="BD159" i="1"/>
  <c r="BD169" i="1"/>
  <c r="BD103" i="1"/>
  <c r="BD98" i="1"/>
  <c r="AE91" i="9"/>
  <c r="AE94" i="9" s="1"/>
  <c r="BX677" i="1"/>
  <c r="BX678" i="1" s="1"/>
  <c r="BB189" i="1"/>
  <c r="BP5" i="9"/>
  <c r="BP6" i="9" s="1"/>
  <c r="BP710" i="1"/>
  <c r="BS13" i="12"/>
  <c r="BS135" i="12" s="1"/>
  <c r="BS711" i="1"/>
  <c r="BS716" i="1"/>
  <c r="AP114" i="9"/>
  <c r="BS11" i="9"/>
  <c r="BS123" i="9"/>
  <c r="X13" i="12"/>
  <c r="X135" i="12" s="1"/>
  <c r="X711" i="1"/>
  <c r="BC533" i="1"/>
  <c r="BC534" i="1" s="1"/>
  <c r="BC541" i="1"/>
  <c r="BC538" i="1"/>
  <c r="Z91" i="9"/>
  <c r="Z94" i="9" s="1"/>
  <c r="AA91" i="9"/>
  <c r="AA94" i="9" s="1"/>
  <c r="BX169" i="1"/>
  <c r="BN5" i="9"/>
  <c r="BN6" i="9" s="1"/>
  <c r="BN710" i="1"/>
  <c r="Z13" i="12"/>
  <c r="Z135" i="12" s="1"/>
  <c r="Z711" i="1"/>
  <c r="BD962" i="1"/>
  <c r="BA63" i="9"/>
  <c r="BX816" i="1"/>
  <c r="BD97" i="1"/>
  <c r="BC816" i="1"/>
  <c r="BX873" i="1"/>
  <c r="BX876" i="1" s="1"/>
  <c r="BE60" i="1"/>
  <c r="AO13" i="12"/>
  <c r="AO135" i="12" s="1"/>
  <c r="AO711" i="1"/>
  <c r="G13" i="12"/>
  <c r="G135" i="12" s="1"/>
  <c r="G711" i="1"/>
  <c r="BC394" i="1"/>
  <c r="H1" i="9"/>
  <c r="H1102" i="1"/>
  <c r="H1098" i="1"/>
  <c r="H430" i="1"/>
  <c r="I4" i="1"/>
  <c r="H3" i="1"/>
  <c r="H1072" i="1" s="1"/>
  <c r="H4" i="12"/>
  <c r="H4" i="11"/>
  <c r="BQ5" i="9"/>
  <c r="BQ6" i="9" s="1"/>
  <c r="BQ710" i="1"/>
  <c r="BX962" i="1"/>
  <c r="BB823" i="1"/>
  <c r="BX823" i="1" s="1"/>
  <c r="BX931" i="1"/>
  <c r="BB935" i="1"/>
  <c r="BA388" i="1"/>
  <c r="BA320" i="1"/>
  <c r="BA382" i="1"/>
  <c r="AI91" i="9"/>
  <c r="AI94" i="9" s="1"/>
  <c r="AQ91" i="9" l="1"/>
  <c r="AQ94" i="9" s="1"/>
  <c r="AR91" i="9"/>
  <c r="AR94" i="9" s="1"/>
  <c r="BB63" i="9"/>
  <c r="H1092" i="1"/>
  <c r="H1083" i="1"/>
  <c r="H1081" i="1" s="1"/>
  <c r="H720" i="1" s="1"/>
  <c r="H1085" i="1"/>
  <c r="H1076" i="1"/>
  <c r="H1074" i="1" s="1"/>
  <c r="H719" i="1" s="1"/>
  <c r="H1078" i="1"/>
  <c r="H1090" i="1"/>
  <c r="H1088" i="1" s="1"/>
  <c r="H721" i="1" s="1"/>
  <c r="H1099" i="1"/>
  <c r="H1097" i="1"/>
  <c r="H1095" i="1" s="1"/>
  <c r="H723" i="1" s="1"/>
  <c r="BX177" i="1"/>
  <c r="BX179" i="1" s="1"/>
  <c r="BX176" i="1"/>
  <c r="BF48" i="1"/>
  <c r="BF49" i="1"/>
  <c r="BF17" i="1"/>
  <c r="BF83" i="1"/>
  <c r="BF61" i="1"/>
  <c r="BY47" i="1"/>
  <c r="BE378" i="1"/>
  <c r="BE962" i="1" s="1"/>
  <c r="BE28" i="1"/>
  <c r="BE19" i="9" s="1"/>
  <c r="BE27" i="1"/>
  <c r="D967" i="1"/>
  <c r="E862" i="1"/>
  <c r="E863" i="1" s="1"/>
  <c r="D870" i="1"/>
  <c r="BC32" i="9"/>
  <c r="BC325" i="1"/>
  <c r="BC55" i="9" s="1"/>
  <c r="BN862" i="1"/>
  <c r="BN863" i="1" s="1"/>
  <c r="K862" i="1"/>
  <c r="K863" i="1" s="1"/>
  <c r="BM870" i="1"/>
  <c r="BM967" i="1"/>
  <c r="BX32" i="9"/>
  <c r="BX325" i="1"/>
  <c r="BX55" i="9" s="1"/>
  <c r="BL11" i="9"/>
  <c r="BL123" i="9"/>
  <c r="AX13" i="12"/>
  <c r="AX135" i="12" s="1"/>
  <c r="AX711" i="1"/>
  <c r="BT13" i="12"/>
  <c r="BT135" i="12" s="1"/>
  <c r="BT711" i="1"/>
  <c r="BT716" i="1"/>
  <c r="BX63" i="9"/>
  <c r="BM13" i="12"/>
  <c r="BM135" i="12" s="1"/>
  <c r="BM711" i="1"/>
  <c r="BM716" i="1"/>
  <c r="BC808" i="1"/>
  <c r="BC332" i="1"/>
  <c r="BS121" i="9"/>
  <c r="BS120" i="9"/>
  <c r="BS124" i="9"/>
  <c r="BD174" i="1"/>
  <c r="BD171" i="1"/>
  <c r="BD172" i="1" s="1"/>
  <c r="BD170" i="1"/>
  <c r="BD148" i="1"/>
  <c r="BD33" i="1"/>
  <c r="BD35" i="1" s="1"/>
  <c r="BX31" i="9"/>
  <c r="BX324" i="1"/>
  <c r="BX54" i="9" s="1"/>
  <c r="BT11" i="9"/>
  <c r="BT123" i="9"/>
  <c r="BQ11" i="9"/>
  <c r="BQ123" i="9"/>
  <c r="CB729" i="1"/>
  <c r="BV5" i="9"/>
  <c r="BV6" i="9" s="1"/>
  <c r="BV710" i="1"/>
  <c r="BN13" i="12"/>
  <c r="BN135" i="12" s="1"/>
  <c r="BN711" i="1"/>
  <c r="BN716" i="1"/>
  <c r="BB30" i="9"/>
  <c r="BB323" i="1"/>
  <c r="BB53" i="9" s="1"/>
  <c r="BC31" i="9"/>
  <c r="BC324" i="1"/>
  <c r="BC54" i="9" s="1"/>
  <c r="AZ581" i="1"/>
  <c r="AZ576" i="1"/>
  <c r="AZ577" i="1" s="1"/>
  <c r="BO11" i="9"/>
  <c r="BO123" i="9"/>
  <c r="BL13" i="12"/>
  <c r="BL135" i="12" s="1"/>
  <c r="BL711" i="1"/>
  <c r="BL716" i="1"/>
  <c r="BN793" i="1"/>
  <c r="BN794" i="1" s="1"/>
  <c r="O793" i="1" s="1"/>
  <c r="N794" i="1"/>
  <c r="Y498" i="1"/>
  <c r="Y491" i="1"/>
  <c r="BA104" i="9"/>
  <c r="BA389" i="1"/>
  <c r="BA326" i="1"/>
  <c r="BA56" i="9" s="1"/>
  <c r="BA963" i="1"/>
  <c r="BX170" i="1"/>
  <c r="BX33" i="1"/>
  <c r="BX35" i="1" s="1"/>
  <c r="BX171" i="1"/>
  <c r="BX172" i="1" s="1"/>
  <c r="BS714" i="1"/>
  <c r="BS717" i="1"/>
  <c r="BD387" i="1"/>
  <c r="BD165" i="1"/>
  <c r="Z498" i="1"/>
  <c r="Z491" i="1"/>
  <c r="AT13" i="12"/>
  <c r="AT135" i="12" s="1"/>
  <c r="AT711" i="1"/>
  <c r="BW5" i="9"/>
  <c r="BW6" i="9" s="1"/>
  <c r="BW710" i="1"/>
  <c r="BB31" i="9"/>
  <c r="BB324" i="1"/>
  <c r="BB54" i="9" s="1"/>
  <c r="BX149" i="1"/>
  <c r="BX150" i="1"/>
  <c r="BX152" i="1" s="1"/>
  <c r="BX147" i="1"/>
  <c r="BX181" i="1" s="1"/>
  <c r="BX575" i="1" s="1"/>
  <c r="BB32" i="9"/>
  <c r="BB325" i="1"/>
  <c r="BB55" i="9" s="1"/>
  <c r="BQ13" i="12"/>
  <c r="BQ135" i="12" s="1"/>
  <c r="BQ716" i="1"/>
  <c r="BQ711" i="1"/>
  <c r="BM11" i="9"/>
  <c r="BM123" i="9"/>
  <c r="BA29" i="9"/>
  <c r="BA33" i="9" s="1"/>
  <c r="BA319" i="1"/>
  <c r="BA52" i="9" s="1"/>
  <c r="BC106" i="9"/>
  <c r="BY693" i="1"/>
  <c r="BX165" i="1"/>
  <c r="BX166" i="1"/>
  <c r="BX167" i="1" s="1"/>
  <c r="BF22" i="9"/>
  <c r="BF78" i="1"/>
  <c r="BF54" i="1"/>
  <c r="BF23" i="9" s="1"/>
  <c r="BF14" i="1"/>
  <c r="AP13" i="12"/>
  <c r="AP135" i="12" s="1"/>
  <c r="AP711" i="1"/>
  <c r="BB176" i="1"/>
  <c r="BB177" i="1"/>
  <c r="BB179" i="1" s="1"/>
  <c r="BU5" i="9"/>
  <c r="BU6" i="9" s="1"/>
  <c r="BU710" i="1"/>
  <c r="BN11" i="9"/>
  <c r="BN123" i="9"/>
  <c r="BB106" i="9"/>
  <c r="BB107" i="9" s="1"/>
  <c r="BD385" i="1"/>
  <c r="BD155" i="1"/>
  <c r="CB22" i="9"/>
  <c r="CB78" i="1"/>
  <c r="CB54" i="1"/>
  <c r="CB23" i="9" s="1"/>
  <c r="CB14" i="1"/>
  <c r="BX874" i="1"/>
  <c r="BX877" i="1" s="1"/>
  <c r="BX935" i="1"/>
  <c r="BP13" i="12"/>
  <c r="BP135" i="12" s="1"/>
  <c r="BP711" i="1"/>
  <c r="BP716" i="1"/>
  <c r="BD541" i="1"/>
  <c r="BD538" i="1"/>
  <c r="BD533" i="1"/>
  <c r="BD534" i="1" s="1"/>
  <c r="AG870" i="1"/>
  <c r="AG967" i="1"/>
  <c r="AH862" i="1"/>
  <c r="AH863" i="1" s="1"/>
  <c r="BC823" i="1"/>
  <c r="BZ940" i="1"/>
  <c r="CA692" i="1"/>
  <c r="CB952" i="1"/>
  <c r="CB728" i="1" s="1"/>
  <c r="CB10" i="9" s="1"/>
  <c r="CA728" i="1"/>
  <c r="CA10" i="9" s="1"/>
  <c r="BC383" i="1"/>
  <c r="BC150" i="1"/>
  <c r="BC152" i="1" s="1"/>
  <c r="BC149" i="1"/>
  <c r="BC147" i="1"/>
  <c r="BC181" i="1" s="1"/>
  <c r="BC575" i="1" s="1"/>
  <c r="BR13" i="12"/>
  <c r="BR135" i="12" s="1"/>
  <c r="BR711" i="1"/>
  <c r="BR716" i="1"/>
  <c r="CA923" i="1"/>
  <c r="H862" i="1"/>
  <c r="H863" i="1" s="1"/>
  <c r="G967" i="1"/>
  <c r="G870" i="1"/>
  <c r="BP11" i="9"/>
  <c r="BP123" i="9"/>
  <c r="AT91" i="9"/>
  <c r="AT94" i="9" s="1"/>
  <c r="AU91" i="9"/>
  <c r="AU94" i="9" s="1"/>
  <c r="AV91" i="9"/>
  <c r="AV94" i="9" s="1"/>
  <c r="AW91" i="9"/>
  <c r="AW94" i="9" s="1"/>
  <c r="BD823" i="1"/>
  <c r="BD63" i="9" s="1"/>
  <c r="BD935" i="1"/>
  <c r="BE146" i="1"/>
  <c r="BE90" i="1"/>
  <c r="BE91" i="1" s="1"/>
  <c r="AZ388" i="1"/>
  <c r="AZ320" i="1"/>
  <c r="AZ382" i="1"/>
  <c r="BR11" i="9"/>
  <c r="BR123" i="9"/>
  <c r="BD808" i="1"/>
  <c r="BD332" i="1"/>
  <c r="BC176" i="1"/>
  <c r="BC177" i="1"/>
  <c r="BC179" i="1" s="1"/>
  <c r="H3" i="11"/>
  <c r="H3" i="12"/>
  <c r="BX541" i="1"/>
  <c r="AY557" i="1"/>
  <c r="BX533" i="1"/>
  <c r="BX534" i="1" s="1"/>
  <c r="BX385" i="1"/>
  <c r="BC30" i="9"/>
  <c r="BC323" i="1"/>
  <c r="BC53" i="9" s="1"/>
  <c r="I1" i="9"/>
  <c r="I1102" i="1"/>
  <c r="I1098" i="1"/>
  <c r="I430" i="1"/>
  <c r="J4" i="1"/>
  <c r="I3" i="1"/>
  <c r="I4" i="12"/>
  <c r="I4" i="11"/>
  <c r="BD386" i="1"/>
  <c r="BD160" i="1"/>
  <c r="BC63" i="9"/>
  <c r="BD99" i="1"/>
  <c r="BB394" i="1"/>
  <c r="BX189" i="1"/>
  <c r="BS793" i="1"/>
  <c r="AH794" i="1"/>
  <c r="BO13" i="12"/>
  <c r="BO135" i="12" s="1"/>
  <c r="BO711" i="1"/>
  <c r="BO716" i="1"/>
  <c r="BA948" i="1"/>
  <c r="BE31" i="1"/>
  <c r="BE101" i="1"/>
  <c r="BE95" i="1"/>
  <c r="BE97" i="1" s="1"/>
  <c r="BB383" i="1"/>
  <c r="BB150" i="1"/>
  <c r="BB152" i="1" s="1"/>
  <c r="BB149" i="1"/>
  <c r="BB147" i="1"/>
  <c r="BB181" i="1" s="1"/>
  <c r="BB575" i="1" s="1"/>
  <c r="H870" i="1" l="1"/>
  <c r="I862" i="1"/>
  <c r="I863" i="1" s="1"/>
  <c r="H967" i="1"/>
  <c r="BP714" i="1"/>
  <c r="BP717" i="1"/>
  <c r="BA47" i="9"/>
  <c r="BA129" i="9" s="1"/>
  <c r="BA327" i="1"/>
  <c r="BA57" i="9" s="1"/>
  <c r="BV13" i="12"/>
  <c r="BV135" i="12" s="1"/>
  <c r="BV711" i="1"/>
  <c r="BV716" i="1"/>
  <c r="CB923" i="1"/>
  <c r="CA940" i="1"/>
  <c r="CB692" i="1"/>
  <c r="CB940" i="1" s="1"/>
  <c r="BN120" i="9"/>
  <c r="BN121" i="9"/>
  <c r="BN124" i="9"/>
  <c r="BO120" i="9"/>
  <c r="BO121" i="9"/>
  <c r="BO124" i="9"/>
  <c r="BV11" i="9"/>
  <c r="BV123" i="9"/>
  <c r="BM714" i="1"/>
  <c r="BM717" i="1"/>
  <c r="BD31" i="9"/>
  <c r="BD324" i="1"/>
  <c r="BD54" i="9" s="1"/>
  <c r="BD32" i="9"/>
  <c r="BD325" i="1"/>
  <c r="BD55" i="9" s="1"/>
  <c r="BB581" i="1"/>
  <c r="BB576" i="1"/>
  <c r="BB577" i="1" s="1"/>
  <c r="BU11" i="9"/>
  <c r="BU123" i="9"/>
  <c r="K967" i="1"/>
  <c r="K870" i="1"/>
  <c r="L862" i="1"/>
  <c r="L863" i="1" s="1"/>
  <c r="BY83" i="1"/>
  <c r="BY49" i="1"/>
  <c r="BY17" i="1"/>
  <c r="BD106" i="9"/>
  <c r="BD107" i="9" s="1"/>
  <c r="BU13" i="12"/>
  <c r="BU135" i="12" s="1"/>
  <c r="BU711" i="1"/>
  <c r="BU716" i="1"/>
  <c r="BD383" i="1"/>
  <c r="BD150" i="1"/>
  <c r="BD152" i="1" s="1"/>
  <c r="BD149" i="1"/>
  <c r="BD147" i="1"/>
  <c r="BD181" i="1" s="1"/>
  <c r="BD575" i="1" s="1"/>
  <c r="BX106" i="9"/>
  <c r="BX107" i="9" s="1"/>
  <c r="BY8" i="9"/>
  <c r="BY961" i="1"/>
  <c r="BZ693" i="1"/>
  <c r="BZ697" i="1"/>
  <c r="BR714" i="1"/>
  <c r="BR717" i="1"/>
  <c r="AH967" i="1"/>
  <c r="AH870" i="1"/>
  <c r="BC107" i="9"/>
  <c r="O862" i="1"/>
  <c r="O863" i="1" s="1"/>
  <c r="BO862" i="1"/>
  <c r="BO863" i="1" s="1"/>
  <c r="BN870" i="1"/>
  <c r="BN967" i="1"/>
  <c r="BF62" i="1"/>
  <c r="BF93" i="1"/>
  <c r="I3" i="12"/>
  <c r="I3" i="11"/>
  <c r="BX30" i="9"/>
  <c r="BX323" i="1"/>
  <c r="BX53" i="9" s="1"/>
  <c r="BQ120" i="9"/>
  <c r="BQ121" i="9"/>
  <c r="BQ124" i="9"/>
  <c r="BD177" i="1"/>
  <c r="BD179" i="1" s="1"/>
  <c r="BD176" i="1"/>
  <c r="BT714" i="1"/>
  <c r="BT717" i="1"/>
  <c r="BF85" i="1"/>
  <c r="BE164" i="1"/>
  <c r="BE154" i="1"/>
  <c r="BE159" i="1"/>
  <c r="BX576" i="1"/>
  <c r="BX577" i="1" s="1"/>
  <c r="BX581" i="1"/>
  <c r="AY596" i="1"/>
  <c r="BB388" i="1"/>
  <c r="BB320" i="1"/>
  <c r="BB382" i="1"/>
  <c r="BS862" i="1"/>
  <c r="BS863" i="1" s="1"/>
  <c r="BS794" i="1"/>
  <c r="AI793" i="1" s="1"/>
  <c r="BF18" i="1"/>
  <c r="BF25" i="1"/>
  <c r="BF19" i="1"/>
  <c r="BF17" i="9" s="1"/>
  <c r="BE28" i="9"/>
  <c r="BE931" i="1"/>
  <c r="BE905" i="1"/>
  <c r="BE677" i="1"/>
  <c r="BE189" i="1" s="1"/>
  <c r="BE532" i="1"/>
  <c r="BA128" i="9"/>
  <c r="BR120" i="9"/>
  <c r="BR121" i="9"/>
  <c r="BR124" i="9"/>
  <c r="BW13" i="12"/>
  <c r="BW135" i="12" s="1"/>
  <c r="BW711" i="1"/>
  <c r="BW716" i="1"/>
  <c r="BC581" i="1"/>
  <c r="BC576" i="1"/>
  <c r="BC577" i="1" s="1"/>
  <c r="BM120" i="9"/>
  <c r="BM121" i="9"/>
  <c r="BM124" i="9"/>
  <c r="P793" i="1"/>
  <c r="O794" i="1"/>
  <c r="BO714" i="1"/>
  <c r="BO717" i="1"/>
  <c r="BW11" i="9"/>
  <c r="BW123" i="9"/>
  <c r="BP120" i="9"/>
  <c r="BP121" i="9"/>
  <c r="BP124" i="9"/>
  <c r="BD30" i="9"/>
  <c r="BD323" i="1"/>
  <c r="BD53" i="9" s="1"/>
  <c r="BQ714" i="1"/>
  <c r="BQ717" i="1"/>
  <c r="BF60" i="1"/>
  <c r="BY60" i="1" s="1"/>
  <c r="BY61" i="1" s="1"/>
  <c r="J1" i="9"/>
  <c r="J1102" i="1"/>
  <c r="J1098" i="1"/>
  <c r="J430" i="1"/>
  <c r="BM4" i="1"/>
  <c r="J3" i="1"/>
  <c r="J4" i="11"/>
  <c r="J4" i="12"/>
  <c r="BE169" i="1"/>
  <c r="BE103" i="1"/>
  <c r="BE98" i="1"/>
  <c r="BE99" i="1" s="1"/>
  <c r="BB808" i="1"/>
  <c r="BX808" i="1" s="1"/>
  <c r="BB332" i="1"/>
  <c r="BX394" i="1"/>
  <c r="BX332" i="1" s="1"/>
  <c r="AZ29" i="9"/>
  <c r="AZ33" i="9" s="1"/>
  <c r="AZ319" i="1"/>
  <c r="AZ52" i="9" s="1"/>
  <c r="BX382" i="1"/>
  <c r="I1072" i="1"/>
  <c r="AZ104" i="9"/>
  <c r="AZ105" i="9" s="1"/>
  <c r="AZ326" i="1"/>
  <c r="AZ56" i="9" s="1"/>
  <c r="AZ389" i="1"/>
  <c r="AZ963" i="1"/>
  <c r="BC388" i="1"/>
  <c r="BC320" i="1"/>
  <c r="BC382" i="1"/>
  <c r="BL714" i="1"/>
  <c r="BL717" i="1"/>
  <c r="BN714" i="1"/>
  <c r="BN717" i="1"/>
  <c r="BT121" i="9"/>
  <c r="BT120" i="9"/>
  <c r="BT124" i="9"/>
  <c r="BL120" i="9"/>
  <c r="BL121" i="9"/>
  <c r="BL124" i="9"/>
  <c r="E967" i="1"/>
  <c r="F862" i="1"/>
  <c r="F863" i="1" s="1"/>
  <c r="E870" i="1"/>
  <c r="BB948" i="1" l="1"/>
  <c r="BY63" i="1"/>
  <c r="BY62" i="1"/>
  <c r="BV714" i="1"/>
  <c r="BV717" i="1"/>
  <c r="BF101" i="1"/>
  <c r="BF95" i="1"/>
  <c r="BF31" i="1"/>
  <c r="BY93" i="1"/>
  <c r="BY57" i="1"/>
  <c r="BY25" i="1"/>
  <c r="BY28" i="1" s="1"/>
  <c r="BY19" i="9" s="1"/>
  <c r="BY19" i="1"/>
  <c r="BY17" i="9" s="1"/>
  <c r="BA105" i="9"/>
  <c r="BE386" i="1"/>
  <c r="BE160" i="1"/>
  <c r="BO870" i="1"/>
  <c r="S862" i="1"/>
  <c r="S863" i="1" s="1"/>
  <c r="BP862" i="1"/>
  <c r="BP863" i="1" s="1"/>
  <c r="BE394" i="1"/>
  <c r="BF378" i="1"/>
  <c r="BF27" i="1"/>
  <c r="BF28" i="1"/>
  <c r="BF19" i="9" s="1"/>
  <c r="BE385" i="1"/>
  <c r="BE155" i="1"/>
  <c r="O967" i="1"/>
  <c r="O870" i="1"/>
  <c r="P862" i="1"/>
  <c r="P863" i="1" s="1"/>
  <c r="I1085" i="1"/>
  <c r="I1076" i="1"/>
  <c r="I1074" i="1" s="1"/>
  <c r="I719" i="1" s="1"/>
  <c r="I1078" i="1"/>
  <c r="I1092" i="1"/>
  <c r="I1083" i="1"/>
  <c r="I1081" i="1" s="1"/>
  <c r="I720" i="1" s="1"/>
  <c r="I1090" i="1"/>
  <c r="I1088" i="1" s="1"/>
  <c r="I721" i="1" s="1"/>
  <c r="I1097" i="1"/>
  <c r="I1095" i="1" s="1"/>
  <c r="I723" i="1" s="1"/>
  <c r="I1099" i="1"/>
  <c r="BX29" i="9"/>
  <c r="BX33" i="9" s="1"/>
  <c r="BX319" i="1"/>
  <c r="N12" i="10"/>
  <c r="N6" i="10"/>
  <c r="BX383" i="1"/>
  <c r="BX388" i="1" s="1"/>
  <c r="J3" i="12"/>
  <c r="J3" i="11"/>
  <c r="Q793" i="1"/>
  <c r="P794" i="1"/>
  <c r="BE387" i="1"/>
  <c r="BE165" i="1"/>
  <c r="BD581" i="1"/>
  <c r="BD576" i="1"/>
  <c r="BD577" i="1" s="1"/>
  <c r="BY85" i="1"/>
  <c r="BY89" i="1" s="1"/>
  <c r="BE823" i="1"/>
  <c r="BE935" i="1"/>
  <c r="BM1" i="9"/>
  <c r="BM1102" i="1"/>
  <c r="BM1098" i="1"/>
  <c r="BM430" i="1"/>
  <c r="K4" i="1"/>
  <c r="BM3" i="1"/>
  <c r="BM1072" i="1" s="1"/>
  <c r="BM4" i="12"/>
  <c r="BM4" i="11"/>
  <c r="AI862" i="1"/>
  <c r="AI863" i="1" s="1"/>
  <c r="AJ793" i="1"/>
  <c r="AI794" i="1"/>
  <c r="L967" i="1"/>
  <c r="L870" i="1"/>
  <c r="M862" i="1"/>
  <c r="M863" i="1" s="1"/>
  <c r="BX948" i="1"/>
  <c r="BE174" i="1"/>
  <c r="BE171" i="1"/>
  <c r="BE172" i="1" s="1"/>
  <c r="BE148" i="1"/>
  <c r="BE170" i="1"/>
  <c r="BE33" i="1"/>
  <c r="BE35" i="1" s="1"/>
  <c r="F870" i="1"/>
  <c r="F967" i="1"/>
  <c r="BC29" i="9"/>
  <c r="BC33" i="9" s="1"/>
  <c r="BC319" i="1"/>
  <c r="BC52" i="9" s="1"/>
  <c r="AZ128" i="9"/>
  <c r="BS967" i="1"/>
  <c r="BS870" i="1"/>
  <c r="BF962" i="1"/>
  <c r="BF146" i="1"/>
  <c r="BF90" i="1"/>
  <c r="BW121" i="9"/>
  <c r="BW120" i="9"/>
  <c r="BW124" i="9"/>
  <c r="BE816" i="1"/>
  <c r="AZ47" i="9"/>
  <c r="AZ129" i="9" s="1"/>
  <c r="AZ327" i="1"/>
  <c r="AZ57" i="9" s="1"/>
  <c r="BB29" i="9"/>
  <c r="BB33" i="9" s="1"/>
  <c r="BB319" i="1"/>
  <c r="BB52" i="9" s="1"/>
  <c r="BF89" i="1"/>
  <c r="BD388" i="1"/>
  <c r="BD320" i="1"/>
  <c r="BD382" i="1"/>
  <c r="J862" i="1"/>
  <c r="J863" i="1" s="1"/>
  <c r="I967" i="1"/>
  <c r="I870" i="1"/>
  <c r="BC104" i="9"/>
  <c r="BC389" i="1"/>
  <c r="BC326" i="1"/>
  <c r="BC56" i="9" s="1"/>
  <c r="BC963" i="1"/>
  <c r="J1072" i="1"/>
  <c r="BZ8" i="9"/>
  <c r="BZ961" i="1"/>
  <c r="BZ691" i="1"/>
  <c r="BZ934" i="1" s="1"/>
  <c r="CA693" i="1"/>
  <c r="CA697" i="1" s="1"/>
  <c r="BW714" i="1"/>
  <c r="BW717" i="1"/>
  <c r="BE541" i="1"/>
  <c r="BE538" i="1"/>
  <c r="BE533" i="1"/>
  <c r="BE534" i="1" s="1"/>
  <c r="BB104" i="9"/>
  <c r="BB105" i="9" s="1"/>
  <c r="BB389" i="1"/>
  <c r="BB326" i="1"/>
  <c r="BB56" i="9" s="1"/>
  <c r="BB963" i="1"/>
  <c r="BU714" i="1"/>
  <c r="BU717" i="1"/>
  <c r="BU121" i="9"/>
  <c r="BU120" i="9"/>
  <c r="BU124" i="9"/>
  <c r="BV121" i="9"/>
  <c r="BV120" i="9"/>
  <c r="BV124" i="9"/>
  <c r="BC105" i="9" l="1"/>
  <c r="BM1090" i="1"/>
  <c r="BM1088" i="1" s="1"/>
  <c r="BM721" i="1" s="1"/>
  <c r="BM1085" i="1"/>
  <c r="BM1076" i="1"/>
  <c r="BM1074" i="1" s="1"/>
  <c r="BM719" i="1" s="1"/>
  <c r="BM1092" i="1"/>
  <c r="BM1078" i="1"/>
  <c r="BM1083" i="1"/>
  <c r="BM1081" i="1" s="1"/>
  <c r="BM720" i="1" s="1"/>
  <c r="BM1097" i="1"/>
  <c r="BM1095" i="1" s="1"/>
  <c r="BM723" i="1" s="1"/>
  <c r="BM1099" i="1"/>
  <c r="BC47" i="9"/>
  <c r="BC129" i="9" s="1"/>
  <c r="BC327" i="1"/>
  <c r="BC57" i="9" s="1"/>
  <c r="BE808" i="1"/>
  <c r="BE332" i="1"/>
  <c r="Q6" i="10"/>
  <c r="P6" i="10"/>
  <c r="P870" i="1"/>
  <c r="Q862" i="1"/>
  <c r="Q863" i="1" s="1"/>
  <c r="P967" i="1"/>
  <c r="T862" i="1"/>
  <c r="T863" i="1" s="1"/>
  <c r="S870" i="1"/>
  <c r="BY95" i="1"/>
  <c r="BY97" i="1" s="1"/>
  <c r="BY31" i="1"/>
  <c r="BY101" i="1"/>
  <c r="BB128" i="9"/>
  <c r="BY24" i="9"/>
  <c r="BZ57" i="1"/>
  <c r="BY58" i="1"/>
  <c r="BY25" i="9" s="1"/>
  <c r="BY79" i="1"/>
  <c r="BY15" i="1"/>
  <c r="BC948" i="1"/>
  <c r="P12" i="10"/>
  <c r="Q12" i="10"/>
  <c r="CA8" i="9"/>
  <c r="CA961" i="1"/>
  <c r="CA691" i="1"/>
  <c r="CA934" i="1" s="1"/>
  <c r="CB693" i="1"/>
  <c r="BE63" i="9"/>
  <c r="J967" i="1"/>
  <c r="J870" i="1"/>
  <c r="BX52" i="9"/>
  <c r="BX320" i="1"/>
  <c r="BF103" i="1"/>
  <c r="BF169" i="1"/>
  <c r="BF98" i="1"/>
  <c r="BE177" i="1"/>
  <c r="BE179" i="1" s="1"/>
  <c r="BE176" i="1"/>
  <c r="BP870" i="1"/>
  <c r="BB47" i="9"/>
  <c r="BB129" i="9" s="1"/>
  <c r="BB327" i="1"/>
  <c r="BB57" i="9" s="1"/>
  <c r="BC128" i="9"/>
  <c r="M967" i="1"/>
  <c r="N862" i="1"/>
  <c r="N863" i="1" s="1"/>
  <c r="M870" i="1"/>
  <c r="BX128" i="9"/>
  <c r="BF97" i="1"/>
  <c r="BF99" i="1" s="1"/>
  <c r="H893" i="1"/>
  <c r="H892" i="1"/>
  <c r="G893" i="1"/>
  <c r="J892" i="1"/>
  <c r="I893" i="1"/>
  <c r="H702" i="1"/>
  <c r="G892" i="1"/>
  <c r="I892" i="1"/>
  <c r="G702" i="1"/>
  <c r="J893" i="1"/>
  <c r="BM3" i="11"/>
  <c r="BM3" i="12"/>
  <c r="J702" i="1"/>
  <c r="G895" i="1"/>
  <c r="G894" i="1"/>
  <c r="H894" i="1"/>
  <c r="H895" i="1"/>
  <c r="I895" i="1"/>
  <c r="I894" i="1"/>
  <c r="BX104" i="9"/>
  <c r="BX105" i="9" s="1"/>
  <c r="BX326" i="1"/>
  <c r="BX56" i="9" s="1"/>
  <c r="BX389" i="1"/>
  <c r="BX963" i="1"/>
  <c r="K1" i="9"/>
  <c r="K1102" i="1"/>
  <c r="K1098" i="1"/>
  <c r="K430" i="1"/>
  <c r="L4" i="1"/>
  <c r="K3" i="1"/>
  <c r="K4" i="12"/>
  <c r="K4" i="11"/>
  <c r="J1085" i="1"/>
  <c r="J1076" i="1"/>
  <c r="J1074" i="1" s="1"/>
  <c r="J719" i="1" s="1"/>
  <c r="J1078" i="1"/>
  <c r="J1090" i="1"/>
  <c r="J1088" i="1" s="1"/>
  <c r="J721" i="1" s="1"/>
  <c r="J1092" i="1"/>
  <c r="J1083" i="1"/>
  <c r="J1081" i="1" s="1"/>
  <c r="J720" i="1" s="1"/>
  <c r="J1097" i="1"/>
  <c r="J1095" i="1" s="1"/>
  <c r="J723" i="1" s="1"/>
  <c r="J1099" i="1"/>
  <c r="BD29" i="9"/>
  <c r="BD33" i="9" s="1"/>
  <c r="BD319" i="1"/>
  <c r="BD52" i="9" s="1"/>
  <c r="BE32" i="9"/>
  <c r="BE325" i="1"/>
  <c r="BE55" i="9" s="1"/>
  <c r="BE383" i="1"/>
  <c r="BE150" i="1"/>
  <c r="BE152" i="1" s="1"/>
  <c r="BE149" i="1"/>
  <c r="BE147" i="1"/>
  <c r="BE181" i="1" s="1"/>
  <c r="BE575" i="1" s="1"/>
  <c r="BE30" i="9"/>
  <c r="BE323" i="1"/>
  <c r="BE53" i="9" s="1"/>
  <c r="BE31" i="9"/>
  <c r="BE324" i="1"/>
  <c r="BE54" i="9" s="1"/>
  <c r="BD104" i="9"/>
  <c r="BD105" i="9" s="1"/>
  <c r="BD389" i="1"/>
  <c r="BD326" i="1"/>
  <c r="BD56" i="9" s="1"/>
  <c r="BD963" i="1"/>
  <c r="R793" i="1"/>
  <c r="Q794" i="1"/>
  <c r="BF164" i="1"/>
  <c r="BF159" i="1"/>
  <c r="BF154" i="1"/>
  <c r="BY146" i="1"/>
  <c r="BY962" i="1"/>
  <c r="BY90" i="1"/>
  <c r="BY91" i="1" s="1"/>
  <c r="BF91" i="1"/>
  <c r="AK793" i="1"/>
  <c r="AJ794" i="1"/>
  <c r="J895" i="1"/>
  <c r="AJ862" i="1"/>
  <c r="AJ863" i="1" s="1"/>
  <c r="AI967" i="1"/>
  <c r="AI870" i="1"/>
  <c r="BE106" i="9"/>
  <c r="BE107" i="9" s="1"/>
  <c r="J894" i="1"/>
  <c r="BF28" i="9"/>
  <c r="BF905" i="1"/>
  <c r="BF931" i="1"/>
  <c r="BF677" i="1"/>
  <c r="BF532" i="1"/>
  <c r="BY378" i="1"/>
  <c r="BZ63" i="1"/>
  <c r="BY64" i="1"/>
  <c r="BF385" i="1" l="1"/>
  <c r="BF155" i="1"/>
  <c r="BY154" i="1"/>
  <c r="BF386" i="1"/>
  <c r="BF160" i="1"/>
  <c r="BY159" i="1"/>
  <c r="K3" i="11"/>
  <c r="K3" i="12"/>
  <c r="CB8" i="9"/>
  <c r="CB961" i="1"/>
  <c r="CB691" i="1"/>
  <c r="CB934" i="1" s="1"/>
  <c r="BD948" i="1"/>
  <c r="BD128" i="9"/>
  <c r="L1" i="9"/>
  <c r="L1102" i="1"/>
  <c r="L1098" i="1"/>
  <c r="L430" i="1"/>
  <c r="L3" i="1"/>
  <c r="L1072" i="1" s="1"/>
  <c r="M4" i="1"/>
  <c r="L4" i="12"/>
  <c r="L4" i="11"/>
  <c r="CB697" i="1"/>
  <c r="BZ24" i="9"/>
  <c r="CA57" i="1"/>
  <c r="BZ79" i="1"/>
  <c r="BZ15" i="1"/>
  <c r="BZ47" i="1"/>
  <c r="R862" i="1"/>
  <c r="R863" i="1" s="1"/>
  <c r="Q967" i="1"/>
  <c r="Q870" i="1"/>
  <c r="BF387" i="1"/>
  <c r="BF165" i="1"/>
  <c r="BY164" i="1"/>
  <c r="CA63" i="1"/>
  <c r="BX47" i="9"/>
  <c r="BX129" i="9" s="1"/>
  <c r="BX327" i="1"/>
  <c r="BX57" i="9" s="1"/>
  <c r="BY28" i="9"/>
  <c r="BY532" i="1"/>
  <c r="AJ870" i="1"/>
  <c r="AK862" i="1"/>
  <c r="AK863" i="1" s="1"/>
  <c r="AJ967" i="1"/>
  <c r="U862" i="1"/>
  <c r="U863" i="1" s="1"/>
  <c r="T870" i="1"/>
  <c r="N967" i="1"/>
  <c r="N870" i="1"/>
  <c r="BF171" i="1"/>
  <c r="BF172" i="1" s="1"/>
  <c r="BF148" i="1"/>
  <c r="BF170" i="1"/>
  <c r="BF33" i="1"/>
  <c r="BF35" i="1" s="1"/>
  <c r="BF174" i="1"/>
  <c r="BY169" i="1"/>
  <c r="BF538" i="1"/>
  <c r="BF541" i="1"/>
  <c r="BF533" i="1"/>
  <c r="BF534" i="1" s="1"/>
  <c r="BE581" i="1"/>
  <c r="BE576" i="1"/>
  <c r="BE577" i="1" s="1"/>
  <c r="BY677" i="1"/>
  <c r="BY678" i="1" s="1"/>
  <c r="BF189" i="1"/>
  <c r="AL793" i="1"/>
  <c r="AK794" i="1"/>
  <c r="K1072" i="1"/>
  <c r="BO793" i="1"/>
  <c r="BO794" i="1" s="1"/>
  <c r="R794" i="1"/>
  <c r="BY931" i="1"/>
  <c r="BF823" i="1"/>
  <c r="BY823" i="1" s="1"/>
  <c r="BF935" i="1"/>
  <c r="BY905" i="1"/>
  <c r="BF816" i="1"/>
  <c r="BD47" i="9"/>
  <c r="BD129" i="9" s="1"/>
  <c r="BD327" i="1"/>
  <c r="BD57" i="9" s="1"/>
  <c r="BE388" i="1"/>
  <c r="BE320" i="1"/>
  <c r="BE382" i="1"/>
  <c r="BY103" i="1"/>
  <c r="BY98" i="1"/>
  <c r="BY99" i="1" s="1"/>
  <c r="L1099" i="1" l="1"/>
  <c r="L1097" i="1"/>
  <c r="L1095" i="1" s="1"/>
  <c r="L723" i="1" s="1"/>
  <c r="BF63" i="9"/>
  <c r="BY816" i="1"/>
  <c r="BY63" i="9" s="1"/>
  <c r="BY873" i="1"/>
  <c r="CB63" i="1"/>
  <c r="CA24" i="9"/>
  <c r="CA79" i="1"/>
  <c r="CA15" i="1"/>
  <c r="CB57" i="1"/>
  <c r="CA47" i="1"/>
  <c r="CA61" i="1" s="1"/>
  <c r="BT793" i="1"/>
  <c r="AL794" i="1"/>
  <c r="BZ83" i="1"/>
  <c r="BZ49" i="1"/>
  <c r="BZ17" i="1"/>
  <c r="V862" i="1"/>
  <c r="V863" i="1" s="1"/>
  <c r="U870" i="1"/>
  <c r="BY165" i="1"/>
  <c r="BY166" i="1"/>
  <c r="BY160" i="1"/>
  <c r="BY161" i="1"/>
  <c r="BF383" i="1"/>
  <c r="BF150" i="1"/>
  <c r="BF152" i="1" s="1"/>
  <c r="BF149" i="1"/>
  <c r="BY148" i="1"/>
  <c r="BF147" i="1"/>
  <c r="BF181" i="1" s="1"/>
  <c r="BF575" i="1" s="1"/>
  <c r="BF32" i="9"/>
  <c r="BF325" i="1"/>
  <c r="BF55" i="9" s="1"/>
  <c r="BY387" i="1"/>
  <c r="BF31" i="9"/>
  <c r="BF324" i="1"/>
  <c r="BF54" i="9" s="1"/>
  <c r="BY386" i="1"/>
  <c r="BY533" i="1"/>
  <c r="BY534" i="1" s="1"/>
  <c r="BY541" i="1"/>
  <c r="L1078" i="1"/>
  <c r="L1090" i="1"/>
  <c r="L1088" i="1" s="1"/>
  <c r="L721" i="1" s="1"/>
  <c r="L1083" i="1"/>
  <c r="L1081" i="1" s="1"/>
  <c r="L720" i="1" s="1"/>
  <c r="L1092" i="1"/>
  <c r="L1076" i="1"/>
  <c r="L1074" i="1" s="1"/>
  <c r="L719" i="1" s="1"/>
  <c r="L1085" i="1"/>
  <c r="BF106" i="9"/>
  <c r="BF107" i="9" s="1"/>
  <c r="BZ61" i="1"/>
  <c r="BZ60" i="1" s="1"/>
  <c r="BE29" i="9"/>
  <c r="BE33" i="9" s="1"/>
  <c r="BE319" i="1"/>
  <c r="BE52" i="9" s="1"/>
  <c r="BE104" i="9"/>
  <c r="BE105" i="9" s="1"/>
  <c r="BE326" i="1"/>
  <c r="BE56" i="9" s="1"/>
  <c r="BE389" i="1"/>
  <c r="BE963" i="1"/>
  <c r="S793" i="1"/>
  <c r="BO967" i="1"/>
  <c r="BY170" i="1"/>
  <c r="BY171" i="1"/>
  <c r="BY172" i="1" s="1"/>
  <c r="BY33" i="1"/>
  <c r="BY35" i="1" s="1"/>
  <c r="AK967" i="1"/>
  <c r="AL862" i="1"/>
  <c r="AL863" i="1" s="1"/>
  <c r="AK870" i="1"/>
  <c r="M1" i="9"/>
  <c r="M1102" i="1"/>
  <c r="M1072" i="1"/>
  <c r="M1097" i="1" s="1"/>
  <c r="M1095" i="1" s="1"/>
  <c r="M723" i="1" s="1"/>
  <c r="M1098" i="1"/>
  <c r="M430" i="1"/>
  <c r="M3" i="1"/>
  <c r="N4" i="1"/>
  <c r="M4" i="12"/>
  <c r="M4" i="11"/>
  <c r="BE948" i="1"/>
  <c r="BY155" i="1"/>
  <c r="BY156" i="1"/>
  <c r="R967" i="1"/>
  <c r="R870" i="1"/>
  <c r="BF394" i="1"/>
  <c r="BY189" i="1"/>
  <c r="BF177" i="1"/>
  <c r="BF179" i="1" s="1"/>
  <c r="BF176" i="1"/>
  <c r="BY174" i="1"/>
  <c r="L3" i="11"/>
  <c r="L3" i="12"/>
  <c r="BY874" i="1"/>
  <c r="BY935" i="1"/>
  <c r="K1078" i="1"/>
  <c r="K1090" i="1"/>
  <c r="K1088" i="1" s="1"/>
  <c r="K721" i="1" s="1"/>
  <c r="K1085" i="1"/>
  <c r="K1076" i="1"/>
  <c r="K1074" i="1" s="1"/>
  <c r="K719" i="1" s="1"/>
  <c r="K1092" i="1"/>
  <c r="K1083" i="1"/>
  <c r="K1081" i="1" s="1"/>
  <c r="K720" i="1" s="1"/>
  <c r="K1097" i="1"/>
  <c r="K1095" i="1" s="1"/>
  <c r="K723" i="1" s="1"/>
  <c r="K1099" i="1"/>
  <c r="BF30" i="9"/>
  <c r="BF323" i="1"/>
  <c r="BF53" i="9" s="1"/>
  <c r="BY385" i="1"/>
  <c r="CA93" i="1" l="1"/>
  <c r="CA62" i="1"/>
  <c r="BY157" i="1"/>
  <c r="BZ156" i="1"/>
  <c r="T793" i="1"/>
  <c r="S794" i="1"/>
  <c r="S967" i="1" s="1"/>
  <c r="BY32" i="9"/>
  <c r="BY325" i="1"/>
  <c r="BY55" i="9" s="1"/>
  <c r="BF581" i="1"/>
  <c r="BF576" i="1"/>
  <c r="BF577" i="1" s="1"/>
  <c r="BY149" i="1"/>
  <c r="BY150" i="1"/>
  <c r="BY152" i="1" s="1"/>
  <c r="BY147" i="1"/>
  <c r="BY181" i="1" s="1"/>
  <c r="BY575" i="1" s="1"/>
  <c r="BZ25" i="1"/>
  <c r="BZ19" i="1"/>
  <c r="BZ17" i="9" s="1"/>
  <c r="BZ873" i="1"/>
  <c r="CA873" i="1" s="1"/>
  <c r="CB873" i="1" s="1"/>
  <c r="BY876" i="1"/>
  <c r="M1090" i="1"/>
  <c r="M1088" i="1" s="1"/>
  <c r="M721" i="1" s="1"/>
  <c r="M1092" i="1"/>
  <c r="M1083" i="1"/>
  <c r="M1081" i="1" s="1"/>
  <c r="M720" i="1" s="1"/>
  <c r="M1078" i="1"/>
  <c r="M1076" i="1"/>
  <c r="M1074" i="1" s="1"/>
  <c r="M719" i="1" s="1"/>
  <c r="M1085" i="1"/>
  <c r="BE47" i="9"/>
  <c r="BE129" i="9" s="1"/>
  <c r="BE327" i="1"/>
  <c r="BE57" i="9" s="1"/>
  <c r="AL870" i="1"/>
  <c r="AL967" i="1"/>
  <c r="BY176" i="1"/>
  <c r="BY177" i="1"/>
  <c r="BY179" i="1" s="1"/>
  <c r="BF388" i="1"/>
  <c r="BF320" i="1"/>
  <c r="BF382" i="1"/>
  <c r="BZ85" i="1"/>
  <c r="BZ89" i="1"/>
  <c r="M1099" i="1"/>
  <c r="N1102" i="1"/>
  <c r="N1098" i="1"/>
  <c r="N1" i="9"/>
  <c r="N430" i="1"/>
  <c r="N3" i="1"/>
  <c r="BN4" i="1"/>
  <c r="N4" i="11"/>
  <c r="N4" i="12"/>
  <c r="BY162" i="1"/>
  <c r="BZ161" i="1"/>
  <c r="BY106" i="9"/>
  <c r="BY107" i="9" s="1"/>
  <c r="BZ874" i="1"/>
  <c r="CA874" i="1" s="1"/>
  <c r="CB874" i="1" s="1"/>
  <c r="BY877" i="1"/>
  <c r="M3" i="11"/>
  <c r="M3" i="12"/>
  <c r="BE128" i="9"/>
  <c r="BY31" i="9"/>
  <c r="BY324" i="1"/>
  <c r="BY54" i="9" s="1"/>
  <c r="BT862" i="1"/>
  <c r="BT863" i="1" s="1"/>
  <c r="BT794" i="1"/>
  <c r="AM793" i="1" s="1"/>
  <c r="BY30" i="9"/>
  <c r="BY323" i="1"/>
  <c r="BY53" i="9" s="1"/>
  <c r="V870" i="1"/>
  <c r="BZ93" i="1"/>
  <c r="BZ62" i="1"/>
  <c r="CA60" i="1"/>
  <c r="CA49" i="1"/>
  <c r="CA17" i="1"/>
  <c r="CA83" i="1"/>
  <c r="BF808" i="1"/>
  <c r="BY808" i="1" s="1"/>
  <c r="BF332" i="1"/>
  <c r="BY394" i="1"/>
  <c r="BY332" i="1" s="1"/>
  <c r="BY167" i="1"/>
  <c r="BZ166" i="1"/>
  <c r="CB24" i="9"/>
  <c r="CB79" i="1"/>
  <c r="CB15" i="1"/>
  <c r="CB47" i="1"/>
  <c r="CB49" i="1" l="1"/>
  <c r="CB17" i="1"/>
  <c r="CB83" i="1"/>
  <c r="CB61" i="1"/>
  <c r="BZ95" i="1"/>
  <c r="BZ97" i="1" s="1"/>
  <c r="BZ31" i="1"/>
  <c r="BZ101" i="1"/>
  <c r="N3" i="12"/>
  <c r="N3" i="11"/>
  <c r="BZ146" i="1"/>
  <c r="BZ90" i="1"/>
  <c r="BZ91" i="1" s="1"/>
  <c r="BZ164" i="1"/>
  <c r="CA166" i="1"/>
  <c r="BF29" i="9"/>
  <c r="BF33" i="9" s="1"/>
  <c r="BF319" i="1"/>
  <c r="BF52" i="9" s="1"/>
  <c r="BY382" i="1"/>
  <c r="BF104" i="9"/>
  <c r="BF105" i="9" s="1"/>
  <c r="BF389" i="1"/>
  <c r="BF326" i="1"/>
  <c r="BF56" i="9" s="1"/>
  <c r="BF963" i="1"/>
  <c r="AM862" i="1"/>
  <c r="AM863" i="1" s="1"/>
  <c r="AN793" i="1"/>
  <c r="AM794" i="1"/>
  <c r="N1072" i="1"/>
  <c r="U793" i="1"/>
  <c r="T794" i="1"/>
  <c r="T967" i="1" s="1"/>
  <c r="BT967" i="1"/>
  <c r="BT870" i="1"/>
  <c r="BZ154" i="1"/>
  <c r="CA156" i="1"/>
  <c r="BN1" i="9"/>
  <c r="BN1098" i="1"/>
  <c r="BN1102" i="1"/>
  <c r="BN430" i="1"/>
  <c r="BN3" i="1"/>
  <c r="N894" i="1" s="1"/>
  <c r="O4" i="1"/>
  <c r="BN4" i="12"/>
  <c r="BN4" i="11"/>
  <c r="CA85" i="1"/>
  <c r="CA89" i="1" s="1"/>
  <c r="BZ159" i="1"/>
  <c r="CA161" i="1"/>
  <c r="CA25" i="1"/>
  <c r="CA19" i="1"/>
  <c r="CA17" i="9" s="1"/>
  <c r="BZ378" i="1"/>
  <c r="BZ28" i="1"/>
  <c r="BZ19" i="9" s="1"/>
  <c r="BF948" i="1"/>
  <c r="BY581" i="1"/>
  <c r="BY576" i="1"/>
  <c r="BY577" i="1" s="1"/>
  <c r="CA31" i="1"/>
  <c r="CA101" i="1"/>
  <c r="CA95" i="1"/>
  <c r="M89" i="13"/>
  <c r="O89" i="13"/>
  <c r="L96" i="13"/>
  <c r="N96" i="13"/>
  <c r="Q75" i="13"/>
  <c r="S75" i="13"/>
  <c r="Q78" i="13"/>
  <c r="Q81" i="13"/>
  <c r="S78" i="13"/>
  <c r="S81" i="13"/>
  <c r="T98" i="13"/>
  <c r="T75" i="13"/>
  <c r="T78" i="13"/>
  <c r="T81" i="13"/>
  <c r="O96" i="13"/>
  <c r="K98" i="13"/>
  <c r="Q219" i="13"/>
  <c r="P96" i="13"/>
  <c r="L98" i="13"/>
  <c r="R219" i="13"/>
  <c r="Q96" i="13"/>
  <c r="M98" i="13"/>
  <c r="K75" i="13"/>
  <c r="K78" i="13"/>
  <c r="K81" i="13"/>
  <c r="S219" i="13"/>
  <c r="R96" i="13"/>
  <c r="N98" i="13"/>
  <c r="L75" i="13"/>
  <c r="L78" i="13"/>
  <c r="L81" i="13"/>
  <c r="T219" i="13"/>
  <c r="S96" i="13"/>
  <c r="O98" i="13"/>
  <c r="M75" i="13"/>
  <c r="M78" i="13"/>
  <c r="M81" i="13"/>
  <c r="T96" i="13"/>
  <c r="P98" i="13"/>
  <c r="L102" i="13"/>
  <c r="N75" i="13"/>
  <c r="N78" i="13"/>
  <c r="N81" i="13"/>
  <c r="Q98" i="13"/>
  <c r="O75" i="13"/>
  <c r="O78" i="13"/>
  <c r="O81" i="13"/>
  <c r="K89" i="13"/>
  <c r="R98" i="13"/>
  <c r="P75" i="13"/>
  <c r="P78" i="13"/>
  <c r="P81" i="13"/>
  <c r="L89" i="13"/>
  <c r="K96" i="13"/>
  <c r="S98" i="13"/>
  <c r="R75" i="13"/>
  <c r="R78" i="13"/>
  <c r="R81" i="13"/>
  <c r="N89" i="13"/>
  <c r="M96" i="13"/>
  <c r="N102" i="13" l="1"/>
  <c r="M102" i="13"/>
  <c r="M103" i="13" s="1"/>
  <c r="K102" i="13"/>
  <c r="K103" i="13" s="1"/>
  <c r="O102" i="13"/>
  <c r="P102" i="13"/>
  <c r="Q102" i="13"/>
  <c r="T102" i="13"/>
  <c r="R102" i="13"/>
  <c r="S102" i="13"/>
  <c r="P89" i="13"/>
  <c r="P219" i="13"/>
  <c r="K74" i="13"/>
  <c r="K80" i="13"/>
  <c r="BY948" i="1"/>
  <c r="M893" i="1"/>
  <c r="L892" i="1"/>
  <c r="L893" i="1"/>
  <c r="K893" i="1"/>
  <c r="N893" i="1"/>
  <c r="K892" i="1"/>
  <c r="BN3" i="11"/>
  <c r="M892" i="1"/>
  <c r="BN3" i="12"/>
  <c r="N892" i="1"/>
  <c r="K894" i="1"/>
  <c r="K895" i="1"/>
  <c r="L894" i="1"/>
  <c r="L895" i="1"/>
  <c r="M894" i="1"/>
  <c r="M895" i="1"/>
  <c r="BY29" i="9"/>
  <c r="BY33" i="9" s="1"/>
  <c r="BY319" i="1"/>
  <c r="BY383" i="1"/>
  <c r="BY388" i="1" s="1"/>
  <c r="V793" i="1"/>
  <c r="U794" i="1"/>
  <c r="U967" i="1" s="1"/>
  <c r="O1" i="9"/>
  <c r="O1102" i="1"/>
  <c r="O1098" i="1"/>
  <c r="O430" i="1"/>
  <c r="O3" i="1"/>
  <c r="P4" i="1"/>
  <c r="O4" i="11"/>
  <c r="O4" i="12"/>
  <c r="BZ28" i="9"/>
  <c r="BZ905" i="1"/>
  <c r="BZ931" i="1"/>
  <c r="BZ677" i="1"/>
  <c r="BZ189" i="1" s="1"/>
  <c r="BZ394" i="1" s="1"/>
  <c r="BZ532" i="1"/>
  <c r="BN1072" i="1"/>
  <c r="N1092" i="1"/>
  <c r="N1083" i="1"/>
  <c r="N1081" i="1" s="1"/>
  <c r="N720" i="1" s="1"/>
  <c r="N1078" i="1"/>
  <c r="N1076" i="1"/>
  <c r="N1074" i="1" s="1"/>
  <c r="N719" i="1" s="1"/>
  <c r="N1085" i="1"/>
  <c r="N1090" i="1"/>
  <c r="N1088" i="1" s="1"/>
  <c r="N721" i="1" s="1"/>
  <c r="N1099" i="1"/>
  <c r="N1097" i="1"/>
  <c r="N1095" i="1" s="1"/>
  <c r="N723" i="1" s="1"/>
  <c r="BF128" i="9"/>
  <c r="CB166" i="1"/>
  <c r="CA378" i="1"/>
  <c r="CA28" i="1"/>
  <c r="CA19" i="9" s="1"/>
  <c r="AO793" i="1"/>
  <c r="AN794" i="1"/>
  <c r="BZ387" i="1"/>
  <c r="BZ165" i="1"/>
  <c r="BZ169" i="1"/>
  <c r="BZ103" i="1"/>
  <c r="BZ98" i="1"/>
  <c r="BZ99" i="1" s="1"/>
  <c r="CB161" i="1"/>
  <c r="AM870" i="1"/>
  <c r="AM967" i="1"/>
  <c r="AN862" i="1"/>
  <c r="AN863" i="1" s="1"/>
  <c r="CB93" i="1"/>
  <c r="CB62" i="1"/>
  <c r="CA169" i="1"/>
  <c r="CA103" i="1"/>
  <c r="CA98" i="1"/>
  <c r="BZ160" i="1"/>
  <c r="BZ386" i="1"/>
  <c r="CB85" i="1"/>
  <c r="CB89" i="1"/>
  <c r="CA97" i="1"/>
  <c r="BZ962" i="1"/>
  <c r="CB25" i="1"/>
  <c r="CB19" i="1"/>
  <c r="CB17" i="9" s="1"/>
  <c r="CA962" i="1"/>
  <c r="CA146" i="1"/>
  <c r="CA164" i="1" s="1"/>
  <c r="CA90" i="1"/>
  <c r="CA91" i="1" s="1"/>
  <c r="CB156" i="1"/>
  <c r="BF47" i="9"/>
  <c r="BF129" i="9" s="1"/>
  <c r="BF327" i="1"/>
  <c r="BF57" i="9" s="1"/>
  <c r="BZ385" i="1"/>
  <c r="BZ155" i="1"/>
  <c r="N895" i="1"/>
  <c r="CB60" i="1"/>
  <c r="K65" i="13"/>
  <c r="K66" i="13" s="1"/>
  <c r="K59" i="13"/>
  <c r="K60" i="13" s="1"/>
  <c r="L74" i="13"/>
  <c r="K77" i="13"/>
  <c r="O103" i="13" l="1"/>
  <c r="N103" i="13"/>
  <c r="L80" i="13"/>
  <c r="L103" i="13"/>
  <c r="CA387" i="1"/>
  <c r="CA165" i="1"/>
  <c r="CB378" i="1"/>
  <c r="CB28" i="1"/>
  <c r="CB19" i="9" s="1"/>
  <c r="BZ32" i="9"/>
  <c r="BZ325" i="1"/>
  <c r="BZ55" i="9" s="1"/>
  <c r="BP793" i="1"/>
  <c r="BP794" i="1" s="1"/>
  <c r="BP967" i="1" s="1"/>
  <c r="V794" i="1"/>
  <c r="V967" i="1" s="1"/>
  <c r="CB31" i="1"/>
  <c r="CB101" i="1"/>
  <c r="CB95" i="1"/>
  <c r="CB97" i="1" s="1"/>
  <c r="BY104" i="9"/>
  <c r="BY105" i="9" s="1"/>
  <c r="BY326" i="1"/>
  <c r="BY56" i="9" s="1"/>
  <c r="BY389" i="1"/>
  <c r="BY963" i="1"/>
  <c r="BZ30" i="9"/>
  <c r="BZ323" i="1"/>
  <c r="BZ53" i="9" s="1"/>
  <c r="CA99" i="1"/>
  <c r="AN967" i="1"/>
  <c r="AO862" i="1"/>
  <c r="AO863" i="1" s="1"/>
  <c r="AN870" i="1"/>
  <c r="AP793" i="1"/>
  <c r="AO794" i="1"/>
  <c r="P1102" i="1"/>
  <c r="P1" i="9"/>
  <c r="P1072" i="1"/>
  <c r="P1097" i="1" s="1"/>
  <c r="P1095" i="1" s="1"/>
  <c r="P723" i="1" s="1"/>
  <c r="P1098" i="1"/>
  <c r="P430" i="1"/>
  <c r="P3" i="1"/>
  <c r="Q4" i="1"/>
  <c r="P4" i="12"/>
  <c r="P4" i="11"/>
  <c r="BY52" i="9"/>
  <c r="BY320" i="1"/>
  <c r="O3" i="11"/>
  <c r="O3" i="12"/>
  <c r="BY128" i="9"/>
  <c r="CB962" i="1"/>
  <c r="CB146" i="1"/>
  <c r="CB154" i="1" s="1"/>
  <c r="CB90" i="1"/>
  <c r="CB91" i="1" s="1"/>
  <c r="CA28" i="9"/>
  <c r="CA905" i="1"/>
  <c r="CA816" i="1" s="1"/>
  <c r="CA677" i="1"/>
  <c r="CA189" i="1" s="1"/>
  <c r="CA394" i="1" s="1"/>
  <c r="CA931" i="1"/>
  <c r="CA532" i="1"/>
  <c r="BN1090" i="1"/>
  <c r="BN1088" i="1" s="1"/>
  <c r="BN721" i="1" s="1"/>
  <c r="BN1092" i="1"/>
  <c r="BN1083" i="1"/>
  <c r="BN1081" i="1" s="1"/>
  <c r="BN720" i="1" s="1"/>
  <c r="BN1085" i="1"/>
  <c r="BN1076" i="1"/>
  <c r="BN1074" i="1" s="1"/>
  <c r="BN719" i="1" s="1"/>
  <c r="BN1078" i="1"/>
  <c r="BN1099" i="1"/>
  <c r="BN1097" i="1"/>
  <c r="BN1095" i="1" s="1"/>
  <c r="BN723" i="1" s="1"/>
  <c r="CA154" i="1"/>
  <c r="BZ31" i="9"/>
  <c r="BZ324" i="1"/>
  <c r="BZ54" i="9" s="1"/>
  <c r="CA159" i="1"/>
  <c r="O1072" i="1"/>
  <c r="BZ533" i="1"/>
  <c r="BZ534" i="1" s="1"/>
  <c r="BZ541" i="1"/>
  <c r="BZ808" i="1"/>
  <c r="BZ948" i="1" s="1"/>
  <c r="BZ332" i="1"/>
  <c r="BZ148" i="1"/>
  <c r="BZ170" i="1"/>
  <c r="BZ174" i="1"/>
  <c r="BZ171" i="1"/>
  <c r="BZ172" i="1" s="1"/>
  <c r="BZ33" i="1"/>
  <c r="BZ35" i="1" s="1"/>
  <c r="BZ823" i="1"/>
  <c r="BZ935" i="1"/>
  <c r="CA170" i="1"/>
  <c r="CA174" i="1"/>
  <c r="CA171" i="1"/>
  <c r="CA148" i="1"/>
  <c r="CA33" i="1"/>
  <c r="CA35" i="1" s="1"/>
  <c r="BZ816" i="1"/>
  <c r="L65" i="13"/>
  <c r="L66" i="13" s="1"/>
  <c r="L59" i="13"/>
  <c r="L60" i="13" s="1"/>
  <c r="M74" i="13"/>
  <c r="M80" i="13"/>
  <c r="Y80" i="13" s="1"/>
  <c r="L77" i="13"/>
  <c r="P1099" i="1" l="1"/>
  <c r="Y74" i="13"/>
  <c r="BZ63" i="9"/>
  <c r="CB385" i="1"/>
  <c r="CB155" i="1"/>
  <c r="BZ176" i="1"/>
  <c r="BZ177" i="1"/>
  <c r="BZ179" i="1" s="1"/>
  <c r="CA155" i="1"/>
  <c r="CA385" i="1"/>
  <c r="P1090" i="1"/>
  <c r="P1088" i="1" s="1"/>
  <c r="P721" i="1" s="1"/>
  <c r="P1085" i="1"/>
  <c r="P1076" i="1"/>
  <c r="P1074" i="1" s="1"/>
  <c r="P719" i="1" s="1"/>
  <c r="P1083" i="1"/>
  <c r="P1081" i="1" s="1"/>
  <c r="P720" i="1" s="1"/>
  <c r="P1092" i="1"/>
  <c r="P1078" i="1"/>
  <c r="CA533" i="1"/>
  <c r="CA534" i="1" s="1"/>
  <c r="CA541" i="1"/>
  <c r="CA383" i="1"/>
  <c r="CA150" i="1"/>
  <c r="CA149" i="1"/>
  <c r="BZ383" i="1"/>
  <c r="BZ149" i="1"/>
  <c r="BZ150" i="1"/>
  <c r="BZ152" i="1" s="1"/>
  <c r="BZ147" i="1"/>
  <c r="BZ181" i="1" s="1"/>
  <c r="BZ575" i="1" s="1"/>
  <c r="CA823" i="1"/>
  <c r="CA63" i="9" s="1"/>
  <c r="CA935" i="1"/>
  <c r="CA172" i="1"/>
  <c r="CA808" i="1"/>
  <c r="CA948" i="1" s="1"/>
  <c r="CA332" i="1"/>
  <c r="CA176" i="1"/>
  <c r="CA177" i="1"/>
  <c r="CA179" i="1" s="1"/>
  <c r="CA147" i="1"/>
  <c r="CA181" i="1" s="1"/>
  <c r="CA575" i="1" s="1"/>
  <c r="BY47" i="9"/>
  <c r="BY129" i="9" s="1"/>
  <c r="BY327" i="1"/>
  <c r="BY57" i="9" s="1"/>
  <c r="BU793" i="1"/>
  <c r="AP794" i="1"/>
  <c r="BZ106" i="9"/>
  <c r="BZ107" i="9" s="1"/>
  <c r="O1090" i="1"/>
  <c r="O1088" i="1" s="1"/>
  <c r="O721" i="1" s="1"/>
  <c r="O1092" i="1"/>
  <c r="O1083" i="1"/>
  <c r="O1081" i="1" s="1"/>
  <c r="O720" i="1" s="1"/>
  <c r="O1085" i="1"/>
  <c r="O1076" i="1"/>
  <c r="O1074" i="1" s="1"/>
  <c r="O719" i="1" s="1"/>
  <c r="O1078" i="1"/>
  <c r="O1097" i="1"/>
  <c r="O1095" i="1" s="1"/>
  <c r="O723" i="1" s="1"/>
  <c r="O1099" i="1"/>
  <c r="Q1" i="9"/>
  <c r="Q1098" i="1"/>
  <c r="Q1102" i="1"/>
  <c r="Q1072" i="1"/>
  <c r="Q1099" i="1" s="1"/>
  <c r="Q430" i="1"/>
  <c r="Q3" i="1"/>
  <c r="R4" i="1"/>
  <c r="Q4" i="11"/>
  <c r="Q4" i="12"/>
  <c r="AO967" i="1"/>
  <c r="AP862" i="1"/>
  <c r="AP863" i="1" s="1"/>
  <c r="AO870" i="1"/>
  <c r="CB169" i="1"/>
  <c r="CB103" i="1"/>
  <c r="CB98" i="1"/>
  <c r="CB99" i="1" s="1"/>
  <c r="CB28" i="9"/>
  <c r="CB931" i="1"/>
  <c r="CB905" i="1"/>
  <c r="CB816" i="1" s="1"/>
  <c r="CB532" i="1"/>
  <c r="CB677" i="1"/>
  <c r="CB189" i="1" s="1"/>
  <c r="CB394" i="1" s="1"/>
  <c r="CA386" i="1"/>
  <c r="CA160" i="1"/>
  <c r="CB164" i="1"/>
  <c r="P3" i="12"/>
  <c r="P3" i="11"/>
  <c r="CB159" i="1"/>
  <c r="CA32" i="9"/>
  <c r="CA325" i="1"/>
  <c r="CA55" i="9" s="1"/>
  <c r="M65" i="13"/>
  <c r="M59" i="13"/>
  <c r="N74" i="13"/>
  <c r="N80" i="13"/>
  <c r="M77" i="13"/>
  <c r="Y77" i="13" s="1"/>
  <c r="M60" i="13" l="1"/>
  <c r="Y59" i="13"/>
  <c r="M66" i="13"/>
  <c r="Y65" i="13"/>
  <c r="O74" i="13"/>
  <c r="CB386" i="1"/>
  <c r="CB160" i="1"/>
  <c r="R1098" i="1"/>
  <c r="R1" i="9"/>
  <c r="R1102" i="1"/>
  <c r="R430" i="1"/>
  <c r="R3" i="1"/>
  <c r="R1072" i="1" s="1"/>
  <c r="R1097" i="1" s="1"/>
  <c r="R1095" i="1" s="1"/>
  <c r="R723" i="1" s="1"/>
  <c r="BO4" i="1"/>
  <c r="R4" i="11"/>
  <c r="R4" i="12"/>
  <c r="BZ581" i="1"/>
  <c r="BZ576" i="1"/>
  <c r="BZ577" i="1" s="1"/>
  <c r="CB823" i="1"/>
  <c r="CB63" i="9" s="1"/>
  <c r="CB935" i="1"/>
  <c r="Q3" i="12"/>
  <c r="Q3" i="11"/>
  <c r="Q1097" i="1"/>
  <c r="Q1095" i="1" s="1"/>
  <c r="Q723" i="1" s="1"/>
  <c r="CB170" i="1"/>
  <c r="CB174" i="1"/>
  <c r="CB171" i="1"/>
  <c r="CB172" i="1" s="1"/>
  <c r="CB148" i="1"/>
  <c r="CB33" i="1"/>
  <c r="CB35" i="1" s="1"/>
  <c r="CA152" i="1"/>
  <c r="CB387" i="1"/>
  <c r="CB165" i="1"/>
  <c r="CA388" i="1"/>
  <c r="CA320" i="1"/>
  <c r="CA382" i="1"/>
  <c r="BZ388" i="1"/>
  <c r="BZ320" i="1"/>
  <c r="BZ382" i="1"/>
  <c r="CA31" i="9"/>
  <c r="CA324" i="1"/>
  <c r="CA54" i="9" s="1"/>
  <c r="AP870" i="1"/>
  <c r="AP967" i="1"/>
  <c r="CB30" i="9"/>
  <c r="CB323" i="1"/>
  <c r="CB53" i="9" s="1"/>
  <c r="Q1090" i="1"/>
  <c r="Q1088" i="1" s="1"/>
  <c r="Q721" i="1" s="1"/>
  <c r="Q1092" i="1"/>
  <c r="Q1083" i="1"/>
  <c r="Q1081" i="1" s="1"/>
  <c r="Q720" i="1" s="1"/>
  <c r="Q1085" i="1"/>
  <c r="Q1076" i="1"/>
  <c r="Q1074" i="1" s="1"/>
  <c r="Q719" i="1" s="1"/>
  <c r="Q1078" i="1"/>
  <c r="CA30" i="9"/>
  <c r="CA323" i="1"/>
  <c r="CA53" i="9" s="1"/>
  <c r="CA581" i="1"/>
  <c r="CA576" i="1"/>
  <c r="CA577" i="1" s="1"/>
  <c r="CB808" i="1"/>
  <c r="CB948" i="1" s="1"/>
  <c r="CB332" i="1"/>
  <c r="BU862" i="1"/>
  <c r="BU863" i="1" s="1"/>
  <c r="BU794" i="1"/>
  <c r="AQ793" i="1" s="1"/>
  <c r="CA106" i="9"/>
  <c r="CA107" i="9" s="1"/>
  <c r="CB541" i="1"/>
  <c r="CB533" i="1"/>
  <c r="CB534" i="1" s="1"/>
  <c r="N65" i="13"/>
  <c r="N66" i="13" s="1"/>
  <c r="N59" i="13"/>
  <c r="N60" i="13" s="1"/>
  <c r="K61" i="13"/>
  <c r="O80" i="13"/>
  <c r="Z80" i="13" s="1"/>
  <c r="N77" i="13"/>
  <c r="P74" i="13"/>
  <c r="Z74" i="13" l="1"/>
  <c r="K62" i="13"/>
  <c r="K63" i="13"/>
  <c r="P80" i="13"/>
  <c r="BU967" i="1"/>
  <c r="BU870" i="1"/>
  <c r="CA104" i="9"/>
  <c r="CA105" i="9" s="1"/>
  <c r="CA389" i="1"/>
  <c r="CA326" i="1"/>
  <c r="CA56" i="9" s="1"/>
  <c r="CA963" i="1"/>
  <c r="CB32" i="9"/>
  <c r="CB325" i="1"/>
  <c r="CB55" i="9" s="1"/>
  <c r="R1090" i="1"/>
  <c r="R1088" i="1" s="1"/>
  <c r="R721" i="1" s="1"/>
  <c r="R1092" i="1"/>
  <c r="R1083" i="1"/>
  <c r="R1081" i="1" s="1"/>
  <c r="R720" i="1" s="1"/>
  <c r="R1078" i="1"/>
  <c r="R1076" i="1"/>
  <c r="R1074" i="1" s="1"/>
  <c r="R719" i="1" s="1"/>
  <c r="R1085" i="1"/>
  <c r="CB106" i="9"/>
  <c r="CB107" i="9" s="1"/>
  <c r="CB383" i="1"/>
  <c r="CB150" i="1"/>
  <c r="CB152" i="1" s="1"/>
  <c r="CB149" i="1"/>
  <c r="CB147" i="1"/>
  <c r="CB181" i="1" s="1"/>
  <c r="CB575" i="1" s="1"/>
  <c r="R1099" i="1"/>
  <c r="BZ29" i="9"/>
  <c r="BZ33" i="9" s="1"/>
  <c r="BZ319" i="1"/>
  <c r="BZ52" i="9" s="1"/>
  <c r="CB176" i="1"/>
  <c r="CB177" i="1"/>
  <c r="CB179" i="1" s="1"/>
  <c r="CB31" i="9"/>
  <c r="CB324" i="1"/>
  <c r="CB54" i="9" s="1"/>
  <c r="BZ104" i="9"/>
  <c r="BZ105" i="9" s="1"/>
  <c r="BZ389" i="1"/>
  <c r="BZ326" i="1"/>
  <c r="BZ56" i="9" s="1"/>
  <c r="BZ963" i="1"/>
  <c r="CA29" i="9"/>
  <c r="CA33" i="9" s="1"/>
  <c r="CA319" i="1"/>
  <c r="CA52" i="9" s="1"/>
  <c r="BO1" i="9"/>
  <c r="BO1098" i="1"/>
  <c r="BO1102" i="1"/>
  <c r="BO430" i="1"/>
  <c r="BO3" i="1"/>
  <c r="S4" i="1"/>
  <c r="BO4" i="12"/>
  <c r="BO4" i="11"/>
  <c r="AR793" i="1"/>
  <c r="AQ862" i="1"/>
  <c r="AQ863" i="1" s="1"/>
  <c r="AQ794" i="1"/>
  <c r="R3" i="11"/>
  <c r="R3" i="12"/>
  <c r="O65" i="13"/>
  <c r="O59" i="13"/>
  <c r="L61" i="13"/>
  <c r="O77" i="13"/>
  <c r="Z77" i="13" s="1"/>
  <c r="Q74" i="13"/>
  <c r="L62" i="13" l="1"/>
  <c r="L63" i="13"/>
  <c r="K64" i="13"/>
  <c r="K67" i="13"/>
  <c r="O60" i="13"/>
  <c r="Z59" i="13"/>
  <c r="O66" i="13"/>
  <c r="Z65" i="13"/>
  <c r="Q80" i="13"/>
  <c r="Q893" i="1"/>
  <c r="P893" i="1"/>
  <c r="R893" i="1"/>
  <c r="P892" i="1"/>
  <c r="BO3" i="11"/>
  <c r="Q892" i="1"/>
  <c r="O892" i="1"/>
  <c r="BO3" i="12"/>
  <c r="R892" i="1"/>
  <c r="O893" i="1"/>
  <c r="O894" i="1"/>
  <c r="O895" i="1"/>
  <c r="P895" i="1"/>
  <c r="P894" i="1"/>
  <c r="Q894" i="1"/>
  <c r="Q895" i="1"/>
  <c r="CB581" i="1"/>
  <c r="CB576" i="1"/>
  <c r="CB577" i="1" s="1"/>
  <c r="S1" i="9"/>
  <c r="S1102" i="1"/>
  <c r="S1098" i="1"/>
  <c r="S1072" i="1"/>
  <c r="S1099" i="1" s="1"/>
  <c r="S430" i="1"/>
  <c r="S3" i="1"/>
  <c r="T4" i="1"/>
  <c r="S4" i="12"/>
  <c r="S4" i="11"/>
  <c r="R894" i="1"/>
  <c r="BO1072" i="1"/>
  <c r="BZ47" i="9"/>
  <c r="BZ129" i="9" s="1"/>
  <c r="BZ327" i="1"/>
  <c r="BZ57" i="9" s="1"/>
  <c r="CB388" i="1"/>
  <c r="CB320" i="1"/>
  <c r="CB382" i="1"/>
  <c r="R895" i="1"/>
  <c r="CA47" i="9"/>
  <c r="CA129" i="9" s="1"/>
  <c r="CA327" i="1"/>
  <c r="CA57" i="9" s="1"/>
  <c r="AQ870" i="1"/>
  <c r="AQ967" i="1"/>
  <c r="AR862" i="1"/>
  <c r="AR863" i="1" s="1"/>
  <c r="AS793" i="1"/>
  <c r="AR794" i="1"/>
  <c r="CA128" i="9"/>
  <c r="BZ128" i="9"/>
  <c r="P65" i="13"/>
  <c r="P66" i="13" s="1"/>
  <c r="K79" i="13"/>
  <c r="P59" i="13"/>
  <c r="M61" i="13"/>
  <c r="P77" i="13"/>
  <c r="R74" i="13"/>
  <c r="R80" i="13" l="1"/>
  <c r="S1097" i="1"/>
  <c r="S1095" i="1" s="1"/>
  <c r="S723" i="1" s="1"/>
  <c r="P60" i="13"/>
  <c r="Q60" i="13"/>
  <c r="M62" i="13"/>
  <c r="Y61" i="13"/>
  <c r="M63" i="13"/>
  <c r="K152" i="13"/>
  <c r="K68" i="13"/>
  <c r="K156" i="13"/>
  <c r="K148" i="13"/>
  <c r="K160" i="13"/>
  <c r="K97" i="13"/>
  <c r="K99" i="13"/>
  <c r="K76" i="13"/>
  <c r="L64" i="13"/>
  <c r="L67" i="13"/>
  <c r="CB29" i="9"/>
  <c r="CB33" i="9" s="1"/>
  <c r="CB319" i="1"/>
  <c r="CB52" i="9" s="1"/>
  <c r="S1092" i="1"/>
  <c r="S1083" i="1"/>
  <c r="S1081" i="1" s="1"/>
  <c r="S720" i="1" s="1"/>
  <c r="S1085" i="1"/>
  <c r="S1076" i="1"/>
  <c r="S1074" i="1" s="1"/>
  <c r="S719" i="1" s="1"/>
  <c r="S1078" i="1"/>
  <c r="S1090" i="1"/>
  <c r="S1088" i="1" s="1"/>
  <c r="S721" i="1" s="1"/>
  <c r="CB104" i="9"/>
  <c r="CB105" i="9" s="1"/>
  <c r="CB389" i="1"/>
  <c r="CB326" i="1"/>
  <c r="CB56" i="9" s="1"/>
  <c r="CB963" i="1"/>
  <c r="AT793" i="1"/>
  <c r="AS794" i="1"/>
  <c r="BO1090" i="1"/>
  <c r="BO1088" i="1" s="1"/>
  <c r="BO721" i="1" s="1"/>
  <c r="BO1092" i="1"/>
  <c r="BO1083" i="1"/>
  <c r="BO1081" i="1" s="1"/>
  <c r="BO720" i="1" s="1"/>
  <c r="BO1078" i="1"/>
  <c r="BO1076" i="1"/>
  <c r="BO1074" i="1" s="1"/>
  <c r="BO719" i="1" s="1"/>
  <c r="BO1085" i="1"/>
  <c r="BO1099" i="1"/>
  <c r="BO1097" i="1"/>
  <c r="BO1095" i="1" s="1"/>
  <c r="BO723" i="1" s="1"/>
  <c r="AR967" i="1"/>
  <c r="AR870" i="1"/>
  <c r="AS862" i="1"/>
  <c r="AS863" i="1" s="1"/>
  <c r="T1" i="9"/>
  <c r="T1102" i="1"/>
  <c r="T1098" i="1"/>
  <c r="T430" i="1"/>
  <c r="U4" i="1"/>
  <c r="T3" i="1"/>
  <c r="T1072" i="1" s="1"/>
  <c r="T4" i="12"/>
  <c r="T4" i="11"/>
  <c r="S3" i="12"/>
  <c r="S3" i="11"/>
  <c r="Q65" i="13"/>
  <c r="Q66" i="13" s="1"/>
  <c r="K71" i="13"/>
  <c r="K72" i="13" s="1"/>
  <c r="K82" i="13"/>
  <c r="K92" i="13"/>
  <c r="K93" i="13" s="1"/>
  <c r="N61" i="13"/>
  <c r="Q77" i="13"/>
  <c r="S74" i="13"/>
  <c r="S80" i="13" l="1"/>
  <c r="N62" i="13"/>
  <c r="N63" i="13"/>
  <c r="M64" i="13"/>
  <c r="Y63" i="13"/>
  <c r="M67" i="13"/>
  <c r="L160" i="13"/>
  <c r="L152" i="13"/>
  <c r="L68" i="13"/>
  <c r="L156" i="13"/>
  <c r="L148" i="13"/>
  <c r="L97" i="13"/>
  <c r="L99" i="13"/>
  <c r="L76" i="13"/>
  <c r="O61" i="13"/>
  <c r="K94" i="13"/>
  <c r="K95" i="13" s="1"/>
  <c r="T1092" i="1"/>
  <c r="T1083" i="1"/>
  <c r="T1081" i="1" s="1"/>
  <c r="T720" i="1" s="1"/>
  <c r="T1085" i="1"/>
  <c r="T1076" i="1"/>
  <c r="T1074" i="1" s="1"/>
  <c r="T719" i="1" s="1"/>
  <c r="T1090" i="1"/>
  <c r="T1088" i="1" s="1"/>
  <c r="T721" i="1" s="1"/>
  <c r="T1078" i="1"/>
  <c r="T1099" i="1"/>
  <c r="T1097" i="1"/>
  <c r="T1095" i="1" s="1"/>
  <c r="T723" i="1" s="1"/>
  <c r="U1" i="9"/>
  <c r="U1102" i="1"/>
  <c r="U1098" i="1"/>
  <c r="U430" i="1"/>
  <c r="V4" i="1"/>
  <c r="U3" i="1"/>
  <c r="U1072" i="1" s="1"/>
  <c r="U1099" i="1" s="1"/>
  <c r="U4" i="12"/>
  <c r="U4" i="11"/>
  <c r="CB47" i="9"/>
  <c r="CB129" i="9" s="1"/>
  <c r="CB327" i="1"/>
  <c r="CB57" i="9" s="1"/>
  <c r="AS967" i="1"/>
  <c r="AS870" i="1"/>
  <c r="AT862" i="1"/>
  <c r="AT863" i="1" s="1"/>
  <c r="BV793" i="1"/>
  <c r="AT794" i="1"/>
  <c r="A389" i="1"/>
  <c r="T3" i="11"/>
  <c r="T3" i="12"/>
  <c r="CB128" i="9"/>
  <c r="R65" i="13"/>
  <c r="R66" i="13" s="1"/>
  <c r="K83" i="13"/>
  <c r="L82" i="13"/>
  <c r="L92" i="13"/>
  <c r="L93" i="13" s="1"/>
  <c r="L71" i="13"/>
  <c r="L72" i="13" s="1"/>
  <c r="L79" i="13"/>
  <c r="R77" i="13"/>
  <c r="T80" i="13"/>
  <c r="AA80" i="13" s="1"/>
  <c r="T74" i="13"/>
  <c r="P61" i="13" l="1"/>
  <c r="Q62" i="13" s="1"/>
  <c r="K107" i="13"/>
  <c r="M160" i="13"/>
  <c r="M152" i="13"/>
  <c r="M68" i="13"/>
  <c r="Y67" i="13"/>
  <c r="M156" i="13"/>
  <c r="M148" i="13"/>
  <c r="M99" i="13"/>
  <c r="M97" i="13"/>
  <c r="M76" i="13"/>
  <c r="AA74" i="13"/>
  <c r="O62" i="13"/>
  <c r="Z61" i="13"/>
  <c r="O63" i="13"/>
  <c r="N64" i="13"/>
  <c r="N67" i="13"/>
  <c r="AT967" i="1"/>
  <c r="AT870" i="1"/>
  <c r="U1085" i="1"/>
  <c r="U1076" i="1"/>
  <c r="U1074" i="1" s="1"/>
  <c r="U719" i="1" s="1"/>
  <c r="U1078" i="1"/>
  <c r="U1092" i="1"/>
  <c r="U1083" i="1"/>
  <c r="U1081" i="1" s="1"/>
  <c r="U720" i="1" s="1"/>
  <c r="U1090" i="1"/>
  <c r="U1088" i="1" s="1"/>
  <c r="U721" i="1" s="1"/>
  <c r="U3" i="12"/>
  <c r="U3" i="11"/>
  <c r="V1" i="9"/>
  <c r="V1098" i="1"/>
  <c r="V1102" i="1"/>
  <c r="V430" i="1"/>
  <c r="BP4" i="1"/>
  <c r="V3" i="1"/>
  <c r="V4" i="11"/>
  <c r="V4" i="12"/>
  <c r="A47" i="9"/>
  <c r="A998" i="1"/>
  <c r="U1097" i="1"/>
  <c r="U1095" i="1" s="1"/>
  <c r="U723" i="1" s="1"/>
  <c r="BV862" i="1"/>
  <c r="BV863" i="1" s="1"/>
  <c r="BV794" i="1"/>
  <c r="AU793" i="1" s="1"/>
  <c r="N92" i="13"/>
  <c r="S65" i="13"/>
  <c r="S66" i="13" s="1"/>
  <c r="K84" i="13"/>
  <c r="L94" i="13"/>
  <c r="L95" i="13" s="1"/>
  <c r="M79" i="13"/>
  <c r="L83" i="13"/>
  <c r="M92" i="13"/>
  <c r="M93" i="13" s="1"/>
  <c r="M71" i="13"/>
  <c r="M82" i="13"/>
  <c r="S77" i="13"/>
  <c r="P62" i="13" l="1"/>
  <c r="P71" i="13"/>
  <c r="R63" i="13"/>
  <c r="P63" i="13"/>
  <c r="P64" i="13" s="1"/>
  <c r="M72" i="13"/>
  <c r="Y71" i="13"/>
  <c r="N148" i="13"/>
  <c r="N160" i="13"/>
  <c r="N152" i="13"/>
  <c r="N68" i="13"/>
  <c r="N156" i="13"/>
  <c r="N97" i="13"/>
  <c r="N99" i="13"/>
  <c r="N76" i="13"/>
  <c r="O64" i="13"/>
  <c r="Z63" i="13"/>
  <c r="O67" i="13"/>
  <c r="L107" i="13"/>
  <c r="N93" i="13"/>
  <c r="K132" i="13"/>
  <c r="K133" i="13" s="1"/>
  <c r="K108" i="13"/>
  <c r="BP1" i="9"/>
  <c r="BP1102" i="1"/>
  <c r="BP1098" i="1"/>
  <c r="BP430" i="1"/>
  <c r="BP3" i="1"/>
  <c r="W4" i="1"/>
  <c r="BP4" i="11"/>
  <c r="BP4" i="12"/>
  <c r="V3" i="11"/>
  <c r="V3" i="12"/>
  <c r="V1072" i="1"/>
  <c r="BV967" i="1"/>
  <c r="BV870" i="1"/>
  <c r="AU862" i="1"/>
  <c r="AU863" i="1" s="1"/>
  <c r="AV793" i="1"/>
  <c r="AU794" i="1"/>
  <c r="O71" i="13"/>
  <c r="O82" i="13"/>
  <c r="N71" i="13"/>
  <c r="N72" i="13" s="1"/>
  <c r="O79" i="13"/>
  <c r="N82" i="13"/>
  <c r="O92" i="13"/>
  <c r="N79" i="13"/>
  <c r="T65" i="13"/>
  <c r="M83" i="13"/>
  <c r="L84" i="13"/>
  <c r="M94" i="13"/>
  <c r="M95" i="13" s="1"/>
  <c r="T77" i="13"/>
  <c r="AA77" i="13" s="1"/>
  <c r="Q63" i="13" l="1"/>
  <c r="R64" i="13" s="1"/>
  <c r="P67" i="13"/>
  <c r="P68" i="13" s="1"/>
  <c r="O93" i="13"/>
  <c r="Z71" i="13"/>
  <c r="O72" i="13"/>
  <c r="M107" i="13"/>
  <c r="Y83" i="13"/>
  <c r="R67" i="13"/>
  <c r="AA65" i="13"/>
  <c r="T66" i="13"/>
  <c r="L132" i="13"/>
  <c r="L133" i="13" s="1"/>
  <c r="L108" i="13"/>
  <c r="O148" i="13"/>
  <c r="O160" i="13"/>
  <c r="O152" i="13"/>
  <c r="O68" i="13"/>
  <c r="Z67" i="13"/>
  <c r="O156" i="13"/>
  <c r="O99" i="13"/>
  <c r="O97" i="13"/>
  <c r="O76" i="13"/>
  <c r="P94" i="13"/>
  <c r="N83" i="13"/>
  <c r="O83" i="13"/>
  <c r="AW793" i="1"/>
  <c r="AV794" i="1"/>
  <c r="S893" i="1"/>
  <c r="T892" i="1"/>
  <c r="U893" i="1"/>
  <c r="T893" i="1"/>
  <c r="V893" i="1"/>
  <c r="BP3" i="12"/>
  <c r="U892" i="1"/>
  <c r="V892" i="1"/>
  <c r="BP3" i="11"/>
  <c r="S892" i="1"/>
  <c r="S895" i="1"/>
  <c r="S894" i="1"/>
  <c r="T894" i="1"/>
  <c r="T895" i="1"/>
  <c r="U895" i="1"/>
  <c r="U894" i="1"/>
  <c r="AV862" i="1"/>
  <c r="AV863" i="1" s="1"/>
  <c r="AU967" i="1"/>
  <c r="AU870" i="1"/>
  <c r="W1" i="9"/>
  <c r="W1098" i="1"/>
  <c r="W1102" i="1"/>
  <c r="W430" i="1"/>
  <c r="X4" i="1"/>
  <c r="W3" i="1"/>
  <c r="W1072" i="1" s="1"/>
  <c r="W1099" i="1" s="1"/>
  <c r="W4" i="12"/>
  <c r="W4" i="11"/>
  <c r="BP1072" i="1"/>
  <c r="V1085" i="1"/>
  <c r="V1076" i="1"/>
  <c r="V1074" i="1" s="1"/>
  <c r="V719" i="1" s="1"/>
  <c r="V1078" i="1"/>
  <c r="V1083" i="1"/>
  <c r="V1081" i="1" s="1"/>
  <c r="V720" i="1" s="1"/>
  <c r="V1090" i="1"/>
  <c r="V1088" i="1" s="1"/>
  <c r="V721" i="1" s="1"/>
  <c r="V1092" i="1"/>
  <c r="V1097" i="1"/>
  <c r="V1095" i="1" s="1"/>
  <c r="V723" i="1" s="1"/>
  <c r="V1099" i="1"/>
  <c r="V894" i="1"/>
  <c r="V895" i="1"/>
  <c r="O94" i="13"/>
  <c r="O95" i="13" s="1"/>
  <c r="P83" i="13"/>
  <c r="N94" i="13"/>
  <c r="N95" i="13" s="1"/>
  <c r="P92" i="13"/>
  <c r="P79" i="13"/>
  <c r="P82" i="13"/>
  <c r="R71" i="13"/>
  <c r="M84" i="13"/>
  <c r="S63" i="13" l="1"/>
  <c r="S67" i="13" s="1"/>
  <c r="Q67" i="13"/>
  <c r="R68" i="13" s="1"/>
  <c r="Q64" i="13"/>
  <c r="Q92" i="13"/>
  <c r="P93" i="13"/>
  <c r="P76" i="13"/>
  <c r="P97" i="13"/>
  <c r="P72" i="13"/>
  <c r="P99" i="13"/>
  <c r="P95" i="13"/>
  <c r="R72" i="13"/>
  <c r="N84" i="13"/>
  <c r="O107" i="13"/>
  <c r="Z83" i="13"/>
  <c r="N107" i="13"/>
  <c r="R76" i="13"/>
  <c r="P107" i="13"/>
  <c r="M132" i="13"/>
  <c r="M133" i="13" s="1"/>
  <c r="M108" i="13"/>
  <c r="O84" i="13"/>
  <c r="W1078" i="1"/>
  <c r="W1090" i="1"/>
  <c r="W1088" i="1" s="1"/>
  <c r="W721" i="1" s="1"/>
  <c r="W1085" i="1"/>
  <c r="W1076" i="1"/>
  <c r="W1074" i="1" s="1"/>
  <c r="W719" i="1" s="1"/>
  <c r="W1083" i="1"/>
  <c r="W1081" i="1" s="1"/>
  <c r="W720" i="1" s="1"/>
  <c r="W1092" i="1"/>
  <c r="AV967" i="1"/>
  <c r="AV870" i="1"/>
  <c r="AW862" i="1"/>
  <c r="AW863" i="1" s="1"/>
  <c r="W3" i="11"/>
  <c r="W3" i="12"/>
  <c r="X1" i="9"/>
  <c r="X1098" i="1"/>
  <c r="X1072" i="1"/>
  <c r="X1097" i="1" s="1"/>
  <c r="X1095" i="1" s="1"/>
  <c r="X723" i="1" s="1"/>
  <c r="X1102" i="1"/>
  <c r="X430" i="1"/>
  <c r="X3" i="1"/>
  <c r="Y4" i="1"/>
  <c r="X4" i="11"/>
  <c r="X4" i="12"/>
  <c r="BP1092" i="1"/>
  <c r="BP1083" i="1"/>
  <c r="BP1081" i="1" s="1"/>
  <c r="BP720" i="1" s="1"/>
  <c r="BP1085" i="1"/>
  <c r="BP1076" i="1"/>
  <c r="BP1074" i="1" s="1"/>
  <c r="BP719" i="1" s="1"/>
  <c r="BP1078" i="1"/>
  <c r="BP1090" i="1"/>
  <c r="BP1088" i="1" s="1"/>
  <c r="BP721" i="1" s="1"/>
  <c r="BP1099" i="1"/>
  <c r="BP1097" i="1"/>
  <c r="BP1095" i="1" s="1"/>
  <c r="BP723" i="1" s="1"/>
  <c r="W1097" i="1"/>
  <c r="W1095" i="1" s="1"/>
  <c r="W723" i="1" s="1"/>
  <c r="AX793" i="1"/>
  <c r="AW794" i="1"/>
  <c r="P84" i="13"/>
  <c r="R79" i="13"/>
  <c r="R92" i="13"/>
  <c r="R82" i="13"/>
  <c r="R94" i="13"/>
  <c r="R83" i="13"/>
  <c r="T63" i="13"/>
  <c r="S64" i="13" l="1"/>
  <c r="Q76" i="13"/>
  <c r="Q68" i="13"/>
  <c r="Q79" i="13"/>
  <c r="Q82" i="13"/>
  <c r="Q71" i="13"/>
  <c r="Q72" i="13" s="1"/>
  <c r="P108" i="13"/>
  <c r="P132" i="13"/>
  <c r="P133" i="13" s="1"/>
  <c r="S68" i="13"/>
  <c r="S76" i="13"/>
  <c r="N132" i="13"/>
  <c r="N133" i="13" s="1"/>
  <c r="N108" i="13"/>
  <c r="T67" i="13"/>
  <c r="AA63" i="13"/>
  <c r="T64" i="13"/>
  <c r="O108" i="13"/>
  <c r="O132" i="13"/>
  <c r="O133" i="13" s="1"/>
  <c r="X1099" i="1"/>
  <c r="Y1" i="9"/>
  <c r="Y1102" i="1"/>
  <c r="Y1098" i="1"/>
  <c r="Y430" i="1"/>
  <c r="Y3" i="1"/>
  <c r="Z4" i="1"/>
  <c r="Y4" i="12"/>
  <c r="Y4" i="11"/>
  <c r="BW793" i="1"/>
  <c r="AX794" i="1"/>
  <c r="X3" i="11"/>
  <c r="X3" i="12"/>
  <c r="AW967" i="1"/>
  <c r="AX862" i="1"/>
  <c r="AX863" i="1" s="1"/>
  <c r="AW870" i="1"/>
  <c r="X1078" i="1"/>
  <c r="X1090" i="1"/>
  <c r="X1088" i="1" s="1"/>
  <c r="X721" i="1" s="1"/>
  <c r="X1092" i="1"/>
  <c r="X1085" i="1"/>
  <c r="X1083" i="1"/>
  <c r="X1081" i="1" s="1"/>
  <c r="X720" i="1" s="1"/>
  <c r="X1076" i="1"/>
  <c r="X1074" i="1" s="1"/>
  <c r="X719" i="1" s="1"/>
  <c r="T92" i="13"/>
  <c r="R84" i="13"/>
  <c r="S71" i="13" l="1"/>
  <c r="S72" i="13" s="1"/>
  <c r="S92" i="13"/>
  <c r="S79" i="13"/>
  <c r="S82" i="13"/>
  <c r="Q94" i="13"/>
  <c r="Q83" i="13"/>
  <c r="AA67" i="13"/>
  <c r="T68" i="13"/>
  <c r="T76" i="13"/>
  <c r="BW862" i="1"/>
  <c r="BW863" i="1" s="1"/>
  <c r="BW794" i="1"/>
  <c r="AY793" i="1" s="1"/>
  <c r="Z1" i="9"/>
  <c r="Z1102" i="1"/>
  <c r="Z1098" i="1"/>
  <c r="Z430" i="1"/>
  <c r="BQ4" i="1"/>
  <c r="Z3" i="1"/>
  <c r="Z4" i="12"/>
  <c r="Z4" i="11"/>
  <c r="Y3" i="12"/>
  <c r="Y3" i="11"/>
  <c r="AX870" i="1"/>
  <c r="AX967" i="1"/>
  <c r="Y1072" i="1"/>
  <c r="S83" i="13"/>
  <c r="T79" i="13"/>
  <c r="T71" i="13"/>
  <c r="T82" i="13"/>
  <c r="S94" i="13" l="1"/>
  <c r="Q84" i="13"/>
  <c r="AA71" i="13"/>
  <c r="T72" i="13"/>
  <c r="T94" i="13"/>
  <c r="Z3" i="12"/>
  <c r="Z3" i="11"/>
  <c r="BQ1" i="9"/>
  <c r="BQ1102" i="1"/>
  <c r="BQ1098" i="1"/>
  <c r="BQ1072" i="1"/>
  <c r="BQ1097" i="1"/>
  <c r="BQ1095" i="1" s="1"/>
  <c r="BQ723" i="1" s="1"/>
  <c r="BQ430" i="1"/>
  <c r="AA4" i="1"/>
  <c r="BQ3" i="1"/>
  <c r="Z894" i="1" s="1"/>
  <c r="BQ4" i="11"/>
  <c r="BQ4" i="12"/>
  <c r="Y1090" i="1"/>
  <c r="Y1088" i="1" s="1"/>
  <c r="Y721" i="1" s="1"/>
  <c r="Y1092" i="1"/>
  <c r="Y1083" i="1"/>
  <c r="Y1081" i="1" s="1"/>
  <c r="Y720" i="1" s="1"/>
  <c r="Y1078" i="1"/>
  <c r="Y1085" i="1"/>
  <c r="Y1076" i="1"/>
  <c r="Y1074" i="1" s="1"/>
  <c r="Y719" i="1" s="1"/>
  <c r="Y1099" i="1"/>
  <c r="Y1097" i="1"/>
  <c r="Y1095" i="1" s="1"/>
  <c r="Y723" i="1" s="1"/>
  <c r="Z1072" i="1"/>
  <c r="AY862" i="1"/>
  <c r="AY863" i="1" s="1"/>
  <c r="AY794" i="1"/>
  <c r="BW967" i="1"/>
  <c r="BW870" i="1"/>
  <c r="BX862" i="1"/>
  <c r="S84" i="13"/>
  <c r="T83" i="13"/>
  <c r="AA83" i="13" l="1"/>
  <c r="Z1092" i="1"/>
  <c r="Z1083" i="1"/>
  <c r="Z1081" i="1" s="1"/>
  <c r="Z720" i="1" s="1"/>
  <c r="Z1076" i="1"/>
  <c r="Z1074" i="1" s="1"/>
  <c r="Z719" i="1" s="1"/>
  <c r="Z1090" i="1"/>
  <c r="Z1088" i="1" s="1"/>
  <c r="Z721" i="1" s="1"/>
  <c r="Z1078" i="1"/>
  <c r="Z1085" i="1"/>
  <c r="Z1099" i="1"/>
  <c r="Z1097" i="1"/>
  <c r="Z1095" i="1" s="1"/>
  <c r="Z723" i="1" s="1"/>
  <c r="AA1" i="9"/>
  <c r="AA1102" i="1"/>
  <c r="AA1098" i="1"/>
  <c r="AA430" i="1"/>
  <c r="AA3" i="1"/>
  <c r="AB4" i="1"/>
  <c r="AA4" i="11"/>
  <c r="AA4" i="12"/>
  <c r="BQ1092" i="1"/>
  <c r="BQ1083" i="1"/>
  <c r="BQ1081" i="1" s="1"/>
  <c r="BQ720" i="1" s="1"/>
  <c r="BQ1085" i="1"/>
  <c r="BQ1076" i="1"/>
  <c r="BQ1074" i="1" s="1"/>
  <c r="BQ719" i="1" s="1"/>
  <c r="BQ1078" i="1"/>
  <c r="BQ1090" i="1"/>
  <c r="BQ1088" i="1" s="1"/>
  <c r="BQ721" i="1" s="1"/>
  <c r="BQ1099" i="1"/>
  <c r="Z895" i="1"/>
  <c r="AY870" i="1"/>
  <c r="AZ862" i="1"/>
  <c r="AY967" i="1"/>
  <c r="W893" i="1"/>
  <c r="Y893" i="1"/>
  <c r="Y892" i="1"/>
  <c r="BQ3" i="11"/>
  <c r="X892" i="1"/>
  <c r="BQ3" i="12"/>
  <c r="Z892" i="1"/>
  <c r="X893" i="1"/>
  <c r="W892" i="1"/>
  <c r="Z893" i="1"/>
  <c r="W894" i="1"/>
  <c r="W895" i="1"/>
  <c r="X894" i="1"/>
  <c r="X895" i="1"/>
  <c r="Y894" i="1"/>
  <c r="Y895" i="1"/>
  <c r="T84" i="13"/>
  <c r="AB1" i="9" l="1"/>
  <c r="AB1102" i="1"/>
  <c r="AB1098" i="1"/>
  <c r="AB430" i="1"/>
  <c r="AB3" i="1"/>
  <c r="AB1072" i="1" s="1"/>
  <c r="AC4" i="1"/>
  <c r="AB4" i="12"/>
  <c r="AB4" i="11"/>
  <c r="AA3" i="11"/>
  <c r="AA3" i="12"/>
  <c r="AA1072" i="1"/>
  <c r="AB1090" i="1" l="1"/>
  <c r="AB1088" i="1" s="1"/>
  <c r="AB721" i="1" s="1"/>
  <c r="AB1085" i="1"/>
  <c r="AB1076" i="1"/>
  <c r="AB1074" i="1" s="1"/>
  <c r="AB719" i="1" s="1"/>
  <c r="AB1092" i="1"/>
  <c r="AB1078" i="1"/>
  <c r="AB1083" i="1"/>
  <c r="AB1081" i="1" s="1"/>
  <c r="AB720" i="1" s="1"/>
  <c r="AB1097" i="1"/>
  <c r="AB1095" i="1" s="1"/>
  <c r="AB723" i="1" s="1"/>
  <c r="AB1099" i="1"/>
  <c r="AC1" i="9"/>
  <c r="AC1098" i="1"/>
  <c r="AC1102" i="1"/>
  <c r="AC430" i="1"/>
  <c r="AC3" i="1"/>
  <c r="AD4" i="1"/>
  <c r="AC4" i="11"/>
  <c r="AC4" i="12"/>
  <c r="AA1090" i="1"/>
  <c r="AA1088" i="1" s="1"/>
  <c r="AA721" i="1" s="1"/>
  <c r="AA1092" i="1"/>
  <c r="AA1083" i="1"/>
  <c r="AA1081" i="1" s="1"/>
  <c r="AA720" i="1" s="1"/>
  <c r="AA1085" i="1"/>
  <c r="AA1076" i="1"/>
  <c r="AA1074" i="1" s="1"/>
  <c r="AA719" i="1" s="1"/>
  <c r="AA1078" i="1"/>
  <c r="AA1097" i="1"/>
  <c r="AA1095" i="1" s="1"/>
  <c r="AA723" i="1" s="1"/>
  <c r="AA1099" i="1"/>
  <c r="AB3" i="12"/>
  <c r="AB3" i="11"/>
  <c r="AD1" i="9" l="1"/>
  <c r="AD1098" i="1"/>
  <c r="AD1102" i="1"/>
  <c r="AD430" i="1"/>
  <c r="AD3" i="1"/>
  <c r="AD1072" i="1" s="1"/>
  <c r="BR4" i="1"/>
  <c r="AD4" i="11"/>
  <c r="AD4" i="12"/>
  <c r="AC3" i="12"/>
  <c r="AC3" i="11"/>
  <c r="AC1072" i="1"/>
  <c r="AD3" i="11" l="1"/>
  <c r="AD3" i="12"/>
  <c r="AD1090" i="1"/>
  <c r="AD1088" i="1" s="1"/>
  <c r="AD721" i="1" s="1"/>
  <c r="AD1092" i="1"/>
  <c r="AD1083" i="1"/>
  <c r="AD1081" i="1" s="1"/>
  <c r="AD720" i="1" s="1"/>
  <c r="AD1078" i="1"/>
  <c r="AD1076" i="1"/>
  <c r="AD1074" i="1" s="1"/>
  <c r="AD719" i="1" s="1"/>
  <c r="AD1085" i="1"/>
  <c r="AD1097" i="1"/>
  <c r="AD1095" i="1" s="1"/>
  <c r="AD723" i="1" s="1"/>
  <c r="AC1090" i="1"/>
  <c r="AC1088" i="1" s="1"/>
  <c r="AC721" i="1" s="1"/>
  <c r="AC1092" i="1"/>
  <c r="AC1083" i="1"/>
  <c r="AC1081" i="1" s="1"/>
  <c r="AC720" i="1" s="1"/>
  <c r="AC1085" i="1"/>
  <c r="AC1076" i="1"/>
  <c r="AC1074" i="1" s="1"/>
  <c r="AC719" i="1" s="1"/>
  <c r="AC1078" i="1"/>
  <c r="AC1097" i="1"/>
  <c r="AC1095" i="1" s="1"/>
  <c r="AC723" i="1" s="1"/>
  <c r="AC1099" i="1"/>
  <c r="BR1" i="9"/>
  <c r="BR1102" i="1"/>
  <c r="BR1098" i="1"/>
  <c r="BR430" i="1"/>
  <c r="AE4" i="1"/>
  <c r="BR3" i="1"/>
  <c r="AD895" i="1" s="1"/>
  <c r="BR4" i="11"/>
  <c r="BR4" i="12"/>
  <c r="AD1099" i="1"/>
  <c r="BR1072" i="1" l="1"/>
  <c r="BR1097" i="1" s="1"/>
  <c r="BR1095" i="1" s="1"/>
  <c r="BR723" i="1" s="1"/>
  <c r="BR1099" i="1"/>
  <c r="AA892" i="1"/>
  <c r="AB892" i="1"/>
  <c r="AC893" i="1"/>
  <c r="AC892" i="1"/>
  <c r="AD892" i="1"/>
  <c r="AB893" i="1"/>
  <c r="BR3" i="11"/>
  <c r="BR3" i="12"/>
  <c r="AA893" i="1"/>
  <c r="AD893" i="1"/>
  <c r="AA894" i="1"/>
  <c r="AA895" i="1"/>
  <c r="AB895" i="1"/>
  <c r="AB894" i="1"/>
  <c r="AC894" i="1"/>
  <c r="AC895" i="1"/>
  <c r="AE1" i="9"/>
  <c r="AE1102" i="1"/>
  <c r="AE1098" i="1"/>
  <c r="AE430" i="1"/>
  <c r="AE3" i="1"/>
  <c r="AF4" i="1"/>
  <c r="AE4" i="12"/>
  <c r="AE4" i="11"/>
  <c r="AD894" i="1"/>
  <c r="BR1090" i="1" l="1"/>
  <c r="BR1088" i="1" s="1"/>
  <c r="BR721" i="1" s="1"/>
  <c r="BR1083" i="1"/>
  <c r="BR1081" i="1" s="1"/>
  <c r="BR720" i="1" s="1"/>
  <c r="BR1092" i="1"/>
  <c r="BR1078" i="1"/>
  <c r="BR1076" i="1"/>
  <c r="BR1074" i="1" s="1"/>
  <c r="BR719" i="1" s="1"/>
  <c r="BR1085" i="1"/>
  <c r="AF1" i="9"/>
  <c r="AF1102" i="1"/>
  <c r="AF1098" i="1"/>
  <c r="AF430" i="1"/>
  <c r="AG4" i="1"/>
  <c r="AF3" i="1"/>
  <c r="AF1072" i="1" s="1"/>
  <c r="AF4" i="11"/>
  <c r="AF4" i="12"/>
  <c r="AE3" i="12"/>
  <c r="AE3" i="11"/>
  <c r="AE1072" i="1"/>
  <c r="AF1092" i="1" l="1"/>
  <c r="AF1083" i="1"/>
  <c r="AF1081" i="1" s="1"/>
  <c r="AF720" i="1" s="1"/>
  <c r="AF1085" i="1"/>
  <c r="AF1076" i="1"/>
  <c r="AF1074" i="1" s="1"/>
  <c r="AF719" i="1" s="1"/>
  <c r="AF1078" i="1"/>
  <c r="AF1090" i="1"/>
  <c r="AF1088" i="1" s="1"/>
  <c r="AF721" i="1" s="1"/>
  <c r="AF1099" i="1"/>
  <c r="AF1097" i="1"/>
  <c r="AF1095" i="1" s="1"/>
  <c r="AF723" i="1" s="1"/>
  <c r="AG1" i="9"/>
  <c r="AG1102" i="1"/>
  <c r="AG1072" i="1"/>
  <c r="AG1098" i="1"/>
  <c r="AG430" i="1"/>
  <c r="AH4" i="1"/>
  <c r="AG3" i="1"/>
  <c r="AG4" i="12"/>
  <c r="AG4" i="11"/>
  <c r="AE1092" i="1"/>
  <c r="AE1083" i="1"/>
  <c r="AE1081" i="1" s="1"/>
  <c r="AE720" i="1" s="1"/>
  <c r="AE1085" i="1"/>
  <c r="AE1076" i="1"/>
  <c r="AE1074" i="1" s="1"/>
  <c r="AE719" i="1" s="1"/>
  <c r="AE1078" i="1"/>
  <c r="AE1090" i="1"/>
  <c r="AE1088" i="1" s="1"/>
  <c r="AE721" i="1" s="1"/>
  <c r="AE1099" i="1"/>
  <c r="AE1097" i="1"/>
  <c r="AE1095" i="1" s="1"/>
  <c r="AE723" i="1" s="1"/>
  <c r="AF3" i="11"/>
  <c r="AF3" i="12"/>
  <c r="AG1085" i="1" l="1"/>
  <c r="AG1076" i="1"/>
  <c r="AG1074" i="1" s="1"/>
  <c r="AG719" i="1" s="1"/>
  <c r="AG1078" i="1"/>
  <c r="AG1092" i="1"/>
  <c r="AG1083" i="1"/>
  <c r="AG1081" i="1" s="1"/>
  <c r="AG720" i="1" s="1"/>
  <c r="AG1090" i="1"/>
  <c r="AG1088" i="1" s="1"/>
  <c r="AG721" i="1" s="1"/>
  <c r="AG1099" i="1"/>
  <c r="AG3" i="11"/>
  <c r="AG3" i="12"/>
  <c r="AH1" i="9"/>
  <c r="AH1098" i="1"/>
  <c r="AH1102" i="1"/>
  <c r="AH1072" i="1"/>
  <c r="AH430" i="1"/>
  <c r="BS4" i="1"/>
  <c r="AH3" i="1"/>
  <c r="AH4" i="11"/>
  <c r="AH4" i="12"/>
  <c r="AG1097" i="1"/>
  <c r="AG1095" i="1" s="1"/>
  <c r="AG723" i="1" s="1"/>
  <c r="AH3" i="11" l="1"/>
  <c r="AH3" i="12"/>
  <c r="BS1" i="9"/>
  <c r="BS1098" i="1"/>
  <c r="BS1102" i="1"/>
  <c r="BS430" i="1"/>
  <c r="AI4" i="1"/>
  <c r="BS3" i="1"/>
  <c r="AH895" i="1" s="1"/>
  <c r="BS4" i="11"/>
  <c r="BS4" i="12"/>
  <c r="AH1085" i="1"/>
  <c r="AH1076" i="1"/>
  <c r="AH1074" i="1" s="1"/>
  <c r="AH719" i="1" s="1"/>
  <c r="AH1078" i="1"/>
  <c r="AH1092" i="1"/>
  <c r="AH1083" i="1"/>
  <c r="AH1081" i="1" s="1"/>
  <c r="AH720" i="1" s="1"/>
  <c r="AH1090" i="1"/>
  <c r="AH1088" i="1" s="1"/>
  <c r="AH721" i="1" s="1"/>
  <c r="AH1099" i="1"/>
  <c r="AH1097" i="1"/>
  <c r="AH1095" i="1" s="1"/>
  <c r="AH723" i="1" s="1"/>
  <c r="BS1072" i="1" l="1"/>
  <c r="BS1083" i="1" s="1"/>
  <c r="BS1081" i="1" s="1"/>
  <c r="BS720" i="1" s="1"/>
  <c r="AI1" i="9"/>
  <c r="AI1102" i="1"/>
  <c r="AI1098" i="1"/>
  <c r="AI430" i="1"/>
  <c r="AJ4" i="1"/>
  <c r="AI3" i="1"/>
  <c r="AI4" i="12"/>
  <c r="AI4" i="11"/>
  <c r="AH894" i="1"/>
  <c r="AF892" i="1"/>
  <c r="AG893" i="1"/>
  <c r="AE893" i="1"/>
  <c r="AE892" i="1"/>
  <c r="AH893" i="1"/>
  <c r="BS3" i="11"/>
  <c r="AF893" i="1"/>
  <c r="AH892" i="1"/>
  <c r="AG892" i="1"/>
  <c r="BS3" i="12"/>
  <c r="AE894" i="1"/>
  <c r="AE895" i="1"/>
  <c r="AF894" i="1"/>
  <c r="AF895" i="1"/>
  <c r="AG895" i="1"/>
  <c r="AG894" i="1"/>
  <c r="BS1078" i="1" l="1"/>
  <c r="BS1092" i="1"/>
  <c r="BS1076" i="1"/>
  <c r="BS1074" i="1" s="1"/>
  <c r="BS719" i="1" s="1"/>
  <c r="BS1085" i="1"/>
  <c r="BS1090" i="1"/>
  <c r="BS1088" i="1" s="1"/>
  <c r="BS721" i="1" s="1"/>
  <c r="BS1099" i="1"/>
  <c r="BS1097" i="1"/>
  <c r="BS1095" i="1" s="1"/>
  <c r="BS723" i="1" s="1"/>
  <c r="AJ1098" i="1"/>
  <c r="AJ1" i="9"/>
  <c r="AJ1102" i="1"/>
  <c r="AJ430" i="1"/>
  <c r="AJ3" i="1"/>
  <c r="AK4" i="1"/>
  <c r="AJ4" i="11"/>
  <c r="AJ4" i="12"/>
  <c r="AI3" i="11"/>
  <c r="AI3" i="12"/>
  <c r="AI1072" i="1"/>
  <c r="AK1102" i="1" l="1"/>
  <c r="AK1" i="9"/>
  <c r="AK1098" i="1"/>
  <c r="AK430" i="1"/>
  <c r="AK3" i="1"/>
  <c r="AL4" i="1"/>
  <c r="AK4" i="11"/>
  <c r="AK4" i="12"/>
  <c r="AJ3" i="11"/>
  <c r="AJ3" i="12"/>
  <c r="AI1078" i="1"/>
  <c r="AI1090" i="1"/>
  <c r="AI1088" i="1" s="1"/>
  <c r="AI721" i="1" s="1"/>
  <c r="AI1085" i="1"/>
  <c r="AI1076" i="1"/>
  <c r="AI1074" i="1" s="1"/>
  <c r="AI719" i="1" s="1"/>
  <c r="AI1083" i="1"/>
  <c r="AI1081" i="1" s="1"/>
  <c r="AI720" i="1" s="1"/>
  <c r="AI1092" i="1"/>
  <c r="AI1099" i="1"/>
  <c r="AI1097" i="1"/>
  <c r="AI1095" i="1" s="1"/>
  <c r="AI723" i="1" s="1"/>
  <c r="AJ1072" i="1"/>
  <c r="AJ1078" i="1" l="1"/>
  <c r="AJ1090" i="1"/>
  <c r="AJ1088" i="1" s="1"/>
  <c r="AJ721" i="1" s="1"/>
  <c r="AJ1076" i="1"/>
  <c r="AJ1074" i="1" s="1"/>
  <c r="AJ719" i="1" s="1"/>
  <c r="AJ1085" i="1"/>
  <c r="AJ1083" i="1"/>
  <c r="AJ1081" i="1" s="1"/>
  <c r="AJ720" i="1" s="1"/>
  <c r="AJ1092" i="1"/>
  <c r="AJ1099" i="1"/>
  <c r="AJ1097" i="1"/>
  <c r="AJ1095" i="1" s="1"/>
  <c r="AJ723" i="1" s="1"/>
  <c r="AK3" i="12"/>
  <c r="AK3" i="11"/>
  <c r="AL1102" i="1"/>
  <c r="AL1" i="9"/>
  <c r="AL1098" i="1"/>
  <c r="AL430" i="1"/>
  <c r="BT4" i="1"/>
  <c r="AL3" i="1"/>
  <c r="AL1072" i="1" s="1"/>
  <c r="AL4" i="12"/>
  <c r="AL4" i="11"/>
  <c r="AK1072" i="1"/>
  <c r="AL1092" i="1" l="1"/>
  <c r="AL1083" i="1"/>
  <c r="AL1081" i="1" s="1"/>
  <c r="AL720" i="1" s="1"/>
  <c r="AL1085" i="1"/>
  <c r="AL1090" i="1"/>
  <c r="AL1088" i="1" s="1"/>
  <c r="AL721" i="1" s="1"/>
  <c r="AL1076" i="1"/>
  <c r="AL1074" i="1" s="1"/>
  <c r="AL719" i="1" s="1"/>
  <c r="AL1078" i="1"/>
  <c r="AL1099" i="1"/>
  <c r="AL1097" i="1"/>
  <c r="AL1095" i="1" s="1"/>
  <c r="AL723" i="1" s="1"/>
  <c r="AK1090" i="1"/>
  <c r="AK1088" i="1" s="1"/>
  <c r="AK721" i="1" s="1"/>
  <c r="AK1092" i="1"/>
  <c r="AK1083" i="1"/>
  <c r="AK1081" i="1" s="1"/>
  <c r="AK720" i="1" s="1"/>
  <c r="AK1078" i="1"/>
  <c r="AK1085" i="1"/>
  <c r="AK1076" i="1"/>
  <c r="AK1074" i="1" s="1"/>
  <c r="AK719" i="1" s="1"/>
  <c r="AK1099" i="1"/>
  <c r="AK1097" i="1"/>
  <c r="AK1095" i="1" s="1"/>
  <c r="AK723" i="1" s="1"/>
  <c r="AL3" i="12"/>
  <c r="AL3" i="11"/>
  <c r="BT1098" i="1"/>
  <c r="BT1072" i="1"/>
  <c r="BT1099" i="1" s="1"/>
  <c r="BT1102" i="1"/>
  <c r="BT1" i="9"/>
  <c r="BT430" i="1"/>
  <c r="BT3" i="1"/>
  <c r="AM4" i="1"/>
  <c r="BT4" i="11"/>
  <c r="BT4" i="12"/>
  <c r="AM1" i="9" l="1"/>
  <c r="AM1102" i="1"/>
  <c r="AM1098" i="1"/>
  <c r="AM430" i="1"/>
  <c r="AM3" i="1"/>
  <c r="AN4" i="1"/>
  <c r="AM4" i="11"/>
  <c r="AM4" i="12"/>
  <c r="AK893" i="1"/>
  <c r="AK892" i="1"/>
  <c r="AI893" i="1"/>
  <c r="AL892" i="1"/>
  <c r="BT3" i="11"/>
  <c r="AJ892" i="1"/>
  <c r="BT3" i="12"/>
  <c r="AI892" i="1"/>
  <c r="AJ893" i="1"/>
  <c r="AL893" i="1"/>
  <c r="AI895" i="1"/>
  <c r="AI894" i="1"/>
  <c r="AJ894" i="1"/>
  <c r="AJ895" i="1"/>
  <c r="AK895" i="1"/>
  <c r="AK894" i="1"/>
  <c r="AL895" i="1"/>
  <c r="AL894" i="1"/>
  <c r="BT1078" i="1"/>
  <c r="BT1090" i="1"/>
  <c r="BT1088" i="1" s="1"/>
  <c r="BT721" i="1" s="1"/>
  <c r="BT1085" i="1"/>
  <c r="BT1076" i="1"/>
  <c r="BT1074" i="1" s="1"/>
  <c r="BT719" i="1" s="1"/>
  <c r="BT1083" i="1"/>
  <c r="BT1081" i="1" s="1"/>
  <c r="BT720" i="1" s="1"/>
  <c r="BT1092" i="1"/>
  <c r="BT1097" i="1"/>
  <c r="BT1095" i="1" s="1"/>
  <c r="BT723" i="1" s="1"/>
  <c r="AN1" i="9" l="1"/>
  <c r="AN1102" i="1"/>
  <c r="AN1098" i="1"/>
  <c r="AN1072" i="1"/>
  <c r="AN430" i="1"/>
  <c r="AN3" i="1"/>
  <c r="AO4" i="1"/>
  <c r="AN4" i="11"/>
  <c r="AN4" i="12"/>
  <c r="AM3" i="11"/>
  <c r="AM3" i="12"/>
  <c r="AM1072" i="1"/>
  <c r="AO1" i="9" l="1"/>
  <c r="AO1098" i="1"/>
  <c r="AO1102" i="1"/>
  <c r="AO1072" i="1"/>
  <c r="AO430" i="1"/>
  <c r="AO3" i="1"/>
  <c r="AP4" i="1"/>
  <c r="AO4" i="11"/>
  <c r="AO4" i="12"/>
  <c r="AN3" i="12"/>
  <c r="AN3" i="11"/>
  <c r="AN1090" i="1"/>
  <c r="AN1088" i="1" s="1"/>
  <c r="AN721" i="1" s="1"/>
  <c r="AN1085" i="1"/>
  <c r="AN1076" i="1"/>
  <c r="AN1074" i="1" s="1"/>
  <c r="AN719" i="1" s="1"/>
  <c r="AN1078" i="1"/>
  <c r="AN1083" i="1"/>
  <c r="AN1081" i="1" s="1"/>
  <c r="AN720" i="1" s="1"/>
  <c r="AN1092" i="1"/>
  <c r="AN1099" i="1"/>
  <c r="AN1097" i="1"/>
  <c r="AN1095" i="1" s="1"/>
  <c r="AN723" i="1" s="1"/>
  <c r="AM1090" i="1"/>
  <c r="AM1088" i="1" s="1"/>
  <c r="AM721" i="1" s="1"/>
  <c r="AM1092" i="1"/>
  <c r="AM1083" i="1"/>
  <c r="AM1081" i="1" s="1"/>
  <c r="AM720" i="1" s="1"/>
  <c r="AM1085" i="1"/>
  <c r="AM1076" i="1"/>
  <c r="AM1074" i="1" s="1"/>
  <c r="AM719" i="1" s="1"/>
  <c r="AM1078" i="1"/>
  <c r="AM1097" i="1"/>
  <c r="AM1095" i="1" s="1"/>
  <c r="AM723" i="1" s="1"/>
  <c r="AM1099" i="1"/>
  <c r="AO3" i="12" l="1"/>
  <c r="AO3" i="11"/>
  <c r="AO1090" i="1"/>
  <c r="AO1088" i="1" s="1"/>
  <c r="AO721" i="1" s="1"/>
  <c r="AO1092" i="1"/>
  <c r="AO1083" i="1"/>
  <c r="AO1081" i="1" s="1"/>
  <c r="AO720" i="1" s="1"/>
  <c r="AO1085" i="1"/>
  <c r="AO1076" i="1"/>
  <c r="AO1074" i="1" s="1"/>
  <c r="AO719" i="1" s="1"/>
  <c r="AO1078" i="1"/>
  <c r="AP1" i="9"/>
  <c r="AP1098" i="1"/>
  <c r="AP1102" i="1"/>
  <c r="AP430" i="1"/>
  <c r="BU4" i="1"/>
  <c r="AP3" i="1"/>
  <c r="AP4" i="11"/>
  <c r="AP4" i="12"/>
  <c r="AO1097" i="1"/>
  <c r="AO1095" i="1" s="1"/>
  <c r="AO723" i="1" s="1"/>
  <c r="AO1099" i="1"/>
  <c r="BU1" i="9" l="1"/>
  <c r="BU1098" i="1"/>
  <c r="BU1102" i="1"/>
  <c r="BU430" i="1"/>
  <c r="AQ4" i="1"/>
  <c r="BU3" i="1"/>
  <c r="AP894" i="1" s="1"/>
  <c r="BU4" i="12"/>
  <c r="BU4" i="11"/>
  <c r="AP3" i="11"/>
  <c r="AP3" i="12"/>
  <c r="AP1072" i="1"/>
  <c r="AQ1" i="9" l="1"/>
  <c r="AQ1102" i="1"/>
  <c r="AQ1098" i="1"/>
  <c r="AQ430" i="1"/>
  <c r="AQ3" i="1"/>
  <c r="AR4" i="1"/>
  <c r="AQ4" i="12"/>
  <c r="AQ4" i="11"/>
  <c r="AO698" i="1"/>
  <c r="AN700" i="1"/>
  <c r="AM700" i="1"/>
  <c r="AO893" i="1"/>
  <c r="AP892" i="1"/>
  <c r="AN892" i="1"/>
  <c r="AN698" i="1"/>
  <c r="AM698" i="1"/>
  <c r="AO700" i="1"/>
  <c r="AM892" i="1"/>
  <c r="AP698" i="1"/>
  <c r="AO892" i="1"/>
  <c r="AP700" i="1"/>
  <c r="AN893" i="1"/>
  <c r="AP893" i="1"/>
  <c r="BU3" i="12"/>
  <c r="BU3" i="11"/>
  <c r="AM893" i="1"/>
  <c r="AM894" i="1"/>
  <c r="AM895" i="1"/>
  <c r="AN895" i="1"/>
  <c r="AN894" i="1"/>
  <c r="AO894" i="1"/>
  <c r="AO895" i="1"/>
  <c r="AP1090" i="1"/>
  <c r="AP1088" i="1" s="1"/>
  <c r="AP721" i="1" s="1"/>
  <c r="AP1092" i="1"/>
  <c r="AP1083" i="1"/>
  <c r="AP1081" i="1" s="1"/>
  <c r="AP720" i="1" s="1"/>
  <c r="AP1078" i="1"/>
  <c r="AP1085" i="1"/>
  <c r="AP1076" i="1"/>
  <c r="AP1074" i="1" s="1"/>
  <c r="AP719" i="1" s="1"/>
  <c r="AP1097" i="1"/>
  <c r="AP1095" i="1" s="1"/>
  <c r="AP723" i="1" s="1"/>
  <c r="AP1099" i="1"/>
  <c r="BU1072" i="1"/>
  <c r="AP895" i="1"/>
  <c r="AR1" i="9" l="1"/>
  <c r="AR1102" i="1"/>
  <c r="AR1098" i="1"/>
  <c r="AR430" i="1"/>
  <c r="AS4" i="1"/>
  <c r="AR3" i="1"/>
  <c r="AR4" i="11"/>
  <c r="AR4" i="12"/>
  <c r="BU1078" i="1"/>
  <c r="BU1090" i="1"/>
  <c r="BU1088" i="1" s="1"/>
  <c r="BU721" i="1" s="1"/>
  <c r="BU1076" i="1"/>
  <c r="BU1074" i="1" s="1"/>
  <c r="BU719" i="1" s="1"/>
  <c r="BU1085" i="1"/>
  <c r="BU1083" i="1"/>
  <c r="BU1081" i="1" s="1"/>
  <c r="BU720" i="1" s="1"/>
  <c r="BU1092" i="1"/>
  <c r="BU1099" i="1"/>
  <c r="BU1097" i="1"/>
  <c r="BU1095" i="1" s="1"/>
  <c r="BU723" i="1" s="1"/>
  <c r="AQ3" i="12"/>
  <c r="AQ3" i="11"/>
  <c r="AQ1072" i="1"/>
  <c r="AS1" i="9" l="1"/>
  <c r="AS1102" i="1"/>
  <c r="AS1098" i="1"/>
  <c r="AS430" i="1"/>
  <c r="AT4" i="1"/>
  <c r="AS3" i="1"/>
  <c r="AS4" i="11"/>
  <c r="AS4" i="12"/>
  <c r="AR3" i="11"/>
  <c r="AR3" i="12"/>
  <c r="AR1072" i="1"/>
  <c r="AQ1092" i="1"/>
  <c r="AQ1083" i="1"/>
  <c r="AQ1081" i="1" s="1"/>
  <c r="AQ720" i="1" s="1"/>
  <c r="AQ1085" i="1"/>
  <c r="AQ1076" i="1"/>
  <c r="AQ1074" i="1" s="1"/>
  <c r="AQ719" i="1" s="1"/>
  <c r="AQ1078" i="1"/>
  <c r="AQ1090" i="1"/>
  <c r="AQ1088" i="1" s="1"/>
  <c r="AQ721" i="1" s="1"/>
  <c r="AQ1099" i="1"/>
  <c r="AQ1097" i="1"/>
  <c r="AQ1095" i="1" s="1"/>
  <c r="AQ723" i="1" s="1"/>
  <c r="AS3" i="12" l="1"/>
  <c r="AS3" i="11"/>
  <c r="AT1" i="9"/>
  <c r="AT1098" i="1"/>
  <c r="AT1102" i="1"/>
  <c r="AT430" i="1"/>
  <c r="BV4" i="1"/>
  <c r="AT3" i="1"/>
  <c r="AT1072" i="1" s="1"/>
  <c r="AT1099" i="1" s="1"/>
  <c r="AT4" i="11"/>
  <c r="AT4" i="12"/>
  <c r="AR1092" i="1"/>
  <c r="AR1083" i="1"/>
  <c r="AR1081" i="1" s="1"/>
  <c r="AR720" i="1" s="1"/>
  <c r="AR1085" i="1"/>
  <c r="AR1076" i="1"/>
  <c r="AR1074" i="1" s="1"/>
  <c r="AR719" i="1" s="1"/>
  <c r="AR1078" i="1"/>
  <c r="AR1090" i="1"/>
  <c r="AR1088" i="1" s="1"/>
  <c r="AR721" i="1" s="1"/>
  <c r="AR1099" i="1"/>
  <c r="AR1097" i="1"/>
  <c r="AR1095" i="1" s="1"/>
  <c r="AR723" i="1" s="1"/>
  <c r="AS1072" i="1"/>
  <c r="AS1085" i="1" l="1"/>
  <c r="AS1076" i="1"/>
  <c r="AS1074" i="1" s="1"/>
  <c r="AS719" i="1" s="1"/>
  <c r="AS1078" i="1"/>
  <c r="AS1092" i="1"/>
  <c r="AS1083" i="1"/>
  <c r="AS1081" i="1" s="1"/>
  <c r="AS720" i="1" s="1"/>
  <c r="AS1090" i="1"/>
  <c r="AS1088" i="1" s="1"/>
  <c r="AS721" i="1" s="1"/>
  <c r="AS1097" i="1"/>
  <c r="AS1095" i="1" s="1"/>
  <c r="AS723" i="1" s="1"/>
  <c r="AS1099" i="1"/>
  <c r="BV1" i="9"/>
  <c r="BV1102" i="1"/>
  <c r="BV1098" i="1"/>
  <c r="BV430" i="1"/>
  <c r="AU4" i="1"/>
  <c r="BV3" i="1"/>
  <c r="AT895" i="1" s="1"/>
  <c r="BV4" i="11"/>
  <c r="BV4" i="12"/>
  <c r="AT1085" i="1"/>
  <c r="AT1076" i="1"/>
  <c r="AT1074" i="1" s="1"/>
  <c r="AT719" i="1" s="1"/>
  <c r="AT1078" i="1"/>
  <c r="AT1090" i="1"/>
  <c r="AT1088" i="1" s="1"/>
  <c r="AT721" i="1" s="1"/>
  <c r="AT1092" i="1"/>
  <c r="AT1083" i="1"/>
  <c r="AT1081" i="1" s="1"/>
  <c r="AT720" i="1" s="1"/>
  <c r="AT1097" i="1"/>
  <c r="AT1095" i="1" s="1"/>
  <c r="AT723" i="1" s="1"/>
  <c r="AT3" i="12"/>
  <c r="AT3" i="11"/>
  <c r="AT894" i="1"/>
  <c r="AU1" i="9" l="1"/>
  <c r="AU1102" i="1"/>
  <c r="AU1098" i="1"/>
  <c r="AU430" i="1"/>
  <c r="AV4" i="1"/>
  <c r="AU3" i="1"/>
  <c r="AU4" i="12"/>
  <c r="AU4" i="11"/>
  <c r="AS700" i="1"/>
  <c r="AR698" i="1"/>
  <c r="AT700" i="1"/>
  <c r="AR700" i="1"/>
  <c r="AS698" i="1"/>
  <c r="AS893" i="1"/>
  <c r="AQ700" i="1"/>
  <c r="AQ892" i="1"/>
  <c r="AQ893" i="1"/>
  <c r="AR892" i="1"/>
  <c r="AQ698" i="1"/>
  <c r="AT698" i="1"/>
  <c r="AT893" i="1"/>
  <c r="AT892" i="1"/>
  <c r="AR893" i="1"/>
  <c r="BV3" i="12"/>
  <c r="AS892" i="1"/>
  <c r="BV3" i="11"/>
  <c r="AQ895" i="1"/>
  <c r="AQ894" i="1"/>
  <c r="AR894" i="1"/>
  <c r="AR895" i="1"/>
  <c r="AS895" i="1"/>
  <c r="AS894" i="1"/>
  <c r="BV1072" i="1"/>
  <c r="BV1090" i="1" l="1"/>
  <c r="BV1088" i="1" s="1"/>
  <c r="BV721" i="1" s="1"/>
  <c r="BV1092" i="1"/>
  <c r="BV1083" i="1"/>
  <c r="BV1081" i="1" s="1"/>
  <c r="BV720" i="1" s="1"/>
  <c r="BV1078" i="1"/>
  <c r="BV1085" i="1"/>
  <c r="BV1076" i="1"/>
  <c r="BV1074" i="1" s="1"/>
  <c r="BV719" i="1" s="1"/>
  <c r="BV1099" i="1"/>
  <c r="BV1097" i="1"/>
  <c r="BV1095" i="1" s="1"/>
  <c r="BV723" i="1" s="1"/>
  <c r="AU3" i="11"/>
  <c r="AU3" i="12"/>
  <c r="AV1" i="9"/>
  <c r="AV1098" i="1"/>
  <c r="AV1102" i="1"/>
  <c r="AV430" i="1"/>
  <c r="AV3" i="1"/>
  <c r="AW4" i="1"/>
  <c r="AV4" i="11"/>
  <c r="AV4" i="12"/>
  <c r="AU1072" i="1"/>
  <c r="AU1078" i="1" l="1"/>
  <c r="AU1090" i="1"/>
  <c r="AU1088" i="1" s="1"/>
  <c r="AU721" i="1" s="1"/>
  <c r="AU1085" i="1"/>
  <c r="AU1076" i="1"/>
  <c r="AU1074" i="1" s="1"/>
  <c r="AU719" i="1" s="1"/>
  <c r="AU1092" i="1"/>
  <c r="AU1083" i="1"/>
  <c r="AU1081" i="1" s="1"/>
  <c r="AU720" i="1" s="1"/>
  <c r="AU1099" i="1"/>
  <c r="AU1097" i="1"/>
  <c r="AU1095" i="1" s="1"/>
  <c r="AU723" i="1" s="1"/>
  <c r="AV3" i="11"/>
  <c r="AV3" i="12"/>
  <c r="AV1072" i="1"/>
  <c r="AW1" i="9"/>
  <c r="AW1102" i="1"/>
  <c r="AW1098" i="1"/>
  <c r="AW430" i="1"/>
  <c r="AW3" i="1"/>
  <c r="AW1072" i="1" s="1"/>
  <c r="AX4" i="1"/>
  <c r="AW4" i="11"/>
  <c r="AW4" i="12"/>
  <c r="AW1090" i="1" l="1"/>
  <c r="AW1088" i="1" s="1"/>
  <c r="AW721" i="1" s="1"/>
  <c r="AW1092" i="1"/>
  <c r="AW1083" i="1"/>
  <c r="AW1081" i="1" s="1"/>
  <c r="AW720" i="1" s="1"/>
  <c r="AW1078" i="1"/>
  <c r="AW1076" i="1"/>
  <c r="AW1074" i="1" s="1"/>
  <c r="AW719" i="1" s="1"/>
  <c r="AW1085" i="1"/>
  <c r="AW1099" i="1"/>
  <c r="AW1097" i="1"/>
  <c r="AW1095" i="1" s="1"/>
  <c r="AW723" i="1" s="1"/>
  <c r="AX1" i="9"/>
  <c r="AX1102" i="1"/>
  <c r="AX1072" i="1"/>
  <c r="AX1098" i="1"/>
  <c r="AX430" i="1"/>
  <c r="AX3" i="1"/>
  <c r="BW4" i="1"/>
  <c r="AX4" i="11"/>
  <c r="AX4" i="12"/>
  <c r="AV1078" i="1"/>
  <c r="AV1090" i="1"/>
  <c r="AV1088" i="1" s="1"/>
  <c r="AV721" i="1" s="1"/>
  <c r="AV1083" i="1"/>
  <c r="AV1081" i="1" s="1"/>
  <c r="AV720" i="1" s="1"/>
  <c r="AV1092" i="1"/>
  <c r="AV1076" i="1"/>
  <c r="AV1074" i="1" s="1"/>
  <c r="AV719" i="1" s="1"/>
  <c r="AV1085" i="1"/>
  <c r="AV1099" i="1"/>
  <c r="AV1097" i="1"/>
  <c r="AV1095" i="1" s="1"/>
  <c r="AV723" i="1" s="1"/>
  <c r="AW3" i="12"/>
  <c r="AW3" i="11"/>
  <c r="AX1092" i="1" l="1"/>
  <c r="AX1083" i="1"/>
  <c r="AX1081" i="1" s="1"/>
  <c r="AX720" i="1" s="1"/>
  <c r="AX1078" i="1"/>
  <c r="AX1076" i="1"/>
  <c r="AX1074" i="1" s="1"/>
  <c r="AX719" i="1" s="1"/>
  <c r="AX1085" i="1"/>
  <c r="AX1090" i="1"/>
  <c r="AX1088" i="1" s="1"/>
  <c r="AX721" i="1" s="1"/>
  <c r="AX1099" i="1"/>
  <c r="BW1" i="9"/>
  <c r="BW1102" i="1"/>
  <c r="BW1072" i="1"/>
  <c r="BW1099" i="1" s="1"/>
  <c r="BW1097" i="1"/>
  <c r="BW1095" i="1" s="1"/>
  <c r="BW723" i="1" s="1"/>
  <c r="BW1098" i="1"/>
  <c r="BW430" i="1"/>
  <c r="BW3" i="1"/>
  <c r="AY4" i="1"/>
  <c r="BW4" i="11"/>
  <c r="BW4" i="12"/>
  <c r="AX3" i="11"/>
  <c r="AX894" i="1"/>
  <c r="AX3" i="12"/>
  <c r="AX895" i="1"/>
  <c r="AX1097" i="1"/>
  <c r="AX1095" i="1" s="1"/>
  <c r="AX723" i="1" s="1"/>
  <c r="BW1092" i="1" l="1"/>
  <c r="BW1083" i="1"/>
  <c r="BW1081" i="1" s="1"/>
  <c r="BW720" i="1" s="1"/>
  <c r="BW1085" i="1"/>
  <c r="BW1078" i="1"/>
  <c r="BW1090" i="1"/>
  <c r="BW1088" i="1" s="1"/>
  <c r="BW721" i="1" s="1"/>
  <c r="BW1076" i="1"/>
  <c r="BW1074" i="1" s="1"/>
  <c r="BW719" i="1" s="1"/>
  <c r="AU700" i="1"/>
  <c r="AU698" i="1"/>
  <c r="AV700" i="1"/>
  <c r="AW698" i="1"/>
  <c r="AX892" i="1"/>
  <c r="AW892" i="1"/>
  <c r="AW700" i="1"/>
  <c r="AV892" i="1"/>
  <c r="AV698" i="1"/>
  <c r="AU892" i="1"/>
  <c r="AW893" i="1"/>
  <c r="AV893" i="1"/>
  <c r="AU893" i="1"/>
  <c r="BW3" i="12"/>
  <c r="AX893" i="1"/>
  <c r="BW3" i="11"/>
  <c r="AU894" i="1"/>
  <c r="AU895" i="1"/>
  <c r="AV894" i="1"/>
  <c r="AV895" i="1"/>
  <c r="AW894" i="1"/>
  <c r="AW895" i="1"/>
  <c r="AY1" i="9"/>
  <c r="AY1102" i="1"/>
  <c r="AY1098" i="1"/>
  <c r="AY430" i="1"/>
  <c r="AY3" i="1"/>
  <c r="AZ4" i="1"/>
  <c r="AY4" i="11"/>
  <c r="AY4" i="12"/>
  <c r="AX698" i="1" l="1"/>
  <c r="AY3" i="12"/>
  <c r="AY3" i="11"/>
  <c r="AX700" i="1"/>
  <c r="AY1072" i="1"/>
  <c r="AZ1" i="9"/>
  <c r="AZ1102" i="1"/>
  <c r="AZ1097" i="1"/>
  <c r="AZ1095" i="1" s="1"/>
  <c r="AZ723" i="1" s="1"/>
  <c r="AZ1099" i="1"/>
  <c r="AZ1098" i="1"/>
  <c r="AZ3" i="1"/>
  <c r="BA4" i="1"/>
  <c r="AZ4" i="11"/>
  <c r="AZ4" i="12"/>
  <c r="AY1090" i="1" l="1"/>
  <c r="AY1088" i="1" s="1"/>
  <c r="AY721" i="1" s="1"/>
  <c r="AY1092" i="1"/>
  <c r="AY1083" i="1"/>
  <c r="AY1081" i="1" s="1"/>
  <c r="AY720" i="1" s="1"/>
  <c r="AY1085" i="1"/>
  <c r="AY1076" i="1"/>
  <c r="AY1074" i="1" s="1"/>
  <c r="AY719" i="1" s="1"/>
  <c r="AY1078" i="1"/>
  <c r="AY1097" i="1"/>
  <c r="AY1095" i="1" s="1"/>
  <c r="AY723" i="1" s="1"/>
  <c r="AY1099" i="1"/>
  <c r="AZ443" i="1"/>
  <c r="AZ440" i="1"/>
  <c r="BA1" i="9"/>
  <c r="BA1099" i="1"/>
  <c r="BA1098" i="1"/>
  <c r="BA1102" i="1"/>
  <c r="BA1097" i="1"/>
  <c r="BA1095" i="1" s="1"/>
  <c r="BA723" i="1" s="1"/>
  <c r="BA3" i="1"/>
  <c r="BA1072" i="1" s="1"/>
  <c r="BB4" i="1"/>
  <c r="BA4" i="12"/>
  <c r="BA4" i="11"/>
  <c r="BW700" i="1"/>
  <c r="AZ3" i="11"/>
  <c r="BW698" i="1"/>
  <c r="AZ3" i="12"/>
  <c r="AZ1072" i="1"/>
  <c r="BA1090" i="1" l="1"/>
  <c r="BA1088" i="1" s="1"/>
  <c r="BA1092" i="1"/>
  <c r="BA1083" i="1"/>
  <c r="BA1081" i="1" s="1"/>
  <c r="BA1085" i="1"/>
  <c r="BA1076" i="1"/>
  <c r="BA1074" i="1" s="1"/>
  <c r="BA1078" i="1"/>
  <c r="AZ1090" i="1"/>
  <c r="AZ1088" i="1" s="1"/>
  <c r="AZ1085" i="1"/>
  <c r="AZ1076" i="1"/>
  <c r="AZ1074" i="1" s="1"/>
  <c r="AZ1083" i="1"/>
  <c r="AZ1081" i="1" s="1"/>
  <c r="AZ1092" i="1"/>
  <c r="AZ1078" i="1"/>
  <c r="AZ448" i="1"/>
  <c r="AZ451" i="1" s="1"/>
  <c r="AZ446" i="1"/>
  <c r="AZ445" i="1"/>
  <c r="BA440" i="1"/>
  <c r="BA425" i="1" s="1"/>
  <c r="BA670" i="1" s="1"/>
  <c r="AZ437" i="1"/>
  <c r="BA443" i="1" s="1"/>
  <c r="AZ425" i="1"/>
  <c r="BB1" i="9"/>
  <c r="BB1099" i="1"/>
  <c r="BB1098" i="1"/>
  <c r="BB1072" i="1"/>
  <c r="BB1102" i="1"/>
  <c r="BB1097" i="1"/>
  <c r="BB1095" i="1" s="1"/>
  <c r="BB723" i="1" s="1"/>
  <c r="BB3" i="1"/>
  <c r="BX4" i="1"/>
  <c r="BB4" i="11"/>
  <c r="BB4" i="12"/>
  <c r="BA3" i="12"/>
  <c r="BA3" i="11"/>
  <c r="AZ5" i="9" l="1"/>
  <c r="AZ6" i="9" s="1"/>
  <c r="AZ710" i="1"/>
  <c r="AZ670" i="1"/>
  <c r="BA446" i="1"/>
  <c r="BA445" i="1"/>
  <c r="BB440" i="1"/>
  <c r="BB425" i="1" s="1"/>
  <c r="BB670" i="1" s="1"/>
  <c r="BA437" i="1"/>
  <c r="BB443" i="1" s="1"/>
  <c r="BA448" i="1"/>
  <c r="BA451" i="1" s="1"/>
  <c r="BX1" i="9"/>
  <c r="BX1102" i="1"/>
  <c r="BX1097" i="1"/>
  <c r="BX1095" i="1" s="1"/>
  <c r="BX723" i="1" s="1"/>
  <c r="BX444" i="1" s="1"/>
  <c r="BX1098" i="1"/>
  <c r="BX1072" i="1"/>
  <c r="BX1099" i="1"/>
  <c r="BX3" i="1"/>
  <c r="BC4" i="1"/>
  <c r="BX4" i="11"/>
  <c r="BX4" i="12"/>
  <c r="BA67" i="9"/>
  <c r="BA971" i="1"/>
  <c r="BA855" i="1"/>
  <c r="BA857" i="1" s="1"/>
  <c r="BB697" i="1"/>
  <c r="BB3" i="11"/>
  <c r="BB3" i="12"/>
  <c r="BB1090" i="1"/>
  <c r="BB1088" i="1" s="1"/>
  <c r="BB1092" i="1"/>
  <c r="BB1083" i="1"/>
  <c r="BB1081" i="1" s="1"/>
  <c r="BB1078" i="1"/>
  <c r="BB1076" i="1"/>
  <c r="BB1074" i="1" s="1"/>
  <c r="BB1085" i="1"/>
  <c r="BA5" i="9" l="1"/>
  <c r="BA6" i="9" s="1"/>
  <c r="BA710" i="1"/>
  <c r="BB67" i="9"/>
  <c r="BB971" i="1"/>
  <c r="BB855" i="1"/>
  <c r="BB857" i="1" s="1"/>
  <c r="BB437" i="1"/>
  <c r="BB448" i="1"/>
  <c r="BX448" i="1" s="1"/>
  <c r="BB446" i="1"/>
  <c r="BX440" i="1"/>
  <c r="BB445" i="1"/>
  <c r="BC1" i="9"/>
  <c r="BC1099" i="1"/>
  <c r="BC1102" i="1"/>
  <c r="BC1098" i="1"/>
  <c r="BC1097" i="1"/>
  <c r="BC1095" i="1" s="1"/>
  <c r="BC723" i="1" s="1"/>
  <c r="BC3" i="1"/>
  <c r="BC1072" i="1" s="1"/>
  <c r="BD4" i="1"/>
  <c r="BC4" i="12"/>
  <c r="BC4" i="11"/>
  <c r="AY698" i="1"/>
  <c r="AY700" i="1"/>
  <c r="AY892" i="1"/>
  <c r="BX892" i="1" s="1"/>
  <c r="BX3" i="12"/>
  <c r="AY893" i="1"/>
  <c r="BX893" i="1" s="1"/>
  <c r="BX3" i="11"/>
  <c r="AY894" i="1"/>
  <c r="AY895" i="1"/>
  <c r="AZ699" i="1"/>
  <c r="AZ887" i="1"/>
  <c r="AZ881" i="1"/>
  <c r="AZ697" i="1"/>
  <c r="BA697" i="1"/>
  <c r="BX1090" i="1"/>
  <c r="BX1088" i="1" s="1"/>
  <c r="BX1092" i="1"/>
  <c r="BX1083" i="1"/>
  <c r="BX1081" i="1" s="1"/>
  <c r="BX1085" i="1"/>
  <c r="BX1076" i="1"/>
  <c r="BX1074" i="1" s="1"/>
  <c r="BX1078" i="1"/>
  <c r="BX425" i="1"/>
  <c r="AZ67" i="9"/>
  <c r="AZ971" i="1"/>
  <c r="AZ855" i="1"/>
  <c r="BC443" i="1" l="1"/>
  <c r="BC440" i="1"/>
  <c r="BC425" i="1" s="1"/>
  <c r="BX446" i="1"/>
  <c r="BX451" i="1"/>
  <c r="BX437" i="1"/>
  <c r="BX449" i="1" s="1"/>
  <c r="BX697" i="1"/>
  <c r="BX698" i="1" s="1"/>
  <c r="AZ701" i="1"/>
  <c r="BX855" i="1"/>
  <c r="AZ857" i="1"/>
  <c r="AZ897" i="1"/>
  <c r="AZ193" i="1"/>
  <c r="AZ913" i="1"/>
  <c r="AZ894" i="1"/>
  <c r="AZ194" i="1"/>
  <c r="AZ393" i="1" s="1"/>
  <c r="AZ915" i="1"/>
  <c r="AZ895" i="1"/>
  <c r="BD1" i="9"/>
  <c r="BD1102" i="1"/>
  <c r="BD1099" i="1"/>
  <c r="BD1098" i="1"/>
  <c r="BD1097" i="1"/>
  <c r="BD1095" i="1" s="1"/>
  <c r="BD723" i="1" s="1"/>
  <c r="BE4" i="1"/>
  <c r="BD3" i="1"/>
  <c r="BD4" i="12"/>
  <c r="BD4" i="11"/>
  <c r="BC3" i="12"/>
  <c r="BC3" i="11"/>
  <c r="BB451" i="1"/>
  <c r="BC1092" i="1"/>
  <c r="BC1083" i="1"/>
  <c r="BC1081" i="1" s="1"/>
  <c r="BC1085" i="1"/>
  <c r="BC1076" i="1"/>
  <c r="BC1074" i="1" s="1"/>
  <c r="BC1078" i="1"/>
  <c r="BC1090" i="1"/>
  <c r="BC1088" i="1" s="1"/>
  <c r="BX977" i="1" l="1"/>
  <c r="BX670" i="1"/>
  <c r="BX857" i="1"/>
  <c r="AZ702" i="1"/>
  <c r="AZ399" i="1"/>
  <c r="BD3" i="11"/>
  <c r="BD3" i="12"/>
  <c r="BE1" i="9"/>
  <c r="BE1102" i="1"/>
  <c r="BE1072" i="1"/>
  <c r="BE1097" i="1"/>
  <c r="BE1095" i="1" s="1"/>
  <c r="BE723" i="1" s="1"/>
  <c r="BE1098" i="1"/>
  <c r="BE1099" i="1"/>
  <c r="BF4" i="1"/>
  <c r="BE3" i="1"/>
  <c r="BE4" i="12"/>
  <c r="BE4" i="11"/>
  <c r="BX5" i="9"/>
  <c r="BX6" i="9" s="1"/>
  <c r="BX710" i="1"/>
  <c r="AZ884" i="1"/>
  <c r="AZ919" i="1"/>
  <c r="AZ890" i="1"/>
  <c r="AZ331" i="1"/>
  <c r="BC670" i="1"/>
  <c r="AZ196" i="1"/>
  <c r="AZ392" i="1"/>
  <c r="BC445" i="1"/>
  <c r="BC437" i="1"/>
  <c r="BD443" i="1" s="1"/>
  <c r="BC448" i="1"/>
  <c r="BC451" i="1" s="1"/>
  <c r="BC446" i="1"/>
  <c r="BD440" i="1"/>
  <c r="BB5" i="9"/>
  <c r="BB6" i="9" s="1"/>
  <c r="BB710" i="1"/>
  <c r="BD1072" i="1"/>
  <c r="BC5" i="9" l="1"/>
  <c r="BC6" i="9" s="1"/>
  <c r="BC710" i="1"/>
  <c r="AZ883" i="1"/>
  <c r="BA880" i="1"/>
  <c r="AZ804" i="1"/>
  <c r="AZ330" i="1"/>
  <c r="AZ395" i="1"/>
  <c r="BC67" i="9"/>
  <c r="BC855" i="1"/>
  <c r="BC971" i="1"/>
  <c r="BD1092" i="1"/>
  <c r="BD1083" i="1"/>
  <c r="BD1081" i="1" s="1"/>
  <c r="BD1085" i="1"/>
  <c r="BD1076" i="1"/>
  <c r="BD1074" i="1" s="1"/>
  <c r="BD1078" i="1"/>
  <c r="BD1090" i="1"/>
  <c r="BD1088" i="1" s="1"/>
  <c r="BE3" i="11"/>
  <c r="BE3" i="12"/>
  <c r="AZ34" i="9"/>
  <c r="AZ36" i="9" s="1"/>
  <c r="AZ402" i="1"/>
  <c r="BF1" i="9"/>
  <c r="BF1098" i="1"/>
  <c r="BF1102" i="1"/>
  <c r="BF1099" i="1"/>
  <c r="BF1097" i="1"/>
  <c r="BF1095" i="1" s="1"/>
  <c r="BF723" i="1" s="1"/>
  <c r="BY4" i="1"/>
  <c r="BF3" i="1"/>
  <c r="BF4" i="11"/>
  <c r="BF4" i="12"/>
  <c r="BD445" i="1"/>
  <c r="BE440" i="1"/>
  <c r="BE425" i="1" s="1"/>
  <c r="BE670" i="1" s="1"/>
  <c r="BD448" i="1"/>
  <c r="BD451" i="1" s="1"/>
  <c r="BD446" i="1"/>
  <c r="BD437" i="1"/>
  <c r="BE443" i="1" s="1"/>
  <c r="AZ889" i="1"/>
  <c r="BA886" i="1"/>
  <c r="BX67" i="9"/>
  <c r="BX978" i="1"/>
  <c r="BX971" i="1"/>
  <c r="BD425" i="1"/>
  <c r="BE1085" i="1"/>
  <c r="BE1076" i="1"/>
  <c r="BE1074" i="1" s="1"/>
  <c r="BE1078" i="1"/>
  <c r="BE1092" i="1"/>
  <c r="BE1083" i="1"/>
  <c r="BE1081" i="1" s="1"/>
  <c r="BE1090" i="1"/>
  <c r="BE1088" i="1" s="1"/>
  <c r="BD5" i="9" l="1"/>
  <c r="BD6" i="9" s="1"/>
  <c r="BD710" i="1"/>
  <c r="BE67" i="9"/>
  <c r="BE971" i="1"/>
  <c r="BE855" i="1"/>
  <c r="BE857" i="1" s="1"/>
  <c r="BA887" i="1"/>
  <c r="BF3" i="11"/>
  <c r="BF3" i="12"/>
  <c r="AZ396" i="1"/>
  <c r="AZ333" i="1"/>
  <c r="AZ58" i="9" s="1"/>
  <c r="BY1" i="9"/>
  <c r="BY1102" i="1"/>
  <c r="BY1097" i="1"/>
  <c r="BY1095" i="1" s="1"/>
  <c r="BY723" i="1" s="1"/>
  <c r="BY444" i="1" s="1"/>
  <c r="BY1098" i="1"/>
  <c r="BY1099" i="1"/>
  <c r="BY3" i="1"/>
  <c r="BF697" i="1" s="1"/>
  <c r="BZ4" i="1"/>
  <c r="BY4" i="11"/>
  <c r="BY4" i="12"/>
  <c r="BF1072" i="1"/>
  <c r="BC857" i="1"/>
  <c r="BA881" i="1"/>
  <c r="BA894" i="1" s="1"/>
  <c r="BD670" i="1"/>
  <c r="BE445" i="1"/>
  <c r="BF440" i="1"/>
  <c r="BF425" i="1" s="1"/>
  <c r="BF670" i="1" s="1"/>
  <c r="BE437" i="1"/>
  <c r="BF443" i="1" s="1"/>
  <c r="BE448" i="1"/>
  <c r="BE451" i="1" s="1"/>
  <c r="BE446" i="1"/>
  <c r="AZ405" i="1"/>
  <c r="AZ404" i="1"/>
  <c r="AZ406" i="1" s="1"/>
  <c r="BF437" i="1" l="1"/>
  <c r="BF448" i="1"/>
  <c r="BY448" i="1" s="1"/>
  <c r="BF446" i="1"/>
  <c r="BY440" i="1"/>
  <c r="BF445" i="1"/>
  <c r="BF1085" i="1"/>
  <c r="BF1076" i="1"/>
  <c r="BF1074" i="1" s="1"/>
  <c r="BF1078" i="1"/>
  <c r="BF1083" i="1"/>
  <c r="BF1081" i="1" s="1"/>
  <c r="BF1090" i="1"/>
  <c r="BF1088" i="1" s="1"/>
  <c r="BF1092" i="1"/>
  <c r="AZ46" i="9"/>
  <c r="AZ704" i="1"/>
  <c r="AZ334" i="1"/>
  <c r="BE5" i="9"/>
  <c r="BE6" i="9" s="1"/>
  <c r="BE710" i="1"/>
  <c r="BY425" i="1"/>
  <c r="BZ1" i="9"/>
  <c r="BZ1099" i="1"/>
  <c r="BZ1098" i="1"/>
  <c r="BZ1102" i="1"/>
  <c r="BZ1097" i="1"/>
  <c r="BZ1095" i="1" s="1"/>
  <c r="BZ723" i="1" s="1"/>
  <c r="BZ1072" i="1"/>
  <c r="BZ3" i="1"/>
  <c r="CA4" i="1"/>
  <c r="BZ4" i="11"/>
  <c r="BZ4" i="12"/>
  <c r="BD67" i="9"/>
  <c r="BD971" i="1"/>
  <c r="BD855" i="1"/>
  <c r="BY3" i="12"/>
  <c r="BY3" i="11"/>
  <c r="BC697" i="1"/>
  <c r="BD697" i="1"/>
  <c r="BE697" i="1"/>
  <c r="BA194" i="1"/>
  <c r="BA393" i="1" s="1"/>
  <c r="BA915" i="1"/>
  <c r="AZ37" i="9"/>
  <c r="AZ41" i="9" s="1"/>
  <c r="BA897" i="1"/>
  <c r="BA193" i="1"/>
  <c r="BA913" i="1"/>
  <c r="BY1072" i="1"/>
  <c r="BA895" i="1"/>
  <c r="AZ809" i="1"/>
  <c r="AZ803" i="1"/>
  <c r="AZ410" i="1"/>
  <c r="AY965" i="1"/>
  <c r="BF67" i="9"/>
  <c r="BF971" i="1"/>
  <c r="BF855" i="1"/>
  <c r="BF857" i="1" s="1"/>
  <c r="BA392" i="1" l="1"/>
  <c r="BA196" i="1"/>
  <c r="BD857" i="1"/>
  <c r="BY855" i="1"/>
  <c r="AZ412" i="1"/>
  <c r="AZ420" i="1"/>
  <c r="AZ815" i="1"/>
  <c r="AZ950" i="1"/>
  <c r="BY446" i="1"/>
  <c r="BY451" i="1"/>
  <c r="BZ440" i="1"/>
  <c r="BZ425" i="1" s="1"/>
  <c r="BZ670" i="1" s="1"/>
  <c r="BY437" i="1"/>
  <c r="BY449" i="1" s="1"/>
  <c r="BA890" i="1"/>
  <c r="CA1" i="9"/>
  <c r="CA1099" i="1"/>
  <c r="CA1098" i="1"/>
  <c r="CA1102" i="1"/>
  <c r="CA1097" i="1"/>
  <c r="CA1095" i="1" s="1"/>
  <c r="CA723" i="1" s="1"/>
  <c r="CA3" i="1"/>
  <c r="CA1072" i="1" s="1"/>
  <c r="CB4" i="1"/>
  <c r="CA4" i="11"/>
  <c r="CA4" i="12"/>
  <c r="BA919" i="1"/>
  <c r="BA884" i="1"/>
  <c r="BA331" i="1"/>
  <c r="BZ3" i="11"/>
  <c r="BZ3" i="12"/>
  <c r="AZ131" i="9"/>
  <c r="AZ95" i="9"/>
  <c r="AZ96" i="9" s="1"/>
  <c r="AZ941" i="1"/>
  <c r="BZ1090" i="1"/>
  <c r="BZ1088" i="1" s="1"/>
  <c r="BZ1092" i="1"/>
  <c r="BZ1083" i="1"/>
  <c r="BZ1081" i="1" s="1"/>
  <c r="BZ1085" i="1"/>
  <c r="BZ1076" i="1"/>
  <c r="BZ1074" i="1" s="1"/>
  <c r="BZ1078" i="1"/>
  <c r="AZ127" i="9"/>
  <c r="AZ86" i="9"/>
  <c r="AZ59" i="9"/>
  <c r="BF451" i="1"/>
  <c r="BY1090" i="1"/>
  <c r="BY1088" i="1" s="1"/>
  <c r="BY1085" i="1"/>
  <c r="BY1076" i="1"/>
  <c r="BY1074" i="1" s="1"/>
  <c r="BY1078" i="1"/>
  <c r="BY1083" i="1"/>
  <c r="BY1081" i="1" s="1"/>
  <c r="BY1092" i="1"/>
  <c r="BY697" i="1"/>
  <c r="BY698" i="1" s="1"/>
  <c r="BZ444" i="1" l="1"/>
  <c r="AZ951" i="1"/>
  <c r="AZ827" i="1"/>
  <c r="AZ659" i="1"/>
  <c r="CA1090" i="1"/>
  <c r="CA1088" i="1" s="1"/>
  <c r="CA1092" i="1"/>
  <c r="CA1083" i="1"/>
  <c r="CA1081" i="1" s="1"/>
  <c r="CA1078" i="1"/>
  <c r="CA1085" i="1"/>
  <c r="CA1076" i="1"/>
  <c r="CA1074" i="1" s="1"/>
  <c r="BF5" i="9"/>
  <c r="BF6" i="9" s="1"/>
  <c r="BF710" i="1"/>
  <c r="BB880" i="1"/>
  <c r="BA883" i="1"/>
  <c r="AZ415" i="1"/>
  <c r="AZ426" i="1"/>
  <c r="AZ421" i="1" s="1"/>
  <c r="AZ42" i="9" s="1"/>
  <c r="BB886" i="1"/>
  <c r="BA889" i="1"/>
  <c r="BZ67" i="9"/>
  <c r="BZ971" i="1"/>
  <c r="BZ855" i="1"/>
  <c r="BZ857" i="1" s="1"/>
  <c r="BY670" i="1"/>
  <c r="BY857" i="1"/>
  <c r="AZ943" i="1"/>
  <c r="AZ944" i="1" s="1"/>
  <c r="BY977" i="1"/>
  <c r="CB1" i="9"/>
  <c r="CB1099" i="1"/>
  <c r="CB1102" i="1"/>
  <c r="CB1098" i="1"/>
  <c r="CB1097" i="1"/>
  <c r="CB1095" i="1" s="1"/>
  <c r="CB723" i="1" s="1"/>
  <c r="CB3" i="1"/>
  <c r="CB1072" i="1" s="1"/>
  <c r="CB4" i="11"/>
  <c r="CB4" i="12"/>
  <c r="BZ448" i="1"/>
  <c r="BZ451" i="1" s="1"/>
  <c r="BZ446" i="1"/>
  <c r="CA440" i="1"/>
  <c r="CA425" i="1" s="1"/>
  <c r="CA670" i="1" s="1"/>
  <c r="BZ437" i="1"/>
  <c r="CA444" i="1" s="1"/>
  <c r="CA3" i="12"/>
  <c r="CA3" i="11"/>
  <c r="BY5" i="9"/>
  <c r="BY6" i="9" s="1"/>
  <c r="BY710" i="1"/>
  <c r="BA804" i="1"/>
  <c r="BA330" i="1"/>
  <c r="BA395" i="1"/>
  <c r="CA67" i="9" l="1"/>
  <c r="CA971" i="1"/>
  <c r="CA855" i="1"/>
  <c r="CA857" i="1" s="1"/>
  <c r="CB1092" i="1"/>
  <c r="CB1083" i="1"/>
  <c r="CB1081" i="1" s="1"/>
  <c r="CB1085" i="1"/>
  <c r="CB1076" i="1"/>
  <c r="CB1074" i="1" s="1"/>
  <c r="CB1078" i="1"/>
  <c r="CB1090" i="1"/>
  <c r="CB1088" i="1" s="1"/>
  <c r="BZ5" i="9"/>
  <c r="BZ6" i="9" s="1"/>
  <c r="BZ710" i="1"/>
  <c r="AZ48" i="9"/>
  <c r="AZ427" i="1"/>
  <c r="AZ43" i="9" s="1"/>
  <c r="BA333" i="1"/>
  <c r="BA58" i="9" s="1"/>
  <c r="BA396" i="1"/>
  <c r="AZ62" i="9"/>
  <c r="AZ64" i="9" s="1"/>
  <c r="AZ680" i="1"/>
  <c r="AZ681" i="1" s="1"/>
  <c r="AZ682" i="1" s="1"/>
  <c r="AZ683" i="1" s="1"/>
  <c r="AZ662" i="1"/>
  <c r="AZ661" i="1"/>
  <c r="AZ860" i="1"/>
  <c r="CA448" i="1"/>
  <c r="CA451" i="1" s="1"/>
  <c r="CB440" i="1"/>
  <c r="CB425" i="1" s="1"/>
  <c r="CB670" i="1" s="1"/>
  <c r="CA437" i="1"/>
  <c r="CB444" i="1" s="1"/>
  <c r="CA446" i="1"/>
  <c r="BB881" i="1"/>
  <c r="BB894" i="1"/>
  <c r="BX894" i="1" s="1"/>
  <c r="AZ92" i="9"/>
  <c r="AZ93" i="9" s="1"/>
  <c r="AZ953" i="1"/>
  <c r="BB887" i="1"/>
  <c r="CB3" i="12"/>
  <c r="CB3" i="11"/>
  <c r="BY67" i="9"/>
  <c r="BY971" i="1"/>
  <c r="BY978" i="1"/>
  <c r="CA5" i="9" l="1"/>
  <c r="CA6" i="9" s="1"/>
  <c r="CA710" i="1"/>
  <c r="BB897" i="1"/>
  <c r="BB193" i="1"/>
  <c r="BX881" i="1"/>
  <c r="BB913" i="1"/>
  <c r="CB448" i="1"/>
  <c r="CB451" i="1" s="1"/>
  <c r="CB446" i="1"/>
  <c r="CB437" i="1"/>
  <c r="CB67" i="9"/>
  <c r="CB971" i="1"/>
  <c r="CB855" i="1"/>
  <c r="CB857" i="1" s="1"/>
  <c r="AZ422" i="1"/>
  <c r="AZ49" i="9" s="1"/>
  <c r="AZ80" i="9" s="1"/>
  <c r="AZ87" i="9"/>
  <c r="AZ76" i="9"/>
  <c r="AZ66" i="9"/>
  <c r="AZ115" i="9"/>
  <c r="BA46" i="9"/>
  <c r="BA334" i="1"/>
  <c r="BB194" i="1"/>
  <c r="BB393" i="1" s="1"/>
  <c r="BX887" i="1"/>
  <c r="BX194" i="1" s="1"/>
  <c r="BB915" i="1"/>
  <c r="AZ112" i="9"/>
  <c r="AZ113" i="9"/>
  <c r="BB895" i="1"/>
  <c r="BX895" i="1" s="1"/>
  <c r="AZ903" i="1"/>
  <c r="AY964" i="1"/>
  <c r="AZ863" i="1"/>
  <c r="AZ130" i="9"/>
  <c r="AZ90" i="9"/>
  <c r="AZ91" i="9" s="1"/>
  <c r="AZ94" i="9" s="1"/>
  <c r="AZ114" i="9"/>
  <c r="AZ684" i="1"/>
  <c r="AZ685" i="1" s="1"/>
  <c r="AZ686" i="1" s="1"/>
  <c r="AZ687" i="1" s="1"/>
  <c r="AZ660" i="1"/>
  <c r="AZ663" i="1"/>
  <c r="BB331" i="1" l="1"/>
  <c r="BX393" i="1"/>
  <c r="BX331" i="1" s="1"/>
  <c r="CB5" i="9"/>
  <c r="CB6" i="9" s="1"/>
  <c r="CB710" i="1"/>
  <c r="AZ870" i="1"/>
  <c r="BA862" i="1"/>
  <c r="BA127" i="9"/>
  <c r="BA86" i="9"/>
  <c r="BA59" i="9"/>
  <c r="AZ690" i="1"/>
  <c r="AZ909" i="1"/>
  <c r="AZ920" i="1" s="1"/>
  <c r="BX913" i="1"/>
  <c r="BB884" i="1"/>
  <c r="BB883" i="1" s="1"/>
  <c r="BB919" i="1"/>
  <c r="AZ77" i="9"/>
  <c r="AZ79" i="9" s="1"/>
  <c r="AZ68" i="9"/>
  <c r="AZ74" i="9" s="1"/>
  <c r="AZ132" i="9" s="1"/>
  <c r="AZ116" i="9"/>
  <c r="BX897" i="1"/>
  <c r="BX193" i="1"/>
  <c r="BX196" i="1" s="1"/>
  <c r="BB392" i="1"/>
  <c r="BB196" i="1"/>
  <c r="BX915" i="1"/>
  <c r="BB890" i="1"/>
  <c r="BB889" i="1" s="1"/>
  <c r="BB804" i="1" l="1"/>
  <c r="BX804" i="1" s="1"/>
  <c r="BB330" i="1"/>
  <c r="BB395" i="1"/>
  <c r="BX392" i="1"/>
  <c r="AZ7" i="9"/>
  <c r="AZ11" i="9" s="1"/>
  <c r="AZ960" i="1"/>
  <c r="BA699" i="1"/>
  <c r="AZ695" i="1"/>
  <c r="BX884" i="1"/>
  <c r="BX919" i="1"/>
  <c r="BX890" i="1"/>
  <c r="AZ97" i="9"/>
  <c r="AZ98" i="9" s="1"/>
  <c r="AZ955" i="1"/>
  <c r="AY966" i="1"/>
  <c r="AZ100" i="9" l="1"/>
  <c r="AZ101" i="9" s="1"/>
  <c r="AZ102" i="9" s="1"/>
  <c r="AZ103" i="9" s="1"/>
  <c r="AZ85" i="9"/>
  <c r="AZ84" i="9"/>
  <c r="AZ83" i="9"/>
  <c r="AZ711" i="1"/>
  <c r="BX883" i="1"/>
  <c r="BY880" i="1"/>
  <c r="BC880" i="1"/>
  <c r="BA701" i="1"/>
  <c r="AZ108" i="9"/>
  <c r="AZ109" i="9" s="1"/>
  <c r="AZ99" i="9"/>
  <c r="BX330" i="1"/>
  <c r="BX395" i="1"/>
  <c r="BY886" i="1"/>
  <c r="BC886" i="1"/>
  <c r="BX889" i="1"/>
  <c r="BB396" i="1"/>
  <c r="BB333" i="1"/>
  <c r="BB58" i="9" s="1"/>
  <c r="BA702" i="1" l="1"/>
  <c r="BA399" i="1"/>
  <c r="BA704" i="1"/>
  <c r="BC881" i="1"/>
  <c r="BB46" i="9"/>
  <c r="BB334" i="1"/>
  <c r="BC887" i="1"/>
  <c r="BC895" i="1"/>
  <c r="BX333" i="1"/>
  <c r="BX58" i="9" s="1"/>
  <c r="BX396" i="1"/>
  <c r="BC194" i="1" l="1"/>
  <c r="BC393" i="1" s="1"/>
  <c r="BC915" i="1"/>
  <c r="BB127" i="9"/>
  <c r="BB86" i="9"/>
  <c r="BB59" i="9"/>
  <c r="BC897" i="1"/>
  <c r="BC193" i="1"/>
  <c r="BC913" i="1"/>
  <c r="BC894" i="1"/>
  <c r="BA34" i="9"/>
  <c r="BA36" i="9" s="1"/>
  <c r="BA402" i="1"/>
  <c r="BX46" i="9"/>
  <c r="BX334" i="1"/>
  <c r="BC392" i="1" l="1"/>
  <c r="BC196" i="1"/>
  <c r="BX127" i="9"/>
  <c r="BX86" i="9"/>
  <c r="BX59" i="9"/>
  <c r="BA405" i="1"/>
  <c r="BA404" i="1"/>
  <c r="BC890" i="1"/>
  <c r="BC331" i="1"/>
  <c r="BC884" i="1"/>
  <c r="BC919" i="1"/>
  <c r="BA406" i="1" l="1"/>
  <c r="BA803" i="1" s="1"/>
  <c r="BD886" i="1"/>
  <c r="BC889" i="1"/>
  <c r="BA37" i="9"/>
  <c r="BA41" i="9" s="1"/>
  <c r="BA809" i="1"/>
  <c r="BD880" i="1"/>
  <c r="BC883" i="1"/>
  <c r="BC804" i="1"/>
  <c r="BC330" i="1"/>
  <c r="BC395" i="1"/>
  <c r="BA410" i="1" l="1"/>
  <c r="BA412" i="1" s="1"/>
  <c r="BD881" i="1"/>
  <c r="BD894" i="1" s="1"/>
  <c r="BA815" i="1"/>
  <c r="BA950" i="1"/>
  <c r="BA941" i="1"/>
  <c r="BA95" i="9"/>
  <c r="BA96" i="9" s="1"/>
  <c r="BC333" i="1"/>
  <c r="BC58" i="9" s="1"/>
  <c r="BC396" i="1"/>
  <c r="BD887" i="1"/>
  <c r="BD895" i="1" s="1"/>
  <c r="BA131" i="9" l="1"/>
  <c r="BA420" i="1"/>
  <c r="BA951" i="1"/>
  <c r="BA943" i="1"/>
  <c r="BA944" i="1" s="1"/>
  <c r="BA659" i="1"/>
  <c r="BA827" i="1"/>
  <c r="BD194" i="1"/>
  <c r="BD393" i="1" s="1"/>
  <c r="BD915" i="1"/>
  <c r="BD897" i="1"/>
  <c r="BD193" i="1"/>
  <c r="BD913" i="1"/>
  <c r="BC46" i="9"/>
  <c r="BC334" i="1"/>
  <c r="BA426" i="1"/>
  <c r="BA421" i="1" s="1"/>
  <c r="BA42" i="9" s="1"/>
  <c r="BA415" i="1"/>
  <c r="BD890" i="1" l="1"/>
  <c r="BA48" i="9"/>
  <c r="BA427" i="1"/>
  <c r="BA43" i="9" s="1"/>
  <c r="BD331" i="1"/>
  <c r="BA661" i="1"/>
  <c r="BA860" i="1"/>
  <c r="BC127" i="9"/>
  <c r="BC86" i="9"/>
  <c r="BC59" i="9"/>
  <c r="BA62" i="9"/>
  <c r="BA64" i="9" s="1"/>
  <c r="BA680" i="1"/>
  <c r="BA681" i="1" s="1"/>
  <c r="BA682" i="1" s="1"/>
  <c r="BA683" i="1" s="1"/>
  <c r="BA662" i="1"/>
  <c r="BD884" i="1"/>
  <c r="BD919" i="1"/>
  <c r="BD392" i="1"/>
  <c r="BD196" i="1"/>
  <c r="BA92" i="9"/>
  <c r="BA93" i="9" s="1"/>
  <c r="BA953" i="1"/>
  <c r="BD804" i="1" l="1"/>
  <c r="BD330" i="1"/>
  <c r="BD395" i="1"/>
  <c r="BA903" i="1"/>
  <c r="BA863" i="1"/>
  <c r="BA684" i="1"/>
  <c r="BA685" i="1" s="1"/>
  <c r="BA686" i="1" s="1"/>
  <c r="BA687" i="1" s="1"/>
  <c r="BA663" i="1"/>
  <c r="BA660" i="1"/>
  <c r="BE880" i="1"/>
  <c r="BD883" i="1"/>
  <c r="BA112" i="9"/>
  <c r="BA113" i="9"/>
  <c r="BA87" i="9"/>
  <c r="BA76" i="9"/>
  <c r="BA66" i="9"/>
  <c r="BA115" i="9"/>
  <c r="BA422" i="1"/>
  <c r="BA49" i="9" s="1"/>
  <c r="BA80" i="9" s="1"/>
  <c r="BA130" i="9"/>
  <c r="BA90" i="9"/>
  <c r="BA91" i="9" s="1"/>
  <c r="BA94" i="9" s="1"/>
  <c r="BA114" i="9"/>
  <c r="BD889" i="1"/>
  <c r="BE886" i="1"/>
  <c r="BE881" i="1" l="1"/>
  <c r="BE894" i="1"/>
  <c r="BA77" i="9"/>
  <c r="BA79" i="9" s="1"/>
  <c r="BA68" i="9"/>
  <c r="BA74" i="9" s="1"/>
  <c r="BA132" i="9" s="1"/>
  <c r="BA116" i="9"/>
  <c r="BB862" i="1"/>
  <c r="BA870" i="1"/>
  <c r="BA909" i="1"/>
  <c r="BA920" i="1" s="1"/>
  <c r="BA690" i="1"/>
  <c r="BD333" i="1"/>
  <c r="BD58" i="9" s="1"/>
  <c r="BD396" i="1"/>
  <c r="BE887" i="1"/>
  <c r="BA97" i="9" l="1"/>
  <c r="BA98" i="9" s="1"/>
  <c r="BA955" i="1"/>
  <c r="BA7" i="9"/>
  <c r="BA11" i="9" s="1"/>
  <c r="BA960" i="1"/>
  <c r="BB699" i="1"/>
  <c r="BA695" i="1"/>
  <c r="BE194" i="1"/>
  <c r="BE393" i="1" s="1"/>
  <c r="BE915" i="1"/>
  <c r="BE895" i="1"/>
  <c r="BD46" i="9"/>
  <c r="BD334" i="1"/>
  <c r="BE897" i="1"/>
  <c r="BE193" i="1"/>
  <c r="BE913" i="1"/>
  <c r="BE890" i="1" l="1"/>
  <c r="BE331" i="1"/>
  <c r="BE884" i="1"/>
  <c r="BE919" i="1"/>
  <c r="BA100" i="9"/>
  <c r="BA101" i="9" s="1"/>
  <c r="BA102" i="9" s="1"/>
  <c r="BA103" i="9" s="1"/>
  <c r="BA84" i="9"/>
  <c r="BA83" i="9"/>
  <c r="BA85" i="9"/>
  <c r="BA711" i="1"/>
  <c r="BB701" i="1"/>
  <c r="BX699" i="1"/>
  <c r="BE392" i="1"/>
  <c r="BE196" i="1"/>
  <c r="BD127" i="9"/>
  <c r="BD86" i="9"/>
  <c r="BD59" i="9"/>
  <c r="BA108" i="9"/>
  <c r="BA109" i="9" s="1"/>
  <c r="BA99" i="9"/>
  <c r="BE883" i="1" l="1"/>
  <c r="BF880" i="1"/>
  <c r="BE804" i="1"/>
  <c r="BE330" i="1"/>
  <c r="BE395" i="1"/>
  <c r="BB702" i="1"/>
  <c r="BB399" i="1"/>
  <c r="BX701" i="1"/>
  <c r="BB704" i="1"/>
  <c r="BE889" i="1"/>
  <c r="BF886" i="1"/>
  <c r="BX702" i="1" l="1"/>
  <c r="BX704" i="1"/>
  <c r="BB34" i="9"/>
  <c r="BB36" i="9" s="1"/>
  <c r="BB402" i="1"/>
  <c r="BX399" i="1"/>
  <c r="BE396" i="1"/>
  <c r="BE333" i="1"/>
  <c r="BE58" i="9" s="1"/>
  <c r="BF881" i="1"/>
  <c r="BF887" i="1"/>
  <c r="BF895" i="1" s="1"/>
  <c r="BY895" i="1" s="1"/>
  <c r="BF194" i="1" l="1"/>
  <c r="BF393" i="1" s="1"/>
  <c r="BY887" i="1"/>
  <c r="BY194" i="1" s="1"/>
  <c r="BF915" i="1"/>
  <c r="BF897" i="1"/>
  <c r="BF193" i="1"/>
  <c r="BY881" i="1"/>
  <c r="BF913" i="1"/>
  <c r="BF894" i="1"/>
  <c r="BY894" i="1" s="1"/>
  <c r="BX34" i="9"/>
  <c r="BX36" i="9" s="1"/>
  <c r="BX402" i="1"/>
  <c r="BE46" i="9"/>
  <c r="BE334" i="1"/>
  <c r="BB404" i="1"/>
  <c r="BB405" i="1"/>
  <c r="BB406" i="1" l="1"/>
  <c r="BB803" i="1" s="1"/>
  <c r="BF884" i="1"/>
  <c r="BF883" i="1" s="1"/>
  <c r="BY913" i="1"/>
  <c r="BF919" i="1"/>
  <c r="BF392" i="1"/>
  <c r="BF196" i="1"/>
  <c r="BE127" i="9"/>
  <c r="BE59" i="9"/>
  <c r="BE86" i="9"/>
  <c r="BB809" i="1"/>
  <c r="BX405" i="1"/>
  <c r="BX418" i="1" s="1"/>
  <c r="BY897" i="1"/>
  <c r="BY193" i="1"/>
  <c r="BY196" i="1" s="1"/>
  <c r="BB37" i="9"/>
  <c r="BB41" i="9" s="1"/>
  <c r="BX404" i="1"/>
  <c r="BF890" i="1"/>
  <c r="BF889" i="1" s="1"/>
  <c r="BY915" i="1"/>
  <c r="BF331" i="1"/>
  <c r="BY393" i="1"/>
  <c r="BY331" i="1" s="1"/>
  <c r="BB410" i="1" l="1"/>
  <c r="BB420" i="1" s="1"/>
  <c r="BB815" i="1"/>
  <c r="BX803" i="1"/>
  <c r="BB950" i="1"/>
  <c r="BX37" i="9"/>
  <c r="BX41" i="9" s="1"/>
  <c r="BX417" i="1"/>
  <c r="BB95" i="9"/>
  <c r="BB96" i="9" s="1"/>
  <c r="BY884" i="1"/>
  <c r="BY919" i="1"/>
  <c r="BX809" i="1"/>
  <c r="BB941" i="1"/>
  <c r="BY890" i="1"/>
  <c r="BF804" i="1"/>
  <c r="BY804" i="1" s="1"/>
  <c r="BF330" i="1"/>
  <c r="BF395" i="1"/>
  <c r="BY392" i="1"/>
  <c r="BX406" i="1"/>
  <c r="BB131" i="9" l="1"/>
  <c r="BB412" i="1"/>
  <c r="BB415" i="1" s="1"/>
  <c r="BX815" i="1"/>
  <c r="BX827" i="1" s="1"/>
  <c r="BY883" i="1"/>
  <c r="BZ880" i="1"/>
  <c r="BX972" i="1"/>
  <c r="BX410" i="1"/>
  <c r="BX131" i="9" s="1"/>
  <c r="BX950" i="1"/>
  <c r="BB951" i="1"/>
  <c r="N14" i="10"/>
  <c r="N8" i="10"/>
  <c r="BZ886" i="1"/>
  <c r="BY889" i="1"/>
  <c r="BX95" i="9"/>
  <c r="BX96" i="9" s="1"/>
  <c r="BB827" i="1"/>
  <c r="BB659" i="1"/>
  <c r="BX974" i="1"/>
  <c r="BY330" i="1"/>
  <c r="BY395" i="1"/>
  <c r="BX941" i="1"/>
  <c r="BB943" i="1"/>
  <c r="BB944" i="1" s="1"/>
  <c r="BF396" i="1"/>
  <c r="BF333" i="1"/>
  <c r="BF58" i="9" s="1"/>
  <c r="BB426" i="1" l="1"/>
  <c r="BB421" i="1" s="1"/>
  <c r="BB42" i="9" s="1"/>
  <c r="BX659" i="1"/>
  <c r="BX62" i="9" s="1"/>
  <c r="BX64" i="9" s="1"/>
  <c r="BX661" i="1"/>
  <c r="BX860" i="1"/>
  <c r="BX863" i="1" s="1"/>
  <c r="BB48" i="9"/>
  <c r="BB427" i="1"/>
  <c r="BB43" i="9" s="1"/>
  <c r="BZ887" i="1"/>
  <c r="BZ895" i="1" s="1"/>
  <c r="P8" i="10"/>
  <c r="Q8" i="10"/>
  <c r="BX951" i="1"/>
  <c r="BY396" i="1"/>
  <c r="BY333" i="1"/>
  <c r="BY58" i="9" s="1"/>
  <c r="BB92" i="9"/>
  <c r="BB93" i="9" s="1"/>
  <c r="BB953" i="1"/>
  <c r="BB62" i="9"/>
  <c r="BB64" i="9" s="1"/>
  <c r="BB680" i="1"/>
  <c r="BB681" i="1" s="1"/>
  <c r="BB682" i="1" s="1"/>
  <c r="BB683" i="1" s="1"/>
  <c r="BX412" i="1"/>
  <c r="BX420" i="1"/>
  <c r="Q14" i="10"/>
  <c r="P14" i="10"/>
  <c r="BB661" i="1"/>
  <c r="BB860" i="1"/>
  <c r="BX975" i="1"/>
  <c r="BZ894" i="1"/>
  <c r="BZ881" i="1"/>
  <c r="BX943" i="1"/>
  <c r="BX944" i="1" s="1"/>
  <c r="BF46" i="9"/>
  <c r="BF334" i="1"/>
  <c r="BX680" i="1" l="1"/>
  <c r="BX681" i="1" s="1"/>
  <c r="BX682" i="1" s="1"/>
  <c r="BX683" i="1" s="1"/>
  <c r="BB662" i="1"/>
  <c r="BF127" i="9"/>
  <c r="BF86" i="9"/>
  <c r="BF59" i="9"/>
  <c r="BX426" i="1"/>
  <c r="BX662" i="1" s="1"/>
  <c r="BX415" i="1"/>
  <c r="BZ897" i="1"/>
  <c r="BZ193" i="1"/>
  <c r="BZ913" i="1"/>
  <c r="BB422" i="1"/>
  <c r="BB49" i="9" s="1"/>
  <c r="BB80" i="9" s="1"/>
  <c r="BB112" i="9"/>
  <c r="BB113" i="9"/>
  <c r="BC862" i="1"/>
  <c r="BY862" i="1"/>
  <c r="BB87" i="9"/>
  <c r="BB76" i="9"/>
  <c r="BB66" i="9"/>
  <c r="BB115" i="9"/>
  <c r="BB660" i="1"/>
  <c r="BB684" i="1"/>
  <c r="BB685" i="1" s="1"/>
  <c r="BB686" i="1" s="1"/>
  <c r="BB687" i="1" s="1"/>
  <c r="BB663" i="1"/>
  <c r="BY46" i="9"/>
  <c r="BY334" i="1"/>
  <c r="BX660" i="1"/>
  <c r="BX684" i="1"/>
  <c r="BZ194" i="1"/>
  <c r="BZ393" i="1" s="1"/>
  <c r="BZ331" i="1" s="1"/>
  <c r="BZ915" i="1"/>
  <c r="BX92" i="9"/>
  <c r="BX93" i="9" s="1"/>
  <c r="BX953" i="1"/>
  <c r="BB903" i="1"/>
  <c r="BB863" i="1"/>
  <c r="BB130" i="9"/>
  <c r="BB90" i="9"/>
  <c r="BB91" i="9" s="1"/>
  <c r="BB94" i="9" s="1"/>
  <c r="BB114" i="9"/>
  <c r="BX87" i="9"/>
  <c r="BX66" i="9"/>
  <c r="BX421" i="1" l="1"/>
  <c r="BX42" i="9" s="1"/>
  <c r="BX663" i="1"/>
  <c r="BX715" i="1" s="1"/>
  <c r="BZ884" i="1"/>
  <c r="BZ919" i="1"/>
  <c r="BX123" i="9"/>
  <c r="BX68" i="9"/>
  <c r="BX74" i="9" s="1"/>
  <c r="BX132" i="9" s="1"/>
  <c r="BZ392" i="1"/>
  <c r="BZ196" i="1"/>
  <c r="BX903" i="1"/>
  <c r="BB909" i="1"/>
  <c r="BB920" i="1" s="1"/>
  <c r="BB690" i="1"/>
  <c r="BZ890" i="1"/>
  <c r="BB77" i="9"/>
  <c r="BB79" i="9" s="1"/>
  <c r="BB68" i="9"/>
  <c r="BB74" i="9" s="1"/>
  <c r="BB132" i="9" s="1"/>
  <c r="BB116" i="9"/>
  <c r="BX48" i="9"/>
  <c r="BX427" i="1"/>
  <c r="BX43" i="9" s="1"/>
  <c r="BX77" i="9" s="1"/>
  <c r="BX79" i="9" s="1"/>
  <c r="BX973" i="1"/>
  <c r="BX716" i="1"/>
  <c r="BX685" i="1"/>
  <c r="BX686" i="1" s="1"/>
  <c r="BX687" i="1" s="1"/>
  <c r="BB870" i="1"/>
  <c r="BY127" i="9"/>
  <c r="BY59" i="9"/>
  <c r="BY86" i="9"/>
  <c r="BX130" i="9" l="1"/>
  <c r="BX90" i="9"/>
  <c r="BX91" i="9" s="1"/>
  <c r="BX94" i="9" s="1"/>
  <c r="BX114" i="9"/>
  <c r="BX116" i="9"/>
  <c r="BZ804" i="1"/>
  <c r="BZ330" i="1"/>
  <c r="BZ395" i="1"/>
  <c r="BX422" i="1"/>
  <c r="BX112" i="9"/>
  <c r="BX113" i="9"/>
  <c r="BX76" i="9"/>
  <c r="BX122" i="9" s="1"/>
  <c r="BX115" i="9"/>
  <c r="CA886" i="1"/>
  <c r="BZ889" i="1"/>
  <c r="BB7" i="9"/>
  <c r="BB11" i="9" s="1"/>
  <c r="BB960" i="1"/>
  <c r="BB695" i="1"/>
  <c r="BX700" i="1"/>
  <c r="BB97" i="9"/>
  <c r="BB98" i="9" s="1"/>
  <c r="BB955" i="1"/>
  <c r="CA880" i="1"/>
  <c r="BZ883" i="1"/>
  <c r="BX909" i="1"/>
  <c r="BX920" i="1" s="1"/>
  <c r="BX690" i="1"/>
  <c r="BX870" i="1"/>
  <c r="BX97" i="9" l="1"/>
  <c r="BX98" i="9" s="1"/>
  <c r="BX955" i="1"/>
  <c r="CA881" i="1"/>
  <c r="BX49" i="9"/>
  <c r="BX713" i="1"/>
  <c r="BB108" i="9"/>
  <c r="BB109" i="9" s="1"/>
  <c r="BB99" i="9"/>
  <c r="BZ333" i="1"/>
  <c r="BZ58" i="9" s="1"/>
  <c r="BZ396" i="1"/>
  <c r="BB100" i="9"/>
  <c r="BB101" i="9" s="1"/>
  <c r="BB102" i="9" s="1"/>
  <c r="BB103" i="9" s="1"/>
  <c r="BB85" i="9"/>
  <c r="BB84" i="9"/>
  <c r="BB83" i="9"/>
  <c r="BB711" i="1"/>
  <c r="BX7" i="9"/>
  <c r="BX11" i="9" s="1"/>
  <c r="BX960" i="1"/>
  <c r="BC699" i="1"/>
  <c r="BX695" i="1"/>
  <c r="CA887" i="1"/>
  <c r="BX100" i="9" l="1"/>
  <c r="BX101" i="9" s="1"/>
  <c r="BX102" i="9" s="1"/>
  <c r="BX103" i="9" s="1"/>
  <c r="BX85" i="9"/>
  <c r="BX84" i="9"/>
  <c r="BX83" i="9"/>
  <c r="BX711" i="1"/>
  <c r="BX706" i="1"/>
  <c r="BX705" i="1"/>
  <c r="BZ46" i="9"/>
  <c r="BZ334" i="1"/>
  <c r="BC701" i="1"/>
  <c r="BX80" i="9"/>
  <c r="BX119" i="9"/>
  <c r="CA897" i="1"/>
  <c r="CA193" i="1"/>
  <c r="CA913" i="1"/>
  <c r="CA194" i="1"/>
  <c r="CA393" i="1" s="1"/>
  <c r="CA331" i="1" s="1"/>
  <c r="CA915" i="1"/>
  <c r="CA894" i="1"/>
  <c r="BX120" i="9"/>
  <c r="BX121" i="9"/>
  <c r="BX124" i="9"/>
  <c r="CA895" i="1"/>
  <c r="BX108" i="9"/>
  <c r="BX109" i="9" s="1"/>
  <c r="BX99" i="9"/>
  <c r="BC702" i="1" l="1"/>
  <c r="BC399" i="1"/>
  <c r="BC704" i="1"/>
  <c r="BZ127" i="9"/>
  <c r="BZ86" i="9"/>
  <c r="BZ59" i="9"/>
  <c r="CA890" i="1"/>
  <c r="CA884" i="1"/>
  <c r="CA919" i="1"/>
  <c r="BX714" i="1"/>
  <c r="BX717" i="1"/>
  <c r="CA392" i="1"/>
  <c r="CA196" i="1"/>
  <c r="CB886" i="1" l="1"/>
  <c r="CA889" i="1"/>
  <c r="BC34" i="9"/>
  <c r="BC36" i="9" s="1"/>
  <c r="BC402" i="1"/>
  <c r="CA804" i="1"/>
  <c r="CA330" i="1"/>
  <c r="CA395" i="1"/>
  <c r="CA883" i="1"/>
  <c r="CB880" i="1"/>
  <c r="CB881" i="1" l="1"/>
  <c r="CB894" i="1" s="1"/>
  <c r="CA396" i="1"/>
  <c r="CA333" i="1"/>
  <c r="CA58" i="9" s="1"/>
  <c r="BC404" i="1"/>
  <c r="BC405" i="1"/>
  <c r="CB887" i="1"/>
  <c r="CB895" i="1" s="1"/>
  <c r="CB194" i="1" l="1"/>
  <c r="CB393" i="1" s="1"/>
  <c r="CB331" i="1" s="1"/>
  <c r="CB915" i="1"/>
  <c r="CB890" i="1" s="1"/>
  <c r="CB889" i="1" s="1"/>
  <c r="BC809" i="1"/>
  <c r="BC37" i="9"/>
  <c r="BC41" i="9" s="1"/>
  <c r="CA46" i="9"/>
  <c r="CA334" i="1"/>
  <c r="BC406" i="1"/>
  <c r="CB897" i="1"/>
  <c r="CB193" i="1"/>
  <c r="CB913" i="1"/>
  <c r="BC803" i="1" l="1"/>
  <c r="BC410" i="1"/>
  <c r="BC131" i="9" s="1"/>
  <c r="CB392" i="1"/>
  <c r="CB196" i="1"/>
  <c r="BC95" i="9"/>
  <c r="BC96" i="9" s="1"/>
  <c r="BC941" i="1"/>
  <c r="CA127" i="9"/>
  <c r="CA86" i="9"/>
  <c r="CA59" i="9"/>
  <c r="CB884" i="1"/>
  <c r="CB883" i="1" s="1"/>
  <c r="CB919" i="1"/>
  <c r="BC943" i="1" l="1"/>
  <c r="BC944" i="1" s="1"/>
  <c r="CB804" i="1"/>
  <c r="CB330" i="1"/>
  <c r="CB395" i="1"/>
  <c r="BC412" i="1"/>
  <c r="BC420" i="1"/>
  <c r="BC815" i="1"/>
  <c r="BC950" i="1"/>
  <c r="BC951" i="1" l="1"/>
  <c r="BC827" i="1"/>
  <c r="BC659" i="1"/>
  <c r="CB333" i="1"/>
  <c r="CB58" i="9" s="1"/>
  <c r="CB396" i="1"/>
  <c r="A396" i="1"/>
  <c r="BC415" i="1"/>
  <c r="BC426" i="1"/>
  <c r="BC421" i="1" s="1"/>
  <c r="BC42" i="9" s="1"/>
  <c r="BC48" i="9" l="1"/>
  <c r="BC427" i="1"/>
  <c r="BC43" i="9" s="1"/>
  <c r="A46" i="9"/>
  <c r="A997" i="1"/>
  <c r="A397" i="1"/>
  <c r="BC661" i="1"/>
  <c r="BC860" i="1"/>
  <c r="CB46" i="9"/>
  <c r="CB334" i="1"/>
  <c r="BC92" i="9"/>
  <c r="BC93" i="9" s="1"/>
  <c r="BC953" i="1"/>
  <c r="BC62" i="9"/>
  <c r="BC64" i="9" s="1"/>
  <c r="BC662" i="1"/>
  <c r="BC680" i="1"/>
  <c r="BC681" i="1" s="1"/>
  <c r="BC682" i="1" s="1"/>
  <c r="BC683" i="1" s="1"/>
  <c r="BC422" i="1" l="1"/>
  <c r="BC49" i="9" s="1"/>
  <c r="BC80" i="9" s="1"/>
  <c r="BC684" i="1"/>
  <c r="BC685" i="1" s="1"/>
  <c r="BC686" i="1" s="1"/>
  <c r="BC687" i="1" s="1"/>
  <c r="BC660" i="1"/>
  <c r="BC663" i="1"/>
  <c r="BC863" i="1"/>
  <c r="BC903" i="1"/>
  <c r="CB127" i="9"/>
  <c r="CB86" i="9"/>
  <c r="CB59" i="9"/>
  <c r="A1064" i="1"/>
  <c r="CB397" i="1" s="1"/>
  <c r="CB335" i="1" s="1"/>
  <c r="BZ397" i="1"/>
  <c r="BZ335" i="1" s="1"/>
  <c r="BY397" i="1"/>
  <c r="BY335" i="1" s="1"/>
  <c r="BC76" i="9"/>
  <c r="BC87" i="9"/>
  <c r="BC66" i="9"/>
  <c r="BC115" i="9"/>
  <c r="BC112" i="9"/>
  <c r="BC113" i="9"/>
  <c r="BC130" i="9"/>
  <c r="BC90" i="9"/>
  <c r="BC91" i="9" s="1"/>
  <c r="BC94" i="9" s="1"/>
  <c r="BC114" i="9"/>
  <c r="CA397" i="1" l="1"/>
  <c r="CA335" i="1" s="1"/>
  <c r="BA397" i="1"/>
  <c r="BA335" i="1" s="1"/>
  <c r="BD423" i="1"/>
  <c r="BD666" i="1"/>
  <c r="AZ423" i="1"/>
  <c r="BB666" i="1"/>
  <c r="BC390" i="1"/>
  <c r="BC664" i="1"/>
  <c r="AZ664" i="1"/>
  <c r="BB664" i="1"/>
  <c r="BD664" i="1"/>
  <c r="BA664" i="1"/>
  <c r="BB423" i="1"/>
  <c r="BA666" i="1"/>
  <c r="BD390" i="1"/>
  <c r="BA423" i="1"/>
  <c r="AZ666" i="1"/>
  <c r="BC423" i="1"/>
  <c r="BE664" i="1"/>
  <c r="AZ390" i="1"/>
  <c r="BA390" i="1"/>
  <c r="BC666" i="1"/>
  <c r="BB390" i="1"/>
  <c r="BE390" i="1"/>
  <c r="BE423" i="1"/>
  <c r="BE666" i="1"/>
  <c r="BF390" i="1"/>
  <c r="CA390" i="1"/>
  <c r="BZ423" i="1"/>
  <c r="CB390" i="1"/>
  <c r="CA664" i="1"/>
  <c r="BZ390" i="1"/>
  <c r="CB423" i="1"/>
  <c r="CB664" i="1"/>
  <c r="BX390" i="1"/>
  <c r="BZ664" i="1"/>
  <c r="BY666" i="1"/>
  <c r="BX664" i="1"/>
  <c r="CA666" i="1"/>
  <c r="BY390" i="1"/>
  <c r="BX666" i="1"/>
  <c r="BF423" i="1"/>
  <c r="BF666" i="1"/>
  <c r="CB666" i="1"/>
  <c r="BY423" i="1"/>
  <c r="BY664" i="1"/>
  <c r="BF664" i="1"/>
  <c r="BZ666" i="1"/>
  <c r="CA423" i="1"/>
  <c r="BX423" i="1"/>
  <c r="AZ397" i="1"/>
  <c r="AZ335" i="1" s="1"/>
  <c r="BD397" i="1"/>
  <c r="BD335" i="1" s="1"/>
  <c r="BC870" i="1"/>
  <c r="BD862" i="1"/>
  <c r="BC909" i="1"/>
  <c r="BC920" i="1" s="1"/>
  <c r="BC690" i="1"/>
  <c r="BE397" i="1"/>
  <c r="BE335" i="1" s="1"/>
  <c r="BB397" i="1"/>
  <c r="BB335" i="1" s="1"/>
  <c r="BF397" i="1"/>
  <c r="BF335" i="1" s="1"/>
  <c r="BC397" i="1"/>
  <c r="BC335" i="1" s="1"/>
  <c r="BC68" i="9"/>
  <c r="BC74" i="9" s="1"/>
  <c r="BC132" i="9" s="1"/>
  <c r="BC77" i="9"/>
  <c r="BC79" i="9" s="1"/>
  <c r="BC116" i="9"/>
  <c r="BX397" i="1"/>
  <c r="BX335" i="1" s="1"/>
  <c r="BE328" i="1" l="1"/>
  <c r="BE178" i="1" s="1"/>
  <c r="BE175" i="1"/>
  <c r="BE34" i="1"/>
  <c r="BX328" i="1"/>
  <c r="BX178" i="1" s="1"/>
  <c r="BX175" i="1"/>
  <c r="BX34" i="1"/>
  <c r="BB328" i="1"/>
  <c r="BB178" i="1" s="1"/>
  <c r="BB175" i="1"/>
  <c r="BB34" i="1"/>
  <c r="BA328" i="1"/>
  <c r="BA178" i="1" s="1"/>
  <c r="BA175" i="1"/>
  <c r="BA34" i="1"/>
  <c r="BZ175" i="1"/>
  <c r="BZ328" i="1"/>
  <c r="BZ178" i="1" s="1"/>
  <c r="BZ34" i="1"/>
  <c r="AZ328" i="1"/>
  <c r="AZ178" i="1" s="1"/>
  <c r="AZ175" i="1"/>
  <c r="AZ34" i="1"/>
  <c r="BC97" i="9"/>
  <c r="BC98" i="9" s="1"/>
  <c r="BC955" i="1"/>
  <c r="BC328" i="1"/>
  <c r="BC178" i="1" s="1"/>
  <c r="BC175" i="1"/>
  <c r="BC34" i="1"/>
  <c r="BC7" i="9"/>
  <c r="BC11" i="9" s="1"/>
  <c r="BC960" i="1"/>
  <c r="BD699" i="1"/>
  <c r="BC695" i="1"/>
  <c r="BY328" i="1"/>
  <c r="BY178" i="1" s="1"/>
  <c r="BY175" i="1"/>
  <c r="BY34" i="1"/>
  <c r="CA175" i="1"/>
  <c r="CA328" i="1"/>
  <c r="CA178" i="1" s="1"/>
  <c r="CA34" i="1"/>
  <c r="CB328" i="1"/>
  <c r="CB178" i="1" s="1"/>
  <c r="CB175" i="1"/>
  <c r="CB34" i="1"/>
  <c r="BF175" i="1"/>
  <c r="BF328" i="1"/>
  <c r="BF178" i="1" s="1"/>
  <c r="BF34" i="1"/>
  <c r="BD328" i="1"/>
  <c r="BD178" i="1" s="1"/>
  <c r="BD175" i="1"/>
  <c r="BD34" i="1"/>
  <c r="BC108" i="9" l="1"/>
  <c r="BC109" i="9" s="1"/>
  <c r="BC99" i="9"/>
  <c r="BC100" i="9"/>
  <c r="BC101" i="9" s="1"/>
  <c r="BC102" i="9" s="1"/>
  <c r="BC103" i="9" s="1"/>
  <c r="BC85" i="9"/>
  <c r="BC83" i="9"/>
  <c r="BC84" i="9"/>
  <c r="BC711" i="1"/>
  <c r="BD701" i="1"/>
  <c r="BD702" i="1" l="1"/>
  <c r="BD399" i="1"/>
  <c r="BD704" i="1"/>
  <c r="BD34" i="9" l="1"/>
  <c r="BD36" i="9" s="1"/>
  <c r="BD402" i="1"/>
  <c r="BD405" i="1" l="1"/>
  <c r="BD404" i="1"/>
  <c r="BD37" i="9" l="1"/>
  <c r="BD41" i="9" s="1"/>
  <c r="BD406" i="1"/>
  <c r="BD809" i="1"/>
  <c r="BD941" i="1" l="1"/>
  <c r="BD803" i="1"/>
  <c r="BD410" i="1"/>
  <c r="BD131" i="9" s="1"/>
  <c r="BD95" i="9"/>
  <c r="BD96" i="9" s="1"/>
  <c r="BD815" i="1" l="1"/>
  <c r="BD950" i="1"/>
  <c r="BD412" i="1"/>
  <c r="BD420" i="1"/>
  <c r="BD943" i="1"/>
  <c r="BD944" i="1" s="1"/>
  <c r="BD415" i="1" l="1"/>
  <c r="BD426" i="1"/>
  <c r="BD421" i="1" s="1"/>
  <c r="BD42" i="9" s="1"/>
  <c r="BD951" i="1"/>
  <c r="BD827" i="1"/>
  <c r="BD659" i="1"/>
  <c r="BD92" i="9" l="1"/>
  <c r="BD93" i="9" s="1"/>
  <c r="BD953" i="1"/>
  <c r="BD661" i="1"/>
  <c r="BD860" i="1"/>
  <c r="BD62" i="9"/>
  <c r="BD64" i="9" s="1"/>
  <c r="BD680" i="1"/>
  <c r="BD681" i="1" s="1"/>
  <c r="BD682" i="1" s="1"/>
  <c r="BD683" i="1" s="1"/>
  <c r="BD662" i="1"/>
  <c r="BD48" i="9"/>
  <c r="BD427" i="1"/>
  <c r="BD43" i="9" s="1"/>
  <c r="BD422" i="1" l="1"/>
  <c r="BD49" i="9" s="1"/>
  <c r="BD80" i="9" s="1"/>
  <c r="BD112" i="9"/>
  <c r="BD113" i="9"/>
  <c r="BD130" i="9"/>
  <c r="BD90" i="9"/>
  <c r="BD91" i="9" s="1"/>
  <c r="BD94" i="9" s="1"/>
  <c r="BD114" i="9"/>
  <c r="BD76" i="9"/>
  <c r="BD87" i="9"/>
  <c r="BD66" i="9"/>
  <c r="BD115" i="9"/>
  <c r="BD903" i="1"/>
  <c r="BD863" i="1"/>
  <c r="BD684" i="1"/>
  <c r="BD685" i="1" s="1"/>
  <c r="BD686" i="1" s="1"/>
  <c r="BD687" i="1" s="1"/>
  <c r="BD663" i="1"/>
  <c r="BD660" i="1"/>
  <c r="BE862" i="1" l="1"/>
  <c r="BD870" i="1"/>
  <c r="BD909" i="1"/>
  <c r="BD920" i="1" s="1"/>
  <c r="BD690" i="1"/>
  <c r="BD77" i="9"/>
  <c r="BD79" i="9" s="1"/>
  <c r="BD68" i="9"/>
  <c r="BD74" i="9" s="1"/>
  <c r="BD132" i="9" s="1"/>
  <c r="BD116" i="9"/>
  <c r="BD7" i="9" l="1"/>
  <c r="BD11" i="9" s="1"/>
  <c r="BD960" i="1"/>
  <c r="BE699" i="1"/>
  <c r="BD695" i="1"/>
  <c r="BD97" i="9"/>
  <c r="BD98" i="9" s="1"/>
  <c r="BD955" i="1"/>
  <c r="BD108" i="9" l="1"/>
  <c r="BD109" i="9" s="1"/>
  <c r="BD99" i="9"/>
  <c r="BD100" i="9"/>
  <c r="BD101" i="9" s="1"/>
  <c r="BD102" i="9" s="1"/>
  <c r="BD103" i="9" s="1"/>
  <c r="BD85" i="9"/>
  <c r="BD84" i="9"/>
  <c r="BD83" i="9"/>
  <c r="BD711" i="1"/>
  <c r="BE701" i="1"/>
  <c r="BE702" i="1" l="1"/>
  <c r="BE399" i="1"/>
  <c r="BE704" i="1"/>
  <c r="BE34" i="9" l="1"/>
  <c r="BE36" i="9" s="1"/>
  <c r="BE402" i="1"/>
  <c r="BE405" i="1" l="1"/>
  <c r="BE404" i="1"/>
  <c r="BE37" i="9" l="1"/>
  <c r="BE41" i="9" s="1"/>
  <c r="BE406" i="1"/>
  <c r="BE809" i="1"/>
  <c r="BE941" i="1" l="1"/>
  <c r="BE803" i="1"/>
  <c r="BE410" i="1"/>
  <c r="BE131" i="9"/>
  <c r="BE95" i="9"/>
  <c r="BE96" i="9" s="1"/>
  <c r="BE420" i="1" l="1"/>
  <c r="BE412" i="1"/>
  <c r="BE815" i="1"/>
  <c r="BE950" i="1"/>
  <c r="BE943" i="1"/>
  <c r="BE944" i="1" s="1"/>
  <c r="BE951" i="1" l="1"/>
  <c r="BE827" i="1"/>
  <c r="BE659" i="1"/>
  <c r="BE426" i="1"/>
  <c r="BE421" i="1" s="1"/>
  <c r="BE42" i="9" s="1"/>
  <c r="BE415" i="1"/>
  <c r="BE48" i="9" l="1"/>
  <c r="BE427" i="1"/>
  <c r="BE43" i="9" s="1"/>
  <c r="BE62" i="9"/>
  <c r="BE64" i="9" s="1"/>
  <c r="BE680" i="1"/>
  <c r="BE681" i="1" s="1"/>
  <c r="BE682" i="1" s="1"/>
  <c r="BE683" i="1" s="1"/>
  <c r="BE662" i="1"/>
  <c r="BE661" i="1"/>
  <c r="BE860" i="1"/>
  <c r="BE92" i="9"/>
  <c r="BE93" i="9" s="1"/>
  <c r="BE953" i="1"/>
  <c r="BE422" i="1" l="1"/>
  <c r="BE49" i="9" s="1"/>
  <c r="BE80" i="9" s="1"/>
  <c r="BE903" i="1"/>
  <c r="BE863" i="1"/>
  <c r="BE684" i="1"/>
  <c r="BE685" i="1" s="1"/>
  <c r="BE686" i="1" s="1"/>
  <c r="BE687" i="1" s="1"/>
  <c r="BE663" i="1"/>
  <c r="BE660" i="1"/>
  <c r="BE87" i="9"/>
  <c r="BE66" i="9"/>
  <c r="BE76" i="9"/>
  <c r="BE115" i="9"/>
  <c r="BE112" i="9"/>
  <c r="BE113" i="9"/>
  <c r="BE130" i="9"/>
  <c r="BE90" i="9"/>
  <c r="BE91" i="9" s="1"/>
  <c r="BE94" i="9" s="1"/>
  <c r="BE114" i="9"/>
  <c r="BE77" i="9" l="1"/>
  <c r="BE79" i="9" s="1"/>
  <c r="BE68" i="9"/>
  <c r="BE74" i="9" s="1"/>
  <c r="BE132" i="9" s="1"/>
  <c r="BE116" i="9"/>
  <c r="BE870" i="1"/>
  <c r="BF862" i="1"/>
  <c r="BE909" i="1"/>
  <c r="BE920" i="1" s="1"/>
  <c r="BE690" i="1"/>
  <c r="BE7" i="9" l="1"/>
  <c r="BE11" i="9" s="1"/>
  <c r="BE960" i="1"/>
  <c r="BF699" i="1"/>
  <c r="BE695" i="1"/>
  <c r="BE97" i="9"/>
  <c r="BE98" i="9" s="1"/>
  <c r="BE955" i="1"/>
  <c r="BE108" i="9" l="1"/>
  <c r="BE109" i="9" s="1"/>
  <c r="BE99" i="9"/>
  <c r="BE100" i="9"/>
  <c r="BE101" i="9" s="1"/>
  <c r="BE102" i="9" s="1"/>
  <c r="BE103" i="9" s="1"/>
  <c r="BE85" i="9"/>
  <c r="BE84" i="9"/>
  <c r="BE83" i="9"/>
  <c r="BE711" i="1"/>
  <c r="BF701" i="1"/>
  <c r="BY699" i="1"/>
  <c r="BF702" i="1" l="1"/>
  <c r="BF399" i="1"/>
  <c r="BF704" i="1"/>
  <c r="BY701" i="1"/>
  <c r="BY702" i="1" l="1"/>
  <c r="BY704" i="1"/>
  <c r="BF34" i="9"/>
  <c r="BF36" i="9" s="1"/>
  <c r="BF402" i="1"/>
  <c r="BY399" i="1"/>
  <c r="BY34" i="9" l="1"/>
  <c r="BY36" i="9" s="1"/>
  <c r="BY402" i="1"/>
  <c r="BF404" i="1"/>
  <c r="BF405" i="1"/>
  <c r="BF406" i="1" l="1"/>
  <c r="BF803" i="1" s="1"/>
  <c r="BF809" i="1"/>
  <c r="BY405" i="1"/>
  <c r="BY418" i="1" s="1"/>
  <c r="BF37" i="9"/>
  <c r="BF41" i="9" s="1"/>
  <c r="BY404" i="1"/>
  <c r="BY406" i="1" l="1"/>
  <c r="BY972" i="1" s="1"/>
  <c r="BF410" i="1"/>
  <c r="BF131" i="9" s="1"/>
  <c r="BF95" i="9"/>
  <c r="BF96" i="9" s="1"/>
  <c r="BY809" i="1"/>
  <c r="BF941" i="1"/>
  <c r="BY37" i="9"/>
  <c r="BY41" i="9" s="1"/>
  <c r="BY417" i="1"/>
  <c r="BF815" i="1"/>
  <c r="BY803" i="1"/>
  <c r="BF950" i="1"/>
  <c r="BF420" i="1" l="1"/>
  <c r="BF412" i="1"/>
  <c r="BF426" i="1" s="1"/>
  <c r="BF421" i="1" s="1"/>
  <c r="BF42" i="9" s="1"/>
  <c r="BY410" i="1"/>
  <c r="BY412" i="1" s="1"/>
  <c r="BY815" i="1"/>
  <c r="BY827" i="1" s="1"/>
  <c r="BF827" i="1"/>
  <c r="BF659" i="1"/>
  <c r="BY974" i="1"/>
  <c r="BY131" i="9"/>
  <c r="BY95" i="9"/>
  <c r="BY96" i="9" s="1"/>
  <c r="BY941" i="1"/>
  <c r="BF943" i="1"/>
  <c r="BF944" i="1" s="1"/>
  <c r="BY950" i="1"/>
  <c r="BF951" i="1"/>
  <c r="BY659" i="1" l="1"/>
  <c r="BY62" i="9" s="1"/>
  <c r="BY64" i="9" s="1"/>
  <c r="BF415" i="1"/>
  <c r="BF427" i="1" s="1"/>
  <c r="BF43" i="9" s="1"/>
  <c r="BY420" i="1"/>
  <c r="BY661" i="1"/>
  <c r="BY860" i="1"/>
  <c r="BY863" i="1" s="1"/>
  <c r="BY943" i="1"/>
  <c r="BY944" i="1" s="1"/>
  <c r="BF92" i="9"/>
  <c r="BF93" i="9" s="1"/>
  <c r="BF953" i="1"/>
  <c r="BF62" i="9"/>
  <c r="BF64" i="9" s="1"/>
  <c r="BF680" i="1"/>
  <c r="BF681" i="1" s="1"/>
  <c r="BF682" i="1" s="1"/>
  <c r="BF683" i="1" s="1"/>
  <c r="BF662" i="1"/>
  <c r="BY951" i="1"/>
  <c r="BY426" i="1"/>
  <c r="BY415" i="1"/>
  <c r="BF661" i="1"/>
  <c r="BF860" i="1"/>
  <c r="BY975" i="1"/>
  <c r="BY680" i="1" l="1"/>
  <c r="BY681" i="1" s="1"/>
  <c r="BY682" i="1" s="1"/>
  <c r="BY683" i="1" s="1"/>
  <c r="BY662" i="1"/>
  <c r="BF48" i="9"/>
  <c r="BF130" i="9" s="1"/>
  <c r="BF422" i="1"/>
  <c r="BF49" i="9" s="1"/>
  <c r="BF80" i="9" s="1"/>
  <c r="BF903" i="1"/>
  <c r="BF863" i="1"/>
  <c r="BY48" i="9"/>
  <c r="BY427" i="1"/>
  <c r="BY43" i="9" s="1"/>
  <c r="BY76" i="9" s="1"/>
  <c r="BY122" i="9" s="1"/>
  <c r="BF112" i="9"/>
  <c r="BF113" i="9"/>
  <c r="BY421" i="1"/>
  <c r="BY42" i="9" s="1"/>
  <c r="BY92" i="9"/>
  <c r="BY93" i="9" s="1"/>
  <c r="BY953" i="1"/>
  <c r="BF663" i="1"/>
  <c r="BF684" i="1"/>
  <c r="BF685" i="1" s="1"/>
  <c r="BF686" i="1" s="1"/>
  <c r="BF687" i="1" s="1"/>
  <c r="BF660" i="1"/>
  <c r="BZ862" i="1"/>
  <c r="BY684" i="1"/>
  <c r="BY663" i="1"/>
  <c r="BY715" i="1" s="1"/>
  <c r="BY660" i="1"/>
  <c r="BF87" i="9"/>
  <c r="BF66" i="9"/>
  <c r="BF76" i="9"/>
  <c r="BF115" i="9"/>
  <c r="BY973" i="1"/>
  <c r="BY87" i="9"/>
  <c r="BY66" i="9"/>
  <c r="BF114" i="9" l="1"/>
  <c r="BF90" i="9"/>
  <c r="BF91" i="9" s="1"/>
  <c r="BF94" i="9" s="1"/>
  <c r="BF870" i="1"/>
  <c r="BY112" i="9"/>
  <c r="BY113" i="9"/>
  <c r="BY115" i="9"/>
  <c r="BY716" i="1"/>
  <c r="BY685" i="1"/>
  <c r="BY686" i="1" s="1"/>
  <c r="BY687" i="1" s="1"/>
  <c r="BY422" i="1"/>
  <c r="BY130" i="9"/>
  <c r="BY90" i="9"/>
  <c r="BY91" i="9" s="1"/>
  <c r="BY94" i="9" s="1"/>
  <c r="BY114" i="9"/>
  <c r="BF909" i="1"/>
  <c r="BF920" i="1" s="1"/>
  <c r="BY903" i="1"/>
  <c r="BF690" i="1"/>
  <c r="BY123" i="9"/>
  <c r="BY77" i="9"/>
  <c r="BY79" i="9" s="1"/>
  <c r="BY68" i="9"/>
  <c r="BY74" i="9" s="1"/>
  <c r="BY132" i="9" s="1"/>
  <c r="BY116" i="9"/>
  <c r="BF77" i="9"/>
  <c r="BF79" i="9" s="1"/>
  <c r="BF68" i="9"/>
  <c r="BF74" i="9" s="1"/>
  <c r="BF132" i="9" s="1"/>
  <c r="BF116" i="9"/>
  <c r="BY49" i="9" l="1"/>
  <c r="BY713" i="1"/>
  <c r="BF7" i="9"/>
  <c r="BF11" i="9" s="1"/>
  <c r="BF960" i="1"/>
  <c r="BF695" i="1"/>
  <c r="BY700" i="1"/>
  <c r="BY690" i="1"/>
  <c r="BY909" i="1"/>
  <c r="BY920" i="1" s="1"/>
  <c r="BY870" i="1"/>
  <c r="BF97" i="9"/>
  <c r="BF98" i="9" s="1"/>
  <c r="BF955" i="1"/>
  <c r="BY97" i="9" l="1"/>
  <c r="BY98" i="9" s="1"/>
  <c r="BY955" i="1"/>
  <c r="BF84" i="9"/>
  <c r="BF83" i="9"/>
  <c r="BF85" i="9"/>
  <c r="BF100" i="9"/>
  <c r="BF101" i="9" s="1"/>
  <c r="BF102" i="9" s="1"/>
  <c r="BF103" i="9" s="1"/>
  <c r="BF711" i="1"/>
  <c r="BF108" i="9"/>
  <c r="BF109" i="9" s="1"/>
  <c r="BF99" i="9"/>
  <c r="BY7" i="9"/>
  <c r="BY11" i="9" s="1"/>
  <c r="BY960" i="1"/>
  <c r="BZ699" i="1"/>
  <c r="BZ701" i="1" s="1"/>
  <c r="BY695" i="1"/>
  <c r="BY80" i="9"/>
  <c r="BY119" i="9"/>
  <c r="BZ702" i="1" l="1"/>
  <c r="BZ399" i="1"/>
  <c r="BZ704" i="1"/>
  <c r="BY120" i="9"/>
  <c r="BY121" i="9"/>
  <c r="BY124" i="9"/>
  <c r="BY100" i="9"/>
  <c r="BY101" i="9" s="1"/>
  <c r="BY102" i="9" s="1"/>
  <c r="BY103" i="9" s="1"/>
  <c r="BY85" i="9"/>
  <c r="BY84" i="9"/>
  <c r="BY83" i="9"/>
  <c r="BY705" i="1"/>
  <c r="BY711" i="1"/>
  <c r="BY706" i="1"/>
  <c r="BY108" i="9"/>
  <c r="BY109" i="9" s="1"/>
  <c r="BY99" i="9"/>
  <c r="BY714" i="1" l="1"/>
  <c r="BY717" i="1"/>
  <c r="BZ34" i="9"/>
  <c r="BZ36" i="9" s="1"/>
  <c r="BZ402" i="1"/>
  <c r="BZ405" i="1" l="1"/>
  <c r="BZ809" i="1" s="1"/>
  <c r="BZ941" i="1" s="1"/>
  <c r="BZ404" i="1"/>
  <c r="BZ37" i="9" l="1"/>
  <c r="BZ41" i="9" s="1"/>
  <c r="BZ95" i="9" s="1"/>
  <c r="BZ96" i="9" s="1"/>
  <c r="BZ406" i="1"/>
  <c r="BZ803" i="1" s="1"/>
  <c r="BZ943" i="1"/>
  <c r="BZ944" i="1" s="1"/>
  <c r="BZ410" i="1" l="1"/>
  <c r="BZ412" i="1" s="1"/>
  <c r="BZ815" i="1"/>
  <c r="BZ950" i="1"/>
  <c r="BZ131" i="9" l="1"/>
  <c r="BZ420" i="1"/>
  <c r="BZ659" i="1"/>
  <c r="BZ827" i="1"/>
  <c r="BZ951" i="1"/>
  <c r="BZ426" i="1"/>
  <c r="BZ421" i="1" s="1"/>
  <c r="BZ42" i="9" s="1"/>
  <c r="BZ415" i="1"/>
  <c r="BZ48" i="9" l="1"/>
  <c r="BZ427" i="1"/>
  <c r="BZ43" i="9" s="1"/>
  <c r="BZ92" i="9"/>
  <c r="BZ93" i="9" s="1"/>
  <c r="BZ953" i="1"/>
  <c r="BZ661" i="1"/>
  <c r="BZ860" i="1"/>
  <c r="BZ62" i="9"/>
  <c r="BZ64" i="9" s="1"/>
  <c r="BZ680" i="1"/>
  <c r="BZ681" i="1" s="1"/>
  <c r="BZ682" i="1" s="1"/>
  <c r="BZ683" i="1" s="1"/>
  <c r="BZ662" i="1"/>
  <c r="BZ87" i="9" l="1"/>
  <c r="BZ76" i="9"/>
  <c r="BZ122" i="9" s="1"/>
  <c r="BZ66" i="9"/>
  <c r="BZ115" i="9"/>
  <c r="BZ863" i="1"/>
  <c r="BZ903" i="1"/>
  <c r="BZ684" i="1"/>
  <c r="BZ660" i="1"/>
  <c r="BZ663" i="1"/>
  <c r="BZ715" i="1" s="1"/>
  <c r="BZ112" i="9"/>
  <c r="BZ113" i="9"/>
  <c r="BZ422" i="1"/>
  <c r="BZ130" i="9"/>
  <c r="BZ90" i="9"/>
  <c r="BZ91" i="9" s="1"/>
  <c r="BZ94" i="9" s="1"/>
  <c r="BZ114" i="9"/>
  <c r="BZ716" i="1" l="1"/>
  <c r="BZ685" i="1"/>
  <c r="BZ686" i="1" s="1"/>
  <c r="BZ687" i="1" s="1"/>
  <c r="BZ909" i="1"/>
  <c r="BZ920" i="1" s="1"/>
  <c r="BZ690" i="1"/>
  <c r="BZ870" i="1"/>
  <c r="CA862" i="1"/>
  <c r="BZ123" i="9"/>
  <c r="BZ68" i="9"/>
  <c r="BZ74" i="9" s="1"/>
  <c r="BZ132" i="9" s="1"/>
  <c r="BZ77" i="9"/>
  <c r="BZ79" i="9" s="1"/>
  <c r="BZ116" i="9"/>
  <c r="BZ49" i="9"/>
  <c r="BZ713" i="1"/>
  <c r="BZ7" i="9" l="1"/>
  <c r="BZ11" i="9" s="1"/>
  <c r="BZ960" i="1"/>
  <c r="CA699" i="1"/>
  <c r="CA701" i="1" s="1"/>
  <c r="BZ695" i="1"/>
  <c r="BZ97" i="9"/>
  <c r="BZ98" i="9" s="1"/>
  <c r="BZ955" i="1"/>
  <c r="BZ80" i="9"/>
  <c r="BZ119" i="9"/>
  <c r="BZ108" i="9" l="1"/>
  <c r="BZ109" i="9" s="1"/>
  <c r="BZ99" i="9"/>
  <c r="BZ100" i="9"/>
  <c r="BZ101" i="9" s="1"/>
  <c r="BZ102" i="9" s="1"/>
  <c r="BZ103" i="9" s="1"/>
  <c r="BZ85" i="9"/>
  <c r="BZ84" i="9"/>
  <c r="BZ83" i="9"/>
  <c r="BZ706" i="1"/>
  <c r="BZ705" i="1"/>
  <c r="BZ711" i="1"/>
  <c r="CA702" i="1"/>
  <c r="CA399" i="1"/>
  <c r="CA704" i="1"/>
  <c r="BZ120" i="9"/>
  <c r="BZ121" i="9"/>
  <c r="BZ124" i="9"/>
  <c r="BZ714" i="1" l="1"/>
  <c r="BZ717" i="1"/>
  <c r="CA34" i="9"/>
  <c r="CA36" i="9" s="1"/>
  <c r="CA402" i="1"/>
  <c r="CA405" i="1" l="1"/>
  <c r="CA809" i="1" s="1"/>
  <c r="CA941" i="1" s="1"/>
  <c r="CA404" i="1"/>
  <c r="CA37" i="9" l="1"/>
  <c r="CA41" i="9" s="1"/>
  <c r="CA95" i="9" s="1"/>
  <c r="CA96" i="9" s="1"/>
  <c r="CA406" i="1"/>
  <c r="CA803" i="1" s="1"/>
  <c r="CA943" i="1"/>
  <c r="CA944" i="1" s="1"/>
  <c r="CA410" i="1" l="1"/>
  <c r="CA420" i="1" s="1"/>
  <c r="CA815" i="1"/>
  <c r="CA950" i="1"/>
  <c r="CA131" i="9" l="1"/>
  <c r="CA412" i="1"/>
  <c r="CA415" i="1" s="1"/>
  <c r="CA827" i="1"/>
  <c r="CA659" i="1"/>
  <c r="CA951" i="1"/>
  <c r="CA426" i="1" l="1"/>
  <c r="CA421" i="1" s="1"/>
  <c r="CA42" i="9" s="1"/>
  <c r="CA48" i="9"/>
  <c r="CA427" i="1"/>
  <c r="CA43" i="9" s="1"/>
  <c r="CA62" i="9"/>
  <c r="CA64" i="9" s="1"/>
  <c r="CA680" i="1"/>
  <c r="CA681" i="1" s="1"/>
  <c r="CA682" i="1" s="1"/>
  <c r="CA683" i="1" s="1"/>
  <c r="CA92" i="9"/>
  <c r="CA93" i="9" s="1"/>
  <c r="CA953" i="1"/>
  <c r="CA661" i="1"/>
  <c r="CA860" i="1"/>
  <c r="CA662" i="1" l="1"/>
  <c r="CA684" i="1"/>
  <c r="CA660" i="1"/>
  <c r="CA663" i="1"/>
  <c r="CA715" i="1" s="1"/>
  <c r="CA87" i="9"/>
  <c r="CA76" i="9"/>
  <c r="CA122" i="9" s="1"/>
  <c r="CA66" i="9"/>
  <c r="CA115" i="9"/>
  <c r="CA112" i="9"/>
  <c r="CA113" i="9"/>
  <c r="CA903" i="1"/>
  <c r="CA863" i="1"/>
  <c r="CA422" i="1"/>
  <c r="CA130" i="9"/>
  <c r="CA90" i="9"/>
  <c r="CA91" i="9" s="1"/>
  <c r="CA94" i="9" s="1"/>
  <c r="CA114" i="9"/>
  <c r="CA123" i="9" l="1"/>
  <c r="CA77" i="9"/>
  <c r="CA79" i="9" s="1"/>
  <c r="CA68" i="9"/>
  <c r="CA74" i="9" s="1"/>
  <c r="CA132" i="9" s="1"/>
  <c r="CA116" i="9"/>
  <c r="CA909" i="1"/>
  <c r="CA920" i="1" s="1"/>
  <c r="CA690" i="1"/>
  <c r="CA49" i="9"/>
  <c r="CA713" i="1"/>
  <c r="CB862" i="1"/>
  <c r="CA870" i="1"/>
  <c r="CA685" i="1"/>
  <c r="CA686" i="1" s="1"/>
  <c r="CA687" i="1" s="1"/>
  <c r="CA716" i="1"/>
  <c r="CA80" i="9" l="1"/>
  <c r="CA119" i="9"/>
  <c r="CA7" i="9"/>
  <c r="CA11" i="9" s="1"/>
  <c r="CA960" i="1"/>
  <c r="CB699" i="1"/>
  <c r="CB701" i="1" s="1"/>
  <c r="CA695" i="1"/>
  <c r="CA97" i="9"/>
  <c r="CA98" i="9" s="1"/>
  <c r="CA955" i="1"/>
  <c r="CA100" i="9" l="1"/>
  <c r="CA101" i="9" s="1"/>
  <c r="CA102" i="9" s="1"/>
  <c r="CA103" i="9" s="1"/>
  <c r="CA84" i="9"/>
  <c r="CA83" i="9"/>
  <c r="CA85" i="9"/>
  <c r="CA705" i="1"/>
  <c r="CA711" i="1"/>
  <c r="CA706" i="1"/>
  <c r="CB702" i="1"/>
  <c r="CB399" i="1"/>
  <c r="CB704" i="1"/>
  <c r="CA120" i="9"/>
  <c r="CA121" i="9"/>
  <c r="CA124" i="9"/>
  <c r="CA108" i="9"/>
  <c r="CA109" i="9" s="1"/>
  <c r="CA99" i="9"/>
  <c r="CB34" i="9" l="1"/>
  <c r="CB36" i="9" s="1"/>
  <c r="CB402" i="1"/>
  <c r="CA714" i="1"/>
  <c r="CA717" i="1"/>
  <c r="CB404" i="1" l="1"/>
  <c r="CB405" i="1"/>
  <c r="CB809" i="1" s="1"/>
  <c r="CB941" i="1" s="1"/>
  <c r="CB943" i="1" s="1"/>
  <c r="CB944" i="1" s="1"/>
  <c r="CB406" i="1" l="1"/>
  <c r="CB37" i="9"/>
  <c r="CB41" i="9" s="1"/>
  <c r="CB95" i="9" l="1"/>
  <c r="CB96" i="9" s="1"/>
  <c r="CB803" i="1"/>
  <c r="CB410" i="1"/>
  <c r="CB131" i="9" s="1"/>
  <c r="CB412" i="1" l="1"/>
  <c r="CB420" i="1"/>
  <c r="CB815" i="1"/>
  <c r="CB950" i="1"/>
  <c r="CB951" i="1" s="1"/>
  <c r="CB92" i="9" l="1"/>
  <c r="CB93" i="9" s="1"/>
  <c r="CB953" i="1"/>
  <c r="CB827" i="1"/>
  <c r="CB659" i="1"/>
  <c r="CB415" i="1"/>
  <c r="CB426" i="1"/>
  <c r="CB421" i="1" s="1"/>
  <c r="CB42" i="9" s="1"/>
  <c r="CB48" i="9" l="1"/>
  <c r="CB427" i="1"/>
  <c r="CB43" i="9" s="1"/>
  <c r="CB62" i="9"/>
  <c r="CB64" i="9" s="1"/>
  <c r="CB680" i="1"/>
  <c r="CB681" i="1" s="1"/>
  <c r="CB682" i="1" s="1"/>
  <c r="CB683" i="1" s="1"/>
  <c r="CB662" i="1"/>
  <c r="CB661" i="1"/>
  <c r="CB860" i="1"/>
  <c r="CB684" i="1" l="1"/>
  <c r="CB660" i="1"/>
  <c r="CB663" i="1"/>
  <c r="CB715" i="1" s="1"/>
  <c r="CB903" i="1"/>
  <c r="CB863" i="1"/>
  <c r="CB87" i="9"/>
  <c r="CB76" i="9"/>
  <c r="CB122" i="9" s="1"/>
  <c r="CB66" i="9"/>
  <c r="CB115" i="9"/>
  <c r="CB112" i="9"/>
  <c r="CB113" i="9"/>
  <c r="CB422" i="1"/>
  <c r="CB130" i="9"/>
  <c r="CB90" i="9"/>
  <c r="CB91" i="9" s="1"/>
  <c r="CB94" i="9" s="1"/>
  <c r="CB114" i="9"/>
  <c r="CB870" i="1" l="1"/>
  <c r="CB49" i="9"/>
  <c r="CB713" i="1"/>
  <c r="CB123" i="9"/>
  <c r="CB77" i="9"/>
  <c r="CB79" i="9" s="1"/>
  <c r="CB68" i="9"/>
  <c r="CB74" i="9" s="1"/>
  <c r="CB132" i="9" s="1"/>
  <c r="CB116" i="9"/>
  <c r="CB909" i="1"/>
  <c r="CB920" i="1" s="1"/>
  <c r="CB690" i="1"/>
  <c r="CB685" i="1"/>
  <c r="CB686" i="1" s="1"/>
  <c r="CB687" i="1" s="1"/>
  <c r="CB716" i="1"/>
  <c r="CB97" i="9" l="1"/>
  <c r="CB98" i="9" s="1"/>
  <c r="CB955" i="1"/>
  <c r="CB7" i="9"/>
  <c r="CB11" i="9" s="1"/>
  <c r="CB960" i="1"/>
  <c r="CB695" i="1"/>
  <c r="CB80" i="9"/>
  <c r="CB119" i="9"/>
  <c r="CB100" i="9" l="1"/>
  <c r="CB101" i="9" s="1"/>
  <c r="CB102" i="9" s="1"/>
  <c r="CB103" i="9" s="1"/>
  <c r="CB85" i="9"/>
  <c r="CB83" i="9"/>
  <c r="CB84" i="9"/>
  <c r="CB711" i="1"/>
  <c r="CB706" i="1"/>
  <c r="CB705" i="1"/>
  <c r="CB120" i="9"/>
  <c r="CB121" i="9"/>
  <c r="CB124" i="9"/>
  <c r="CB108" i="9"/>
  <c r="CB109" i="9" s="1"/>
  <c r="CB99" i="9"/>
  <c r="CB714" i="1" l="1"/>
  <c r="CB717" i="1"/>
  <c r="K86" i="13" l="1"/>
  <c r="K87" i="13" s="1"/>
  <c r="L86" i="13"/>
  <c r="L87" i="13" s="1"/>
  <c r="M86" i="13"/>
  <c r="M87" i="13" s="1"/>
  <c r="N86" i="13"/>
  <c r="N87" i="13" s="1"/>
  <c r="O86" i="13"/>
  <c r="O87" i="13" s="1"/>
  <c r="P86" i="13"/>
  <c r="P87" i="13" s="1"/>
  <c r="K88" i="13"/>
  <c r="L88" i="13"/>
  <c r="M88" i="13"/>
  <c r="N88" i="13"/>
  <c r="O88" i="13"/>
  <c r="P88" i="13"/>
  <c r="K215" i="13"/>
  <c r="L215" i="13"/>
  <c r="M215" i="13"/>
  <c r="N215" i="13"/>
  <c r="N216" i="13" s="1"/>
  <c r="O215" i="13"/>
  <c r="O90" i="13" s="1"/>
  <c r="P215" i="13"/>
  <c r="P216" i="13" s="1"/>
  <c r="Q215" i="13"/>
  <c r="Q90" i="13" s="1"/>
  <c r="Q100" i="13" s="1"/>
  <c r="Q104" i="13" s="1"/>
  <c r="R215" i="13"/>
  <c r="S215" i="13"/>
  <c r="S90" i="13" s="1"/>
  <c r="S100" i="13" s="1"/>
  <c r="S104" i="13" s="1"/>
  <c r="T215" i="13"/>
  <c r="AA215" i="13" s="1"/>
  <c r="K216" i="13"/>
  <c r="L216" i="13"/>
  <c r="K218" i="13"/>
  <c r="L218" i="13"/>
  <c r="M218" i="13"/>
  <c r="N218" i="13"/>
  <c r="O218" i="13"/>
  <c r="Z218" i="13" s="1"/>
  <c r="P218" i="13"/>
  <c r="Q218" i="13"/>
  <c r="R218" i="13"/>
  <c r="S218" i="13"/>
  <c r="T218" i="13"/>
  <c r="AA218" i="13" s="1"/>
  <c r="Y218" i="13"/>
  <c r="H56" i="22"/>
  <c r="H57" i="22" s="1"/>
  <c r="K56" i="22"/>
  <c r="K57" i="22" s="1"/>
  <c r="N56" i="22"/>
  <c r="N58" i="22" s="1"/>
  <c r="K58" i="22"/>
  <c r="H59" i="22"/>
  <c r="K59" i="22"/>
  <c r="H68" i="22"/>
  <c r="H81" i="22" s="1"/>
  <c r="K68" i="22"/>
  <c r="K78" i="22" s="1"/>
  <c r="H70" i="22"/>
  <c r="H72" i="22"/>
  <c r="H79" i="22"/>
  <c r="M90" i="13" l="1"/>
  <c r="R90" i="13"/>
  <c r="R100" i="13" s="1"/>
  <c r="R104" i="13" s="1"/>
  <c r="L90" i="13"/>
  <c r="T216" i="13"/>
  <c r="P90" i="13"/>
  <c r="P123" i="13" s="1"/>
  <c r="P124" i="13" s="1"/>
  <c r="O216" i="13"/>
  <c r="R216" i="13"/>
  <c r="Q216" i="13"/>
  <c r="M216" i="13"/>
  <c r="S216" i="13"/>
  <c r="K90" i="13"/>
  <c r="K123" i="13" s="1"/>
  <c r="K124" i="13" s="1"/>
  <c r="K80" i="22"/>
  <c r="Z215" i="13"/>
  <c r="H80" i="22"/>
  <c r="Y215" i="13"/>
  <c r="O100" i="13"/>
  <c r="O123" i="13"/>
  <c r="O124" i="13" s="1"/>
  <c r="Z90" i="13"/>
  <c r="L123" i="13"/>
  <c r="L124" i="13" s="1"/>
  <c r="L100" i="13"/>
  <c r="M123" i="13"/>
  <c r="M124" i="13" s="1"/>
  <c r="Y90" i="13"/>
  <c r="M100" i="13"/>
  <c r="E193" i="13"/>
  <c r="E195" i="13" s="1"/>
  <c r="K81" i="22"/>
  <c r="N57" i="22"/>
  <c r="N90" i="13"/>
  <c r="N70" i="22"/>
  <c r="N72" i="22" s="1"/>
  <c r="N59" i="22"/>
  <c r="K70" i="22"/>
  <c r="K72" i="22" s="1"/>
  <c r="T90" i="13"/>
  <c r="H82" i="22"/>
  <c r="K79" i="22"/>
  <c r="H78" i="22"/>
  <c r="N68" i="22"/>
  <c r="K82" i="22"/>
  <c r="K100" i="13" l="1"/>
  <c r="P100" i="13"/>
  <c r="L126" i="13"/>
  <c r="L127" i="13" s="1"/>
  <c r="L101" i="13"/>
  <c r="L104" i="13"/>
  <c r="T100" i="13"/>
  <c r="AA90" i="13"/>
  <c r="N100" i="13"/>
  <c r="N123" i="13"/>
  <c r="N124" i="13" s="1"/>
  <c r="K101" i="13"/>
  <c r="K104" i="13"/>
  <c r="K126" i="13"/>
  <c r="K127" i="13" s="1"/>
  <c r="M101" i="13"/>
  <c r="M126" i="13"/>
  <c r="M127" i="13" s="1"/>
  <c r="M104" i="13"/>
  <c r="Y100" i="13"/>
  <c r="Z100" i="13"/>
  <c r="O104" i="13"/>
  <c r="O101" i="13"/>
  <c r="O126" i="13"/>
  <c r="O127" i="13" s="1"/>
  <c r="N79" i="22"/>
  <c r="N78" i="22"/>
  <c r="N81" i="22"/>
  <c r="N80" i="22"/>
  <c r="N82" i="22"/>
  <c r="P104" i="13"/>
  <c r="P126" i="13"/>
  <c r="P127" i="13" s="1"/>
  <c r="P101" i="13"/>
  <c r="Z104" i="13" l="1"/>
  <c r="O105" i="13"/>
  <c r="O129" i="13"/>
  <c r="O130" i="13" s="1"/>
  <c r="O136" i="13"/>
  <c r="L129" i="13"/>
  <c r="L130" i="13" s="1"/>
  <c r="L136" i="13"/>
  <c r="L105" i="13"/>
  <c r="K105" i="13"/>
  <c r="E197" i="13"/>
  <c r="E198" i="13" s="1"/>
  <c r="E200" i="13" s="1"/>
  <c r="F211" i="13" s="1"/>
  <c r="K129" i="13"/>
  <c r="K130" i="13" s="1"/>
  <c r="K136" i="13"/>
  <c r="N126" i="13"/>
  <c r="N127" i="13" s="1"/>
  <c r="N104" i="13"/>
  <c r="N101" i="13"/>
  <c r="T104" i="13"/>
  <c r="AA104" i="13" s="1"/>
  <c r="AA100" i="13"/>
  <c r="P136" i="13"/>
  <c r="P105" i="13"/>
  <c r="P129" i="13"/>
  <c r="P130" i="13" s="1"/>
  <c r="M129" i="13"/>
  <c r="M130" i="13" s="1"/>
  <c r="M136" i="13"/>
  <c r="M105" i="13"/>
  <c r="Y104" i="13"/>
  <c r="E203" i="13" l="1"/>
  <c r="E202" i="13"/>
  <c r="N136" i="13"/>
  <c r="E139" i="13" s="1"/>
  <c r="N129" i="13"/>
  <c r="N130" i="13" s="1"/>
  <c r="N105" i="13"/>
  <c r="E140" i="13" l="1"/>
  <c r="E141" i="13" s="1"/>
  <c r="F193" i="13" l="1"/>
  <c r="G193" i="13"/>
  <c r="F195" i="13"/>
  <c r="G195" i="13"/>
  <c r="F197" i="13"/>
  <c r="G197" i="13"/>
  <c r="F198" i="13"/>
  <c r="G198" i="13"/>
  <c r="F200" i="13"/>
  <c r="G200" i="13"/>
  <c r="F202" i="13"/>
  <c r="G202" i="13"/>
  <c r="F203" i="13"/>
  <c r="G203" i="13"/>
  <c r="G211" i="13"/>
  <c r="H211" i="13"/>
  <c r="I17" i="22"/>
  <c r="J17" i="22"/>
  <c r="L17" i="22"/>
  <c r="M17" i="22"/>
  <c r="O17" i="22"/>
  <c r="P17" i="22"/>
  <c r="I18" i="22"/>
  <c r="J18" i="22"/>
  <c r="L18" i="22"/>
  <c r="M18" i="22"/>
  <c r="O18" i="22"/>
  <c r="P18" i="22"/>
  <c r="L19" i="22"/>
  <c r="M19" i="22"/>
  <c r="O19" i="22"/>
  <c r="P19" i="22"/>
  <c r="I20" i="22"/>
  <c r="J20" i="22"/>
  <c r="L20" i="22"/>
  <c r="M20" i="22"/>
  <c r="O20" i="22"/>
  <c r="P20" i="22"/>
  <c r="I21" i="22"/>
  <c r="J21" i="22"/>
  <c r="L21" i="22"/>
  <c r="M21" i="22"/>
  <c r="O21" i="22"/>
  <c r="P21" i="22"/>
  <c r="L22" i="22"/>
  <c r="M22" i="22"/>
  <c r="O22" i="22"/>
  <c r="P22" i="22"/>
  <c r="I23" i="22"/>
  <c r="J23" i="22"/>
  <c r="L23" i="22"/>
  <c r="M23" i="22"/>
  <c r="O23" i="22"/>
  <c r="P23" i="22"/>
  <c r="I24" i="22"/>
  <c r="J24" i="22"/>
  <c r="L24" i="22"/>
  <c r="M24" i="22"/>
  <c r="O24" i="22"/>
  <c r="P24" i="22"/>
  <c r="L25" i="22"/>
  <c r="M25" i="22"/>
  <c r="O25" i="22"/>
  <c r="P25" i="22"/>
  <c r="I28" i="22"/>
  <c r="J28" i="22"/>
  <c r="L28" i="22"/>
  <c r="M28" i="22"/>
  <c r="O28" i="22"/>
  <c r="P28" i="22"/>
  <c r="I29" i="22"/>
  <c r="J29" i="22"/>
  <c r="L29" i="22"/>
  <c r="M29" i="22"/>
  <c r="O29" i="22"/>
  <c r="P29" i="22"/>
  <c r="I31" i="22"/>
  <c r="J31" i="22"/>
  <c r="L31" i="22"/>
  <c r="M31" i="22"/>
  <c r="O31" i="22"/>
  <c r="P31" i="22"/>
  <c r="I35" i="22"/>
  <c r="J35" i="22"/>
  <c r="L35" i="22"/>
  <c r="M35" i="22"/>
  <c r="O35" i="22"/>
  <c r="P35" i="22"/>
  <c r="I36" i="22"/>
  <c r="J36" i="22"/>
  <c r="L36" i="22"/>
  <c r="M36" i="22"/>
  <c r="O36" i="22"/>
  <c r="P36" i="22"/>
  <c r="L37" i="22"/>
  <c r="M37" i="22"/>
  <c r="O37" i="22"/>
  <c r="P37" i="22"/>
  <c r="I38" i="22"/>
  <c r="J38" i="22"/>
  <c r="L38" i="22"/>
  <c r="M38" i="22"/>
  <c r="O38" i="22"/>
  <c r="P38" i="22"/>
  <c r="I39" i="22"/>
  <c r="J39" i="22"/>
  <c r="L39" i="22"/>
  <c r="M39" i="22"/>
  <c r="O39" i="22"/>
  <c r="P39" i="22"/>
  <c r="I40" i="22"/>
  <c r="J40" i="22"/>
  <c r="L40" i="22"/>
  <c r="M40" i="22"/>
  <c r="O40" i="22"/>
  <c r="P40" i="22"/>
  <c r="I41" i="22"/>
  <c r="J41" i="22"/>
  <c r="L41" i="22"/>
  <c r="M41" i="22"/>
  <c r="O41" i="22"/>
  <c r="P41" i="22"/>
  <c r="I42" i="22"/>
  <c r="J42" i="22"/>
  <c r="L42" i="22"/>
  <c r="M42" i="22"/>
  <c r="O42" i="22"/>
  <c r="P42" i="22"/>
  <c r="I43" i="22"/>
  <c r="J43" i="22"/>
  <c r="L43" i="22"/>
  <c r="M43" i="22"/>
  <c r="O43" i="22"/>
  <c r="P43" i="22"/>
  <c r="I44" i="22"/>
  <c r="J44" i="22"/>
  <c r="L44" i="22"/>
  <c r="M44" i="22"/>
  <c r="O44" i="22"/>
  <c r="P44" i="22"/>
  <c r="I45" i="22"/>
  <c r="J45" i="22"/>
  <c r="L45" i="22"/>
  <c r="M45" i="22"/>
  <c r="O45" i="22"/>
  <c r="P45" i="22"/>
  <c r="I46" i="22"/>
  <c r="J46" i="22"/>
  <c r="L46" i="22"/>
  <c r="M46" i="22"/>
  <c r="O46" i="22"/>
  <c r="P46" i="22"/>
  <c r="I47" i="22"/>
  <c r="J47" i="22"/>
  <c r="L47" i="22"/>
  <c r="M47" i="22"/>
  <c r="O47" i="22"/>
  <c r="P47" i="22"/>
  <c r="I48" i="22"/>
  <c r="J48" i="22"/>
  <c r="L48" i="22"/>
  <c r="M48" i="22"/>
  <c r="O48" i="22"/>
  <c r="P48" i="22"/>
  <c r="I49" i="22"/>
  <c r="J49" i="22"/>
  <c r="L49" i="22"/>
  <c r="M49" i="22"/>
  <c r="O49" i="22"/>
  <c r="P49" i="22"/>
  <c r="I50" i="22"/>
  <c r="J50" i="22"/>
  <c r="L50" i="22"/>
  <c r="M50" i="22"/>
  <c r="O50" i="22"/>
  <c r="P50" i="22"/>
  <c r="I51" i="22"/>
  <c r="J51" i="22"/>
  <c r="L51" i="22"/>
  <c r="M51" i="22"/>
  <c r="O51" i="22"/>
  <c r="P51" i="22"/>
  <c r="I52" i="22"/>
  <c r="J52" i="22"/>
  <c r="L52" i="22"/>
  <c r="M52" i="22"/>
  <c r="O52" i="22"/>
  <c r="P52" i="22"/>
  <c r="I53" i="22"/>
  <c r="J53" i="22"/>
  <c r="L53" i="22"/>
  <c r="M53" i="22"/>
  <c r="O53" i="22"/>
  <c r="P53" i="22"/>
  <c r="I54" i="22"/>
  <c r="J54" i="22"/>
  <c r="L54" i="22"/>
  <c r="M54" i="22"/>
  <c r="O54" i="22"/>
  <c r="P54" i="22"/>
  <c r="I56" i="22"/>
  <c r="J56" i="22"/>
  <c r="L56" i="22"/>
  <c r="M56" i="22"/>
  <c r="O56" i="22"/>
  <c r="P56" i="22"/>
  <c r="I57" i="22"/>
  <c r="J57" i="22"/>
  <c r="L57" i="22"/>
  <c r="M57" i="22"/>
  <c r="O57" i="22"/>
  <c r="P57" i="22"/>
  <c r="L58" i="22"/>
  <c r="M58" i="22"/>
  <c r="O58" i="22"/>
  <c r="P58" i="22"/>
  <c r="I59" i="22"/>
  <c r="J59" i="22"/>
  <c r="L59" i="22"/>
  <c r="M59" i="22"/>
  <c r="O59" i="22"/>
  <c r="P59" i="22"/>
  <c r="I62" i="22"/>
  <c r="J62" i="22"/>
  <c r="L62" i="22"/>
  <c r="M62" i="22"/>
  <c r="O62" i="22"/>
  <c r="P62" i="22"/>
  <c r="I68" i="22"/>
  <c r="J68" i="22"/>
  <c r="L68" i="22"/>
  <c r="M68" i="22"/>
  <c r="O68" i="22"/>
  <c r="P68" i="22"/>
  <c r="I70" i="22"/>
  <c r="J70" i="22"/>
  <c r="L70" i="22"/>
  <c r="M70" i="22"/>
  <c r="O70" i="22"/>
  <c r="P70" i="22"/>
  <c r="I72" i="22"/>
  <c r="J72" i="22"/>
  <c r="L72" i="22"/>
  <c r="M72" i="22"/>
  <c r="O72" i="22"/>
  <c r="P72" i="22"/>
  <c r="H74" i="22"/>
  <c r="K74" i="22"/>
  <c r="N74" i="22"/>
  <c r="I78" i="22"/>
  <c r="J78" i="22"/>
  <c r="L78" i="22"/>
  <c r="M78" i="22"/>
  <c r="O78" i="22"/>
  <c r="P78" i="22"/>
  <c r="I79" i="22"/>
  <c r="J79" i="22"/>
  <c r="L79" i="22"/>
  <c r="M79" i="22"/>
  <c r="O79" i="22"/>
  <c r="P79" i="22"/>
  <c r="I80" i="22"/>
  <c r="J80" i="22"/>
  <c r="L80" i="22"/>
  <c r="M80" i="22"/>
  <c r="O80" i="22"/>
  <c r="P80" i="22"/>
  <c r="I81" i="22"/>
  <c r="J81" i="22"/>
  <c r="L81" i="22"/>
  <c r="M81" i="22"/>
  <c r="O81" i="22"/>
  <c r="P81" i="22"/>
  <c r="I82" i="22"/>
  <c r="J82" i="22"/>
  <c r="L82" i="22"/>
  <c r="M82" i="22"/>
  <c r="O82" i="22"/>
  <c r="P82" i="22"/>
  <c r="I87" i="22"/>
  <c r="J87" i="22"/>
  <c r="L87" i="22"/>
  <c r="M87" i="22"/>
  <c r="O87" i="22"/>
  <c r="P87"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0" authorId="0" shapeId="0" xr:uid="{1CF894F5-18CC-4451-A72C-A2D7D5757035}">
      <text>
        <r>
          <rPr>
            <b/>
            <sz val="9"/>
            <color indexed="81"/>
            <rFont val="Tahoma"/>
            <family val="2"/>
          </rPr>
          <t>Author:</t>
        </r>
        <r>
          <rPr>
            <sz val="9"/>
            <color indexed="81"/>
            <rFont val="Tahoma"/>
            <family val="2"/>
          </rPr>
          <t xml:space="preserve">
https://research.alpha-sense.com/gensearch/350825__1745096682960?utm_source=alphasense%20platform&amp;utm_medium=document%20share&amp;utm_content=0001104659-24-123617&amp;utm_campaign=1745096699111&amp;utm_doc_id=0001104659-24-123617&amp;utm_doc_type=DRS%2FA</t>
        </r>
      </text>
    </comment>
    <comment ref="J33" authorId="0" shapeId="0" xr:uid="{DA4CC86B-BD4E-40BF-8587-B42FE4401AF7}">
      <text>
        <r>
          <rPr>
            <b/>
            <sz val="9"/>
            <color indexed="81"/>
            <rFont val="Tahoma"/>
            <family val="2"/>
          </rPr>
          <t>Author:</t>
        </r>
        <r>
          <rPr>
            <sz val="9"/>
            <color indexed="81"/>
            <rFont val="Tahoma"/>
            <family val="2"/>
          </rPr>
          <t xml:space="preserve">
By the end of 2024, performance marketing spend in the United States is expected to reach $263.4 billion and is expected to grow at an 8.9% CAGR to $312.1 billion by 2026, according to Magna Global.</t>
        </r>
      </text>
    </comment>
    <comment ref="J42" authorId="0" shapeId="0" xr:uid="{C99CB73E-AFE1-42F6-B73F-BAEC88EB89FC}">
      <text>
        <r>
          <rPr>
            <b/>
            <sz val="9"/>
            <color indexed="81"/>
            <rFont val="Tahoma"/>
            <family val="2"/>
          </rPr>
          <t>Author:</t>
        </r>
        <r>
          <rPr>
            <sz val="9"/>
            <color indexed="81"/>
            <rFont val="Tahoma"/>
            <family val="2"/>
          </rPr>
          <t xml:space="preserve">
TOTALIGENT, INC.</t>
        </r>
      </text>
    </comment>
    <comment ref="D48" authorId="0" shapeId="0" xr:uid="{07C1A3CA-87CC-4D97-857B-63FF370973B0}">
      <text>
        <r>
          <rPr>
            <b/>
            <sz val="9"/>
            <color indexed="81"/>
            <rFont val="Tahoma"/>
            <family val="2"/>
          </rPr>
          <t>Author:</t>
        </r>
        <r>
          <rPr>
            <sz val="9"/>
            <color indexed="81"/>
            <rFont val="Tahoma"/>
            <family val="2"/>
          </rPr>
          <t xml:space="preserve">
SMS Marketing Growth: The global SMS marketing market is experiencing rapid growth, expected to expand from $5.5 billion in 2021 to $24.9 billion by 2028, reflecting a Compound Annual Growth Rate (CAGR) of 24.8%. Totaligent’s SMS capabilities align with this growing trend, offering users a powerful tool for customer engagement.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Wenhao Zhang</author>
  </authors>
  <commentList>
    <comment ref="AY2" authorId="0" shapeId="0" xr:uid="{00000000-0006-0000-0100-000001000000}">
      <text>
        <r>
          <rPr>
            <b/>
            <sz val="9"/>
            <rFont val="Tahoma"/>
            <family val="2"/>
          </rPr>
          <t>Tegus:</t>
        </r>
        <r>
          <rPr>
            <sz val="9"/>
            <rFont val="Tahoma"/>
            <family val="2"/>
          </rPr>
          <t xml:space="preserve">
This period has been partially updated from a press release, prior to the release of the complete statements. Information that was not included in the press release has been left as assumptions, and can be identified by the red font in cells for this period. Upon release of the full statements, the model will be updated to reflect any new or changed information.</t>
        </r>
      </text>
    </comment>
    <comment ref="AI7" authorId="0" shapeId="0" xr:uid="{00000000-0006-0000-0100-000002000000}">
      <text>
        <r>
          <rPr>
            <b/>
            <sz val="9"/>
            <color rgb="FF000000"/>
            <rFont val="Tahoma"/>
            <family val="2"/>
          </rPr>
          <t>Tegus (HS):</t>
        </r>
        <r>
          <rPr>
            <sz val="9"/>
            <color rgb="FF000000"/>
            <rFont val="Tahoma"/>
            <family val="2"/>
          </rPr>
          <t xml:space="preserve">
Reported as 2853</t>
        </r>
      </text>
    </comment>
    <comment ref="AK7" authorId="0" shapeId="0" xr:uid="{00000000-0006-0000-0100-000003000000}">
      <text>
        <r>
          <rPr>
            <b/>
            <sz val="9"/>
            <color rgb="FF000000"/>
            <rFont val="Tahoma"/>
            <family val="2"/>
          </rPr>
          <t>Tegus (MG):</t>
        </r>
        <r>
          <rPr>
            <sz val="9"/>
            <color rgb="FF000000"/>
            <rFont val="Tahoma"/>
            <family val="2"/>
          </rPr>
          <t xml:space="preserve">
Reported as 2,910</t>
        </r>
      </text>
    </comment>
    <comment ref="AO7" authorId="0" shapeId="0" xr:uid="{00000000-0006-0000-0100-000004000000}">
      <text>
        <r>
          <rPr>
            <b/>
            <sz val="9"/>
            <color rgb="FF000000"/>
            <rFont val="Tahoma"/>
            <family val="2"/>
          </rPr>
          <t>Tegus (HS):</t>
        </r>
        <r>
          <rPr>
            <sz val="9"/>
            <color rgb="FF000000"/>
            <rFont val="Tahoma"/>
            <family val="2"/>
          </rPr>
          <t xml:space="preserve">
Reported as 2958</t>
        </r>
      </text>
    </comment>
    <comment ref="AP7" authorId="0" shapeId="0" xr:uid="{00000000-0006-0000-0100-000005000000}">
      <text>
        <r>
          <rPr>
            <b/>
            <sz val="9"/>
            <color rgb="FF000000"/>
            <rFont val="Tahoma"/>
            <family val="2"/>
          </rPr>
          <t>Tegus (AK):</t>
        </r>
        <r>
          <rPr>
            <sz val="9"/>
            <color rgb="FF000000"/>
            <rFont val="Tahoma"/>
            <family val="2"/>
          </rPr>
          <t xml:space="preserve">
reported as 2,963</t>
        </r>
      </text>
    </comment>
    <comment ref="AQ7" authorId="0" shapeId="0" xr:uid="{00000000-0006-0000-0100-000006000000}">
      <text>
        <r>
          <rPr>
            <b/>
            <sz val="9"/>
            <color rgb="FF000000"/>
            <rFont val="Tahoma"/>
            <family val="2"/>
          </rPr>
          <t>Tegus (TP):</t>
        </r>
        <r>
          <rPr>
            <sz val="9"/>
            <color rgb="FF000000"/>
            <rFont val="Tahoma"/>
            <family val="2"/>
          </rPr>
          <t xml:space="preserve">
reported as 2,989</t>
        </r>
      </text>
    </comment>
    <comment ref="AG10" authorId="0" shapeId="0" xr:uid="{00000000-0006-0000-0100-000007000000}">
      <text>
        <r>
          <rPr>
            <b/>
            <sz val="9"/>
            <color rgb="FF000000"/>
            <rFont val="Tahoma"/>
            <family val="2"/>
          </rPr>
          <t>Tegus (LZ):</t>
        </r>
        <r>
          <rPr>
            <sz val="9"/>
            <color rgb="FF000000"/>
            <rFont val="Tahoma"/>
            <family val="2"/>
          </rPr>
          <t xml:space="preserve">
Reported as 1,820</t>
        </r>
      </text>
    </comment>
    <comment ref="AI10" authorId="0" shapeId="0" xr:uid="{00000000-0006-0000-0100-000008000000}">
      <text>
        <r>
          <rPr>
            <b/>
            <sz val="9"/>
            <color rgb="FF000000"/>
            <rFont val="Tahoma"/>
            <family val="2"/>
          </rPr>
          <t>Tegus (HS):</t>
        </r>
        <r>
          <rPr>
            <sz val="9"/>
            <color rgb="FF000000"/>
            <rFont val="Tahoma"/>
            <family val="2"/>
          </rPr>
          <t xml:space="preserve">
Reported as 1878</t>
        </r>
      </text>
    </comment>
    <comment ref="AK10" authorId="0" shapeId="0" xr:uid="{00000000-0006-0000-0100-000009000000}">
      <text>
        <r>
          <rPr>
            <b/>
            <sz val="9"/>
            <color rgb="FF000000"/>
            <rFont val="Tahoma"/>
            <family val="2"/>
          </rPr>
          <t>Tegus (DL):</t>
        </r>
        <r>
          <rPr>
            <sz val="9"/>
            <color rgb="FF000000"/>
            <rFont val="Tahoma"/>
            <family val="2"/>
          </rPr>
          <t xml:space="preserve">
Reported as 1930</t>
        </r>
      </text>
    </comment>
    <comment ref="A53" authorId="0" shapeId="0" xr:uid="{00000000-0006-0000-0100-00000A000000}">
      <text>
        <r>
          <rPr>
            <b/>
            <sz val="9"/>
            <color rgb="FF000000"/>
            <rFont val="Tahoma"/>
            <family val="2"/>
          </rPr>
          <t>Tegus (AN):</t>
        </r>
        <r>
          <rPr>
            <sz val="9"/>
            <color rgb="FF000000"/>
            <rFont val="Tahoma"/>
            <family val="2"/>
          </rPr>
          <t xml:space="preserve">
Beginning with Q1-2024, Meta started to report this data, prior periods have been recasted for comparable purposes. Meta defines a daily active person (DAP) as a registered and logged-in user of Facebook, Instagram, Messenger, and/or WhatsApp (collectively, our "Family" of products) who visited at least one of these Family products through a mobile device application or using a web or mobile browser on a given day.</t>
        </r>
      </text>
    </comment>
    <comment ref="A57" authorId="0" shapeId="0" xr:uid="{00000000-0006-0000-0100-00000B000000}">
      <text>
        <r>
          <rPr>
            <b/>
            <sz val="9"/>
            <color rgb="FF000000"/>
            <rFont val="Tahoma"/>
            <family val="2"/>
          </rPr>
          <t>Tegus (AN):</t>
        </r>
        <r>
          <rPr>
            <sz val="9"/>
            <color rgb="FF000000"/>
            <rFont val="Tahoma"/>
            <family val="2"/>
          </rPr>
          <t xml:space="preserve">
Beginning with Q1-2024, Meta started to report this data, prior periods have been recasted for comparable purposes. Meta defines average revenue per person (ARPP) as its FoA revenue during a given quarter, divided by the average of the number of DAP at the beginning and end of the quarter.</t>
        </r>
      </text>
    </comment>
    <comment ref="AH57" authorId="0" shapeId="0" xr:uid="{00000000-0006-0000-0100-00000C000000}">
      <text>
        <r>
          <rPr>
            <b/>
            <sz val="9"/>
            <color rgb="FF000000"/>
            <rFont val="Tahoma"/>
            <family val="2"/>
          </rPr>
          <t>Tegus (AN):</t>
        </r>
        <r>
          <rPr>
            <sz val="9"/>
            <color rgb="FF000000"/>
            <rFont val="Tahoma"/>
            <family val="2"/>
          </rPr>
          <t xml:space="preserve">
Calculated</t>
        </r>
      </text>
    </comment>
    <comment ref="AI57" authorId="0" shapeId="0" xr:uid="{00000000-0006-0000-0100-00000D000000}">
      <text>
        <r>
          <rPr>
            <b/>
            <sz val="9"/>
            <color rgb="FF000000"/>
            <rFont val="Tahoma"/>
            <family val="2"/>
          </rPr>
          <t>Tegus (AN):</t>
        </r>
        <r>
          <rPr>
            <sz val="9"/>
            <color rgb="FF000000"/>
            <rFont val="Tahoma"/>
            <family val="2"/>
          </rPr>
          <t xml:space="preserve">
Calculated</t>
        </r>
      </text>
    </comment>
    <comment ref="AJ57" authorId="0" shapeId="0" xr:uid="{00000000-0006-0000-0100-00000E000000}">
      <text>
        <r>
          <rPr>
            <b/>
            <sz val="9"/>
            <color rgb="FF000000"/>
            <rFont val="Tahoma"/>
            <family val="2"/>
          </rPr>
          <t>Tegus (AN):</t>
        </r>
        <r>
          <rPr>
            <sz val="9"/>
            <color rgb="FF000000"/>
            <rFont val="Tahoma"/>
            <family val="2"/>
          </rPr>
          <t xml:space="preserve">
Calculated</t>
        </r>
      </text>
    </comment>
    <comment ref="AK57" authorId="0" shapeId="0" xr:uid="{00000000-0006-0000-0100-00000F000000}">
      <text>
        <r>
          <rPr>
            <b/>
            <sz val="9"/>
            <color rgb="FF000000"/>
            <rFont val="Tahoma"/>
            <family val="2"/>
          </rPr>
          <t>Tegus (AN):</t>
        </r>
        <r>
          <rPr>
            <sz val="9"/>
            <color rgb="FF000000"/>
            <rFont val="Tahoma"/>
            <family val="2"/>
          </rPr>
          <t xml:space="preserve">
Calculated</t>
        </r>
      </text>
    </comment>
    <comment ref="AL57" authorId="0" shapeId="0" xr:uid="{00000000-0006-0000-0100-000010000000}">
      <text>
        <r>
          <rPr>
            <b/>
            <sz val="9"/>
            <color rgb="FF000000"/>
            <rFont val="Tahoma"/>
            <family val="2"/>
          </rPr>
          <t>Tegus (AN):</t>
        </r>
        <r>
          <rPr>
            <sz val="9"/>
            <color rgb="FF000000"/>
            <rFont val="Tahoma"/>
            <family val="2"/>
          </rPr>
          <t xml:space="preserve">
Calculated</t>
        </r>
      </text>
    </comment>
    <comment ref="BR57" authorId="0" shapeId="0" xr:uid="{00000000-0006-0000-0100-000011000000}">
      <text>
        <r>
          <rPr>
            <b/>
            <sz val="9"/>
            <color rgb="FF000000"/>
            <rFont val="Tahoma"/>
            <family val="2"/>
          </rPr>
          <t>Tegus (AN):</t>
        </r>
        <r>
          <rPr>
            <sz val="9"/>
            <color rgb="FF000000"/>
            <rFont val="Tahoma"/>
            <family val="2"/>
          </rPr>
          <t xml:space="preserve">
Calculated</t>
        </r>
      </text>
    </comment>
    <comment ref="BS57" authorId="0" shapeId="0" xr:uid="{00000000-0006-0000-0100-000012000000}">
      <text>
        <r>
          <rPr>
            <b/>
            <sz val="9"/>
            <color rgb="FF000000"/>
            <rFont val="Tahoma"/>
            <family val="2"/>
          </rPr>
          <t>Tegus (AN):</t>
        </r>
        <r>
          <rPr>
            <sz val="9"/>
            <color rgb="FF000000"/>
            <rFont val="Tahoma"/>
            <family val="2"/>
          </rPr>
          <t xml:space="preserve">
Calculated</t>
        </r>
      </text>
    </comment>
    <comment ref="BT57" authorId="0" shapeId="0" xr:uid="{00000000-0006-0000-0100-000013000000}">
      <text>
        <r>
          <rPr>
            <b/>
            <sz val="9"/>
            <color rgb="FF000000"/>
            <rFont val="Tahoma"/>
            <family val="2"/>
          </rPr>
          <t>Tegus (AN):</t>
        </r>
        <r>
          <rPr>
            <sz val="9"/>
            <color rgb="FF000000"/>
            <rFont val="Tahoma"/>
            <family val="2"/>
          </rPr>
          <t xml:space="preserve">
Calculated</t>
        </r>
      </text>
    </comment>
    <comment ref="AY77" authorId="0" shapeId="0" xr:uid="{00000000-0006-0000-0100-000014000000}">
      <text>
        <r>
          <rPr>
            <b/>
            <sz val="9"/>
            <color rgb="FF000000"/>
            <rFont val="Tahoma"/>
            <family val="2"/>
          </rPr>
          <t>Tegus:</t>
        </r>
        <r>
          <rPr>
            <sz val="9"/>
            <color rgb="FF000000"/>
            <rFont val="Tahoma"/>
            <family val="2"/>
          </rPr>
          <t xml:space="preserve">
To be updated with 10-Q/K</t>
        </r>
      </text>
    </comment>
    <comment ref="BJ109" authorId="0" shapeId="0" xr:uid="{00000000-0006-0000-0100-000015000000}">
      <text>
        <r>
          <rPr>
            <b/>
            <sz val="9"/>
            <color rgb="FF000000"/>
            <rFont val="Tahoma"/>
            <family val="2"/>
          </rPr>
          <t>Tegus (CS):</t>
        </r>
        <r>
          <rPr>
            <sz val="9"/>
            <color rgb="FF000000"/>
            <rFont val="Tahoma"/>
            <family val="2"/>
          </rPr>
          <t xml:space="preserve">
Reported as $3,154 mm</t>
        </r>
      </text>
    </comment>
    <comment ref="BK109" authorId="0" shapeId="0" xr:uid="{00000000-0006-0000-0100-000016000000}">
      <text>
        <r>
          <rPr>
            <b/>
            <sz val="9"/>
            <color rgb="FF000000"/>
            <rFont val="Tahoma"/>
            <family val="2"/>
          </rPr>
          <t>Tegus (CS):</t>
        </r>
        <r>
          <rPr>
            <sz val="9"/>
            <color rgb="FF000000"/>
            <rFont val="Tahoma"/>
            <family val="2"/>
          </rPr>
          <t xml:space="preserve">
Reported as $4,279 mm</t>
        </r>
      </text>
    </comment>
    <comment ref="BQ109" authorId="0" shapeId="0" xr:uid="{00000000-0006-0000-0100-000017000000}">
      <text>
        <r>
          <rPr>
            <b/>
            <sz val="9"/>
            <color rgb="FF000000"/>
            <rFont val="Tahoma"/>
            <family val="2"/>
          </rPr>
          <t>Tegus (VK):</t>
        </r>
        <r>
          <rPr>
            <sz val="9"/>
            <color rgb="FF000000"/>
            <rFont val="Tahoma"/>
            <family val="2"/>
          </rPr>
          <t xml:space="preserve">
reported as 55,013.</t>
        </r>
      </text>
    </comment>
    <comment ref="BU109" authorId="0" shapeId="0" xr:uid="{00000000-0006-0000-0100-000018000000}">
      <text>
        <r>
          <rPr>
            <b/>
            <sz val="9"/>
            <color rgb="FF000000"/>
            <rFont val="Tahoma"/>
            <family val="2"/>
          </rPr>
          <t>Tegus (AK):</t>
        </r>
        <r>
          <rPr>
            <sz val="9"/>
            <color rgb="FF000000"/>
            <rFont val="Tahoma"/>
            <family val="2"/>
          </rPr>
          <t xml:space="preserve">
as reported</t>
        </r>
      </text>
    </comment>
    <comment ref="BJ121" authorId="0" shapeId="0" xr:uid="{00000000-0006-0000-0100-000019000000}">
      <text>
        <r>
          <rPr>
            <b/>
            <sz val="9"/>
            <color rgb="FF000000"/>
            <rFont val="Tahoma"/>
            <family val="2"/>
          </rPr>
          <t>Tegus (VK):</t>
        </r>
        <r>
          <rPr>
            <sz val="9"/>
            <color rgb="FF000000"/>
            <rFont val="Tahoma"/>
            <family val="2"/>
          </rPr>
          <t xml:space="preserve">
Reported as 3,711.</t>
        </r>
      </text>
    </comment>
    <comment ref="BS121" authorId="0" shapeId="0" xr:uid="{00000000-0006-0000-0100-00001A000000}">
      <text>
        <r>
          <rPr>
            <b/>
            <sz val="9"/>
            <color rgb="FF000000"/>
            <rFont val="Tahoma"/>
            <family val="2"/>
          </rPr>
          <t>Tegus (AK):</t>
        </r>
        <r>
          <rPr>
            <sz val="9"/>
            <color rgb="FF000000"/>
            <rFont val="Tahoma"/>
            <family val="2"/>
          </rPr>
          <t xml:space="preserve">
as reported</t>
        </r>
      </text>
    </comment>
    <comment ref="BI129" authorId="0" shapeId="0" xr:uid="{00000000-0006-0000-0100-00001B000000}">
      <text>
        <r>
          <rPr>
            <b/>
            <sz val="9"/>
            <color rgb="FF000000"/>
            <rFont val="Tahoma"/>
            <family val="2"/>
          </rPr>
          <t>Tegus (TZ):</t>
        </r>
        <r>
          <rPr>
            <sz val="9"/>
            <color rgb="FF000000"/>
            <rFont val="Tahoma"/>
            <family val="2"/>
          </rPr>
          <t xml:space="preserve">
Sourced from FY2012 10-K</t>
        </r>
      </text>
    </comment>
    <comment ref="AY131" authorId="0" shapeId="0" xr:uid="{00000000-0006-0000-0100-00001C000000}">
      <text>
        <r>
          <rPr>
            <b/>
            <sz val="9"/>
            <color rgb="FF000000"/>
            <rFont val="Tahoma"/>
            <family val="2"/>
          </rPr>
          <t>Tegus:</t>
        </r>
        <r>
          <rPr>
            <sz val="9"/>
            <color rgb="FF000000"/>
            <rFont val="Tahoma"/>
            <family val="2"/>
          </rPr>
          <t xml:space="preserve">
To be updated with 10-Q/K</t>
        </r>
      </text>
    </comment>
    <comment ref="A132" authorId="0" shapeId="0" xr:uid="{00000000-0006-0000-0100-00001D000000}">
      <text>
        <r>
          <rPr>
            <b/>
            <sz val="9"/>
            <color rgb="FF000000"/>
            <rFont val="Tahoma"/>
            <family val="2"/>
          </rPr>
          <t>Tegus (BL):</t>
        </r>
        <r>
          <rPr>
            <sz val="9"/>
            <color rgb="FF000000"/>
            <rFont val="Tahoma"/>
            <family val="2"/>
          </rPr>
          <t xml:space="preserve">
Europe includes Russia and Turkey</t>
        </r>
      </text>
    </comment>
    <comment ref="A134" authorId="0" shapeId="0" xr:uid="{00000000-0006-0000-0100-00001E000000}">
      <text>
        <r>
          <rPr>
            <b/>
            <sz val="9"/>
            <color rgb="FF000000"/>
            <rFont val="Tahoma"/>
            <family val="2"/>
          </rPr>
          <t>Tegus (BL):</t>
        </r>
        <r>
          <rPr>
            <sz val="9"/>
            <color rgb="FF000000"/>
            <rFont val="Tahoma"/>
            <family val="2"/>
          </rPr>
          <t xml:space="preserve">
includes Africa, Latin America, and the Middle East.</t>
        </r>
      </text>
    </comment>
    <comment ref="BO134" authorId="0" shapeId="0" xr:uid="{00000000-0006-0000-0100-00001F000000}">
      <text>
        <r>
          <rPr>
            <b/>
            <sz val="9"/>
            <color rgb="FF000000"/>
            <rFont val="Tahoma"/>
            <family val="2"/>
          </rPr>
          <t>Tegus (BL):</t>
        </r>
        <r>
          <rPr>
            <sz val="9"/>
            <color rgb="FF000000"/>
            <rFont val="Tahoma"/>
            <family val="2"/>
          </rPr>
          <t xml:space="preserve">
prior this period, the "Rest of world indicates to all other countries other than U.S.</t>
        </r>
      </text>
    </comment>
    <comment ref="AH135" authorId="0" shapeId="0" xr:uid="{00000000-0006-0000-0100-000020000000}">
      <text>
        <r>
          <rPr>
            <b/>
            <sz val="9"/>
            <color rgb="FF000000"/>
            <rFont val="Tahoma"/>
            <family val="2"/>
          </rPr>
          <t>Tegus (BL):</t>
        </r>
        <r>
          <rPr>
            <sz val="9"/>
            <color rgb="FF000000"/>
            <rFont val="Tahoma"/>
            <family val="2"/>
          </rPr>
          <t xml:space="preserve">
backout</t>
        </r>
      </text>
    </comment>
    <comment ref="BO142" authorId="0" shapeId="0" xr:uid="{00000000-0006-0000-0100-000021000000}">
      <text>
        <r>
          <rPr>
            <b/>
            <sz val="9"/>
            <color rgb="FF000000"/>
            <rFont val="Tahoma"/>
            <family val="2"/>
          </rPr>
          <t>Tegus (BL):</t>
        </r>
        <r>
          <rPr>
            <sz val="9"/>
            <color rgb="FF000000"/>
            <rFont val="Tahoma"/>
            <family val="2"/>
          </rPr>
          <t xml:space="preserve">
prior this period, the "Rest of world indicates to all other countries other than U.S.</t>
        </r>
      </text>
    </comment>
    <comment ref="A157" authorId="0" shapeId="0" xr:uid="{00000000-0006-0000-0100-000022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AZ157" authorId="0" shapeId="0" xr:uid="{00000000-0006-0000-0100-000023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A157" authorId="0" shapeId="0" xr:uid="{00000000-0006-0000-0100-000024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B157" authorId="0" shapeId="0" xr:uid="{00000000-0006-0000-0100-000025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C157" authorId="0" shapeId="0" xr:uid="{00000000-0006-0000-0100-000026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D157" authorId="0" shapeId="0" xr:uid="{00000000-0006-0000-0100-000027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E157" authorId="0" shapeId="0" xr:uid="{00000000-0006-0000-0100-000028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F157" authorId="0" shapeId="0" xr:uid="{00000000-0006-0000-0100-000029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X157" authorId="0" shapeId="0" xr:uid="{00000000-0006-0000-0100-00002A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Y157" authorId="0" shapeId="0" xr:uid="{00000000-0006-0000-0100-00002B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Z157" authorId="0" shapeId="0" xr:uid="{00000000-0006-0000-0100-00002C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CA157" authorId="0" shapeId="0" xr:uid="{00000000-0006-0000-0100-00002D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CB157" authorId="0" shapeId="0" xr:uid="{00000000-0006-0000-0100-00002E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A162" authorId="0" shapeId="0" xr:uid="{00000000-0006-0000-0100-00002F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AZ162" authorId="0" shapeId="0" xr:uid="{00000000-0006-0000-0100-000030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A162" authorId="0" shapeId="0" xr:uid="{00000000-0006-0000-0100-000031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B162" authorId="0" shapeId="0" xr:uid="{00000000-0006-0000-0100-000032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C162" authorId="0" shapeId="0" xr:uid="{00000000-0006-0000-0100-000033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D162" authorId="0" shapeId="0" xr:uid="{00000000-0006-0000-0100-000034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E162" authorId="0" shapeId="0" xr:uid="{00000000-0006-0000-0100-000035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F162" authorId="0" shapeId="0" xr:uid="{00000000-0006-0000-0100-000036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X162" authorId="0" shapeId="0" xr:uid="{00000000-0006-0000-0100-000037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Y162" authorId="0" shapeId="0" xr:uid="{00000000-0006-0000-0100-000038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Z162" authorId="0" shapeId="0" xr:uid="{00000000-0006-0000-0100-000039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CA162" authorId="0" shapeId="0" xr:uid="{00000000-0006-0000-0100-00003A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CB162" authorId="0" shapeId="0" xr:uid="{00000000-0006-0000-0100-00003B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A167" authorId="0" shapeId="0" xr:uid="{00000000-0006-0000-0100-00003C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AZ167" authorId="0" shapeId="0" xr:uid="{00000000-0006-0000-0100-00003D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A167" authorId="0" shapeId="0" xr:uid="{00000000-0006-0000-0100-00003E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B167" authorId="0" shapeId="0" xr:uid="{00000000-0006-0000-0100-00003F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C167" authorId="0" shapeId="0" xr:uid="{00000000-0006-0000-0100-000040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D167" authorId="0" shapeId="0" xr:uid="{00000000-0006-0000-0100-000041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E167" authorId="0" shapeId="0" xr:uid="{00000000-0006-0000-0100-000042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F167" authorId="0" shapeId="0" xr:uid="{00000000-0006-0000-0100-000043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X167" authorId="0" shapeId="0" xr:uid="{00000000-0006-0000-0100-000044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Y167" authorId="0" shapeId="0" xr:uid="{00000000-0006-0000-0100-000045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BZ167" authorId="0" shapeId="0" xr:uid="{00000000-0006-0000-0100-000046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CA167" authorId="0" shapeId="0" xr:uid="{00000000-0006-0000-0100-000047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CB167" authorId="0" shapeId="0" xr:uid="{00000000-0006-0000-0100-000048000000}">
      <text>
        <r>
          <rPr>
            <b/>
            <sz val="9"/>
            <color rgb="FF000000"/>
            <rFont val="Tahoma"/>
            <family val="2"/>
          </rPr>
          <t>Tegus (SH):</t>
        </r>
        <r>
          <rPr>
            <sz val="9"/>
            <color rgb="FF000000"/>
            <rFont val="Tahoma"/>
            <family val="2"/>
          </rPr>
          <t xml:space="preserve">
For forecasting, this is a dummy line. The model forecasts directly to EBIT. This line displays margins to walk back to Gross Profit for comparability with historical periods.</t>
        </r>
      </text>
    </comment>
    <comment ref="AY184" authorId="0" shapeId="0" xr:uid="{00000000-0006-0000-0100-000049000000}">
      <text>
        <r>
          <rPr>
            <b/>
            <sz val="9"/>
            <color rgb="FF000000"/>
            <rFont val="Tahoma"/>
            <family val="2"/>
          </rPr>
          <t>Tegus:</t>
        </r>
        <r>
          <rPr>
            <sz val="9"/>
            <color rgb="FF000000"/>
            <rFont val="Tahoma"/>
            <family val="2"/>
          </rPr>
          <t xml:space="preserve">
To be updated with 10-Q/K</t>
        </r>
      </text>
    </comment>
    <comment ref="AY185" authorId="0" shapeId="0" xr:uid="{00000000-0006-0000-0100-00004A000000}">
      <text>
        <r>
          <rPr>
            <b/>
            <sz val="9"/>
            <color rgb="FF000000"/>
            <rFont val="Tahoma"/>
            <family val="2"/>
          </rPr>
          <t>Tegus:</t>
        </r>
        <r>
          <rPr>
            <sz val="9"/>
            <color rgb="FF000000"/>
            <rFont val="Tahoma"/>
            <family val="2"/>
          </rPr>
          <t xml:space="preserve">
To be updated with 10-Q/K</t>
        </r>
      </text>
    </comment>
    <comment ref="BI185" authorId="0" shapeId="0" xr:uid="{00000000-0006-0000-0100-00004B000000}">
      <text>
        <r>
          <rPr>
            <b/>
            <sz val="9"/>
            <color rgb="FF000000"/>
            <rFont val="Tahoma"/>
            <family val="2"/>
          </rPr>
          <t>Tegus (JH):</t>
        </r>
        <r>
          <rPr>
            <sz val="9"/>
            <color rgb="FF000000"/>
            <rFont val="Tahoma"/>
            <family val="2"/>
          </rPr>
          <t xml:space="preserve">
adjusted walk not yet available</t>
        </r>
      </text>
    </comment>
    <comment ref="AY192" authorId="0" shapeId="0" xr:uid="{00000000-0006-0000-0100-00004C000000}">
      <text>
        <r>
          <rPr>
            <b/>
            <sz val="9"/>
            <color rgb="FF000000"/>
            <rFont val="Tahoma"/>
            <family val="2"/>
          </rPr>
          <t>Tegus:</t>
        </r>
        <r>
          <rPr>
            <sz val="9"/>
            <color rgb="FF000000"/>
            <rFont val="Tahoma"/>
            <family val="2"/>
          </rPr>
          <t xml:space="preserve">
Estimated. To be updated with 10-Q/K</t>
        </r>
      </text>
    </comment>
    <comment ref="BP192" authorId="0" shapeId="0" xr:uid="{00000000-0006-0000-0100-00004D000000}">
      <text>
        <r>
          <rPr>
            <b/>
            <sz val="9"/>
            <color rgb="FF000000"/>
            <rFont val="Tahoma"/>
            <family val="2"/>
          </rPr>
          <t>Tegus (BL):</t>
        </r>
        <r>
          <rPr>
            <sz val="9"/>
            <color rgb="FF000000"/>
            <rFont val="Tahoma"/>
            <family val="2"/>
          </rPr>
          <t xml:space="preserve">
</t>
        </r>
      </text>
    </comment>
    <comment ref="BQ192" authorId="0" shapeId="0" xr:uid="{00000000-0006-0000-0100-00004E000000}">
      <text>
        <r>
          <rPr>
            <b/>
            <sz val="9"/>
            <color rgb="FF000000"/>
            <rFont val="Tahoma"/>
            <family val="2"/>
          </rPr>
          <t>Tegus (BL):</t>
        </r>
        <r>
          <rPr>
            <sz val="9"/>
            <color rgb="FF000000"/>
            <rFont val="Tahoma"/>
            <family val="2"/>
          </rPr>
          <t xml:space="preserve">
Network equipment only.</t>
        </r>
      </text>
    </comment>
    <comment ref="BR192" authorId="0" shapeId="0" xr:uid="{00000000-0006-0000-0100-00004F000000}">
      <text>
        <r>
          <rPr>
            <b/>
            <sz val="9"/>
            <color rgb="FF000000"/>
            <rFont val="Tahoma"/>
            <family val="2"/>
          </rPr>
          <t>Tegus (BL):</t>
        </r>
        <r>
          <rPr>
            <sz val="9"/>
            <color rgb="FF000000"/>
            <rFont val="Tahoma"/>
            <family val="2"/>
          </rPr>
          <t xml:space="preserve">
Network equipment only.</t>
        </r>
      </text>
    </comment>
    <comment ref="BW192" authorId="0" shapeId="0" xr:uid="{00000000-0006-0000-0100-000050000000}">
      <text>
        <r>
          <rPr>
            <b/>
            <sz val="9"/>
            <color rgb="FF000000"/>
            <rFont val="Tahoma"/>
            <family val="2"/>
          </rPr>
          <t>Tegus (DHJ):</t>
        </r>
        <r>
          <rPr>
            <sz val="9"/>
            <color rgb="FF000000"/>
            <rFont val="Tahoma"/>
            <family val="2"/>
          </rPr>
          <t xml:space="preserve">
Within property and equipment, our servers and network assets depreciation expenses were $11.34 billion for the years ended December 31, 2024</t>
        </r>
      </text>
    </comment>
    <comment ref="C193" authorId="0" shapeId="0" xr:uid="{00000000-0006-0000-0100-000051000000}">
      <text>
        <r>
          <rPr>
            <b/>
            <sz val="9"/>
            <color rgb="FF000000"/>
            <rFont val="Tahoma"/>
            <family val="2"/>
          </rPr>
          <t>Tegus (BL):</t>
        </r>
        <r>
          <rPr>
            <sz val="9"/>
            <color rgb="FF000000"/>
            <rFont val="Tahoma"/>
            <family val="2"/>
          </rPr>
          <t xml:space="preserve">
Backout.
Quarterly data not provided.</t>
        </r>
      </text>
    </comment>
    <comment ref="D193" authorId="0" shapeId="0" xr:uid="{00000000-0006-0000-0100-000052000000}">
      <text>
        <r>
          <rPr>
            <b/>
            <sz val="9"/>
            <color rgb="FF000000"/>
            <rFont val="Tahoma"/>
            <family val="2"/>
          </rPr>
          <t>Tegus (BL):</t>
        </r>
        <r>
          <rPr>
            <sz val="9"/>
            <color rgb="FF000000"/>
            <rFont val="Tahoma"/>
            <family val="2"/>
          </rPr>
          <t xml:space="preserve">
Backout.
Quarterly data not provided.</t>
        </r>
      </text>
    </comment>
    <comment ref="E193" authorId="0" shapeId="0" xr:uid="{00000000-0006-0000-0100-000053000000}">
      <text>
        <r>
          <rPr>
            <b/>
            <sz val="9"/>
            <color rgb="FF000000"/>
            <rFont val="Tahoma"/>
            <family val="2"/>
          </rPr>
          <t>Tegus (BL):</t>
        </r>
        <r>
          <rPr>
            <sz val="9"/>
            <color rgb="FF000000"/>
            <rFont val="Tahoma"/>
            <family val="2"/>
          </rPr>
          <t xml:space="preserve">
Backout.
Quarterly data not provided.</t>
        </r>
      </text>
    </comment>
    <comment ref="F193" authorId="0" shapeId="0" xr:uid="{00000000-0006-0000-0100-000054000000}">
      <text>
        <r>
          <rPr>
            <b/>
            <sz val="9"/>
            <color rgb="FF000000"/>
            <rFont val="Tahoma"/>
            <family val="2"/>
          </rPr>
          <t>Tegus (BL):</t>
        </r>
        <r>
          <rPr>
            <sz val="9"/>
            <color rgb="FF000000"/>
            <rFont val="Tahoma"/>
            <family val="2"/>
          </rPr>
          <t xml:space="preserve">
Backout.
Quarterly data not provided.</t>
        </r>
      </text>
    </comment>
    <comment ref="G193" authorId="0" shapeId="0" xr:uid="{00000000-0006-0000-0100-000055000000}">
      <text>
        <r>
          <rPr>
            <b/>
            <sz val="9"/>
            <color rgb="FF000000"/>
            <rFont val="Tahoma"/>
            <family val="2"/>
          </rPr>
          <t>Tegus (BL):</t>
        </r>
        <r>
          <rPr>
            <sz val="9"/>
            <color rgb="FF000000"/>
            <rFont val="Tahoma"/>
            <family val="2"/>
          </rPr>
          <t xml:space="preserve">
Backout.
Quarterly data not provided.</t>
        </r>
      </text>
    </comment>
    <comment ref="H193" authorId="0" shapeId="0" xr:uid="{00000000-0006-0000-0100-000056000000}">
      <text>
        <r>
          <rPr>
            <b/>
            <sz val="9"/>
            <color rgb="FF000000"/>
            <rFont val="Tahoma"/>
            <family val="2"/>
          </rPr>
          <t>Tegus (BL):</t>
        </r>
        <r>
          <rPr>
            <sz val="9"/>
            <color rgb="FF000000"/>
            <rFont val="Tahoma"/>
            <family val="2"/>
          </rPr>
          <t xml:space="preserve">
Backout.
Quarterly data not provided.</t>
        </r>
      </text>
    </comment>
    <comment ref="I193" authorId="0" shapeId="0" xr:uid="{00000000-0006-0000-0100-000057000000}">
      <text>
        <r>
          <rPr>
            <b/>
            <sz val="9"/>
            <color rgb="FF000000"/>
            <rFont val="Tahoma"/>
            <family val="2"/>
          </rPr>
          <t>Tegus (BL):</t>
        </r>
        <r>
          <rPr>
            <sz val="9"/>
            <color rgb="FF000000"/>
            <rFont val="Tahoma"/>
            <family val="2"/>
          </rPr>
          <t xml:space="preserve">
Backout.
Quarterly data not provided.</t>
        </r>
      </text>
    </comment>
    <comment ref="J193" authorId="0" shapeId="0" xr:uid="{00000000-0006-0000-0100-000058000000}">
      <text>
        <r>
          <rPr>
            <b/>
            <sz val="9"/>
            <color rgb="FF000000"/>
            <rFont val="Tahoma"/>
            <family val="2"/>
          </rPr>
          <t>Tegus (BL):</t>
        </r>
        <r>
          <rPr>
            <sz val="9"/>
            <color rgb="FF000000"/>
            <rFont val="Tahoma"/>
            <family val="2"/>
          </rPr>
          <t xml:space="preserve">
Backout.
Quarterly data not provided.</t>
        </r>
      </text>
    </comment>
    <comment ref="K193" authorId="0" shapeId="0" xr:uid="{00000000-0006-0000-0100-000059000000}">
      <text>
        <r>
          <rPr>
            <b/>
            <sz val="9"/>
            <color rgb="FF000000"/>
            <rFont val="Tahoma"/>
            <family val="2"/>
          </rPr>
          <t>Tegus (BL):</t>
        </r>
        <r>
          <rPr>
            <sz val="9"/>
            <color rgb="FF000000"/>
            <rFont val="Tahoma"/>
            <family val="2"/>
          </rPr>
          <t xml:space="preserve">
Backout.
Quarterly data not provided.</t>
        </r>
      </text>
    </comment>
    <comment ref="L193" authorId="0" shapeId="0" xr:uid="{00000000-0006-0000-0100-00005A000000}">
      <text>
        <r>
          <rPr>
            <b/>
            <sz val="9"/>
            <color rgb="FF000000"/>
            <rFont val="Tahoma"/>
            <family val="2"/>
          </rPr>
          <t>Tegus (BL):</t>
        </r>
        <r>
          <rPr>
            <sz val="9"/>
            <color rgb="FF000000"/>
            <rFont val="Tahoma"/>
            <family val="2"/>
          </rPr>
          <t xml:space="preserve">
Backout.
Quarterly data not provided.</t>
        </r>
      </text>
    </comment>
    <comment ref="M193" authorId="0" shapeId="0" xr:uid="{00000000-0006-0000-0100-00005B000000}">
      <text>
        <r>
          <rPr>
            <b/>
            <sz val="9"/>
            <color rgb="FF000000"/>
            <rFont val="Tahoma"/>
            <family val="2"/>
          </rPr>
          <t>Tegus (BL):</t>
        </r>
        <r>
          <rPr>
            <sz val="9"/>
            <color rgb="FF000000"/>
            <rFont val="Tahoma"/>
            <family val="2"/>
          </rPr>
          <t xml:space="preserve">
Backout.
Quarterly data not provided.</t>
        </r>
      </text>
    </comment>
    <comment ref="N193" authorId="0" shapeId="0" xr:uid="{00000000-0006-0000-0100-00005C000000}">
      <text>
        <r>
          <rPr>
            <b/>
            <sz val="9"/>
            <color rgb="FF000000"/>
            <rFont val="Tahoma"/>
            <family val="2"/>
          </rPr>
          <t>Tegus (BL):</t>
        </r>
        <r>
          <rPr>
            <sz val="9"/>
            <color rgb="FF000000"/>
            <rFont val="Tahoma"/>
            <family val="2"/>
          </rPr>
          <t xml:space="preserve">
Backout.
Quarterly data not provided.</t>
        </r>
      </text>
    </comment>
    <comment ref="O193" authorId="0" shapeId="0" xr:uid="{00000000-0006-0000-0100-00005D000000}">
      <text>
        <r>
          <rPr>
            <b/>
            <sz val="9"/>
            <color rgb="FF000000"/>
            <rFont val="Tahoma"/>
            <family val="2"/>
          </rPr>
          <t>Tegus (BL):</t>
        </r>
        <r>
          <rPr>
            <sz val="9"/>
            <color rgb="FF000000"/>
            <rFont val="Tahoma"/>
            <family val="2"/>
          </rPr>
          <t xml:space="preserve">
Backout.
Quarterly data not provided.</t>
        </r>
      </text>
    </comment>
    <comment ref="P193" authorId="0" shapeId="0" xr:uid="{00000000-0006-0000-0100-00005E000000}">
      <text>
        <r>
          <rPr>
            <b/>
            <sz val="9"/>
            <color rgb="FF000000"/>
            <rFont val="Tahoma"/>
            <family val="2"/>
          </rPr>
          <t>Tegus (BL):</t>
        </r>
        <r>
          <rPr>
            <sz val="9"/>
            <color rgb="FF000000"/>
            <rFont val="Tahoma"/>
            <family val="2"/>
          </rPr>
          <t xml:space="preserve">
Backout.
Quarterly data not provided.</t>
        </r>
      </text>
    </comment>
    <comment ref="Q193" authorId="0" shapeId="0" xr:uid="{00000000-0006-0000-0100-00005F000000}">
      <text>
        <r>
          <rPr>
            <b/>
            <sz val="9"/>
            <color rgb="FF000000"/>
            <rFont val="Tahoma"/>
            <family val="2"/>
          </rPr>
          <t>Tegus (BL):</t>
        </r>
        <r>
          <rPr>
            <sz val="9"/>
            <color rgb="FF000000"/>
            <rFont val="Tahoma"/>
            <family val="2"/>
          </rPr>
          <t xml:space="preserve">
Backout.
Quarterly data not provided.</t>
        </r>
      </text>
    </comment>
    <comment ref="R193" authorId="0" shapeId="0" xr:uid="{00000000-0006-0000-0100-000060000000}">
      <text>
        <r>
          <rPr>
            <b/>
            <sz val="9"/>
            <color rgb="FF000000"/>
            <rFont val="Tahoma"/>
            <family val="2"/>
          </rPr>
          <t>Tegus (BL):</t>
        </r>
        <r>
          <rPr>
            <sz val="9"/>
            <color rgb="FF000000"/>
            <rFont val="Tahoma"/>
            <family val="2"/>
          </rPr>
          <t xml:space="preserve">
Backout.
Quarterly data not provided.</t>
        </r>
      </text>
    </comment>
    <comment ref="S193" authorId="0" shapeId="0" xr:uid="{00000000-0006-0000-0100-000061000000}">
      <text>
        <r>
          <rPr>
            <b/>
            <sz val="9"/>
            <color rgb="FF000000"/>
            <rFont val="Tahoma"/>
            <family val="2"/>
          </rPr>
          <t>Tegus (BL):</t>
        </r>
        <r>
          <rPr>
            <sz val="9"/>
            <color rgb="FF000000"/>
            <rFont val="Tahoma"/>
            <family val="2"/>
          </rPr>
          <t xml:space="preserve">
Backout.
Quarterly data not provided.</t>
        </r>
      </text>
    </comment>
    <comment ref="T193" authorId="0" shapeId="0" xr:uid="{00000000-0006-0000-0100-000062000000}">
      <text>
        <r>
          <rPr>
            <b/>
            <sz val="9"/>
            <color rgb="FF000000"/>
            <rFont val="Tahoma"/>
            <family val="2"/>
          </rPr>
          <t>Tegus (BL):</t>
        </r>
        <r>
          <rPr>
            <sz val="9"/>
            <color rgb="FF000000"/>
            <rFont val="Tahoma"/>
            <family val="2"/>
          </rPr>
          <t xml:space="preserve">
Backout.
Quarterly data not provided.</t>
        </r>
      </text>
    </comment>
    <comment ref="U193" authorId="0" shapeId="0" xr:uid="{00000000-0006-0000-0100-000063000000}">
      <text>
        <r>
          <rPr>
            <b/>
            <sz val="9"/>
            <color rgb="FF000000"/>
            <rFont val="Tahoma"/>
            <family val="2"/>
          </rPr>
          <t>Tegus (BL):</t>
        </r>
        <r>
          <rPr>
            <sz val="9"/>
            <color rgb="FF000000"/>
            <rFont val="Tahoma"/>
            <family val="2"/>
          </rPr>
          <t xml:space="preserve">
Backout.
Quarterly data not provided.</t>
        </r>
      </text>
    </comment>
    <comment ref="V193" authorId="0" shapeId="0" xr:uid="{00000000-0006-0000-0100-000064000000}">
      <text>
        <r>
          <rPr>
            <b/>
            <sz val="9"/>
            <color rgb="FF000000"/>
            <rFont val="Tahoma"/>
            <family val="2"/>
          </rPr>
          <t>Tegus (BL):</t>
        </r>
        <r>
          <rPr>
            <sz val="9"/>
            <color rgb="FF000000"/>
            <rFont val="Tahoma"/>
            <family val="2"/>
          </rPr>
          <t xml:space="preserve">
Backout.
Quarterly data not provided.</t>
        </r>
      </text>
    </comment>
    <comment ref="W193" authorId="0" shapeId="0" xr:uid="{00000000-0006-0000-0100-000065000000}">
      <text>
        <r>
          <rPr>
            <b/>
            <sz val="9"/>
            <color rgb="FF000000"/>
            <rFont val="Tahoma"/>
            <family val="2"/>
          </rPr>
          <t>Tegus (BL):</t>
        </r>
        <r>
          <rPr>
            <sz val="9"/>
            <color rgb="FF000000"/>
            <rFont val="Tahoma"/>
            <family val="2"/>
          </rPr>
          <t xml:space="preserve">
Backout.
Quarterly data not provided.</t>
        </r>
      </text>
    </comment>
    <comment ref="X193" authorId="0" shapeId="0" xr:uid="{00000000-0006-0000-0100-000066000000}">
      <text>
        <r>
          <rPr>
            <b/>
            <sz val="9"/>
            <color rgb="FF000000"/>
            <rFont val="Tahoma"/>
            <family val="2"/>
          </rPr>
          <t>Tegus (BL):</t>
        </r>
        <r>
          <rPr>
            <sz val="9"/>
            <color rgb="FF000000"/>
            <rFont val="Tahoma"/>
            <family val="2"/>
          </rPr>
          <t xml:space="preserve">
Backout.
Quarterly data not provided.</t>
        </r>
      </text>
    </comment>
    <comment ref="Y193" authorId="0" shapeId="0" xr:uid="{00000000-0006-0000-0100-000067000000}">
      <text>
        <r>
          <rPr>
            <b/>
            <sz val="9"/>
            <color rgb="FF000000"/>
            <rFont val="Tahoma"/>
            <family val="2"/>
          </rPr>
          <t>Tegus (BL):</t>
        </r>
        <r>
          <rPr>
            <sz val="9"/>
            <color rgb="FF000000"/>
            <rFont val="Tahoma"/>
            <family val="2"/>
          </rPr>
          <t xml:space="preserve">
Backout.
Quarterly data not provided.</t>
        </r>
      </text>
    </comment>
    <comment ref="Z193" authorId="0" shapeId="0" xr:uid="{00000000-0006-0000-0100-000068000000}">
      <text>
        <r>
          <rPr>
            <b/>
            <sz val="9"/>
            <color rgb="FF000000"/>
            <rFont val="Tahoma"/>
            <family val="2"/>
          </rPr>
          <t>Tegus (BL):</t>
        </r>
        <r>
          <rPr>
            <sz val="9"/>
            <color rgb="FF000000"/>
            <rFont val="Tahoma"/>
            <family val="2"/>
          </rPr>
          <t xml:space="preserve">
Backout.
Quarterly data not provided.</t>
        </r>
      </text>
    </comment>
    <comment ref="AY193" authorId="0" shapeId="0" xr:uid="{00000000-0006-0000-0100-000069000000}">
      <text>
        <r>
          <rPr>
            <b/>
            <sz val="9"/>
            <color rgb="FF000000"/>
            <rFont val="Tahoma"/>
            <family val="2"/>
          </rPr>
          <t>Tegus:</t>
        </r>
        <r>
          <rPr>
            <sz val="9"/>
            <color rgb="FF000000"/>
            <rFont val="Tahoma"/>
            <family val="2"/>
          </rPr>
          <t xml:space="preserve">
Estimated. To be updated with 10-Q/K</t>
        </r>
      </text>
    </comment>
    <comment ref="BW193" authorId="0" shapeId="0" xr:uid="{00000000-0006-0000-0100-00006A000000}">
      <text>
        <r>
          <rPr>
            <b/>
            <sz val="9"/>
            <color rgb="FF000000"/>
            <rFont val="Tahoma"/>
            <family val="2"/>
          </rPr>
          <t>Tegus (DHJ):</t>
        </r>
        <r>
          <rPr>
            <sz val="9"/>
            <color rgb="FF000000"/>
            <rFont val="Tahoma"/>
            <family val="2"/>
          </rPr>
          <t xml:space="preserve">
Depreciation expense on property and equipment was $15.29 billion for the years ended December 31, 2024</t>
        </r>
      </text>
    </comment>
    <comment ref="C194" authorId="0" shapeId="0" xr:uid="{00000000-0006-0000-0100-00006B000000}">
      <text>
        <r>
          <rPr>
            <b/>
            <sz val="9"/>
            <color rgb="FF000000"/>
            <rFont val="Tahoma"/>
            <family val="2"/>
          </rPr>
          <t>Tegus (BL):</t>
        </r>
        <r>
          <rPr>
            <sz val="9"/>
            <color rgb="FF000000"/>
            <rFont val="Tahoma"/>
            <family val="2"/>
          </rPr>
          <t xml:space="preserve">
Hardcode as reported from 2014 Filings</t>
        </r>
      </text>
    </comment>
    <comment ref="D194" authorId="0" shapeId="0" xr:uid="{00000000-0006-0000-0100-00006C000000}">
      <text>
        <r>
          <rPr>
            <b/>
            <sz val="9"/>
            <color rgb="FF000000"/>
            <rFont val="Tahoma"/>
            <family val="2"/>
          </rPr>
          <t>Tegus (BL):</t>
        </r>
        <r>
          <rPr>
            <sz val="9"/>
            <color rgb="FF000000"/>
            <rFont val="Tahoma"/>
            <family val="2"/>
          </rPr>
          <t xml:space="preserve">
Hardcode as reported from 2014 Filings</t>
        </r>
      </text>
    </comment>
    <comment ref="AU194" authorId="0" shapeId="0" xr:uid="{00000000-0006-0000-0100-00006D000000}">
      <text>
        <r>
          <rPr>
            <b/>
            <sz val="9"/>
            <color rgb="FF000000"/>
            <rFont val="Tahoma"/>
            <family val="2"/>
          </rPr>
          <t>Tegus (BL):</t>
        </r>
        <r>
          <rPr>
            <sz val="9"/>
            <color rgb="FF000000"/>
            <rFont val="Tahoma"/>
            <family val="2"/>
          </rPr>
          <t xml:space="preserve">
Backout.</t>
        </r>
      </text>
    </comment>
    <comment ref="AV194" authorId="0" shapeId="0" xr:uid="{00000000-0006-0000-0100-00006E000000}">
      <text>
        <r>
          <rPr>
            <b/>
            <sz val="9"/>
            <color rgb="FF000000"/>
            <rFont val="Tahoma"/>
            <family val="2"/>
          </rPr>
          <t>Tegus (BL):</t>
        </r>
        <r>
          <rPr>
            <sz val="9"/>
            <color rgb="FF000000"/>
            <rFont val="Tahoma"/>
            <family val="2"/>
          </rPr>
          <t xml:space="preserve">
Backout.</t>
        </r>
      </text>
    </comment>
    <comment ref="AW194" authorId="0" shapeId="0" xr:uid="{00000000-0006-0000-0100-00006F000000}">
      <text>
        <r>
          <rPr>
            <b/>
            <sz val="9"/>
            <color rgb="FF000000"/>
            <rFont val="Tahoma"/>
            <family val="2"/>
          </rPr>
          <t>Tegus (BL):</t>
        </r>
        <r>
          <rPr>
            <sz val="9"/>
            <color rgb="FF000000"/>
            <rFont val="Tahoma"/>
            <family val="2"/>
          </rPr>
          <t xml:space="preserve">
Backout.</t>
        </r>
      </text>
    </comment>
    <comment ref="BI194" authorId="0" shapeId="0" xr:uid="{00000000-0006-0000-0100-000070000000}">
      <text>
        <r>
          <rPr>
            <b/>
            <sz val="9"/>
            <color rgb="FF000000"/>
            <rFont val="Tahoma"/>
            <family val="2"/>
          </rPr>
          <t>Tegus (BL):</t>
        </r>
        <r>
          <rPr>
            <sz val="9"/>
            <color rgb="FF000000"/>
            <rFont val="Tahoma"/>
            <family val="2"/>
          </rPr>
          <t xml:space="preserve">
Hardcode as reported from 2014 Filings</t>
        </r>
      </text>
    </comment>
    <comment ref="BJ194" authorId="0" shapeId="0" xr:uid="{00000000-0006-0000-0100-000071000000}">
      <text>
        <r>
          <rPr>
            <b/>
            <sz val="9"/>
            <color rgb="FF000000"/>
            <rFont val="Tahoma"/>
            <family val="2"/>
          </rPr>
          <t>Tegus (BL):</t>
        </r>
        <r>
          <rPr>
            <sz val="9"/>
            <color rgb="FF000000"/>
            <rFont val="Tahoma"/>
            <family val="2"/>
          </rPr>
          <t xml:space="preserve">
Hardcode as reported from 2014 Filings</t>
        </r>
      </text>
    </comment>
    <comment ref="BK194" authorId="0" shapeId="0" xr:uid="{00000000-0006-0000-0100-000072000000}">
      <text>
        <r>
          <rPr>
            <b/>
            <sz val="9"/>
            <color rgb="FF000000"/>
            <rFont val="Tahoma"/>
            <family val="2"/>
          </rPr>
          <t>Tegus (BL):</t>
        </r>
        <r>
          <rPr>
            <sz val="9"/>
            <color rgb="FF000000"/>
            <rFont val="Tahoma"/>
            <family val="2"/>
          </rPr>
          <t xml:space="preserve">
Hardcode as reported from 2014 Filings</t>
        </r>
      </text>
    </comment>
    <comment ref="BW194" authorId="0" shapeId="0" xr:uid="{00000000-0006-0000-0100-000073000000}">
      <text>
        <r>
          <rPr>
            <b/>
            <sz val="9"/>
            <color rgb="FF000000"/>
            <rFont val="Tahoma"/>
            <family val="2"/>
          </rPr>
          <t>Tegus (DHJ):</t>
        </r>
        <r>
          <rPr>
            <sz val="9"/>
            <color rgb="FF000000"/>
            <rFont val="Tahoma"/>
            <family val="2"/>
          </rPr>
          <t xml:space="preserve">
Amortization expense of intangible assets for the years ended December 31, 2024 was $211 million</t>
        </r>
      </text>
    </comment>
    <comment ref="C195" authorId="0" shapeId="0" xr:uid="{00000000-0006-0000-0100-000074000000}">
      <text>
        <r>
          <rPr>
            <b/>
            <sz val="9"/>
            <color rgb="FF000000"/>
            <rFont val="Tahoma"/>
            <family val="2"/>
          </rPr>
          <t>Tegus:</t>
        </r>
        <r>
          <rPr>
            <sz val="9"/>
            <color rgb="FF000000"/>
            <rFont val="Tahoma"/>
            <family val="2"/>
          </rPr>
          <t xml:space="preserve">
Estimated</t>
        </r>
      </text>
    </comment>
    <comment ref="D195" authorId="0" shapeId="0" xr:uid="{00000000-0006-0000-0100-000075000000}">
      <text>
        <r>
          <rPr>
            <b/>
            <sz val="9"/>
            <color rgb="FF000000"/>
            <rFont val="Tahoma"/>
            <family val="2"/>
          </rPr>
          <t>Tegus:</t>
        </r>
        <r>
          <rPr>
            <sz val="9"/>
            <color rgb="FF000000"/>
            <rFont val="Tahoma"/>
            <family val="2"/>
          </rPr>
          <t xml:space="preserve">
Estimated</t>
        </r>
      </text>
    </comment>
    <comment ref="E195" authorId="0" shapeId="0" xr:uid="{00000000-0006-0000-0100-000076000000}">
      <text>
        <r>
          <rPr>
            <b/>
            <sz val="9"/>
            <color rgb="FF000000"/>
            <rFont val="Tahoma"/>
            <family val="2"/>
          </rPr>
          <t>Tegus:</t>
        </r>
        <r>
          <rPr>
            <sz val="9"/>
            <color rgb="FF000000"/>
            <rFont val="Tahoma"/>
            <family val="2"/>
          </rPr>
          <t xml:space="preserve">
Estimated</t>
        </r>
      </text>
    </comment>
    <comment ref="F195" authorId="0" shapeId="0" xr:uid="{00000000-0006-0000-0100-000077000000}">
      <text>
        <r>
          <rPr>
            <b/>
            <sz val="9"/>
            <color rgb="FF000000"/>
            <rFont val="Tahoma"/>
            <family val="2"/>
          </rPr>
          <t>Tegus:</t>
        </r>
        <r>
          <rPr>
            <sz val="9"/>
            <color rgb="FF000000"/>
            <rFont val="Tahoma"/>
            <family val="2"/>
          </rPr>
          <t xml:space="preserve">
Estimated</t>
        </r>
      </text>
    </comment>
    <comment ref="G195" authorId="0" shapeId="0" xr:uid="{00000000-0006-0000-0100-000078000000}">
      <text>
        <r>
          <rPr>
            <b/>
            <sz val="9"/>
            <color rgb="FF000000"/>
            <rFont val="Tahoma"/>
            <family val="2"/>
          </rPr>
          <t>Tegus:</t>
        </r>
        <r>
          <rPr>
            <sz val="9"/>
            <color rgb="FF000000"/>
            <rFont val="Tahoma"/>
            <family val="2"/>
          </rPr>
          <t xml:space="preserve">
Estimated</t>
        </r>
      </text>
    </comment>
    <comment ref="H195" authorId="0" shapeId="0" xr:uid="{00000000-0006-0000-0100-000079000000}">
      <text>
        <r>
          <rPr>
            <b/>
            <sz val="9"/>
            <color rgb="FF000000"/>
            <rFont val="Tahoma"/>
            <family val="2"/>
          </rPr>
          <t>Tegus:</t>
        </r>
        <r>
          <rPr>
            <sz val="9"/>
            <color rgb="FF000000"/>
            <rFont val="Tahoma"/>
            <family val="2"/>
          </rPr>
          <t xml:space="preserve">
Estimated</t>
        </r>
      </text>
    </comment>
    <comment ref="I195" authorId="0" shapeId="0" xr:uid="{00000000-0006-0000-0100-00007A000000}">
      <text>
        <r>
          <rPr>
            <b/>
            <sz val="9"/>
            <color rgb="FF000000"/>
            <rFont val="Tahoma"/>
            <family val="2"/>
          </rPr>
          <t>Tegus:</t>
        </r>
        <r>
          <rPr>
            <sz val="9"/>
            <color rgb="FF000000"/>
            <rFont val="Tahoma"/>
            <family val="2"/>
          </rPr>
          <t xml:space="preserve">
Estimated</t>
        </r>
      </text>
    </comment>
    <comment ref="J195" authorId="0" shapeId="0" xr:uid="{00000000-0006-0000-0100-00007B000000}">
      <text>
        <r>
          <rPr>
            <b/>
            <sz val="9"/>
            <color rgb="FF000000"/>
            <rFont val="Tahoma"/>
            <family val="2"/>
          </rPr>
          <t>Tegus:</t>
        </r>
        <r>
          <rPr>
            <sz val="9"/>
            <color rgb="FF000000"/>
            <rFont val="Tahoma"/>
            <family val="2"/>
          </rPr>
          <t xml:space="preserve">
Estimated</t>
        </r>
      </text>
    </comment>
    <comment ref="K195" authorId="0" shapeId="0" xr:uid="{00000000-0006-0000-0100-00007C000000}">
      <text>
        <r>
          <rPr>
            <b/>
            <sz val="9"/>
            <color rgb="FF000000"/>
            <rFont val="Tahoma"/>
            <family val="2"/>
          </rPr>
          <t>Tegus:</t>
        </r>
        <r>
          <rPr>
            <sz val="9"/>
            <color rgb="FF000000"/>
            <rFont val="Tahoma"/>
            <family val="2"/>
          </rPr>
          <t xml:space="preserve">
Estimated</t>
        </r>
      </text>
    </comment>
    <comment ref="L195" authorId="0" shapeId="0" xr:uid="{00000000-0006-0000-0100-00007D000000}">
      <text>
        <r>
          <rPr>
            <b/>
            <sz val="9"/>
            <color rgb="FF000000"/>
            <rFont val="Tahoma"/>
            <family val="2"/>
          </rPr>
          <t>Tegus:</t>
        </r>
        <r>
          <rPr>
            <sz val="9"/>
            <color rgb="FF000000"/>
            <rFont val="Tahoma"/>
            <family val="2"/>
          </rPr>
          <t xml:space="preserve">
Estimated</t>
        </r>
      </text>
    </comment>
    <comment ref="M195" authorId="0" shapeId="0" xr:uid="{00000000-0006-0000-0100-00007E000000}">
      <text>
        <r>
          <rPr>
            <b/>
            <sz val="9"/>
            <color rgb="FF000000"/>
            <rFont val="Tahoma"/>
            <family val="2"/>
          </rPr>
          <t>Tegus:</t>
        </r>
        <r>
          <rPr>
            <sz val="9"/>
            <color rgb="FF000000"/>
            <rFont val="Tahoma"/>
            <family val="2"/>
          </rPr>
          <t xml:space="preserve">
Estimated</t>
        </r>
      </text>
    </comment>
    <comment ref="N195" authorId="0" shapeId="0" xr:uid="{00000000-0006-0000-0100-00007F000000}">
      <text>
        <r>
          <rPr>
            <b/>
            <sz val="9"/>
            <color rgb="FF000000"/>
            <rFont val="Tahoma"/>
            <family val="2"/>
          </rPr>
          <t>Tegus:</t>
        </r>
        <r>
          <rPr>
            <sz val="9"/>
            <color rgb="FF000000"/>
            <rFont val="Tahoma"/>
            <family val="2"/>
          </rPr>
          <t xml:space="preserve">
Estimated</t>
        </r>
      </text>
    </comment>
    <comment ref="O195" authorId="0" shapeId="0" xr:uid="{00000000-0006-0000-0100-000080000000}">
      <text>
        <r>
          <rPr>
            <b/>
            <sz val="9"/>
            <color rgb="FF000000"/>
            <rFont val="Tahoma"/>
            <family val="2"/>
          </rPr>
          <t>Tegus:</t>
        </r>
        <r>
          <rPr>
            <sz val="9"/>
            <color rgb="FF000000"/>
            <rFont val="Tahoma"/>
            <family val="2"/>
          </rPr>
          <t xml:space="preserve">
Estimated</t>
        </r>
      </text>
    </comment>
    <comment ref="P195" authorId="0" shapeId="0" xr:uid="{00000000-0006-0000-0100-000081000000}">
      <text>
        <r>
          <rPr>
            <b/>
            <sz val="9"/>
            <color rgb="FF000000"/>
            <rFont val="Tahoma"/>
            <family val="2"/>
          </rPr>
          <t>Tegus:</t>
        </r>
        <r>
          <rPr>
            <sz val="9"/>
            <color rgb="FF000000"/>
            <rFont val="Tahoma"/>
            <family val="2"/>
          </rPr>
          <t xml:space="preserve">
Estimated</t>
        </r>
      </text>
    </comment>
    <comment ref="Q195" authorId="0" shapeId="0" xr:uid="{00000000-0006-0000-0100-000082000000}">
      <text>
        <r>
          <rPr>
            <b/>
            <sz val="9"/>
            <color rgb="FF000000"/>
            <rFont val="Tahoma"/>
            <family val="2"/>
          </rPr>
          <t>Tegus:</t>
        </r>
        <r>
          <rPr>
            <sz val="9"/>
            <color rgb="FF000000"/>
            <rFont val="Tahoma"/>
            <family val="2"/>
          </rPr>
          <t xml:space="preserve">
Estimated</t>
        </r>
      </text>
    </comment>
    <comment ref="R195" authorId="0" shapeId="0" xr:uid="{00000000-0006-0000-0100-000083000000}">
      <text>
        <r>
          <rPr>
            <b/>
            <sz val="9"/>
            <color rgb="FF000000"/>
            <rFont val="Tahoma"/>
            <family val="2"/>
          </rPr>
          <t>Tegus:</t>
        </r>
        <r>
          <rPr>
            <sz val="9"/>
            <color rgb="FF000000"/>
            <rFont val="Tahoma"/>
            <family val="2"/>
          </rPr>
          <t xml:space="preserve">
Estimated</t>
        </r>
      </text>
    </comment>
    <comment ref="S195" authorId="0" shapeId="0" xr:uid="{00000000-0006-0000-0100-000084000000}">
      <text>
        <r>
          <rPr>
            <b/>
            <sz val="9"/>
            <color rgb="FF000000"/>
            <rFont val="Tahoma"/>
            <family val="2"/>
          </rPr>
          <t>Tegus:</t>
        </r>
        <r>
          <rPr>
            <sz val="9"/>
            <color rgb="FF000000"/>
            <rFont val="Tahoma"/>
            <family val="2"/>
          </rPr>
          <t xml:space="preserve">
Estimated</t>
        </r>
      </text>
    </comment>
    <comment ref="T195" authorId="0" shapeId="0" xr:uid="{00000000-0006-0000-0100-000085000000}">
      <text>
        <r>
          <rPr>
            <b/>
            <sz val="9"/>
            <color rgb="FF000000"/>
            <rFont val="Tahoma"/>
            <family val="2"/>
          </rPr>
          <t>Tegus:</t>
        </r>
        <r>
          <rPr>
            <sz val="9"/>
            <color rgb="FF000000"/>
            <rFont val="Tahoma"/>
            <family val="2"/>
          </rPr>
          <t xml:space="preserve">
Estimated</t>
        </r>
      </text>
    </comment>
    <comment ref="U195" authorId="0" shapeId="0" xr:uid="{00000000-0006-0000-0100-000086000000}">
      <text>
        <r>
          <rPr>
            <b/>
            <sz val="9"/>
            <color rgb="FF000000"/>
            <rFont val="Tahoma"/>
            <family val="2"/>
          </rPr>
          <t>Tegus:</t>
        </r>
        <r>
          <rPr>
            <sz val="9"/>
            <color rgb="FF000000"/>
            <rFont val="Tahoma"/>
            <family val="2"/>
          </rPr>
          <t xml:space="preserve">
Estimated</t>
        </r>
      </text>
    </comment>
    <comment ref="V195" authorId="0" shapeId="0" xr:uid="{00000000-0006-0000-0100-000087000000}">
      <text>
        <r>
          <rPr>
            <b/>
            <sz val="9"/>
            <color rgb="FF000000"/>
            <rFont val="Tahoma"/>
            <family val="2"/>
          </rPr>
          <t>Tegus:</t>
        </r>
        <r>
          <rPr>
            <sz val="9"/>
            <color rgb="FF000000"/>
            <rFont val="Tahoma"/>
            <family val="2"/>
          </rPr>
          <t xml:space="preserve">
Estimated</t>
        </r>
      </text>
    </comment>
    <comment ref="W195" authorId="0" shapeId="0" xr:uid="{00000000-0006-0000-0100-000088000000}">
      <text>
        <r>
          <rPr>
            <b/>
            <sz val="9"/>
            <color rgb="FF000000"/>
            <rFont val="Tahoma"/>
            <family val="2"/>
          </rPr>
          <t>Tegus:</t>
        </r>
        <r>
          <rPr>
            <sz val="9"/>
            <color rgb="FF000000"/>
            <rFont val="Tahoma"/>
            <family val="2"/>
          </rPr>
          <t xml:space="preserve">
Estimated</t>
        </r>
      </text>
    </comment>
    <comment ref="X195" authorId="0" shapeId="0" xr:uid="{00000000-0006-0000-0100-000089000000}">
      <text>
        <r>
          <rPr>
            <b/>
            <sz val="9"/>
            <color rgb="FF000000"/>
            <rFont val="Tahoma"/>
            <family val="2"/>
          </rPr>
          <t>Tegus:</t>
        </r>
        <r>
          <rPr>
            <sz val="9"/>
            <color rgb="FF000000"/>
            <rFont val="Tahoma"/>
            <family val="2"/>
          </rPr>
          <t xml:space="preserve">
Estimated</t>
        </r>
      </text>
    </comment>
    <comment ref="Y195" authorId="0" shapeId="0" xr:uid="{00000000-0006-0000-0100-00008A000000}">
      <text>
        <r>
          <rPr>
            <b/>
            <sz val="9"/>
            <color rgb="FF000000"/>
            <rFont val="Tahoma"/>
            <family val="2"/>
          </rPr>
          <t>Tegus:</t>
        </r>
        <r>
          <rPr>
            <sz val="9"/>
            <color rgb="FF000000"/>
            <rFont val="Tahoma"/>
            <family val="2"/>
          </rPr>
          <t xml:space="preserve">
Estimated</t>
        </r>
      </text>
    </comment>
    <comment ref="Z195" authorId="0" shapeId="0" xr:uid="{00000000-0006-0000-0100-00008B000000}">
      <text>
        <r>
          <rPr>
            <b/>
            <sz val="9"/>
            <color rgb="FF000000"/>
            <rFont val="Tahoma"/>
            <family val="2"/>
          </rPr>
          <t>Tegus:</t>
        </r>
        <r>
          <rPr>
            <sz val="9"/>
            <color rgb="FF000000"/>
            <rFont val="Tahoma"/>
            <family val="2"/>
          </rPr>
          <t xml:space="preserve">
Estimated</t>
        </r>
      </text>
    </comment>
    <comment ref="AU195" authorId="0" shapeId="0" xr:uid="{00000000-0006-0000-0100-00008C000000}">
      <text>
        <r>
          <rPr>
            <b/>
            <sz val="9"/>
            <color rgb="FF000000"/>
            <rFont val="Tahoma"/>
            <family val="2"/>
          </rPr>
          <t>Tegus:</t>
        </r>
        <r>
          <rPr>
            <sz val="9"/>
            <color rgb="FF000000"/>
            <rFont val="Tahoma"/>
            <family val="2"/>
          </rPr>
          <t xml:space="preserve">
Estimated</t>
        </r>
      </text>
    </comment>
    <comment ref="AV195" authorId="0" shapeId="0" xr:uid="{00000000-0006-0000-0100-00008D000000}">
      <text>
        <r>
          <rPr>
            <b/>
            <sz val="9"/>
            <color rgb="FF000000"/>
            <rFont val="Tahoma"/>
            <family val="2"/>
          </rPr>
          <t>Tegus:</t>
        </r>
        <r>
          <rPr>
            <sz val="9"/>
            <color rgb="FF000000"/>
            <rFont val="Tahoma"/>
            <family val="2"/>
          </rPr>
          <t xml:space="preserve">
Estimated</t>
        </r>
      </text>
    </comment>
    <comment ref="AW195" authorId="0" shapeId="0" xr:uid="{00000000-0006-0000-0100-00008E000000}">
      <text>
        <r>
          <rPr>
            <b/>
            <sz val="9"/>
            <color rgb="FF000000"/>
            <rFont val="Tahoma"/>
            <family val="2"/>
          </rPr>
          <t>Tegus:</t>
        </r>
        <r>
          <rPr>
            <sz val="9"/>
            <color rgb="FF000000"/>
            <rFont val="Tahoma"/>
            <family val="2"/>
          </rPr>
          <t xml:space="preserve">
Estimated</t>
        </r>
      </text>
    </comment>
    <comment ref="AY195" authorId="0" shapeId="0" xr:uid="{00000000-0006-0000-0100-00008F000000}">
      <text>
        <r>
          <rPr>
            <b/>
            <sz val="9"/>
            <color rgb="FF000000"/>
            <rFont val="Tahoma"/>
            <family val="2"/>
          </rPr>
          <t>Tegus:</t>
        </r>
        <r>
          <rPr>
            <sz val="9"/>
            <color rgb="FF000000"/>
            <rFont val="Tahoma"/>
            <family val="2"/>
          </rPr>
          <t xml:space="preserve">
Estimated. To be updated with 10-Q/K</t>
        </r>
      </text>
    </comment>
    <comment ref="A201" authorId="0" shapeId="0" xr:uid="{00000000-0006-0000-0100-000090000000}">
      <text>
        <r>
          <rPr>
            <b/>
            <sz val="9"/>
            <color rgb="FF000000"/>
            <rFont val="Tahoma"/>
            <family val="2"/>
          </rPr>
          <t>Tegus (ALT):</t>
        </r>
        <r>
          <rPr>
            <sz val="9"/>
            <color rgb="FF000000"/>
            <rFont val="Tahoma"/>
            <family val="2"/>
          </rPr>
          <t xml:space="preserve">
Includes costs and expenses in FoA segment for infrastructure, professional services, partner arrangements, marketing, facilities, legal-related costs, and other expenses.</t>
        </r>
      </text>
    </comment>
    <comment ref="A206" authorId="0" shapeId="0" xr:uid="{00000000-0006-0000-0100-000091000000}">
      <text>
        <r>
          <rPr>
            <b/>
            <sz val="9"/>
            <color rgb="FF000000"/>
            <rFont val="Tahoma"/>
            <family val="2"/>
          </rPr>
          <t>Tegus (ALT):</t>
        </r>
        <r>
          <rPr>
            <sz val="9"/>
            <color rgb="FF000000"/>
            <rFont val="Tahoma"/>
            <family val="2"/>
          </rPr>
          <t xml:space="preserve">
Includes costs and expenses in RL segment for inventory, professional services, marketing, infrastructure, facilities, and other expenses.</t>
        </r>
      </text>
    </comment>
    <comment ref="A210" authorId="0" shapeId="0" xr:uid="{00000000-0006-0000-0100-000092000000}">
      <text>
        <r>
          <rPr>
            <b/>
            <sz val="9"/>
            <color rgb="FF000000"/>
            <rFont val="Tahoma"/>
            <family val="2"/>
          </rPr>
          <t>Tegus (ALT):</t>
        </r>
        <r>
          <rPr>
            <sz val="9"/>
            <color rgb="FF000000"/>
            <rFont val="Tahoma"/>
            <family val="2"/>
          </rPr>
          <t xml:space="preserve">
Employee compensation includes employee payroll, share-based compensation, bonus, and employee benefits for medical care, retirement, insurances and other.</t>
        </r>
      </text>
    </comment>
    <comment ref="AG219" authorId="0" shapeId="0" xr:uid="{00000000-0006-0000-0100-000093000000}">
      <text>
        <r>
          <rPr>
            <b/>
            <sz val="9"/>
            <color rgb="FF000000"/>
            <rFont val="Tahoma"/>
            <family val="2"/>
          </rPr>
          <t>Tegus (LZ):</t>
        </r>
        <r>
          <rPr>
            <sz val="9"/>
            <color rgb="FF000000"/>
            <rFont val="Tahoma"/>
            <family val="2"/>
          </rPr>
          <t xml:space="preserve">
Reported as 1,820</t>
        </r>
      </text>
    </comment>
    <comment ref="AI219" authorId="0" shapeId="0" xr:uid="{00000000-0006-0000-0100-000094000000}">
      <text>
        <r>
          <rPr>
            <b/>
            <sz val="9"/>
            <color rgb="FF000000"/>
            <rFont val="Tahoma"/>
            <family val="2"/>
          </rPr>
          <t>Tegus (HS):</t>
        </r>
        <r>
          <rPr>
            <sz val="9"/>
            <color rgb="FF000000"/>
            <rFont val="Tahoma"/>
            <family val="2"/>
          </rPr>
          <t xml:space="preserve">
Reported as 1878</t>
        </r>
      </text>
    </comment>
    <comment ref="AK219" authorId="0" shapeId="0" xr:uid="{00000000-0006-0000-0100-000095000000}">
      <text>
        <r>
          <rPr>
            <b/>
            <sz val="9"/>
            <color rgb="FF000000"/>
            <rFont val="Tahoma"/>
            <family val="2"/>
          </rPr>
          <t>Tegus (DL):</t>
        </r>
        <r>
          <rPr>
            <sz val="9"/>
            <color rgb="FF000000"/>
            <rFont val="Tahoma"/>
            <family val="2"/>
          </rPr>
          <t xml:space="preserve">
Reported as 1930</t>
        </r>
      </text>
    </comment>
    <comment ref="AU219" authorId="0" shapeId="0" xr:uid="{00000000-0006-0000-0100-000096000000}">
      <text>
        <r>
          <rPr>
            <b/>
            <sz val="9"/>
            <color rgb="FF000000"/>
            <rFont val="Tahoma"/>
            <family val="2"/>
          </rPr>
          <t>Tegus (TZ):</t>
        </r>
        <r>
          <rPr>
            <sz val="9"/>
            <color rgb="FF000000"/>
            <rFont val="Tahoma"/>
            <family val="2"/>
          </rPr>
          <t xml:space="preserve">
Beginning with this quarter, Meta define average revenue per person (ARPP) as our FoA revenue during a given quarter, divided by the average of the number of DAP at the beginning and end of the quarter.</t>
        </r>
      </text>
    </comment>
    <comment ref="AU225" authorId="0" shapeId="0" xr:uid="{00000000-0006-0000-0100-000097000000}">
      <text>
        <r>
          <rPr>
            <b/>
            <sz val="9"/>
            <color rgb="FF000000"/>
            <rFont val="Tahoma"/>
            <family val="2"/>
          </rPr>
          <t>Tegus (TZ):</t>
        </r>
        <r>
          <rPr>
            <sz val="9"/>
            <color rgb="FF000000"/>
            <rFont val="Tahoma"/>
            <family val="2"/>
          </rPr>
          <t xml:space="preserve">
Beginning with this quarter, Meta define average revenue per person (ARPP) as our FoA revenue during a given quarter, divided by the average of the number of DAP at the beginning and end of the quarter.</t>
        </r>
      </text>
    </comment>
    <comment ref="AI231" authorId="0" shapeId="0" xr:uid="{00000000-0006-0000-0100-000098000000}">
      <text>
        <r>
          <rPr>
            <b/>
            <sz val="9"/>
            <color rgb="FF000000"/>
            <rFont val="Tahoma"/>
            <family val="2"/>
          </rPr>
          <t>Tegus (HS):</t>
        </r>
        <r>
          <rPr>
            <sz val="9"/>
            <color rgb="FF000000"/>
            <rFont val="Tahoma"/>
            <family val="2"/>
          </rPr>
          <t xml:space="preserve">
Reported as 2853</t>
        </r>
      </text>
    </comment>
    <comment ref="AK231" authorId="0" shapeId="0" xr:uid="{00000000-0006-0000-0100-000099000000}">
      <text>
        <r>
          <rPr>
            <b/>
            <sz val="9"/>
            <color rgb="FF000000"/>
            <rFont val="Tahoma"/>
            <family val="2"/>
          </rPr>
          <t>Tegus (MG):</t>
        </r>
        <r>
          <rPr>
            <sz val="9"/>
            <color rgb="FF000000"/>
            <rFont val="Tahoma"/>
            <family val="2"/>
          </rPr>
          <t xml:space="preserve">
Reported as 2,910</t>
        </r>
      </text>
    </comment>
    <comment ref="AO231" authorId="0" shapeId="0" xr:uid="{00000000-0006-0000-0100-00009A000000}">
      <text>
        <r>
          <rPr>
            <b/>
            <sz val="9"/>
            <color rgb="FF000000"/>
            <rFont val="Tahoma"/>
            <family val="2"/>
          </rPr>
          <t>Tegus (HS):</t>
        </r>
        <r>
          <rPr>
            <sz val="9"/>
            <color rgb="FF000000"/>
            <rFont val="Tahoma"/>
            <family val="2"/>
          </rPr>
          <t xml:space="preserve">
Reported as 2958</t>
        </r>
      </text>
    </comment>
    <comment ref="AP231" authorId="0" shapeId="0" xr:uid="{00000000-0006-0000-0100-00009B000000}">
      <text>
        <r>
          <rPr>
            <b/>
            <sz val="9"/>
            <color rgb="FF000000"/>
            <rFont val="Tahoma"/>
            <family val="2"/>
          </rPr>
          <t>Tegus (AK):</t>
        </r>
        <r>
          <rPr>
            <sz val="9"/>
            <color rgb="FF000000"/>
            <rFont val="Tahoma"/>
            <family val="2"/>
          </rPr>
          <t xml:space="preserve">
reported as 2,963</t>
        </r>
      </text>
    </comment>
    <comment ref="AQ231" authorId="0" shapeId="0" xr:uid="{00000000-0006-0000-0100-00009C000000}">
      <text>
        <r>
          <rPr>
            <b/>
            <sz val="9"/>
            <color rgb="FF000000"/>
            <rFont val="Tahoma"/>
            <family val="2"/>
          </rPr>
          <t>Tegus (TP):</t>
        </r>
        <r>
          <rPr>
            <sz val="9"/>
            <color rgb="FF000000"/>
            <rFont val="Tahoma"/>
            <family val="2"/>
          </rPr>
          <t xml:space="preserve">
reported as 2,989</t>
        </r>
      </text>
    </comment>
    <comment ref="AU231" authorId="0" shapeId="0" xr:uid="{00000000-0006-0000-0100-00009D000000}">
      <text>
        <r>
          <rPr>
            <b/>
            <sz val="9"/>
            <color rgb="FF000000"/>
            <rFont val="Tahoma"/>
            <family val="2"/>
          </rPr>
          <t>Tegus (AN):</t>
        </r>
        <r>
          <rPr>
            <sz val="9"/>
            <color rgb="FF000000"/>
            <rFont val="Tahoma"/>
            <family val="2"/>
          </rPr>
          <t xml:space="preserve">
No longer reports</t>
        </r>
      </text>
    </comment>
    <comment ref="AU237" authorId="0" shapeId="0" xr:uid="{00000000-0006-0000-0100-00009E000000}">
      <text>
        <r>
          <rPr>
            <b/>
            <sz val="9"/>
            <color rgb="FF000000"/>
            <rFont val="Tahoma"/>
            <family val="2"/>
          </rPr>
          <t>Tegus (AN):</t>
        </r>
        <r>
          <rPr>
            <sz val="9"/>
            <color rgb="FF000000"/>
            <rFont val="Tahoma"/>
            <family val="2"/>
          </rPr>
          <t xml:space="preserve">
No longer reports</t>
        </r>
      </text>
    </comment>
    <comment ref="AL239" authorId="0" shapeId="0" xr:uid="{00000000-0006-0000-0100-00009F000000}">
      <text>
        <r>
          <rPr>
            <b/>
            <sz val="9"/>
            <color rgb="FF000000"/>
            <rFont val="Tahoma"/>
            <family val="2"/>
          </rPr>
          <t>Tegus (LZ):</t>
        </r>
        <r>
          <rPr>
            <sz val="9"/>
            <color rgb="FF000000"/>
            <rFont val="Tahoma"/>
            <family val="2"/>
          </rPr>
          <t xml:space="preserve">
Not reported</t>
        </r>
      </text>
    </comment>
    <comment ref="BT239" authorId="0" shapeId="0" xr:uid="{00000000-0006-0000-0100-0000A0000000}">
      <text>
        <r>
          <rPr>
            <b/>
            <sz val="9"/>
            <color rgb="FF000000"/>
            <rFont val="Tahoma"/>
            <family val="2"/>
          </rPr>
          <t>Tegus (LZ):</t>
        </r>
        <r>
          <rPr>
            <sz val="9"/>
            <color rgb="FF000000"/>
            <rFont val="Tahoma"/>
            <family val="2"/>
          </rPr>
          <t xml:space="preserve">
Not reported</t>
        </r>
      </text>
    </comment>
    <comment ref="AL240" authorId="0" shapeId="0" xr:uid="{00000000-0006-0000-0100-0000A1000000}">
      <text>
        <r>
          <rPr>
            <b/>
            <sz val="9"/>
            <color rgb="FF000000"/>
            <rFont val="Tahoma"/>
            <family val="2"/>
          </rPr>
          <t>Tegus (LZ):</t>
        </r>
        <r>
          <rPr>
            <sz val="9"/>
            <color rgb="FF000000"/>
            <rFont val="Tahoma"/>
            <family val="2"/>
          </rPr>
          <t xml:space="preserve">
Not reported</t>
        </r>
      </text>
    </comment>
    <comment ref="BT240" authorId="0" shapeId="0" xr:uid="{00000000-0006-0000-0100-0000A2000000}">
      <text>
        <r>
          <rPr>
            <b/>
            <sz val="9"/>
            <color rgb="FF000000"/>
            <rFont val="Tahoma"/>
            <family val="2"/>
          </rPr>
          <t>Tegus (LZ):</t>
        </r>
        <r>
          <rPr>
            <sz val="9"/>
            <color rgb="FF000000"/>
            <rFont val="Tahoma"/>
            <family val="2"/>
          </rPr>
          <t xml:space="preserve">
Not reported</t>
        </r>
      </text>
    </comment>
    <comment ref="A241" authorId="0" shapeId="0" xr:uid="{00000000-0006-0000-0100-0000A3000000}">
      <text>
        <r>
          <rPr>
            <b/>
            <sz val="9"/>
            <color rgb="FF000000"/>
            <rFont val="Tahoma"/>
            <family val="2"/>
          </rPr>
          <t>Tegus (AW):</t>
        </r>
        <r>
          <rPr>
            <sz val="9"/>
            <color rgb="FF000000"/>
            <rFont val="Tahoma"/>
            <family val="2"/>
          </rPr>
          <t xml:space="preserve">
Calculated. As per 10K - Annual worldwide ARPU represents the sum of quarterly ARPU during such period, discrepencies are due to rounding.</t>
        </r>
      </text>
    </comment>
    <comment ref="C241" authorId="0" shapeId="0" xr:uid="{00000000-0006-0000-0100-0000A4000000}">
      <text>
        <r>
          <rPr>
            <b/>
            <sz val="9"/>
            <color rgb="FF000000"/>
            <rFont val="Tahoma"/>
            <family val="2"/>
          </rPr>
          <t>Tegus (JK):</t>
        </r>
        <r>
          <rPr>
            <sz val="9"/>
            <color rgb="FF000000"/>
            <rFont val="Tahoma"/>
            <family val="2"/>
          </rPr>
          <t xml:space="preserve">
Based off of FYE active users, and Q1 users. Reported as 1.35.</t>
        </r>
      </text>
    </comment>
    <comment ref="M241" authorId="0" shapeId="0" xr:uid="{00000000-0006-0000-0100-0000A5000000}">
      <text>
        <r>
          <rPr>
            <b/>
            <sz val="9"/>
            <color rgb="FF000000"/>
            <rFont val="Tahoma"/>
            <family val="2"/>
          </rPr>
          <t>Tegus (VK):</t>
        </r>
        <r>
          <rPr>
            <sz val="9"/>
            <color rgb="FF000000"/>
            <rFont val="Tahoma"/>
            <family val="2"/>
          </rPr>
          <t xml:space="preserve">
reported as 2.97.</t>
        </r>
      </text>
    </comment>
    <comment ref="N241" authorId="0" shapeId="0" xr:uid="{00000000-0006-0000-0100-0000A6000000}">
      <text>
        <r>
          <rPr>
            <b/>
            <sz val="9"/>
            <color rgb="FF000000"/>
            <rFont val="Tahoma"/>
            <family val="2"/>
          </rPr>
          <t>Tegus (VK):</t>
        </r>
        <r>
          <rPr>
            <sz val="9"/>
            <color rgb="FF000000"/>
            <rFont val="Tahoma"/>
            <family val="2"/>
          </rPr>
          <t xml:space="preserve">
Reported as 3.73.</t>
        </r>
      </text>
    </comment>
    <comment ref="Y241" authorId="0" shapeId="0" xr:uid="{00000000-0006-0000-0100-0000A7000000}">
      <text>
        <r>
          <rPr>
            <b/>
            <sz val="9"/>
            <color rgb="FF000000"/>
            <rFont val="Tahoma"/>
            <family val="2"/>
          </rPr>
          <t>Tegus (VK):</t>
        </r>
        <r>
          <rPr>
            <sz val="9"/>
            <color rgb="FF000000"/>
            <rFont val="Tahoma"/>
            <family val="2"/>
          </rPr>
          <t xml:space="preserve">
Reported as 6.09.</t>
        </r>
      </text>
    </comment>
    <comment ref="AE241" authorId="0" shapeId="0" xr:uid="{00000000-0006-0000-0100-0000A8000000}">
      <text>
        <r>
          <rPr>
            <b/>
            <sz val="9"/>
            <color rgb="FF000000"/>
            <rFont val="Tahoma"/>
            <family val="2"/>
          </rPr>
          <t>Tegus (VK):</t>
        </r>
        <r>
          <rPr>
            <sz val="9"/>
            <color rgb="FF000000"/>
            <rFont val="Tahoma"/>
            <family val="2"/>
          </rPr>
          <t xml:space="preserve">
Reported as 6.95.</t>
        </r>
      </text>
    </comment>
    <comment ref="AK241" authorId="0" shapeId="0" xr:uid="{00000000-0006-0000-0100-0000A9000000}">
      <text>
        <r>
          <rPr>
            <b/>
            <sz val="9"/>
            <color rgb="FF000000"/>
            <rFont val="Tahoma"/>
            <family val="2"/>
          </rPr>
          <t>Tegus (VK):</t>
        </r>
        <r>
          <rPr>
            <sz val="9"/>
            <color rgb="FF000000"/>
            <rFont val="Tahoma"/>
            <family val="2"/>
          </rPr>
          <t xml:space="preserve">
Reported as 10.00</t>
        </r>
      </text>
    </comment>
    <comment ref="AL241" authorId="0" shapeId="0" xr:uid="{00000000-0006-0000-0100-0000AA000000}">
      <text>
        <r>
          <rPr>
            <b/>
            <sz val="9"/>
            <color rgb="FF000000"/>
            <rFont val="Tahoma"/>
            <family val="2"/>
          </rPr>
          <t>Tegus (VK):</t>
        </r>
        <r>
          <rPr>
            <sz val="9"/>
            <color rgb="FF000000"/>
            <rFont val="Tahoma"/>
            <family val="2"/>
          </rPr>
          <t xml:space="preserve">
Reported as 11.57.</t>
        </r>
      </text>
    </comment>
    <comment ref="AM241" authorId="0" shapeId="0" xr:uid="{00000000-0006-0000-0100-0000AB000000}">
      <text>
        <r>
          <rPr>
            <b/>
            <sz val="9"/>
            <color rgb="FF000000"/>
            <rFont val="Tahoma"/>
            <family val="2"/>
          </rPr>
          <t>Tegus (VK):</t>
        </r>
        <r>
          <rPr>
            <sz val="9"/>
            <color rgb="FF000000"/>
            <rFont val="Tahoma"/>
            <family val="2"/>
          </rPr>
          <t xml:space="preserve">
Reported as 9.54.</t>
        </r>
      </text>
    </comment>
    <comment ref="AQ246" authorId="0" shapeId="0" xr:uid="{00000000-0006-0000-0100-0000AC000000}">
      <text>
        <r>
          <rPr>
            <b/>
            <sz val="9"/>
            <color rgb="FF000000"/>
            <rFont val="Tahoma"/>
            <family val="2"/>
          </rPr>
          <t>Tegus (KB):</t>
        </r>
        <r>
          <rPr>
            <sz val="9"/>
            <color rgb="FF000000"/>
            <rFont val="Tahoma"/>
            <family val="2"/>
          </rPr>
          <t xml:space="preserve">
Not reported</t>
        </r>
      </text>
    </comment>
    <comment ref="AR246" authorId="0" shapeId="0" xr:uid="{00000000-0006-0000-0100-0000AD000000}">
      <text>
        <r>
          <rPr>
            <b/>
            <sz val="9"/>
            <color rgb="FF000000"/>
            <rFont val="Tahoma"/>
            <family val="2"/>
          </rPr>
          <t>Tegus (HZ):</t>
        </r>
        <r>
          <rPr>
            <sz val="9"/>
            <color rgb="FF000000"/>
            <rFont val="Tahoma"/>
            <family val="2"/>
          </rPr>
          <t xml:space="preserve">
Not reported</t>
        </r>
      </text>
    </comment>
    <comment ref="AS246" authorId="0" shapeId="0" xr:uid="{00000000-0006-0000-0100-0000AE000000}">
      <text>
        <r>
          <rPr>
            <b/>
            <sz val="9"/>
            <color rgb="FF000000"/>
            <rFont val="Tahoma"/>
            <family val="2"/>
          </rPr>
          <t>Tegus (DY):</t>
        </r>
        <r>
          <rPr>
            <sz val="9"/>
            <color rgb="FF000000"/>
            <rFont val="Tahoma"/>
            <family val="2"/>
          </rPr>
          <t xml:space="preserve">
Not reported</t>
        </r>
      </text>
    </comment>
    <comment ref="AP247" authorId="0" shapeId="0" xr:uid="{00000000-0006-0000-0100-0000AF000000}">
      <text>
        <r>
          <rPr>
            <b/>
            <sz val="9"/>
            <color rgb="FF000000"/>
            <rFont val="Tahoma"/>
            <family val="2"/>
          </rPr>
          <t>Tegus (LZ):</t>
        </r>
        <r>
          <rPr>
            <sz val="9"/>
            <color rgb="FF000000"/>
            <rFont val="Tahoma"/>
            <family val="2"/>
          </rPr>
          <t xml:space="preserve">
Not reported</t>
        </r>
      </text>
    </comment>
    <comment ref="AT247" authorId="0" shapeId="0" xr:uid="{00000000-0006-0000-0100-0000B0000000}">
      <text>
        <r>
          <rPr>
            <b/>
            <sz val="9"/>
            <color rgb="FF000000"/>
            <rFont val="Tahoma"/>
            <family val="2"/>
          </rPr>
          <t>Tegus (HZ):</t>
        </r>
        <r>
          <rPr>
            <sz val="9"/>
            <color rgb="FF000000"/>
            <rFont val="Tahoma"/>
            <family val="2"/>
          </rPr>
          <t xml:space="preserve">
Not reported</t>
        </r>
      </text>
    </comment>
    <comment ref="BU247" authorId="0" shapeId="0" xr:uid="{00000000-0006-0000-0100-0000B1000000}">
      <text>
        <r>
          <rPr>
            <b/>
            <sz val="9"/>
            <color rgb="FF000000"/>
            <rFont val="Tahoma"/>
            <family val="2"/>
          </rPr>
          <t>Tegus (LZ):</t>
        </r>
        <r>
          <rPr>
            <sz val="9"/>
            <color rgb="FF000000"/>
            <rFont val="Tahoma"/>
            <family val="2"/>
          </rPr>
          <t xml:space="preserve">
Not reported</t>
        </r>
      </text>
    </comment>
    <comment ref="BV247" authorId="0" shapeId="0" xr:uid="{00000000-0006-0000-0100-0000B2000000}">
      <text>
        <r>
          <rPr>
            <b/>
            <sz val="9"/>
            <color rgb="FF000000"/>
            <rFont val="Tahoma"/>
            <family val="2"/>
          </rPr>
          <t>Tegus (HZ):</t>
        </r>
        <r>
          <rPr>
            <sz val="9"/>
            <color rgb="FF000000"/>
            <rFont val="Tahoma"/>
            <family val="2"/>
          </rPr>
          <t xml:space="preserve">
Not reported</t>
        </r>
      </text>
    </comment>
    <comment ref="AQ248" authorId="0" shapeId="0" xr:uid="{00000000-0006-0000-0100-0000B3000000}">
      <text>
        <r>
          <rPr>
            <b/>
            <sz val="9"/>
            <color rgb="FF000000"/>
            <rFont val="Tahoma"/>
            <family val="2"/>
          </rPr>
          <t>Tegus (KB):</t>
        </r>
        <r>
          <rPr>
            <sz val="9"/>
            <color rgb="FF000000"/>
            <rFont val="Tahoma"/>
            <family val="2"/>
          </rPr>
          <t xml:space="preserve">
Not reported</t>
        </r>
      </text>
    </comment>
    <comment ref="AT248" authorId="0" shapeId="0" xr:uid="{00000000-0006-0000-0100-0000B4000000}">
      <text>
        <r>
          <rPr>
            <b/>
            <sz val="9"/>
            <color rgb="FF000000"/>
            <rFont val="Tahoma"/>
            <family val="2"/>
          </rPr>
          <t>Tegus (HZ):</t>
        </r>
        <r>
          <rPr>
            <sz val="9"/>
            <color rgb="FF000000"/>
            <rFont val="Tahoma"/>
            <family val="2"/>
          </rPr>
          <t xml:space="preserve">
Not reported</t>
        </r>
      </text>
    </comment>
    <comment ref="BV248" authorId="0" shapeId="0" xr:uid="{00000000-0006-0000-0100-0000B5000000}">
      <text>
        <r>
          <rPr>
            <b/>
            <sz val="9"/>
            <color rgb="FF000000"/>
            <rFont val="Tahoma"/>
            <family val="2"/>
          </rPr>
          <t>Tegus (HZ):</t>
        </r>
        <r>
          <rPr>
            <sz val="9"/>
            <color rgb="FF000000"/>
            <rFont val="Tahoma"/>
            <family val="2"/>
          </rPr>
          <t xml:space="preserve">
Not reported</t>
        </r>
      </text>
    </comment>
    <comment ref="A251" authorId="0" shapeId="0" xr:uid="{00000000-0006-0000-0100-0000B6000000}">
      <text>
        <r>
          <rPr>
            <b/>
            <sz val="9"/>
            <color rgb="FF000000"/>
            <rFont val="Tahoma"/>
            <family val="2"/>
          </rPr>
          <t>Tegus (DL):</t>
        </r>
        <r>
          <rPr>
            <sz val="9"/>
            <color rgb="FF000000"/>
            <rFont val="Tahoma"/>
            <family val="2"/>
          </rPr>
          <t xml:space="preserve">
Advertising costs are expensed when incurred and are included in marketing and sales expenses on the consolidated statements of income</t>
        </r>
      </text>
    </comment>
    <comment ref="AQ255" authorId="0" shapeId="0" xr:uid="{00000000-0006-0000-0100-0000B7000000}">
      <text>
        <r>
          <rPr>
            <b/>
            <sz val="9"/>
            <color rgb="FF000000"/>
            <rFont val="Tahoma"/>
            <family val="2"/>
          </rPr>
          <t>Tegus (BL):</t>
        </r>
        <r>
          <rPr>
            <sz val="9"/>
            <color rgb="FF000000"/>
            <rFont val="Tahoma"/>
            <family val="2"/>
          </rPr>
          <t xml:space="preserve">
Backfilled from Q1-2024 IP</t>
        </r>
      </text>
    </comment>
    <comment ref="AR255" authorId="0" shapeId="0" xr:uid="{00000000-0006-0000-0100-0000B8000000}">
      <text>
        <r>
          <rPr>
            <b/>
            <sz val="9"/>
            <color rgb="FF000000"/>
            <rFont val="Tahoma"/>
            <family val="2"/>
          </rPr>
          <t>Tegus (BL):</t>
        </r>
        <r>
          <rPr>
            <sz val="9"/>
            <color rgb="FF000000"/>
            <rFont val="Tahoma"/>
            <family val="2"/>
          </rPr>
          <t xml:space="preserve">
Backfilled from Q1-2024 IP</t>
        </r>
      </text>
    </comment>
    <comment ref="AS255" authorId="0" shapeId="0" xr:uid="{00000000-0006-0000-0100-0000B9000000}">
      <text>
        <r>
          <rPr>
            <b/>
            <sz val="9"/>
            <color rgb="FF000000"/>
            <rFont val="Tahoma"/>
            <family val="2"/>
          </rPr>
          <t>Tegus (BL):</t>
        </r>
        <r>
          <rPr>
            <sz val="9"/>
            <color rgb="FF000000"/>
            <rFont val="Tahoma"/>
            <family val="2"/>
          </rPr>
          <t xml:space="preserve">
Backfilled from Q1-2024 IP</t>
        </r>
      </text>
    </comment>
    <comment ref="AT255" authorId="0" shapeId="0" xr:uid="{00000000-0006-0000-0100-0000BA000000}">
      <text>
        <r>
          <rPr>
            <b/>
            <sz val="9"/>
            <color rgb="FF000000"/>
            <rFont val="Tahoma"/>
            <family val="2"/>
          </rPr>
          <t>Tegus (BL):</t>
        </r>
        <r>
          <rPr>
            <sz val="9"/>
            <color rgb="FF000000"/>
            <rFont val="Tahoma"/>
            <family val="2"/>
          </rPr>
          <t xml:space="preserve">
Backfilled from Q1-2024 IP</t>
        </r>
      </text>
    </comment>
    <comment ref="BV255" authorId="0" shapeId="0" xr:uid="{00000000-0006-0000-0100-0000BB000000}">
      <text>
        <r>
          <rPr>
            <b/>
            <sz val="9"/>
            <color rgb="FF000000"/>
            <rFont val="Tahoma"/>
            <family val="2"/>
          </rPr>
          <t>Tegus (BL):</t>
        </r>
        <r>
          <rPr>
            <sz val="9"/>
            <color rgb="FF000000"/>
            <rFont val="Tahoma"/>
            <family val="2"/>
          </rPr>
          <t xml:space="preserve">
Not reported.</t>
        </r>
      </text>
    </comment>
    <comment ref="AQ256" authorId="0" shapeId="0" xr:uid="{00000000-0006-0000-0100-0000BC000000}">
      <text>
        <r>
          <rPr>
            <b/>
            <sz val="9"/>
            <color rgb="FF000000"/>
            <rFont val="Tahoma"/>
            <family val="2"/>
          </rPr>
          <t>Tegus (BL):</t>
        </r>
        <r>
          <rPr>
            <sz val="9"/>
            <color rgb="FF000000"/>
            <rFont val="Tahoma"/>
            <family val="2"/>
          </rPr>
          <t xml:space="preserve">
Backfilled from Q1-2024 IP</t>
        </r>
      </text>
    </comment>
    <comment ref="AR256" authorId="0" shapeId="0" xr:uid="{00000000-0006-0000-0100-0000BD000000}">
      <text>
        <r>
          <rPr>
            <b/>
            <sz val="9"/>
            <color rgb="FF000000"/>
            <rFont val="Tahoma"/>
            <family val="2"/>
          </rPr>
          <t>Tegus (BL):</t>
        </r>
        <r>
          <rPr>
            <sz val="9"/>
            <color rgb="FF000000"/>
            <rFont val="Tahoma"/>
            <family val="2"/>
          </rPr>
          <t xml:space="preserve">
Backfilled from Q1-2024 IP</t>
        </r>
      </text>
    </comment>
    <comment ref="AS256" authorId="0" shapeId="0" xr:uid="{00000000-0006-0000-0100-0000BE000000}">
      <text>
        <r>
          <rPr>
            <b/>
            <sz val="9"/>
            <color rgb="FF000000"/>
            <rFont val="Tahoma"/>
            <family val="2"/>
          </rPr>
          <t>Tegus (BL):</t>
        </r>
        <r>
          <rPr>
            <sz val="9"/>
            <color rgb="FF000000"/>
            <rFont val="Tahoma"/>
            <family val="2"/>
          </rPr>
          <t xml:space="preserve">
Backfilled from Q1-2024 IP</t>
        </r>
      </text>
    </comment>
    <comment ref="AT256" authorId="0" shapeId="0" xr:uid="{00000000-0006-0000-0100-0000BF000000}">
      <text>
        <r>
          <rPr>
            <b/>
            <sz val="9"/>
            <color rgb="FF000000"/>
            <rFont val="Tahoma"/>
            <family val="2"/>
          </rPr>
          <t>Tegus (BL):</t>
        </r>
        <r>
          <rPr>
            <sz val="9"/>
            <color rgb="FF000000"/>
            <rFont val="Tahoma"/>
            <family val="2"/>
          </rPr>
          <t xml:space="preserve">
Backfilled from Q1-2024 IP</t>
        </r>
      </text>
    </comment>
    <comment ref="BV256" authorId="0" shapeId="0" xr:uid="{00000000-0006-0000-0100-0000C0000000}">
      <text>
        <r>
          <rPr>
            <b/>
            <sz val="9"/>
            <color rgb="FF000000"/>
            <rFont val="Tahoma"/>
            <family val="2"/>
          </rPr>
          <t>Tegus (BL):</t>
        </r>
        <r>
          <rPr>
            <sz val="9"/>
            <color rgb="FF000000"/>
            <rFont val="Tahoma"/>
            <family val="2"/>
          </rPr>
          <t xml:space="preserve">
Not reported.</t>
        </r>
      </text>
    </comment>
    <comment ref="AQ257" authorId="0" shapeId="0" xr:uid="{00000000-0006-0000-0100-0000C1000000}">
      <text>
        <r>
          <rPr>
            <b/>
            <sz val="9"/>
            <color rgb="FF000000"/>
            <rFont val="Tahoma"/>
            <family val="2"/>
          </rPr>
          <t>Tegus (BL):</t>
        </r>
        <r>
          <rPr>
            <sz val="9"/>
            <color rgb="FF000000"/>
            <rFont val="Tahoma"/>
            <family val="2"/>
          </rPr>
          <t xml:space="preserve">
Backfilled from Q1-2024 IP</t>
        </r>
      </text>
    </comment>
    <comment ref="AR257" authorId="0" shapeId="0" xr:uid="{00000000-0006-0000-0100-0000C2000000}">
      <text>
        <r>
          <rPr>
            <b/>
            <sz val="9"/>
            <color rgb="FF000000"/>
            <rFont val="Tahoma"/>
            <family val="2"/>
          </rPr>
          <t>Tegus (BL):</t>
        </r>
        <r>
          <rPr>
            <sz val="9"/>
            <color rgb="FF000000"/>
            <rFont val="Tahoma"/>
            <family val="2"/>
          </rPr>
          <t xml:space="preserve">
Backfilled from Q1-2024 IP</t>
        </r>
      </text>
    </comment>
    <comment ref="AS257" authorId="0" shapeId="0" xr:uid="{00000000-0006-0000-0100-0000C3000000}">
      <text>
        <r>
          <rPr>
            <b/>
            <sz val="9"/>
            <color rgb="FF000000"/>
            <rFont val="Tahoma"/>
            <family val="2"/>
          </rPr>
          <t>Tegus (BL):</t>
        </r>
        <r>
          <rPr>
            <sz val="9"/>
            <color rgb="FF000000"/>
            <rFont val="Tahoma"/>
            <family val="2"/>
          </rPr>
          <t xml:space="preserve">
Backfilled from Q1-2024 IP</t>
        </r>
      </text>
    </comment>
    <comment ref="AT257" authorId="0" shapeId="0" xr:uid="{00000000-0006-0000-0100-0000C4000000}">
      <text>
        <r>
          <rPr>
            <b/>
            <sz val="9"/>
            <color rgb="FF000000"/>
            <rFont val="Tahoma"/>
            <family val="2"/>
          </rPr>
          <t>Tegus (BL):</t>
        </r>
        <r>
          <rPr>
            <sz val="9"/>
            <color rgb="FF000000"/>
            <rFont val="Tahoma"/>
            <family val="2"/>
          </rPr>
          <t xml:space="preserve">
Backfilled from Q1-2024 IP</t>
        </r>
      </text>
    </comment>
    <comment ref="BV257" authorId="0" shapeId="0" xr:uid="{00000000-0006-0000-0100-0000C5000000}">
      <text>
        <r>
          <rPr>
            <b/>
            <sz val="9"/>
            <color rgb="FF000000"/>
            <rFont val="Tahoma"/>
            <family val="2"/>
          </rPr>
          <t>Tegus (BL):</t>
        </r>
        <r>
          <rPr>
            <sz val="9"/>
            <color rgb="FF000000"/>
            <rFont val="Tahoma"/>
            <family val="2"/>
          </rPr>
          <t xml:space="preserve">
Not reported.</t>
        </r>
      </text>
    </comment>
    <comment ref="AQ258" authorId="0" shapeId="0" xr:uid="{00000000-0006-0000-0100-0000C6000000}">
      <text>
        <r>
          <rPr>
            <b/>
            <sz val="9"/>
            <color rgb="FF000000"/>
            <rFont val="Tahoma"/>
            <family val="2"/>
          </rPr>
          <t>Tegus (BL):</t>
        </r>
        <r>
          <rPr>
            <sz val="9"/>
            <color rgb="FF000000"/>
            <rFont val="Tahoma"/>
            <family val="2"/>
          </rPr>
          <t xml:space="preserve">
Backfilled from Q1-2024 IP</t>
        </r>
      </text>
    </comment>
    <comment ref="AR258" authorId="0" shapeId="0" xr:uid="{00000000-0006-0000-0100-0000C7000000}">
      <text>
        <r>
          <rPr>
            <b/>
            <sz val="9"/>
            <color rgb="FF000000"/>
            <rFont val="Tahoma"/>
            <family val="2"/>
          </rPr>
          <t>Tegus (BL):</t>
        </r>
        <r>
          <rPr>
            <sz val="9"/>
            <color rgb="FF000000"/>
            <rFont val="Tahoma"/>
            <family val="2"/>
          </rPr>
          <t xml:space="preserve">
Backfilled from Q1-2024 IP</t>
        </r>
      </text>
    </comment>
    <comment ref="AS258" authorId="0" shapeId="0" xr:uid="{00000000-0006-0000-0100-0000C8000000}">
      <text>
        <r>
          <rPr>
            <b/>
            <sz val="9"/>
            <color rgb="FF000000"/>
            <rFont val="Tahoma"/>
            <family val="2"/>
          </rPr>
          <t>Tegus (BL):</t>
        </r>
        <r>
          <rPr>
            <sz val="9"/>
            <color rgb="FF000000"/>
            <rFont val="Tahoma"/>
            <family val="2"/>
          </rPr>
          <t xml:space="preserve">
Backfilled from Q1-2024 IP</t>
        </r>
      </text>
    </comment>
    <comment ref="AT258" authorId="0" shapeId="0" xr:uid="{00000000-0006-0000-0100-0000C9000000}">
      <text>
        <r>
          <rPr>
            <b/>
            <sz val="9"/>
            <color rgb="FF000000"/>
            <rFont val="Tahoma"/>
            <family val="2"/>
          </rPr>
          <t>Tegus (BL):</t>
        </r>
        <r>
          <rPr>
            <sz val="9"/>
            <color rgb="FF000000"/>
            <rFont val="Tahoma"/>
            <family val="2"/>
          </rPr>
          <t xml:space="preserve">
Backfilled from Q1-2024 IP</t>
        </r>
      </text>
    </comment>
    <comment ref="BV258" authorId="0" shapeId="0" xr:uid="{00000000-0006-0000-0100-0000CA000000}">
      <text>
        <r>
          <rPr>
            <b/>
            <sz val="9"/>
            <color rgb="FF000000"/>
            <rFont val="Tahoma"/>
            <family val="2"/>
          </rPr>
          <t>Tegus (BL):</t>
        </r>
        <r>
          <rPr>
            <sz val="9"/>
            <color rgb="FF000000"/>
            <rFont val="Tahoma"/>
            <family val="2"/>
          </rPr>
          <t xml:space="preserve">
Not reported.</t>
        </r>
      </text>
    </comment>
    <comment ref="AN259" authorId="0" shapeId="0" xr:uid="{00000000-0006-0000-0100-0000CB000000}">
      <text>
        <r>
          <rPr>
            <b/>
            <sz val="9"/>
            <color rgb="FF000000"/>
            <rFont val="Tahoma"/>
            <family val="2"/>
          </rPr>
          <t>Tegus (HQ):</t>
        </r>
        <r>
          <rPr>
            <sz val="9"/>
            <color rgb="FF000000"/>
            <rFont val="Tahoma"/>
            <family val="2"/>
          </rPr>
          <t xml:space="preserve">
Reported in Q2-2022 PR</t>
        </r>
      </text>
    </comment>
    <comment ref="BU259" authorId="0" shapeId="0" xr:uid="{00000000-0006-0000-0100-0000CC000000}">
      <text>
        <r>
          <rPr>
            <b/>
            <sz val="9"/>
            <color rgb="FF000000"/>
            <rFont val="Tahoma"/>
            <family val="2"/>
          </rPr>
          <t>Tegus (LZ):</t>
        </r>
        <r>
          <rPr>
            <sz val="9"/>
            <color rgb="FF000000"/>
            <rFont val="Tahoma"/>
            <family val="2"/>
          </rPr>
          <t xml:space="preserve">
Not reported</t>
        </r>
      </text>
    </comment>
    <comment ref="AQ261" authorId="0" shapeId="0" xr:uid="{00000000-0006-0000-0100-0000CD000000}">
      <text>
        <r>
          <rPr>
            <b/>
            <sz val="9"/>
            <color rgb="FF000000"/>
            <rFont val="Tahoma"/>
            <family val="2"/>
          </rPr>
          <t>Tegus (BL):</t>
        </r>
        <r>
          <rPr>
            <sz val="9"/>
            <color rgb="FF000000"/>
            <rFont val="Tahoma"/>
            <family val="2"/>
          </rPr>
          <t xml:space="preserve">
Backfilled from Q1-2024 IP</t>
        </r>
      </text>
    </comment>
    <comment ref="AR261" authorId="0" shapeId="0" xr:uid="{00000000-0006-0000-0100-0000CE000000}">
      <text>
        <r>
          <rPr>
            <b/>
            <sz val="9"/>
            <color rgb="FF000000"/>
            <rFont val="Tahoma"/>
            <family val="2"/>
          </rPr>
          <t>Tegus (BL):</t>
        </r>
        <r>
          <rPr>
            <sz val="9"/>
            <color rgb="FF000000"/>
            <rFont val="Tahoma"/>
            <family val="2"/>
          </rPr>
          <t xml:space="preserve">
Backfilled from Q1-2024 IP</t>
        </r>
      </text>
    </comment>
    <comment ref="AS261" authorId="0" shapeId="0" xr:uid="{00000000-0006-0000-0100-0000CF000000}">
      <text>
        <r>
          <rPr>
            <b/>
            <sz val="9"/>
            <color rgb="FF000000"/>
            <rFont val="Tahoma"/>
            <family val="2"/>
          </rPr>
          <t>Tegus (BL):</t>
        </r>
        <r>
          <rPr>
            <sz val="9"/>
            <color rgb="FF000000"/>
            <rFont val="Tahoma"/>
            <family val="2"/>
          </rPr>
          <t xml:space="preserve">
Backfilled from Q1-2024 IP</t>
        </r>
      </text>
    </comment>
    <comment ref="AT261" authorId="0" shapeId="0" xr:uid="{00000000-0006-0000-0100-0000D0000000}">
      <text>
        <r>
          <rPr>
            <b/>
            <sz val="9"/>
            <color rgb="FF000000"/>
            <rFont val="Tahoma"/>
            <family val="2"/>
          </rPr>
          <t>Tegus (BL):</t>
        </r>
        <r>
          <rPr>
            <sz val="9"/>
            <color rgb="FF000000"/>
            <rFont val="Tahoma"/>
            <family val="2"/>
          </rPr>
          <t xml:space="preserve">
Backfilled from Q1-2024 IP</t>
        </r>
      </text>
    </comment>
    <comment ref="BV261" authorId="0" shapeId="0" xr:uid="{00000000-0006-0000-0100-0000D1000000}">
      <text>
        <r>
          <rPr>
            <b/>
            <sz val="9"/>
            <color rgb="FF000000"/>
            <rFont val="Tahoma"/>
            <family val="2"/>
          </rPr>
          <t>Tegus (BL):</t>
        </r>
        <r>
          <rPr>
            <sz val="9"/>
            <color rgb="FF000000"/>
            <rFont val="Tahoma"/>
            <family val="2"/>
          </rPr>
          <t xml:space="preserve">
Not reported.</t>
        </r>
      </text>
    </comment>
    <comment ref="AQ262" authorId="0" shapeId="0" xr:uid="{00000000-0006-0000-0100-0000D2000000}">
      <text>
        <r>
          <rPr>
            <b/>
            <sz val="9"/>
            <color rgb="FF000000"/>
            <rFont val="Tahoma"/>
            <family val="2"/>
          </rPr>
          <t>Tegus (BL):</t>
        </r>
        <r>
          <rPr>
            <sz val="9"/>
            <color rgb="FF000000"/>
            <rFont val="Tahoma"/>
            <family val="2"/>
          </rPr>
          <t xml:space="preserve">
Backfilled from Q1-2024 IP</t>
        </r>
      </text>
    </comment>
    <comment ref="AR262" authorId="0" shapeId="0" xr:uid="{00000000-0006-0000-0100-0000D3000000}">
      <text>
        <r>
          <rPr>
            <b/>
            <sz val="9"/>
            <color rgb="FF000000"/>
            <rFont val="Tahoma"/>
            <family val="2"/>
          </rPr>
          <t>Tegus (BL):</t>
        </r>
        <r>
          <rPr>
            <sz val="9"/>
            <color rgb="FF000000"/>
            <rFont val="Tahoma"/>
            <family val="2"/>
          </rPr>
          <t xml:space="preserve">
Backfilled from Q1-2024 IP</t>
        </r>
      </text>
    </comment>
    <comment ref="AS262" authorId="0" shapeId="0" xr:uid="{00000000-0006-0000-0100-0000D4000000}">
      <text>
        <r>
          <rPr>
            <b/>
            <sz val="9"/>
            <color rgb="FF000000"/>
            <rFont val="Tahoma"/>
            <family val="2"/>
          </rPr>
          <t>Tegus (BL):</t>
        </r>
        <r>
          <rPr>
            <sz val="9"/>
            <color rgb="FF000000"/>
            <rFont val="Tahoma"/>
            <family val="2"/>
          </rPr>
          <t xml:space="preserve">
Backfilled from Q1-2024 IP</t>
        </r>
      </text>
    </comment>
    <comment ref="AT262" authorId="0" shapeId="0" xr:uid="{00000000-0006-0000-0100-0000D5000000}">
      <text>
        <r>
          <rPr>
            <b/>
            <sz val="9"/>
            <color rgb="FF000000"/>
            <rFont val="Tahoma"/>
            <family val="2"/>
          </rPr>
          <t>Tegus (BL):</t>
        </r>
        <r>
          <rPr>
            <sz val="9"/>
            <color rgb="FF000000"/>
            <rFont val="Tahoma"/>
            <family val="2"/>
          </rPr>
          <t xml:space="preserve">
Backfilled from Q1-2024 IP</t>
        </r>
      </text>
    </comment>
    <comment ref="BV262" authorId="0" shapeId="0" xr:uid="{00000000-0006-0000-0100-0000D6000000}">
      <text>
        <r>
          <rPr>
            <b/>
            <sz val="9"/>
            <color rgb="FF000000"/>
            <rFont val="Tahoma"/>
            <family val="2"/>
          </rPr>
          <t>Tegus (BL):</t>
        </r>
        <r>
          <rPr>
            <sz val="9"/>
            <color rgb="FF000000"/>
            <rFont val="Tahoma"/>
            <family val="2"/>
          </rPr>
          <t xml:space="preserve">
Not reported.</t>
        </r>
      </text>
    </comment>
    <comment ref="AQ263" authorId="0" shapeId="0" xr:uid="{00000000-0006-0000-0100-0000D7000000}">
      <text>
        <r>
          <rPr>
            <b/>
            <sz val="9"/>
            <color rgb="FF000000"/>
            <rFont val="Tahoma"/>
            <family val="2"/>
          </rPr>
          <t>Tegus (BL):</t>
        </r>
        <r>
          <rPr>
            <sz val="9"/>
            <color rgb="FF000000"/>
            <rFont val="Tahoma"/>
            <family val="2"/>
          </rPr>
          <t xml:space="preserve">
Backfilled from Q1-2024 IP</t>
        </r>
      </text>
    </comment>
    <comment ref="AR263" authorId="0" shapeId="0" xr:uid="{00000000-0006-0000-0100-0000D8000000}">
      <text>
        <r>
          <rPr>
            <b/>
            <sz val="9"/>
            <color rgb="FF000000"/>
            <rFont val="Tahoma"/>
            <family val="2"/>
          </rPr>
          <t>Tegus (BL):</t>
        </r>
        <r>
          <rPr>
            <sz val="9"/>
            <color rgb="FF000000"/>
            <rFont val="Tahoma"/>
            <family val="2"/>
          </rPr>
          <t xml:space="preserve">
Backfilled from Q1-2024 IP</t>
        </r>
      </text>
    </comment>
    <comment ref="AS263" authorId="0" shapeId="0" xr:uid="{00000000-0006-0000-0100-0000D9000000}">
      <text>
        <r>
          <rPr>
            <b/>
            <sz val="9"/>
            <color rgb="FF000000"/>
            <rFont val="Tahoma"/>
            <family val="2"/>
          </rPr>
          <t>Tegus (BL):</t>
        </r>
        <r>
          <rPr>
            <sz val="9"/>
            <color rgb="FF000000"/>
            <rFont val="Tahoma"/>
            <family val="2"/>
          </rPr>
          <t xml:space="preserve">
Backfilled from Q1-2024 IP</t>
        </r>
      </text>
    </comment>
    <comment ref="AT263" authorId="0" shapeId="0" xr:uid="{00000000-0006-0000-0100-0000DA000000}">
      <text>
        <r>
          <rPr>
            <b/>
            <sz val="9"/>
            <color rgb="FF000000"/>
            <rFont val="Tahoma"/>
            <family val="2"/>
          </rPr>
          <t>Tegus (BL):</t>
        </r>
        <r>
          <rPr>
            <sz val="9"/>
            <color rgb="FF000000"/>
            <rFont val="Tahoma"/>
            <family val="2"/>
          </rPr>
          <t xml:space="preserve">
Backfilled from Q1-2024 IP</t>
        </r>
      </text>
    </comment>
    <comment ref="BV263" authorId="0" shapeId="0" xr:uid="{00000000-0006-0000-0100-0000DB000000}">
      <text>
        <r>
          <rPr>
            <b/>
            <sz val="9"/>
            <color rgb="FF000000"/>
            <rFont val="Tahoma"/>
            <family val="2"/>
          </rPr>
          <t>Tegus (BL):</t>
        </r>
        <r>
          <rPr>
            <sz val="9"/>
            <color rgb="FF000000"/>
            <rFont val="Tahoma"/>
            <family val="2"/>
          </rPr>
          <t xml:space="preserve">
Not reported.</t>
        </r>
      </text>
    </comment>
    <comment ref="AQ264" authorId="0" shapeId="0" xr:uid="{00000000-0006-0000-0100-0000DC000000}">
      <text>
        <r>
          <rPr>
            <b/>
            <sz val="9"/>
            <color rgb="FF000000"/>
            <rFont val="Tahoma"/>
            <family val="2"/>
          </rPr>
          <t>Tegus (BL):</t>
        </r>
        <r>
          <rPr>
            <sz val="9"/>
            <color rgb="FF000000"/>
            <rFont val="Tahoma"/>
            <family val="2"/>
          </rPr>
          <t xml:space="preserve">
Backfilled from Q1-2024 IP</t>
        </r>
      </text>
    </comment>
    <comment ref="AR264" authorId="0" shapeId="0" xr:uid="{00000000-0006-0000-0100-0000DD000000}">
      <text>
        <r>
          <rPr>
            <b/>
            <sz val="9"/>
            <color rgb="FF000000"/>
            <rFont val="Tahoma"/>
            <family val="2"/>
          </rPr>
          <t>Tegus (BL):</t>
        </r>
        <r>
          <rPr>
            <sz val="9"/>
            <color rgb="FF000000"/>
            <rFont val="Tahoma"/>
            <family val="2"/>
          </rPr>
          <t xml:space="preserve">
Backfilled from Q1-2024 IP</t>
        </r>
      </text>
    </comment>
    <comment ref="AS264" authorId="0" shapeId="0" xr:uid="{00000000-0006-0000-0100-0000DE000000}">
      <text>
        <r>
          <rPr>
            <b/>
            <sz val="9"/>
            <color rgb="FF000000"/>
            <rFont val="Tahoma"/>
            <family val="2"/>
          </rPr>
          <t>Tegus (BL):</t>
        </r>
        <r>
          <rPr>
            <sz val="9"/>
            <color rgb="FF000000"/>
            <rFont val="Tahoma"/>
            <family val="2"/>
          </rPr>
          <t xml:space="preserve">
Backfilled from Q1-2024 IP</t>
        </r>
      </text>
    </comment>
    <comment ref="AT264" authorId="0" shapeId="0" xr:uid="{00000000-0006-0000-0100-0000DF000000}">
      <text>
        <r>
          <rPr>
            <b/>
            <sz val="9"/>
            <color rgb="FF000000"/>
            <rFont val="Tahoma"/>
            <family val="2"/>
          </rPr>
          <t>Tegus (BL):</t>
        </r>
        <r>
          <rPr>
            <sz val="9"/>
            <color rgb="FF000000"/>
            <rFont val="Tahoma"/>
            <family val="2"/>
          </rPr>
          <t xml:space="preserve">
Backfilled from Q1-2024 IP</t>
        </r>
      </text>
    </comment>
    <comment ref="BV264" authorId="0" shapeId="0" xr:uid="{00000000-0006-0000-0100-0000E0000000}">
      <text>
        <r>
          <rPr>
            <b/>
            <sz val="9"/>
            <color rgb="FF000000"/>
            <rFont val="Tahoma"/>
            <family val="2"/>
          </rPr>
          <t>Tegus (BL):</t>
        </r>
        <r>
          <rPr>
            <sz val="9"/>
            <color rgb="FF000000"/>
            <rFont val="Tahoma"/>
            <family val="2"/>
          </rPr>
          <t xml:space="preserve">
Not reported.</t>
        </r>
      </text>
    </comment>
    <comment ref="AN265" authorId="0" shapeId="0" xr:uid="{00000000-0006-0000-0100-0000E1000000}">
      <text>
        <r>
          <rPr>
            <b/>
            <sz val="9"/>
            <color rgb="FF000000"/>
            <rFont val="Tahoma"/>
            <family val="2"/>
          </rPr>
          <t>Tegus (HQ):</t>
        </r>
        <r>
          <rPr>
            <sz val="9"/>
            <color rgb="FF000000"/>
            <rFont val="Tahoma"/>
            <family val="2"/>
          </rPr>
          <t xml:space="preserve">
Reported in Q2-2022 PR</t>
        </r>
      </text>
    </comment>
    <comment ref="BU265" authorId="0" shapeId="0" xr:uid="{00000000-0006-0000-0100-0000E2000000}">
      <text>
        <r>
          <rPr>
            <b/>
            <sz val="9"/>
            <color rgb="FF000000"/>
            <rFont val="Tahoma"/>
            <family val="2"/>
          </rPr>
          <t>Tegus (LZ):</t>
        </r>
        <r>
          <rPr>
            <sz val="9"/>
            <color rgb="FF000000"/>
            <rFont val="Tahoma"/>
            <family val="2"/>
          </rPr>
          <t xml:space="preserve">
Not reported</t>
        </r>
      </text>
    </comment>
    <comment ref="AU267" authorId="0" shapeId="0" xr:uid="{00000000-0006-0000-0100-0000E3000000}">
      <text>
        <r>
          <rPr>
            <b/>
            <sz val="9"/>
            <color rgb="FF000000"/>
            <rFont val="Tahoma"/>
            <family val="2"/>
          </rPr>
          <t>Tegus (TZ):</t>
        </r>
        <r>
          <rPr>
            <sz val="9"/>
            <color rgb="FF000000"/>
            <rFont val="Tahoma"/>
            <family val="2"/>
          </rPr>
          <t xml:space="preserve">
Not reported</t>
        </r>
      </text>
    </comment>
    <comment ref="AY282" authorId="0" shapeId="0" xr:uid="{00000000-0006-0000-0100-0000E4000000}">
      <text>
        <r>
          <rPr>
            <b/>
            <sz val="9"/>
            <color rgb="FF000000"/>
            <rFont val="Tahoma"/>
            <family val="2"/>
          </rPr>
          <t>Tegus:</t>
        </r>
        <r>
          <rPr>
            <sz val="9"/>
            <color rgb="FF000000"/>
            <rFont val="Tahoma"/>
            <family val="2"/>
          </rPr>
          <t xml:space="preserve">
To be updated with 10-Q/K</t>
        </r>
      </text>
    </comment>
    <comment ref="AY296" authorId="0" shapeId="0" xr:uid="{00000000-0006-0000-0100-0000E5000000}">
      <text>
        <r>
          <rPr>
            <b/>
            <sz val="9"/>
            <color rgb="FF000000"/>
            <rFont val="Tahoma"/>
            <family val="2"/>
          </rPr>
          <t>Tegus:</t>
        </r>
        <r>
          <rPr>
            <sz val="9"/>
            <color rgb="FF000000"/>
            <rFont val="Tahoma"/>
            <family val="2"/>
          </rPr>
          <t xml:space="preserve">
To be updated with 10-Q/K</t>
        </r>
      </text>
    </comment>
    <comment ref="AM346" authorId="0" shapeId="0" xr:uid="{00000000-0006-0000-0100-0000E6000000}">
      <text>
        <r>
          <rPr>
            <b/>
            <sz val="9"/>
            <color rgb="FF000000"/>
            <rFont val="Tahoma"/>
            <family val="2"/>
          </rPr>
          <t>Tegus (KB):</t>
        </r>
        <r>
          <rPr>
            <sz val="9"/>
            <color rgb="FF000000"/>
            <rFont val="Tahoma"/>
            <family val="2"/>
          </rPr>
          <t xml:space="preserve">
From year ahead filing</t>
        </r>
      </text>
    </comment>
    <comment ref="AN346" authorId="0" shapeId="0" xr:uid="{00000000-0006-0000-0100-0000E7000000}">
      <text>
        <r>
          <rPr>
            <b/>
            <sz val="9"/>
            <color rgb="FF000000"/>
            <rFont val="Tahoma"/>
            <family val="2"/>
          </rPr>
          <t>Tegus (KB):</t>
        </r>
        <r>
          <rPr>
            <sz val="9"/>
            <color rgb="FF000000"/>
            <rFont val="Tahoma"/>
            <family val="2"/>
          </rPr>
          <t xml:space="preserve">
From year ahead filing</t>
        </r>
      </text>
    </comment>
    <comment ref="AO346" authorId="0" shapeId="0" xr:uid="{00000000-0006-0000-0100-0000E8000000}">
      <text>
        <r>
          <rPr>
            <b/>
            <sz val="9"/>
            <color rgb="FF000000"/>
            <rFont val="Tahoma"/>
            <family val="2"/>
          </rPr>
          <t>Tegus (KB):</t>
        </r>
        <r>
          <rPr>
            <sz val="9"/>
            <color rgb="FF000000"/>
            <rFont val="Tahoma"/>
            <family val="2"/>
          </rPr>
          <t xml:space="preserve">
From year ahead filing</t>
        </r>
      </text>
    </comment>
    <comment ref="AP346" authorId="0" shapeId="0" xr:uid="{00000000-0006-0000-0100-0000E9000000}">
      <text>
        <r>
          <rPr>
            <b/>
            <sz val="9"/>
            <color rgb="FF000000"/>
            <rFont val="Tahoma"/>
            <family val="2"/>
          </rPr>
          <t>Tegus (KB):</t>
        </r>
        <r>
          <rPr>
            <sz val="9"/>
            <color rgb="FF000000"/>
            <rFont val="Tahoma"/>
            <family val="2"/>
          </rPr>
          <t xml:space="preserve">
From year ahead filing</t>
        </r>
      </text>
    </comment>
    <comment ref="AY346" authorId="0" shapeId="0" xr:uid="{00000000-0006-0000-0100-0000EA000000}">
      <text>
        <r>
          <rPr>
            <b/>
            <sz val="9"/>
            <color rgb="FF000000"/>
            <rFont val="Tahoma"/>
            <family val="2"/>
          </rPr>
          <t>Tegus:</t>
        </r>
        <r>
          <rPr>
            <sz val="9"/>
            <color rgb="FF000000"/>
            <rFont val="Tahoma"/>
            <family val="2"/>
          </rPr>
          <t xml:space="preserve">
Estimated. To be updated with 10-Q/K</t>
        </r>
      </text>
    </comment>
    <comment ref="BU346" authorId="0" shapeId="0" xr:uid="{00000000-0006-0000-0100-0000EB000000}">
      <text>
        <r>
          <rPr>
            <b/>
            <sz val="9"/>
            <color rgb="FF000000"/>
            <rFont val="Tahoma"/>
            <family val="2"/>
          </rPr>
          <t>Tegus (KB):</t>
        </r>
        <r>
          <rPr>
            <sz val="9"/>
            <color rgb="FF000000"/>
            <rFont val="Tahoma"/>
            <family val="2"/>
          </rPr>
          <t xml:space="preserve">
From year ahead filing</t>
        </r>
      </text>
    </comment>
    <comment ref="AM347" authorId="0" shapeId="0" xr:uid="{00000000-0006-0000-0100-0000EC000000}">
      <text>
        <r>
          <rPr>
            <b/>
            <sz val="9"/>
            <color rgb="FF000000"/>
            <rFont val="Tahoma"/>
            <family val="2"/>
          </rPr>
          <t>Tegus (KB):</t>
        </r>
        <r>
          <rPr>
            <sz val="9"/>
            <color rgb="FF000000"/>
            <rFont val="Tahoma"/>
            <family val="2"/>
          </rPr>
          <t xml:space="preserve">
From year ahead filing</t>
        </r>
      </text>
    </comment>
    <comment ref="AN347" authorId="0" shapeId="0" xr:uid="{00000000-0006-0000-0100-0000ED000000}">
      <text>
        <r>
          <rPr>
            <b/>
            <sz val="9"/>
            <color rgb="FF000000"/>
            <rFont val="Tahoma"/>
            <family val="2"/>
          </rPr>
          <t>Tegus (KB):</t>
        </r>
        <r>
          <rPr>
            <sz val="9"/>
            <color rgb="FF000000"/>
            <rFont val="Tahoma"/>
            <family val="2"/>
          </rPr>
          <t xml:space="preserve">
From year ahead filing</t>
        </r>
      </text>
    </comment>
    <comment ref="AO347" authorId="0" shapeId="0" xr:uid="{00000000-0006-0000-0100-0000EE000000}">
      <text>
        <r>
          <rPr>
            <b/>
            <sz val="9"/>
            <color rgb="FF000000"/>
            <rFont val="Tahoma"/>
            <family val="2"/>
          </rPr>
          <t>Tegus (KB):</t>
        </r>
        <r>
          <rPr>
            <sz val="9"/>
            <color rgb="FF000000"/>
            <rFont val="Tahoma"/>
            <family val="2"/>
          </rPr>
          <t xml:space="preserve">
From year ahead filing</t>
        </r>
      </text>
    </comment>
    <comment ref="AP347" authorId="0" shapeId="0" xr:uid="{00000000-0006-0000-0100-0000EF000000}">
      <text>
        <r>
          <rPr>
            <b/>
            <sz val="9"/>
            <color rgb="FF000000"/>
            <rFont val="Tahoma"/>
            <family val="2"/>
          </rPr>
          <t>Tegus (KB):</t>
        </r>
        <r>
          <rPr>
            <sz val="9"/>
            <color rgb="FF000000"/>
            <rFont val="Tahoma"/>
            <family val="2"/>
          </rPr>
          <t xml:space="preserve">
From year ahead filing</t>
        </r>
      </text>
    </comment>
    <comment ref="AY347" authorId="0" shapeId="0" xr:uid="{00000000-0006-0000-0100-0000F0000000}">
      <text>
        <r>
          <rPr>
            <b/>
            <sz val="9"/>
            <color rgb="FF000000"/>
            <rFont val="Tahoma"/>
            <family val="2"/>
          </rPr>
          <t>Tegus:</t>
        </r>
        <r>
          <rPr>
            <sz val="9"/>
            <color rgb="FF000000"/>
            <rFont val="Tahoma"/>
            <family val="2"/>
          </rPr>
          <t xml:space="preserve">
Estimated. To be updated with 10-Q/K</t>
        </r>
      </text>
    </comment>
    <comment ref="BU347" authorId="0" shapeId="0" xr:uid="{00000000-0006-0000-0100-0000F1000000}">
      <text>
        <r>
          <rPr>
            <b/>
            <sz val="9"/>
            <color rgb="FF000000"/>
            <rFont val="Tahoma"/>
            <family val="2"/>
          </rPr>
          <t>Tegus (KB):</t>
        </r>
        <r>
          <rPr>
            <sz val="9"/>
            <color rgb="FF000000"/>
            <rFont val="Tahoma"/>
            <family val="2"/>
          </rPr>
          <t xml:space="preserve">
From year ahead filing</t>
        </r>
      </text>
    </comment>
    <comment ref="AY349" authorId="0" shapeId="0" xr:uid="{00000000-0006-0000-0100-0000F2000000}">
      <text>
        <r>
          <rPr>
            <b/>
            <sz val="9"/>
            <color rgb="FF000000"/>
            <rFont val="Tahoma"/>
            <family val="2"/>
          </rPr>
          <t>Tegus:</t>
        </r>
        <r>
          <rPr>
            <sz val="9"/>
            <color rgb="FF000000"/>
            <rFont val="Tahoma"/>
            <family val="2"/>
          </rPr>
          <t xml:space="preserve">
Estimated. To be updated with 10-Q/K</t>
        </r>
      </text>
    </comment>
    <comment ref="AY350" authorId="0" shapeId="0" xr:uid="{00000000-0006-0000-0100-0000F3000000}">
      <text>
        <r>
          <rPr>
            <b/>
            <sz val="9"/>
            <color rgb="FF000000"/>
            <rFont val="Tahoma"/>
            <family val="2"/>
          </rPr>
          <t>Tegus:</t>
        </r>
        <r>
          <rPr>
            <sz val="9"/>
            <color rgb="FF000000"/>
            <rFont val="Tahoma"/>
            <family val="2"/>
          </rPr>
          <t xml:space="preserve">
Estimated. To be updated with 10-Q/K</t>
        </r>
      </text>
    </comment>
    <comment ref="BS350" authorId="0" shapeId="0" xr:uid="{00000000-0006-0000-0100-0000F4000000}">
      <text>
        <r>
          <rPr>
            <b/>
            <sz val="9"/>
            <color rgb="FF000000"/>
            <rFont val="Tahoma"/>
            <family val="2"/>
          </rPr>
          <t>Tegus (DL):</t>
        </r>
        <r>
          <rPr>
            <sz val="9"/>
            <color rgb="FF000000"/>
            <rFont val="Tahoma"/>
            <family val="2"/>
          </rPr>
          <t xml:space="preserve">
Foreign currency exchange losses, net of -129 and Other income (expenses), net of -34.</t>
        </r>
      </text>
    </comment>
    <comment ref="N357" authorId="0" shapeId="0" xr:uid="{00000000-0006-0000-0100-0000F5000000}">
      <text>
        <r>
          <rPr>
            <b/>
            <sz val="9"/>
            <color rgb="FF000000"/>
            <rFont val="Tahoma"/>
            <family val="2"/>
          </rPr>
          <t>Tegus (VT):</t>
        </r>
        <r>
          <rPr>
            <sz val="9"/>
            <color rgb="FF000000"/>
            <rFont val="Tahoma"/>
            <family val="2"/>
          </rPr>
          <t xml:space="preserve">
As reported. Rounding error</t>
        </r>
      </text>
    </comment>
    <comment ref="R357" authorId="0" shapeId="0" xr:uid="{00000000-0006-0000-0100-0000F6000000}">
      <text>
        <r>
          <rPr>
            <b/>
            <sz val="9"/>
            <color rgb="FF000000"/>
            <rFont val="Tahoma"/>
            <family val="2"/>
          </rPr>
          <t>Tegus (VT):</t>
        </r>
        <r>
          <rPr>
            <sz val="9"/>
            <color rgb="FF000000"/>
            <rFont val="Tahoma"/>
            <family val="2"/>
          </rPr>
          <t xml:space="preserve">
As reported. Rounding error</t>
        </r>
      </text>
    </comment>
    <comment ref="T357" authorId="0" shapeId="0" xr:uid="{00000000-0006-0000-0100-0000F7000000}">
      <text>
        <r>
          <rPr>
            <b/>
            <sz val="9"/>
            <color rgb="FF000000"/>
            <rFont val="Tahoma"/>
            <family val="2"/>
          </rPr>
          <t>Tegus (GJ):</t>
        </r>
        <r>
          <rPr>
            <sz val="9"/>
            <color rgb="FF000000"/>
            <rFont val="Tahoma"/>
            <family val="2"/>
          </rPr>
          <t xml:space="preserve">
As reported on press release</t>
        </r>
      </text>
    </comment>
    <comment ref="U357" authorId="0" shapeId="0" xr:uid="{00000000-0006-0000-0100-0000F8000000}">
      <text>
        <r>
          <rPr>
            <b/>
            <sz val="9"/>
            <color rgb="FF000000"/>
            <rFont val="Tahoma"/>
            <family val="2"/>
          </rPr>
          <t>Tegus (AH):</t>
        </r>
        <r>
          <rPr>
            <sz val="9"/>
            <color rgb="FF000000"/>
            <rFont val="Tahoma"/>
            <family val="2"/>
          </rPr>
          <t xml:space="preserve">
Due to prior rounding error</t>
        </r>
      </text>
    </comment>
    <comment ref="V357" authorId="0" shapeId="0" xr:uid="{00000000-0006-0000-0100-0000F9000000}">
      <text>
        <r>
          <rPr>
            <b/>
            <sz val="9"/>
            <color rgb="FF000000"/>
            <rFont val="Tahoma"/>
            <family val="2"/>
          </rPr>
          <t>Tegus (VT):</t>
        </r>
        <r>
          <rPr>
            <sz val="9"/>
            <color rgb="FF000000"/>
            <rFont val="Tahoma"/>
            <family val="2"/>
          </rPr>
          <t xml:space="preserve">
As reported. Rounding error</t>
        </r>
      </text>
    </comment>
    <comment ref="X357" authorId="0" shapeId="0" xr:uid="{00000000-0006-0000-0100-0000FA000000}">
      <text>
        <r>
          <rPr>
            <b/>
            <sz val="9"/>
            <color rgb="FF000000"/>
            <rFont val="Tahoma"/>
            <family val="2"/>
          </rPr>
          <t>Tegus (AY):</t>
        </r>
        <r>
          <rPr>
            <sz val="9"/>
            <color rgb="FF000000"/>
            <rFont val="Tahoma"/>
            <family val="2"/>
          </rPr>
          <t xml:space="preserve">
As reported. Rounding error</t>
        </r>
      </text>
    </comment>
    <comment ref="Z357" authorId="0" shapeId="0" xr:uid="{00000000-0006-0000-0100-0000FB000000}">
      <text>
        <r>
          <rPr>
            <b/>
            <sz val="9"/>
            <color rgb="FF000000"/>
            <rFont val="Tahoma"/>
            <family val="2"/>
          </rPr>
          <t>Tegus (AY):</t>
        </r>
        <r>
          <rPr>
            <sz val="9"/>
            <color rgb="FF000000"/>
            <rFont val="Tahoma"/>
            <family val="2"/>
          </rPr>
          <t xml:space="preserve">
As reported. Rounding error</t>
        </r>
      </text>
    </comment>
    <comment ref="AF357" authorId="0" shapeId="0" xr:uid="{00000000-0006-0000-0100-0000FC000000}">
      <text>
        <r>
          <rPr>
            <b/>
            <sz val="9"/>
            <color rgb="FF000000"/>
            <rFont val="Tahoma"/>
            <family val="2"/>
          </rPr>
          <t>Tegus (LZ):</t>
        </r>
        <r>
          <rPr>
            <sz val="9"/>
            <color rgb="FF000000"/>
            <rFont val="Tahoma"/>
            <family val="2"/>
          </rPr>
          <t xml:space="preserve">
Rounding error</t>
        </r>
      </text>
    </comment>
    <comment ref="AJ357" authorId="0" shapeId="0" xr:uid="{00000000-0006-0000-0100-0000FD000000}">
      <text>
        <r>
          <rPr>
            <b/>
            <sz val="9"/>
            <color rgb="FF000000"/>
            <rFont val="Tahoma"/>
            <family val="2"/>
          </rPr>
          <t>Tegus (DL):</t>
        </r>
        <r>
          <rPr>
            <sz val="9"/>
            <color rgb="FF000000"/>
            <rFont val="Tahoma"/>
            <family val="2"/>
          </rPr>
          <t xml:space="preserve">
Rounding error</t>
        </r>
      </text>
    </comment>
    <comment ref="AK357" authorId="0" shapeId="0" xr:uid="{00000000-0006-0000-0100-0000FE000000}">
      <text>
        <r>
          <rPr>
            <b/>
            <sz val="9"/>
            <color rgb="FF000000"/>
            <rFont val="Tahoma"/>
            <family val="2"/>
          </rPr>
          <t>Tegus (MG):</t>
        </r>
        <r>
          <rPr>
            <sz val="9"/>
            <color rgb="FF000000"/>
            <rFont val="Tahoma"/>
            <family val="2"/>
          </rPr>
          <t xml:space="preserve">
Rounding error</t>
        </r>
      </text>
    </comment>
    <comment ref="AL357" authorId="0" shapeId="0" xr:uid="{00000000-0006-0000-0100-0000FF000000}">
      <text>
        <r>
          <rPr>
            <b/>
            <sz val="9"/>
            <color rgb="FF000000"/>
            <rFont val="Tahoma"/>
            <family val="2"/>
          </rPr>
          <t>Tegus (HQ):</t>
        </r>
        <r>
          <rPr>
            <sz val="9"/>
            <color rgb="FF000000"/>
            <rFont val="Tahoma"/>
            <family val="2"/>
          </rPr>
          <t xml:space="preserve">
Due to rounding</t>
        </r>
      </text>
    </comment>
    <comment ref="AP357" authorId="0" shapeId="0" xr:uid="{00000000-0006-0000-0100-000000010000}">
      <text>
        <r>
          <rPr>
            <b/>
            <sz val="9"/>
            <color rgb="FF000000"/>
            <rFont val="Tahoma"/>
            <family val="2"/>
          </rPr>
          <t>Tegus (AK):</t>
        </r>
        <r>
          <rPr>
            <sz val="9"/>
            <color rgb="FF000000"/>
            <rFont val="Tahoma"/>
            <family val="2"/>
          </rPr>
          <t xml:space="preserve">
as reported</t>
        </r>
      </text>
    </comment>
    <comment ref="AR357" authorId="0" shapeId="0" xr:uid="{00000000-0006-0000-0100-000001010000}">
      <text>
        <r>
          <rPr>
            <b/>
            <sz val="9"/>
            <color rgb="FF000000"/>
            <rFont val="Tahoma"/>
            <family val="2"/>
          </rPr>
          <t>Tegus (TZ):</t>
        </r>
        <r>
          <rPr>
            <sz val="9"/>
            <color rgb="FF000000"/>
            <rFont val="Tahoma"/>
            <family val="2"/>
          </rPr>
          <t xml:space="preserve">
Rounding</t>
        </r>
      </text>
    </comment>
    <comment ref="O360" authorId="0" shapeId="0" xr:uid="{00000000-0006-0000-0100-000002010000}">
      <text>
        <r>
          <rPr>
            <b/>
            <sz val="9"/>
            <color rgb="FF000000"/>
            <rFont val="Tahoma"/>
            <family val="2"/>
          </rPr>
          <t>Tegus (VT):</t>
        </r>
        <r>
          <rPr>
            <sz val="9"/>
            <color rgb="FF000000"/>
            <rFont val="Tahoma"/>
            <family val="2"/>
          </rPr>
          <t xml:space="preserve">
Hardcoded as reported in FY2016 PR releases since company did not report restated adjusted net income in FY2017 PR releases.</t>
        </r>
      </text>
    </comment>
    <comment ref="P360" authorId="0" shapeId="0" xr:uid="{00000000-0006-0000-0100-000003010000}">
      <text>
        <r>
          <rPr>
            <b/>
            <sz val="9"/>
            <color rgb="FF000000"/>
            <rFont val="Tahoma"/>
            <family val="2"/>
          </rPr>
          <t>Tegus (VT):</t>
        </r>
        <r>
          <rPr>
            <sz val="9"/>
            <color rgb="FF000000"/>
            <rFont val="Tahoma"/>
            <family val="2"/>
          </rPr>
          <t xml:space="preserve">
Hardcoded as reported in FY2016 PR releases since company did not report restated adjusted net income in FY2017 PR releases.</t>
        </r>
      </text>
    </comment>
    <comment ref="Q360" authorId="0" shapeId="0" xr:uid="{00000000-0006-0000-0100-000004010000}">
      <text>
        <r>
          <rPr>
            <b/>
            <sz val="9"/>
            <color rgb="FF000000"/>
            <rFont val="Tahoma"/>
            <family val="2"/>
          </rPr>
          <t>Tegus (VT):</t>
        </r>
        <r>
          <rPr>
            <sz val="9"/>
            <color rgb="FF000000"/>
            <rFont val="Tahoma"/>
            <family val="2"/>
          </rPr>
          <t xml:space="preserve">
Hardcoded as reported in FY2016 PR releases since company did not report restated adjusted net income in FY2017 PR releases.</t>
        </r>
      </text>
    </comment>
    <comment ref="R360" authorId="0" shapeId="0" xr:uid="{00000000-0006-0000-0100-000005010000}">
      <text>
        <r>
          <rPr>
            <b/>
            <sz val="9"/>
            <color rgb="FF000000"/>
            <rFont val="Tahoma"/>
            <family val="2"/>
          </rPr>
          <t>Tegus (VT):</t>
        </r>
        <r>
          <rPr>
            <sz val="9"/>
            <color rgb="FF000000"/>
            <rFont val="Tahoma"/>
            <family val="2"/>
          </rPr>
          <t xml:space="preserve">
Hardcoded as reported in FY2016 PR releases since company did not report restated adjusted net income in FY2017 PR releases.</t>
        </r>
      </text>
    </comment>
    <comment ref="S360" authorId="0" shapeId="0" xr:uid="{00000000-0006-0000-0100-000006010000}">
      <text>
        <r>
          <rPr>
            <b/>
            <sz val="9"/>
            <color rgb="FF000000"/>
            <rFont val="Tahoma"/>
            <family val="2"/>
          </rPr>
          <t>Tegus (AJ):</t>
        </r>
        <r>
          <rPr>
            <sz val="9"/>
            <color rgb="FF000000"/>
            <rFont val="Tahoma"/>
            <family val="2"/>
          </rPr>
          <t xml:space="preserve">
No longer reported</t>
        </r>
      </text>
    </comment>
    <comment ref="BI360" authorId="0" shapeId="0" xr:uid="{00000000-0006-0000-0100-000007010000}">
      <text>
        <r>
          <rPr>
            <b/>
            <sz val="9"/>
            <color rgb="FF000000"/>
            <rFont val="Tahoma"/>
            <family val="2"/>
          </rPr>
          <t>Tegus (JH):</t>
        </r>
        <r>
          <rPr>
            <sz val="9"/>
            <color rgb="FF000000"/>
            <rFont val="Tahoma"/>
            <family val="2"/>
          </rPr>
          <t xml:space="preserve">
adjusted walk not yet available</t>
        </r>
      </text>
    </comment>
    <comment ref="BO360" authorId="0" shapeId="0" xr:uid="{00000000-0006-0000-0100-000008010000}">
      <text>
        <r>
          <rPr>
            <b/>
            <sz val="9"/>
            <color rgb="FF000000"/>
            <rFont val="Tahoma"/>
            <family val="2"/>
          </rPr>
          <t>Tegus (VT):</t>
        </r>
        <r>
          <rPr>
            <sz val="9"/>
            <color rgb="FF000000"/>
            <rFont val="Tahoma"/>
            <family val="2"/>
          </rPr>
          <t xml:space="preserve">
Hardcoded as reported in FY2016 PR releases since company did not report restated adjusted net income in FY2017 PR releases.</t>
        </r>
      </text>
    </comment>
    <comment ref="O365" authorId="0" shapeId="0" xr:uid="{00000000-0006-0000-0100-000009010000}">
      <text>
        <r>
          <rPr>
            <b/>
            <sz val="9"/>
            <color rgb="FF000000"/>
            <rFont val="Tahoma"/>
            <family val="2"/>
          </rPr>
          <t>Tegus (VT):</t>
        </r>
        <r>
          <rPr>
            <sz val="9"/>
            <color rgb="FF000000"/>
            <rFont val="Tahoma"/>
            <family val="2"/>
          </rPr>
          <t xml:space="preserve">
Unrestated non-GAAP net income since company stopped reporting non-GAAP net income starting Q1-2017.</t>
        </r>
      </text>
    </comment>
    <comment ref="P365" authorId="0" shapeId="0" xr:uid="{00000000-0006-0000-0100-00000A010000}">
      <text>
        <r>
          <rPr>
            <b/>
            <sz val="9"/>
            <color rgb="FF000000"/>
            <rFont val="Tahoma"/>
            <family val="2"/>
          </rPr>
          <t>Tegus (VT):</t>
        </r>
        <r>
          <rPr>
            <sz val="9"/>
            <color rgb="FF000000"/>
            <rFont val="Tahoma"/>
            <family val="2"/>
          </rPr>
          <t xml:space="preserve">
Unrestated non-GAAP net income since company stopped reporting non-GAAP net income starting Q1-2017.</t>
        </r>
      </text>
    </comment>
    <comment ref="Q365" authorId="0" shapeId="0" xr:uid="{00000000-0006-0000-0100-00000B010000}">
      <text>
        <r>
          <rPr>
            <b/>
            <sz val="9"/>
            <color rgb="FF000000"/>
            <rFont val="Tahoma"/>
            <family val="2"/>
          </rPr>
          <t>Tegus (VT):</t>
        </r>
        <r>
          <rPr>
            <sz val="9"/>
            <color rgb="FF000000"/>
            <rFont val="Tahoma"/>
            <family val="2"/>
          </rPr>
          <t xml:space="preserve">
Unrestated non-GAAP net income since company stopped reporting non-GAAP net income starting Q1-2017.</t>
        </r>
      </text>
    </comment>
    <comment ref="R365" authorId="0" shapeId="0" xr:uid="{00000000-0006-0000-0100-00000C010000}">
      <text>
        <r>
          <rPr>
            <b/>
            <sz val="9"/>
            <color rgb="FF000000"/>
            <rFont val="Tahoma"/>
            <family val="2"/>
          </rPr>
          <t>Tegus (VT):</t>
        </r>
        <r>
          <rPr>
            <sz val="9"/>
            <color rgb="FF000000"/>
            <rFont val="Tahoma"/>
            <family val="2"/>
          </rPr>
          <t xml:space="preserve">
Unrestated non-GAAP net income since company stopped reporting non-GAAP net income starting Q1-2017.</t>
        </r>
      </text>
    </comment>
    <comment ref="BL365" authorId="0" shapeId="0" xr:uid="{00000000-0006-0000-0100-00000D010000}">
      <text>
        <r>
          <rPr>
            <b/>
            <sz val="9"/>
            <color rgb="FF000000"/>
            <rFont val="Tahoma"/>
            <family val="2"/>
          </rPr>
          <t>Tegus (AH):</t>
        </r>
        <r>
          <rPr>
            <sz val="9"/>
            <color rgb="FF000000"/>
            <rFont val="Tahoma"/>
            <family val="2"/>
          </rPr>
          <t xml:space="preserve">
Quarterly data is as reported but does not add up to annually data.</t>
        </r>
      </text>
    </comment>
    <comment ref="BO365" authorId="0" shapeId="0" xr:uid="{00000000-0006-0000-0100-00000E010000}">
      <text>
        <r>
          <rPr>
            <b/>
            <sz val="9"/>
            <color rgb="FF000000"/>
            <rFont val="Tahoma"/>
            <family val="2"/>
          </rPr>
          <t>Tegus (VT):</t>
        </r>
        <r>
          <rPr>
            <sz val="9"/>
            <color rgb="FF000000"/>
            <rFont val="Tahoma"/>
            <family val="2"/>
          </rPr>
          <t xml:space="preserve">
Unrestated non-GAAP net income since company stopped reporting non-GAAP net income starting Q1-2017.</t>
        </r>
      </text>
    </comment>
    <comment ref="AJ372" authorId="0" shapeId="0" xr:uid="{00000000-0006-0000-0100-00000F010000}">
      <text>
        <r>
          <rPr>
            <b/>
            <sz val="9"/>
            <color rgb="FF000000"/>
            <rFont val="Tahoma"/>
            <family val="2"/>
          </rPr>
          <t>Tegus (DL):</t>
        </r>
        <r>
          <rPr>
            <sz val="9"/>
            <color rgb="FF000000"/>
            <rFont val="Tahoma"/>
            <family val="2"/>
          </rPr>
          <t xml:space="preserve">
Hardcoded as reported.</t>
        </r>
      </text>
    </comment>
    <comment ref="AK372" authorId="0" shapeId="0" xr:uid="{00000000-0006-0000-0100-000010010000}">
      <text>
        <r>
          <rPr>
            <b/>
            <sz val="9"/>
            <color rgb="FF000000"/>
            <rFont val="Tahoma"/>
            <family val="2"/>
          </rPr>
          <t>Tegus (MG):</t>
        </r>
        <r>
          <rPr>
            <sz val="9"/>
            <color rgb="FF000000"/>
            <rFont val="Tahoma"/>
            <family val="2"/>
          </rPr>
          <t xml:space="preserve">
Hardcoded as reported</t>
        </r>
      </text>
    </comment>
    <comment ref="AK373" authorId="0" shapeId="0" xr:uid="{00000000-0006-0000-0100-000011010000}">
      <text>
        <r>
          <rPr>
            <b/>
            <sz val="9"/>
            <color rgb="FF000000"/>
            <rFont val="Tahoma"/>
            <family val="2"/>
          </rPr>
          <t>Tegus (MG):</t>
        </r>
        <r>
          <rPr>
            <sz val="9"/>
            <color rgb="FF000000"/>
            <rFont val="Tahoma"/>
            <family val="2"/>
          </rPr>
          <t xml:space="preserve">
Hardcoded as reported</t>
        </r>
      </text>
    </comment>
    <comment ref="AL373" authorId="0" shapeId="0" xr:uid="{00000000-0006-0000-0100-000012010000}">
      <text>
        <r>
          <rPr>
            <b/>
            <sz val="9"/>
            <color rgb="FF000000"/>
            <rFont val="Tahoma"/>
            <family val="2"/>
          </rPr>
          <t>Tegus (DY):</t>
        </r>
        <r>
          <rPr>
            <sz val="9"/>
            <color rgb="FF000000"/>
            <rFont val="Tahoma"/>
            <family val="2"/>
          </rPr>
          <t xml:space="preserve">
Hardcode as reported in 8-K</t>
        </r>
      </text>
    </comment>
    <comment ref="AM373" authorId="0" shapeId="0" xr:uid="{00000000-0006-0000-0100-000013010000}">
      <text>
        <r>
          <rPr>
            <b/>
            <sz val="9"/>
            <color rgb="FF000000"/>
            <rFont val="Tahoma"/>
            <family val="2"/>
          </rPr>
          <t>Tegus (DY):</t>
        </r>
        <r>
          <rPr>
            <sz val="9"/>
            <color rgb="FF000000"/>
            <rFont val="Tahoma"/>
            <family val="2"/>
          </rPr>
          <t xml:space="preserve">
Hardcode as reported in 8-K</t>
        </r>
      </text>
    </comment>
    <comment ref="AN373" authorId="0" shapeId="0" xr:uid="{00000000-0006-0000-0100-000014010000}">
      <text>
        <r>
          <rPr>
            <b/>
            <sz val="9"/>
            <color rgb="FF000000"/>
            <rFont val="Tahoma"/>
            <family val="2"/>
          </rPr>
          <t>Tegus (DY):</t>
        </r>
        <r>
          <rPr>
            <sz val="9"/>
            <color rgb="FF000000"/>
            <rFont val="Tahoma"/>
            <family val="2"/>
          </rPr>
          <t xml:space="preserve">
Hardcode as reported in 8-K</t>
        </r>
      </text>
    </comment>
    <comment ref="AO373" authorId="0" shapeId="0" xr:uid="{00000000-0006-0000-0100-000015010000}">
      <text>
        <r>
          <rPr>
            <b/>
            <sz val="9"/>
            <color rgb="FF000000"/>
            <rFont val="Tahoma"/>
            <family val="2"/>
          </rPr>
          <t>Tegus (DY):</t>
        </r>
        <r>
          <rPr>
            <sz val="9"/>
            <color rgb="FF000000"/>
            <rFont val="Tahoma"/>
            <family val="2"/>
          </rPr>
          <t xml:space="preserve">
Hardcode as reported in 8-K</t>
        </r>
      </text>
    </comment>
    <comment ref="AP373" authorId="0" shapeId="0" xr:uid="{00000000-0006-0000-0100-000016010000}">
      <text>
        <r>
          <rPr>
            <b/>
            <sz val="9"/>
            <color rgb="FF000000"/>
            <rFont val="Tahoma"/>
            <family val="2"/>
          </rPr>
          <t>Tegus (DY):</t>
        </r>
        <r>
          <rPr>
            <sz val="9"/>
            <color rgb="FF000000"/>
            <rFont val="Tahoma"/>
            <family val="2"/>
          </rPr>
          <t xml:space="preserve">
Hardcode as reported in 8-K</t>
        </r>
      </text>
    </comment>
    <comment ref="AQ373" authorId="0" shapeId="0" xr:uid="{00000000-0006-0000-0100-000017010000}">
      <text>
        <r>
          <rPr>
            <b/>
            <sz val="9"/>
            <color rgb="FF000000"/>
            <rFont val="Tahoma"/>
            <family val="2"/>
          </rPr>
          <t>Tegus (DY):</t>
        </r>
        <r>
          <rPr>
            <sz val="9"/>
            <color rgb="FF000000"/>
            <rFont val="Tahoma"/>
            <family val="2"/>
          </rPr>
          <t xml:space="preserve">
Hardcode as reported in 8-K</t>
        </r>
      </text>
    </comment>
    <comment ref="AR373" authorId="0" shapeId="0" xr:uid="{00000000-0006-0000-0100-000018010000}">
      <text>
        <r>
          <rPr>
            <b/>
            <sz val="9"/>
            <color rgb="FF000000"/>
            <rFont val="Tahoma"/>
            <family val="2"/>
          </rPr>
          <t>Tegus (DY):</t>
        </r>
        <r>
          <rPr>
            <sz val="9"/>
            <color rgb="FF000000"/>
            <rFont val="Tahoma"/>
            <family val="2"/>
          </rPr>
          <t xml:space="preserve">
Hardcode as reported in 8-K</t>
        </r>
      </text>
    </comment>
    <comment ref="AS373" authorId="0" shapeId="0" xr:uid="{00000000-0006-0000-0100-000019010000}">
      <text>
        <r>
          <rPr>
            <b/>
            <sz val="9"/>
            <color rgb="FF000000"/>
            <rFont val="Tahoma"/>
            <family val="2"/>
          </rPr>
          <t>Tegus (DY):</t>
        </r>
        <r>
          <rPr>
            <sz val="9"/>
            <color rgb="FF000000"/>
            <rFont val="Tahoma"/>
            <family val="2"/>
          </rPr>
          <t xml:space="preserve">
Hardcode as reported in 8-K</t>
        </r>
      </text>
    </comment>
    <comment ref="BU373" authorId="0" shapeId="0" xr:uid="{00000000-0006-0000-0100-00001A010000}">
      <text>
        <r>
          <rPr>
            <b/>
            <sz val="9"/>
            <color rgb="FF000000"/>
            <rFont val="Tahoma"/>
            <family val="2"/>
          </rPr>
          <t>Tegus (DY):</t>
        </r>
        <r>
          <rPr>
            <sz val="9"/>
            <color rgb="FF000000"/>
            <rFont val="Tahoma"/>
            <family val="2"/>
          </rPr>
          <t xml:space="preserve">
Hardcode as reported in 8-K</t>
        </r>
      </text>
    </comment>
    <comment ref="AF380" authorId="0" shapeId="0" xr:uid="{00000000-0006-0000-0100-00001B010000}">
      <text>
        <r>
          <rPr>
            <b/>
            <sz val="9"/>
            <color rgb="FF000000"/>
            <rFont val="Tahoma"/>
            <family val="2"/>
          </rPr>
          <t>Tegus (JA):</t>
        </r>
        <r>
          <rPr>
            <sz val="9"/>
            <color rgb="FF000000"/>
            <rFont val="Tahoma"/>
            <family val="2"/>
          </rPr>
          <t xml:space="preserve">
Guidance not reported, likely due to impact and uncertainty caused by COVID-19.</t>
        </r>
      </text>
    </comment>
    <comment ref="AG380" authorId="0" shapeId="0" xr:uid="{00000000-0006-0000-0100-00001C010000}">
      <text>
        <r>
          <rPr>
            <b/>
            <sz val="9"/>
            <color rgb="FF000000"/>
            <rFont val="Tahoma"/>
            <family val="2"/>
          </rPr>
          <t>Tegus (JA):</t>
        </r>
        <r>
          <rPr>
            <sz val="9"/>
            <color rgb="FF000000"/>
            <rFont val="Tahoma"/>
            <family val="2"/>
          </rPr>
          <t xml:space="preserve">
Guidance not reported, likely due to impact and uncertainty caused by COVID-19.</t>
        </r>
      </text>
    </comment>
    <comment ref="AH380" authorId="0" shapeId="0" xr:uid="{00000000-0006-0000-0100-00001D010000}">
      <text>
        <r>
          <rPr>
            <b/>
            <sz val="9"/>
            <color rgb="FF000000"/>
            <rFont val="Tahoma"/>
            <family val="2"/>
          </rPr>
          <t>Tegus (JA):</t>
        </r>
        <r>
          <rPr>
            <sz val="9"/>
            <color rgb="FF000000"/>
            <rFont val="Tahoma"/>
            <family val="2"/>
          </rPr>
          <t xml:space="preserve">
Guidance not reported, likely due to impact and uncertainty caused by COVID-19.</t>
        </r>
      </text>
    </comment>
    <comment ref="AI380" authorId="0" shapeId="0" xr:uid="{00000000-0006-0000-0100-00001E010000}">
      <text>
        <r>
          <rPr>
            <b/>
            <sz val="9"/>
            <color rgb="FF000000"/>
            <rFont val="Tahoma"/>
            <family val="2"/>
          </rPr>
          <t>Tegus (JA):</t>
        </r>
        <r>
          <rPr>
            <sz val="9"/>
            <color rgb="FF000000"/>
            <rFont val="Tahoma"/>
            <family val="2"/>
          </rPr>
          <t xml:space="preserve">
Guidance not reported, likely due to impact and uncertainty caused by COVID-19.</t>
        </r>
      </text>
    </comment>
    <comment ref="AJ380" authorId="0" shapeId="0" xr:uid="{00000000-0006-0000-0100-00001F010000}">
      <text>
        <r>
          <rPr>
            <b/>
            <sz val="9"/>
            <color rgb="FF000000"/>
            <rFont val="Tahoma"/>
            <family val="2"/>
          </rPr>
          <t>Tegus (JA):</t>
        </r>
        <r>
          <rPr>
            <sz val="9"/>
            <color rgb="FF000000"/>
            <rFont val="Tahoma"/>
            <family val="2"/>
          </rPr>
          <t xml:space="preserve">
Guidance not reported, likely due to impact and uncertainty caused by COVID-19.</t>
        </r>
      </text>
    </comment>
    <comment ref="AK380" authorId="0" shapeId="0" xr:uid="{00000000-0006-0000-0100-000020010000}">
      <text>
        <r>
          <rPr>
            <b/>
            <sz val="9"/>
            <color rgb="FF000000"/>
            <rFont val="Tahoma"/>
            <family val="2"/>
          </rPr>
          <t>Tegus (JA):</t>
        </r>
        <r>
          <rPr>
            <sz val="9"/>
            <color rgb="FF000000"/>
            <rFont val="Tahoma"/>
            <family val="2"/>
          </rPr>
          <t xml:space="preserve">
Guidance not reported, likely due to impact and uncertainty caused by COVID-19.</t>
        </r>
      </text>
    </comment>
    <comment ref="BS380" authorId="0" shapeId="0" xr:uid="{00000000-0006-0000-0100-000021010000}">
      <text>
        <r>
          <rPr>
            <b/>
            <sz val="9"/>
            <color rgb="FF000000"/>
            <rFont val="Tahoma"/>
            <family val="2"/>
          </rPr>
          <t>Tegus (JA):</t>
        </r>
        <r>
          <rPr>
            <sz val="9"/>
            <color rgb="FF000000"/>
            <rFont val="Tahoma"/>
            <family val="2"/>
          </rPr>
          <t xml:space="preserve">
Guidance not reported, likely due to impact and uncertainty caused by COVID-19.</t>
        </r>
      </text>
    </comment>
    <comment ref="AA385" authorId="0" shapeId="0" xr:uid="{00000000-0006-0000-0100-000022010000}">
      <text>
        <r>
          <rPr>
            <b/>
            <sz val="9"/>
            <color rgb="FF000000"/>
            <rFont val="Tahoma"/>
            <family val="2"/>
          </rPr>
          <t>Tegus (DL):</t>
        </r>
        <r>
          <rPr>
            <sz val="9"/>
            <color rgb="FF000000"/>
            <rFont val="Tahoma"/>
            <family val="2"/>
          </rPr>
          <t xml:space="preserve">
accrued 3 billion estimated fine that would probably be charged by FTC</t>
        </r>
      </text>
    </comment>
    <comment ref="AB385" authorId="0" shapeId="0" xr:uid="{00000000-0006-0000-0100-000023010000}">
      <text>
        <r>
          <rPr>
            <b/>
            <sz val="9"/>
            <color rgb="FF000000"/>
            <rFont val="Tahoma"/>
            <family val="2"/>
          </rPr>
          <t>Tegus (DL):</t>
        </r>
        <r>
          <rPr>
            <sz val="9"/>
            <color rgb="FF000000"/>
            <rFont val="Tahoma"/>
            <family val="2"/>
          </rPr>
          <t xml:space="preserve">
accrued 2 billion of fine that would probably be charged by FTC</t>
        </r>
      </text>
    </comment>
    <comment ref="BH385" authorId="0" shapeId="0" xr:uid="{00000000-0006-0000-0100-000024010000}">
      <text>
        <r>
          <rPr>
            <b/>
            <sz val="9"/>
            <color rgb="FF000000"/>
            <rFont val="Tahoma"/>
            <family val="2"/>
          </rPr>
          <t>Tegus (JH):</t>
        </r>
        <r>
          <rPr>
            <sz val="9"/>
            <color rgb="FF000000"/>
            <rFont val="Tahoma"/>
            <family val="2"/>
          </rPr>
          <t xml:space="preserve">
sbc breakdown not yet available, hence the entire SBC is backed out from G&amp;A in order to calculated comparable EBITDA number.</t>
        </r>
      </text>
    </comment>
    <comment ref="BI385" authorId="0" shapeId="0" xr:uid="{00000000-0006-0000-0100-000025010000}">
      <text>
        <r>
          <rPr>
            <b/>
            <sz val="9"/>
            <color rgb="FF000000"/>
            <rFont val="Tahoma"/>
            <family val="2"/>
          </rPr>
          <t>Tegus (JH):</t>
        </r>
        <r>
          <rPr>
            <sz val="9"/>
            <color rgb="FF000000"/>
            <rFont val="Tahoma"/>
            <family val="2"/>
          </rPr>
          <t xml:space="preserve">
sbc breakdown not yet available, hence the entire SBC is backed out from G&amp;A in order to calculated comparable EBITDA number.</t>
        </r>
      </text>
    </comment>
    <comment ref="O413" authorId="0" shapeId="0" xr:uid="{00000000-0006-0000-0100-000026010000}">
      <text>
        <r>
          <rPr>
            <b/>
            <sz val="9"/>
            <color rgb="FF000000"/>
            <rFont val="Tahoma"/>
            <family val="2"/>
          </rPr>
          <t>Tegus (VT):</t>
        </r>
        <r>
          <rPr>
            <sz val="9"/>
            <color rgb="FF000000"/>
            <rFont val="Tahoma"/>
            <family val="2"/>
          </rPr>
          <t xml:space="preserve">
Company stopped reporting adjusted net income in Q1-2017. Unrestated net income for FY2016 can be found in "Adjusted Numbers AS REPORTED" section.</t>
        </r>
      </text>
    </comment>
    <comment ref="BH413" authorId="0" shapeId="0" xr:uid="{00000000-0006-0000-0100-000027010000}">
      <text>
        <r>
          <rPr>
            <b/>
            <sz val="9"/>
            <color rgb="FF000000"/>
            <rFont val="Tahoma"/>
            <family val="2"/>
          </rPr>
          <t>Tegus (JH):</t>
        </r>
        <r>
          <rPr>
            <sz val="9"/>
            <color rgb="FF000000"/>
            <rFont val="Tahoma"/>
            <family val="2"/>
          </rPr>
          <t xml:space="preserve">
adjusted walk not available</t>
        </r>
      </text>
    </comment>
    <comment ref="BI413" authorId="0" shapeId="0" xr:uid="{00000000-0006-0000-0100-000028010000}">
      <text>
        <r>
          <rPr>
            <b/>
            <sz val="9"/>
            <color rgb="FF000000"/>
            <rFont val="Tahoma"/>
            <family val="2"/>
          </rPr>
          <t>Tegus (JH):</t>
        </r>
        <r>
          <rPr>
            <sz val="9"/>
            <color rgb="FF000000"/>
            <rFont val="Tahoma"/>
            <family val="2"/>
          </rPr>
          <t xml:space="preserve">
adjusted walk not available</t>
        </r>
      </text>
    </comment>
    <comment ref="AA417" authorId="0" shapeId="0" xr:uid="{00000000-0006-0000-0100-000029010000}">
      <text>
        <r>
          <rPr>
            <b/>
            <sz val="9"/>
            <color rgb="FF000000"/>
            <rFont val="Tahoma"/>
            <family val="2"/>
          </rPr>
          <t>Tegus (DL):</t>
        </r>
        <r>
          <rPr>
            <sz val="9"/>
            <color rgb="FF000000"/>
            <rFont val="Tahoma"/>
            <family val="2"/>
          </rPr>
          <t xml:space="preserve">
not comparable because accrued fine is included in expenses which deducted EBT sharply</t>
        </r>
      </text>
    </comment>
    <comment ref="AB417" authorId="0" shapeId="0" xr:uid="{00000000-0006-0000-0100-00002A010000}">
      <text>
        <r>
          <rPr>
            <b/>
            <sz val="9"/>
            <color rgb="FF000000"/>
            <rFont val="Tahoma"/>
            <family val="2"/>
          </rPr>
          <t>Tegus (DL):</t>
        </r>
        <r>
          <rPr>
            <sz val="9"/>
            <color rgb="FF000000"/>
            <rFont val="Tahoma"/>
            <family val="2"/>
          </rPr>
          <t xml:space="preserve">
not comparable because accrued fine is included in expenses which deducted EBT sharply</t>
        </r>
      </text>
    </comment>
    <comment ref="A420" authorId="0" shapeId="0" xr:uid="{00000000-0006-0000-0100-00002B010000}">
      <text>
        <r>
          <rPr>
            <b/>
            <sz val="9"/>
            <color rgb="FF000000"/>
            <rFont val="Tahoma"/>
            <family val="2"/>
          </rPr>
          <t>Tegus (BW):</t>
        </r>
        <r>
          <rPr>
            <sz val="9"/>
            <color rgb="FF000000"/>
            <rFont val="Tahoma"/>
            <family val="2"/>
          </rPr>
          <t xml:space="preserve">
Class A and Class B</t>
        </r>
      </text>
    </comment>
    <comment ref="A421" authorId="0" shapeId="0" xr:uid="{00000000-0006-0000-0100-00002C010000}">
      <text>
        <r>
          <rPr>
            <b/>
            <sz val="9"/>
            <color rgb="FF000000"/>
            <rFont val="Tahoma"/>
            <family val="2"/>
          </rPr>
          <t>Tegus (BW):</t>
        </r>
        <r>
          <rPr>
            <sz val="9"/>
            <color rgb="FF000000"/>
            <rFont val="Tahoma"/>
            <family val="2"/>
          </rPr>
          <t xml:space="preserve">
Class A and Class B</t>
        </r>
      </text>
    </comment>
    <comment ref="A422" authorId="0" shapeId="0" xr:uid="{00000000-0006-0000-0100-00002D010000}">
      <text>
        <r>
          <rPr>
            <b/>
            <sz val="9"/>
            <color rgb="FF000000"/>
            <rFont val="Tahoma"/>
            <family val="2"/>
          </rPr>
          <t>Tegus (BW):</t>
        </r>
        <r>
          <rPr>
            <sz val="9"/>
            <color rgb="FF000000"/>
            <rFont val="Tahoma"/>
            <family val="2"/>
          </rPr>
          <t xml:space="preserve">
Class A and Class B</t>
        </r>
      </text>
    </comment>
    <comment ref="D422" authorId="0" shapeId="0" xr:uid="{00000000-0006-0000-0100-00002E010000}">
      <text>
        <r>
          <rPr>
            <b/>
            <sz val="9"/>
            <color rgb="FF000000"/>
            <rFont val="Tahoma"/>
            <family val="2"/>
          </rPr>
          <t>Tegus (VT):</t>
        </r>
        <r>
          <rPr>
            <sz val="9"/>
            <color rgb="FF000000"/>
            <rFont val="Tahoma"/>
            <family val="2"/>
          </rPr>
          <t xml:space="preserve">
Reported as $0.19</t>
        </r>
      </text>
    </comment>
    <comment ref="E422" authorId="0" shapeId="0" xr:uid="{00000000-0006-0000-0100-00002F010000}">
      <text>
        <r>
          <rPr>
            <b/>
            <sz val="9"/>
            <color rgb="FF000000"/>
            <rFont val="Tahoma"/>
            <family val="2"/>
          </rPr>
          <t>Tegus (VT):</t>
        </r>
        <r>
          <rPr>
            <sz val="9"/>
            <color rgb="FF000000"/>
            <rFont val="Tahoma"/>
            <family val="2"/>
          </rPr>
          <t xml:space="preserve">
Reported as $0.27</t>
        </r>
      </text>
    </comment>
    <comment ref="A425" authorId="0" shapeId="0" xr:uid="{00000000-0006-0000-0100-000030010000}">
      <text>
        <r>
          <rPr>
            <b/>
            <sz val="9"/>
            <color rgb="FF000000"/>
            <rFont val="Tahoma"/>
            <family val="2"/>
          </rPr>
          <t>Tegus (BW):</t>
        </r>
        <r>
          <rPr>
            <sz val="9"/>
            <color rgb="FF000000"/>
            <rFont val="Tahoma"/>
            <family val="2"/>
          </rPr>
          <t xml:space="preserve">
Class A and Class B</t>
        </r>
      </text>
    </comment>
    <comment ref="A426" authorId="0" shapeId="0" xr:uid="{00000000-0006-0000-0100-000031010000}">
      <text>
        <r>
          <rPr>
            <b/>
            <sz val="9"/>
            <color rgb="FF000000"/>
            <rFont val="Tahoma"/>
            <family val="2"/>
          </rPr>
          <t>Tegus (BW):</t>
        </r>
        <r>
          <rPr>
            <sz val="9"/>
            <color rgb="FF000000"/>
            <rFont val="Tahoma"/>
            <family val="2"/>
          </rPr>
          <t xml:space="preserve">
Class A and Class B</t>
        </r>
      </text>
    </comment>
    <comment ref="A427" authorId="0" shapeId="0" xr:uid="{00000000-0006-0000-0100-000032010000}">
      <text>
        <r>
          <rPr>
            <b/>
            <sz val="9"/>
            <color rgb="FF000000"/>
            <rFont val="Tahoma"/>
            <family val="2"/>
          </rPr>
          <t>Tegus (BW):</t>
        </r>
        <r>
          <rPr>
            <sz val="9"/>
            <color rgb="FF000000"/>
            <rFont val="Tahoma"/>
            <family val="2"/>
          </rPr>
          <t xml:space="preserve">
Class A and Class B</t>
        </r>
      </text>
    </comment>
    <comment ref="BI427" authorId="0" shapeId="0" xr:uid="{00000000-0006-0000-0100-000033010000}">
      <text>
        <r>
          <rPr>
            <b/>
            <sz val="9"/>
            <color rgb="FF000000"/>
            <rFont val="Tahoma"/>
            <family val="2"/>
          </rPr>
          <t>Tegus (VT):</t>
        </r>
        <r>
          <rPr>
            <sz val="9"/>
            <color rgb="FF000000"/>
            <rFont val="Tahoma"/>
            <family val="2"/>
          </rPr>
          <t xml:space="preserve">
Adjusted share count not reported for this period</t>
        </r>
      </text>
    </comment>
    <comment ref="AY429" authorId="0" shapeId="0" xr:uid="{00000000-0006-0000-0100-000034010000}">
      <text>
        <r>
          <rPr>
            <b/>
            <sz val="9"/>
            <color rgb="FF000000"/>
            <rFont val="Tahoma"/>
            <family val="2"/>
          </rPr>
          <t>Tegus:</t>
        </r>
        <r>
          <rPr>
            <sz val="9"/>
            <color rgb="FF000000"/>
            <rFont val="Tahoma"/>
            <family val="2"/>
          </rPr>
          <t xml:space="preserve">
To be updated with 10-Q/K</t>
        </r>
      </text>
    </comment>
    <comment ref="A433" authorId="0" shapeId="0" xr:uid="{00000000-0006-0000-0100-000035010000}">
      <text>
        <r>
          <rPr>
            <b/>
            <sz val="9"/>
            <color rgb="FF000000"/>
            <rFont val="Tahoma"/>
            <family val="2"/>
          </rPr>
          <t>Tegus (DT):</t>
        </r>
        <r>
          <rPr>
            <sz val="9"/>
            <color rgb="FF000000"/>
            <rFont val="Tahoma"/>
            <family val="2"/>
          </rPr>
          <t xml:space="preserve">
Quarterly data not reported, assumed to be equal to annual value.</t>
        </r>
      </text>
    </comment>
    <comment ref="E433" authorId="0" shapeId="0" xr:uid="{00000000-0006-0000-0100-000036010000}">
      <text>
        <r>
          <rPr>
            <b/>
            <sz val="9"/>
            <color rgb="FF000000"/>
            <rFont val="Tahoma"/>
            <family val="2"/>
          </rPr>
          <t>Tegus (YF):</t>
        </r>
        <r>
          <rPr>
            <sz val="9"/>
            <color rgb="FF000000"/>
            <rFont val="Tahoma"/>
            <family val="2"/>
          </rPr>
          <t xml:space="preserve">
Quarterly data not reported; assumed to be equal to annuals.</t>
        </r>
      </text>
    </comment>
    <comment ref="G433" authorId="0" shapeId="0" xr:uid="{00000000-0006-0000-0100-000037010000}">
      <text>
        <r>
          <rPr>
            <b/>
            <sz val="9"/>
            <color rgb="FF000000"/>
            <rFont val="Tahoma"/>
            <family val="2"/>
          </rPr>
          <t>Canalyst:</t>
        </r>
        <r>
          <rPr>
            <sz val="9"/>
            <color rgb="FF000000"/>
            <rFont val="Tahoma"/>
            <family val="2"/>
          </rPr>
          <t xml:space="preserve">
Assumption by Canalyst</t>
        </r>
      </text>
    </comment>
    <comment ref="H433" authorId="0" shapeId="0" xr:uid="{00000000-0006-0000-0100-000038010000}">
      <text>
        <r>
          <rPr>
            <b/>
            <sz val="9"/>
            <color rgb="FF000000"/>
            <rFont val="Tahoma"/>
            <family val="2"/>
          </rPr>
          <t>Canalyst:</t>
        </r>
        <r>
          <rPr>
            <sz val="9"/>
            <color rgb="FF000000"/>
            <rFont val="Tahoma"/>
            <family val="2"/>
          </rPr>
          <t xml:space="preserve">
Assumption by Canalyst</t>
        </r>
      </text>
    </comment>
    <comment ref="I433" authorId="0" shapeId="0" xr:uid="{00000000-0006-0000-0100-000039010000}">
      <text>
        <r>
          <rPr>
            <b/>
            <sz val="9"/>
            <color rgb="FF000000"/>
            <rFont val="Tahoma"/>
            <family val="2"/>
          </rPr>
          <t>Canalyst:</t>
        </r>
        <r>
          <rPr>
            <sz val="9"/>
            <color rgb="FF000000"/>
            <rFont val="Tahoma"/>
            <family val="2"/>
          </rPr>
          <t xml:space="preserve">
Assumption by Canalyst</t>
        </r>
      </text>
    </comment>
    <comment ref="K433" authorId="0" shapeId="0" xr:uid="{00000000-0006-0000-0100-00003A010000}">
      <text>
        <r>
          <rPr>
            <b/>
            <sz val="9"/>
            <color rgb="FF000000"/>
            <rFont val="Tahoma"/>
            <family val="2"/>
          </rPr>
          <t>Canalyst:</t>
        </r>
        <r>
          <rPr>
            <sz val="9"/>
            <color rgb="FF000000"/>
            <rFont val="Tahoma"/>
            <family val="2"/>
          </rPr>
          <t xml:space="preserve">
Assumption by Canalyst</t>
        </r>
      </text>
    </comment>
    <comment ref="L433" authorId="0" shapeId="0" xr:uid="{00000000-0006-0000-0100-00003B010000}">
      <text>
        <r>
          <rPr>
            <b/>
            <sz val="9"/>
            <color rgb="FF000000"/>
            <rFont val="Tahoma"/>
            <family val="2"/>
          </rPr>
          <t>Canalyst:</t>
        </r>
        <r>
          <rPr>
            <sz val="9"/>
            <color rgb="FF000000"/>
            <rFont val="Tahoma"/>
            <family val="2"/>
          </rPr>
          <t xml:space="preserve">
Assumption by Canalyst</t>
        </r>
      </text>
    </comment>
    <comment ref="M433" authorId="0" shapeId="0" xr:uid="{00000000-0006-0000-0100-00003C010000}">
      <text>
        <r>
          <rPr>
            <b/>
            <sz val="9"/>
            <color rgb="FF000000"/>
            <rFont val="Tahoma"/>
            <family val="2"/>
          </rPr>
          <t>Canalyst:</t>
        </r>
        <r>
          <rPr>
            <sz val="9"/>
            <color rgb="FF000000"/>
            <rFont val="Tahoma"/>
            <family val="2"/>
          </rPr>
          <t xml:space="preserve">
Assumption by Canalyst</t>
        </r>
      </text>
    </comment>
    <comment ref="O433" authorId="0" shapeId="0" xr:uid="{00000000-0006-0000-0100-00003D010000}">
      <text>
        <r>
          <rPr>
            <b/>
            <sz val="9"/>
            <color rgb="FF000000"/>
            <rFont val="Tahoma"/>
            <family val="2"/>
          </rPr>
          <t>Canalyst:</t>
        </r>
        <r>
          <rPr>
            <sz val="9"/>
            <color rgb="FF000000"/>
            <rFont val="Tahoma"/>
            <family val="2"/>
          </rPr>
          <t xml:space="preserve">
Assumption by Canalyst</t>
        </r>
      </text>
    </comment>
    <comment ref="P433" authorId="0" shapeId="0" xr:uid="{00000000-0006-0000-0100-00003E010000}">
      <text>
        <r>
          <rPr>
            <b/>
            <sz val="9"/>
            <color rgb="FF000000"/>
            <rFont val="Tahoma"/>
            <family val="2"/>
          </rPr>
          <t>Canalyst:</t>
        </r>
        <r>
          <rPr>
            <sz val="9"/>
            <color rgb="FF000000"/>
            <rFont val="Tahoma"/>
            <family val="2"/>
          </rPr>
          <t xml:space="preserve">
Assumption by Canalyst</t>
        </r>
      </text>
    </comment>
    <comment ref="Q433" authorId="0" shapeId="0" xr:uid="{00000000-0006-0000-0100-00003F010000}">
      <text>
        <r>
          <rPr>
            <b/>
            <sz val="9"/>
            <color rgb="FF000000"/>
            <rFont val="Tahoma"/>
            <family val="2"/>
          </rPr>
          <t>Canalyst:</t>
        </r>
        <r>
          <rPr>
            <sz val="9"/>
            <color rgb="FF000000"/>
            <rFont val="Tahoma"/>
            <family val="2"/>
          </rPr>
          <t xml:space="preserve">
Assumption by Canalyst</t>
        </r>
      </text>
    </comment>
    <comment ref="S433" authorId="0" shapeId="0" xr:uid="{00000000-0006-0000-0100-000040010000}">
      <text>
        <r>
          <rPr>
            <b/>
            <sz val="9"/>
            <color rgb="FF000000"/>
            <rFont val="Tahoma"/>
            <family val="2"/>
          </rPr>
          <t>Canalyst:</t>
        </r>
        <r>
          <rPr>
            <sz val="9"/>
            <color rgb="FF000000"/>
            <rFont val="Tahoma"/>
            <family val="2"/>
          </rPr>
          <t xml:space="preserve">
Assumption by Canalyst</t>
        </r>
      </text>
    </comment>
    <comment ref="T433" authorId="0" shapeId="0" xr:uid="{00000000-0006-0000-0100-000041010000}">
      <text>
        <r>
          <rPr>
            <b/>
            <sz val="9"/>
            <color rgb="FF000000"/>
            <rFont val="Tahoma"/>
            <family val="2"/>
          </rPr>
          <t>Canalyst:</t>
        </r>
        <r>
          <rPr>
            <sz val="9"/>
            <color rgb="FF000000"/>
            <rFont val="Tahoma"/>
            <family val="2"/>
          </rPr>
          <t xml:space="preserve">
Assumption by Canalyst</t>
        </r>
      </text>
    </comment>
    <comment ref="U433" authorId="0" shapeId="0" xr:uid="{00000000-0006-0000-0100-000042010000}">
      <text>
        <r>
          <rPr>
            <b/>
            <sz val="9"/>
            <color rgb="FF000000"/>
            <rFont val="Tahoma"/>
            <family val="2"/>
          </rPr>
          <t>Canalyst:</t>
        </r>
        <r>
          <rPr>
            <sz val="9"/>
            <color rgb="FF000000"/>
            <rFont val="Tahoma"/>
            <family val="2"/>
          </rPr>
          <t xml:space="preserve">
Assumption by Canalyst</t>
        </r>
      </text>
    </comment>
    <comment ref="W433" authorId="0" shapeId="0" xr:uid="{00000000-0006-0000-0100-000043010000}">
      <text>
        <r>
          <rPr>
            <b/>
            <sz val="9"/>
            <color rgb="FF000000"/>
            <rFont val="Tahoma"/>
            <family val="2"/>
          </rPr>
          <t>Canalyst:</t>
        </r>
        <r>
          <rPr>
            <sz val="9"/>
            <color rgb="FF000000"/>
            <rFont val="Tahoma"/>
            <family val="2"/>
          </rPr>
          <t xml:space="preserve">
Assumption by Canalyst</t>
        </r>
      </text>
    </comment>
    <comment ref="X433" authorId="0" shapeId="0" xr:uid="{00000000-0006-0000-0100-000044010000}">
      <text>
        <r>
          <rPr>
            <b/>
            <sz val="9"/>
            <color rgb="FF000000"/>
            <rFont val="Tahoma"/>
            <family val="2"/>
          </rPr>
          <t>Canalyst:</t>
        </r>
        <r>
          <rPr>
            <sz val="9"/>
            <color rgb="FF000000"/>
            <rFont val="Tahoma"/>
            <family val="2"/>
          </rPr>
          <t xml:space="preserve">
Assumption by Canalyst</t>
        </r>
      </text>
    </comment>
    <comment ref="Y433" authorId="0" shapeId="0" xr:uid="{00000000-0006-0000-0100-000045010000}">
      <text>
        <r>
          <rPr>
            <b/>
            <sz val="9"/>
            <color rgb="FF000000"/>
            <rFont val="Tahoma"/>
            <family val="2"/>
          </rPr>
          <t>Canalyst:</t>
        </r>
        <r>
          <rPr>
            <sz val="9"/>
            <color rgb="FF000000"/>
            <rFont val="Tahoma"/>
            <family val="2"/>
          </rPr>
          <t xml:space="preserve">
Assumption by Canalyst</t>
        </r>
      </text>
    </comment>
    <comment ref="AA433" authorId="0" shapeId="0" xr:uid="{00000000-0006-0000-0100-000046010000}">
      <text>
        <r>
          <rPr>
            <b/>
            <sz val="9"/>
            <color rgb="FF000000"/>
            <rFont val="Tahoma"/>
            <family val="2"/>
          </rPr>
          <t>Canalyst:</t>
        </r>
        <r>
          <rPr>
            <sz val="9"/>
            <color rgb="FF000000"/>
            <rFont val="Tahoma"/>
            <family val="2"/>
          </rPr>
          <t xml:space="preserve">
Assumption by Canalyst</t>
        </r>
      </text>
    </comment>
    <comment ref="AB433" authorId="0" shapeId="0" xr:uid="{00000000-0006-0000-0100-000047010000}">
      <text>
        <r>
          <rPr>
            <b/>
            <sz val="9"/>
            <color rgb="FF000000"/>
            <rFont val="Tahoma"/>
            <family val="2"/>
          </rPr>
          <t>Canalyst:</t>
        </r>
        <r>
          <rPr>
            <sz val="9"/>
            <color rgb="FF000000"/>
            <rFont val="Tahoma"/>
            <family val="2"/>
          </rPr>
          <t xml:space="preserve">
Assumption by Canalyst</t>
        </r>
      </text>
    </comment>
    <comment ref="AC433" authorId="0" shapeId="0" xr:uid="{00000000-0006-0000-0100-000048010000}">
      <text>
        <r>
          <rPr>
            <b/>
            <sz val="9"/>
            <color rgb="FF000000"/>
            <rFont val="Tahoma"/>
            <family val="2"/>
          </rPr>
          <t>Canalyst:</t>
        </r>
        <r>
          <rPr>
            <sz val="9"/>
            <color rgb="FF000000"/>
            <rFont val="Tahoma"/>
            <family val="2"/>
          </rPr>
          <t xml:space="preserve">
Assumption by Canalyst</t>
        </r>
      </text>
    </comment>
    <comment ref="AE433" authorId="0" shapeId="0" xr:uid="{00000000-0006-0000-0100-000049010000}">
      <text>
        <r>
          <rPr>
            <b/>
            <sz val="9"/>
            <color rgb="FF000000"/>
            <rFont val="Tahoma"/>
            <family val="2"/>
          </rPr>
          <t>Canalyst:</t>
        </r>
        <r>
          <rPr>
            <sz val="9"/>
            <color rgb="FF000000"/>
            <rFont val="Tahoma"/>
            <family val="2"/>
          </rPr>
          <t xml:space="preserve">
Assumption by Canalyst</t>
        </r>
      </text>
    </comment>
    <comment ref="AF433" authorId="0" shapeId="0" xr:uid="{00000000-0006-0000-0100-00004A010000}">
      <text>
        <r>
          <rPr>
            <b/>
            <sz val="9"/>
            <color rgb="FF000000"/>
            <rFont val="Tahoma"/>
            <family val="2"/>
          </rPr>
          <t>Canalyst:</t>
        </r>
        <r>
          <rPr>
            <sz val="9"/>
            <color rgb="FF000000"/>
            <rFont val="Tahoma"/>
            <family val="2"/>
          </rPr>
          <t xml:space="preserve">
Assumption by Canalyst</t>
        </r>
      </text>
    </comment>
    <comment ref="AG433" authorId="0" shapeId="0" xr:uid="{00000000-0006-0000-0100-00004B010000}">
      <text>
        <r>
          <rPr>
            <b/>
            <sz val="9"/>
            <color rgb="FF000000"/>
            <rFont val="Tahoma"/>
            <family val="2"/>
          </rPr>
          <t>Canalyst:</t>
        </r>
        <r>
          <rPr>
            <sz val="9"/>
            <color rgb="FF000000"/>
            <rFont val="Tahoma"/>
            <family val="2"/>
          </rPr>
          <t xml:space="preserve">
Assumption by Canalyst</t>
        </r>
      </text>
    </comment>
    <comment ref="AI433" authorId="0" shapeId="0" xr:uid="{00000000-0006-0000-0100-00004C010000}">
      <text>
        <r>
          <rPr>
            <b/>
            <sz val="9"/>
            <color rgb="FF000000"/>
            <rFont val="Tahoma"/>
            <family val="2"/>
          </rPr>
          <t>Canalyst:</t>
        </r>
        <r>
          <rPr>
            <sz val="9"/>
            <color rgb="FF000000"/>
            <rFont val="Tahoma"/>
            <family val="2"/>
          </rPr>
          <t xml:space="preserve">
Assumption by Canalyst</t>
        </r>
      </text>
    </comment>
    <comment ref="AJ433" authorId="0" shapeId="0" xr:uid="{00000000-0006-0000-0100-00004D010000}">
      <text>
        <r>
          <rPr>
            <b/>
            <sz val="9"/>
            <color rgb="FF000000"/>
            <rFont val="Tahoma"/>
            <family val="2"/>
          </rPr>
          <t>Canalyst:</t>
        </r>
        <r>
          <rPr>
            <sz val="9"/>
            <color rgb="FF000000"/>
            <rFont val="Tahoma"/>
            <family val="2"/>
          </rPr>
          <t xml:space="preserve">
Assumption by Canalyst</t>
        </r>
      </text>
    </comment>
    <comment ref="AK433" authorId="0" shapeId="0" xr:uid="{00000000-0006-0000-0100-00004E010000}">
      <text>
        <r>
          <rPr>
            <b/>
            <sz val="9"/>
            <color rgb="FF000000"/>
            <rFont val="Tahoma"/>
            <family val="2"/>
          </rPr>
          <t>Canalyst:</t>
        </r>
        <r>
          <rPr>
            <sz val="9"/>
            <color rgb="FF000000"/>
            <rFont val="Tahoma"/>
            <family val="2"/>
          </rPr>
          <t xml:space="preserve">
Assumption by Canalyst</t>
        </r>
      </text>
    </comment>
    <comment ref="AM433" authorId="0" shapeId="0" xr:uid="{00000000-0006-0000-0100-00004F010000}">
      <text>
        <r>
          <rPr>
            <b/>
            <sz val="9"/>
            <color rgb="FF000000"/>
            <rFont val="Tahoma"/>
            <family val="2"/>
          </rPr>
          <t>Canalyst:</t>
        </r>
        <r>
          <rPr>
            <sz val="9"/>
            <color rgb="FF000000"/>
            <rFont val="Tahoma"/>
            <family val="2"/>
          </rPr>
          <t xml:space="preserve">
Assumption by Canalyst</t>
        </r>
      </text>
    </comment>
    <comment ref="AN433" authorId="0" shapeId="0" xr:uid="{00000000-0006-0000-0100-000050010000}">
      <text>
        <r>
          <rPr>
            <b/>
            <sz val="9"/>
            <color rgb="FF000000"/>
            <rFont val="Tahoma"/>
            <family val="2"/>
          </rPr>
          <t>Canalyst:</t>
        </r>
        <r>
          <rPr>
            <sz val="9"/>
            <color rgb="FF000000"/>
            <rFont val="Tahoma"/>
            <family val="2"/>
          </rPr>
          <t xml:space="preserve">
Assumption by Canalyst</t>
        </r>
      </text>
    </comment>
    <comment ref="AO433" authorId="0" shapeId="0" xr:uid="{00000000-0006-0000-0100-000051010000}">
      <text>
        <r>
          <rPr>
            <b/>
            <sz val="9"/>
            <color rgb="FF000000"/>
            <rFont val="Tahoma"/>
            <family val="2"/>
          </rPr>
          <t>Canalyst:</t>
        </r>
        <r>
          <rPr>
            <sz val="9"/>
            <color rgb="FF000000"/>
            <rFont val="Tahoma"/>
            <family val="2"/>
          </rPr>
          <t xml:space="preserve">
Assumption by Canalyst</t>
        </r>
      </text>
    </comment>
    <comment ref="AQ433" authorId="0" shapeId="0" xr:uid="{00000000-0006-0000-0100-000052010000}">
      <text>
        <r>
          <rPr>
            <b/>
            <sz val="9"/>
            <color rgb="FF000000"/>
            <rFont val="Tahoma"/>
            <family val="2"/>
          </rPr>
          <t>Canalyst:</t>
        </r>
        <r>
          <rPr>
            <sz val="9"/>
            <color rgb="FF000000"/>
            <rFont val="Tahoma"/>
            <family val="2"/>
          </rPr>
          <t xml:space="preserve">
Assumption by Canalyst</t>
        </r>
      </text>
    </comment>
    <comment ref="AR433" authorId="0" shapeId="0" xr:uid="{00000000-0006-0000-0100-000053010000}">
      <text>
        <r>
          <rPr>
            <b/>
            <sz val="9"/>
            <color rgb="FF000000"/>
            <rFont val="Tahoma"/>
            <family val="2"/>
          </rPr>
          <t>Canalyst:</t>
        </r>
        <r>
          <rPr>
            <sz val="9"/>
            <color rgb="FF000000"/>
            <rFont val="Tahoma"/>
            <family val="2"/>
          </rPr>
          <t xml:space="preserve">
Assumption by Canalyst</t>
        </r>
      </text>
    </comment>
    <comment ref="AS433" authorId="0" shapeId="0" xr:uid="{00000000-0006-0000-0100-000054010000}">
      <text>
        <r>
          <rPr>
            <b/>
            <sz val="9"/>
            <color rgb="FF000000"/>
            <rFont val="Tahoma"/>
            <family val="2"/>
          </rPr>
          <t>Canalyst:</t>
        </r>
        <r>
          <rPr>
            <sz val="9"/>
            <color rgb="FF000000"/>
            <rFont val="Tahoma"/>
            <family val="2"/>
          </rPr>
          <t xml:space="preserve">
Assumption by Canalyst</t>
        </r>
      </text>
    </comment>
    <comment ref="AU433" authorId="0" shapeId="0" xr:uid="{00000000-0006-0000-0100-000055010000}">
      <text>
        <r>
          <rPr>
            <b/>
            <sz val="9"/>
            <color rgb="FF000000"/>
            <rFont val="Tahoma"/>
            <family val="2"/>
          </rPr>
          <t>Canalyst:</t>
        </r>
        <r>
          <rPr>
            <sz val="9"/>
            <color rgb="FF000000"/>
            <rFont val="Tahoma"/>
            <family val="2"/>
          </rPr>
          <t xml:space="preserve">
Assumption by Canalyst</t>
        </r>
      </text>
    </comment>
    <comment ref="AV433" authorId="0" shapeId="0" xr:uid="{00000000-0006-0000-0100-000056010000}">
      <text>
        <r>
          <rPr>
            <b/>
            <sz val="9"/>
            <color rgb="FF000000"/>
            <rFont val="Tahoma"/>
            <family val="2"/>
          </rPr>
          <t>Canalyst:</t>
        </r>
        <r>
          <rPr>
            <sz val="9"/>
            <color rgb="FF000000"/>
            <rFont val="Tahoma"/>
            <family val="2"/>
          </rPr>
          <t xml:space="preserve">
Assumption by Canalyst</t>
        </r>
      </text>
    </comment>
    <comment ref="AW433" authorId="0" shapeId="0" xr:uid="{00000000-0006-0000-0100-000057010000}">
      <text>
        <r>
          <rPr>
            <b/>
            <sz val="9"/>
            <color rgb="FF000000"/>
            <rFont val="Tahoma"/>
            <family val="2"/>
          </rPr>
          <t>Canalyst:</t>
        </r>
        <r>
          <rPr>
            <sz val="9"/>
            <color rgb="FF000000"/>
            <rFont val="Tahoma"/>
            <family val="2"/>
          </rPr>
          <t xml:space="preserve">
Assumption by Canalyst</t>
        </r>
      </text>
    </comment>
    <comment ref="AY433" authorId="0" shapeId="0" xr:uid="{00000000-0006-0000-0100-000058010000}">
      <text>
        <r>
          <rPr>
            <b/>
            <sz val="9"/>
            <color rgb="FF000000"/>
            <rFont val="Tahoma"/>
            <family val="2"/>
          </rPr>
          <t>Canalyst:</t>
        </r>
        <r>
          <rPr>
            <sz val="9"/>
            <color rgb="FF000000"/>
            <rFont val="Tahoma"/>
            <family val="2"/>
          </rPr>
          <t xml:space="preserve">
Assumption by Canalyst</t>
        </r>
      </text>
    </comment>
    <comment ref="AY435" authorId="0" shapeId="0" xr:uid="{00000000-0006-0000-0100-000059010000}">
      <text>
        <r>
          <rPr>
            <b/>
            <sz val="9"/>
            <color rgb="FF000000"/>
            <rFont val="Tahoma"/>
            <family val="2"/>
          </rPr>
          <t>Tegus:</t>
        </r>
        <r>
          <rPr>
            <sz val="9"/>
            <color rgb="FF000000"/>
            <rFont val="Tahoma"/>
            <family val="2"/>
          </rPr>
          <t xml:space="preserve">
To be updated with 10-Q/K</t>
        </r>
      </text>
    </comment>
    <comment ref="AY436" authorId="0" shapeId="0" xr:uid="{00000000-0006-0000-0100-00005A010000}">
      <text>
        <r>
          <rPr>
            <b/>
            <sz val="9"/>
            <color rgb="FF000000"/>
            <rFont val="Tahoma"/>
            <family val="2"/>
          </rPr>
          <t>Tegus:</t>
        </r>
        <r>
          <rPr>
            <sz val="9"/>
            <color rgb="FF000000"/>
            <rFont val="Tahoma"/>
            <family val="2"/>
          </rPr>
          <t xml:space="preserve">
To be updated with 10-Q/K</t>
        </r>
      </text>
    </comment>
    <comment ref="A448" authorId="0" shapeId="0" xr:uid="{00000000-0006-0000-0100-00005B010000}">
      <text>
        <r>
          <rPr>
            <b/>
            <sz val="9"/>
            <color rgb="FF000000"/>
            <rFont val="Tahoma"/>
            <family val="2"/>
          </rPr>
          <t>Tegus:</t>
        </r>
        <r>
          <rPr>
            <sz val="9"/>
            <color rgb="FF000000"/>
            <rFont val="Tahoma"/>
            <family val="2"/>
          </rPr>
          <t xml:space="preserve">
In periods where EPS is negative, this amount is calculated using the closest prior period where EPS was positive.</t>
        </r>
      </text>
    </comment>
    <comment ref="AA463" authorId="0" shapeId="0" xr:uid="{00000000-0006-0000-0100-00005C010000}">
      <text>
        <r>
          <rPr>
            <b/>
            <sz val="9"/>
            <color rgb="FF000000"/>
            <rFont val="Tahoma"/>
            <family val="2"/>
          </rPr>
          <t>Tegus (SH):</t>
        </r>
        <r>
          <rPr>
            <sz val="9"/>
            <color rgb="FF000000"/>
            <rFont val="Tahoma"/>
            <family val="2"/>
          </rPr>
          <t xml:space="preserve">
Estimated</t>
        </r>
      </text>
    </comment>
    <comment ref="AB463" authorId="0" shapeId="0" xr:uid="{00000000-0006-0000-0100-00005D010000}">
      <text>
        <r>
          <rPr>
            <b/>
            <sz val="9"/>
            <color rgb="FF000000"/>
            <rFont val="Tahoma"/>
            <family val="2"/>
          </rPr>
          <t>Tegus (SH):</t>
        </r>
        <r>
          <rPr>
            <sz val="9"/>
            <color rgb="FF000000"/>
            <rFont val="Tahoma"/>
            <family val="2"/>
          </rPr>
          <t xml:space="preserve">
Estimated</t>
        </r>
      </text>
    </comment>
    <comment ref="AC463" authorId="0" shapeId="0" xr:uid="{00000000-0006-0000-0100-00005E010000}">
      <text>
        <r>
          <rPr>
            <b/>
            <sz val="9"/>
            <color rgb="FF000000"/>
            <rFont val="Tahoma"/>
            <family val="2"/>
          </rPr>
          <t>Tegus (SH):</t>
        </r>
        <r>
          <rPr>
            <sz val="9"/>
            <color rgb="FF000000"/>
            <rFont val="Tahoma"/>
            <family val="2"/>
          </rPr>
          <t xml:space="preserve">
Estimated</t>
        </r>
      </text>
    </comment>
    <comment ref="AA475" authorId="0" shapeId="0" xr:uid="{00000000-0006-0000-0100-00005F010000}">
      <text>
        <r>
          <rPr>
            <b/>
            <sz val="9"/>
            <color rgb="FF000000"/>
            <rFont val="Tahoma"/>
            <family val="2"/>
          </rPr>
          <t>Tegus (SH):</t>
        </r>
        <r>
          <rPr>
            <sz val="9"/>
            <color rgb="FF000000"/>
            <rFont val="Tahoma"/>
            <family val="2"/>
          </rPr>
          <t xml:space="preserve">
Estimated</t>
        </r>
      </text>
    </comment>
    <comment ref="AB475" authorId="0" shapeId="0" xr:uid="{00000000-0006-0000-0100-000060010000}">
      <text>
        <r>
          <rPr>
            <b/>
            <sz val="9"/>
            <color rgb="FF000000"/>
            <rFont val="Tahoma"/>
            <family val="2"/>
          </rPr>
          <t>Tegus (SH):</t>
        </r>
        <r>
          <rPr>
            <sz val="9"/>
            <color rgb="FF000000"/>
            <rFont val="Tahoma"/>
            <family val="2"/>
          </rPr>
          <t xml:space="preserve">
Estimated</t>
        </r>
      </text>
    </comment>
    <comment ref="AC475" authorId="0" shapeId="0" xr:uid="{00000000-0006-0000-0100-000061010000}">
      <text>
        <r>
          <rPr>
            <b/>
            <sz val="9"/>
            <color rgb="FF000000"/>
            <rFont val="Tahoma"/>
            <family val="2"/>
          </rPr>
          <t>Tegus (SH):</t>
        </r>
        <r>
          <rPr>
            <sz val="9"/>
            <color rgb="FF000000"/>
            <rFont val="Tahoma"/>
            <family val="2"/>
          </rPr>
          <t xml:space="preserve">
Estimated</t>
        </r>
      </text>
    </comment>
    <comment ref="A484" authorId="0" shapeId="0" xr:uid="{00000000-0006-0000-0100-000062010000}">
      <text>
        <r>
          <rPr>
            <b/>
            <sz val="9"/>
            <color rgb="FF000000"/>
            <rFont val="Tahoma"/>
            <family val="2"/>
          </rPr>
          <t>Tegus (DT):</t>
        </r>
        <r>
          <rPr>
            <sz val="9"/>
            <color rgb="FF000000"/>
            <rFont val="Tahoma"/>
            <family val="2"/>
          </rPr>
          <t xml:space="preserve">
No ESPP reported.</t>
        </r>
      </text>
    </comment>
    <comment ref="AY489" authorId="0" shapeId="0" xr:uid="{00000000-0006-0000-0100-000063010000}">
      <text>
        <r>
          <rPr>
            <b/>
            <sz val="9"/>
            <color rgb="FF000000"/>
            <rFont val="Tahoma"/>
            <family val="2"/>
          </rPr>
          <t>Tegus:</t>
        </r>
        <r>
          <rPr>
            <sz val="9"/>
            <color rgb="FF000000"/>
            <rFont val="Tahoma"/>
            <family val="2"/>
          </rPr>
          <t xml:space="preserve">
Estimated. To be updated with 10-Q/K</t>
        </r>
      </text>
    </comment>
    <comment ref="AX503" authorId="0" shapeId="0" xr:uid="{00000000-0006-0000-0100-000064010000}">
      <text>
        <r>
          <rPr>
            <b/>
            <sz val="9"/>
            <color rgb="FF000000"/>
            <rFont val="Tahoma"/>
            <family val="2"/>
          </rPr>
          <t>Tegus (DHJ):</t>
        </r>
        <r>
          <rPr>
            <sz val="9"/>
            <color rgb="FF000000"/>
            <rFont val="Tahoma"/>
            <family val="2"/>
          </rPr>
          <t xml:space="preserve">
No share repurchase activity for the three months ended December 31, 2024</t>
        </r>
      </text>
    </comment>
    <comment ref="AX508" authorId="0" shapeId="0" xr:uid="{00000000-0006-0000-0100-000065010000}">
      <text>
        <r>
          <rPr>
            <b/>
            <sz val="9"/>
            <color rgb="FF000000"/>
            <rFont val="Tahoma"/>
            <family val="2"/>
          </rPr>
          <t>Tegus (DHJ):</t>
        </r>
        <r>
          <rPr>
            <sz val="9"/>
            <color rgb="FF000000"/>
            <rFont val="Tahoma"/>
            <family val="2"/>
          </rPr>
          <t xml:space="preserve">
No share repurchase activity for the three months ended December 31, 2024</t>
        </r>
      </text>
    </comment>
    <comment ref="AX513" authorId="0" shapeId="0" xr:uid="{00000000-0006-0000-0100-000066010000}">
      <text>
        <r>
          <rPr>
            <b/>
            <sz val="9"/>
            <color rgb="FF000000"/>
            <rFont val="Tahoma"/>
            <family val="2"/>
          </rPr>
          <t>Tegus (DHJ):</t>
        </r>
        <r>
          <rPr>
            <sz val="9"/>
            <color rgb="FF000000"/>
            <rFont val="Tahoma"/>
            <family val="2"/>
          </rPr>
          <t xml:space="preserve">
No share repurchase activity for the three months ended December 31, 2024</t>
        </r>
      </text>
    </comment>
    <comment ref="X515" authorId="0" shapeId="0" xr:uid="{00000000-0006-0000-0100-000067010000}">
      <text>
        <r>
          <rPr>
            <b/>
            <sz val="9"/>
            <color rgb="FF000000"/>
            <rFont val="Tahoma"/>
            <family val="2"/>
          </rPr>
          <t>Tegus (DL):</t>
        </r>
        <r>
          <rPr>
            <sz val="9"/>
            <color rgb="FF000000"/>
            <rFont val="Tahoma"/>
            <family val="2"/>
          </rPr>
          <t xml:space="preserve">
Apr 2018, additional 9 billion authorized</t>
        </r>
      </text>
    </comment>
    <comment ref="AE515" authorId="0" shapeId="0" xr:uid="{00000000-0006-0000-0100-000068010000}">
      <text>
        <r>
          <rPr>
            <b/>
            <sz val="9"/>
            <color rgb="FF000000"/>
            <rFont val="Tahoma"/>
            <family val="2"/>
          </rPr>
          <t>Tegus (DL):</t>
        </r>
        <r>
          <rPr>
            <sz val="9"/>
            <color rgb="FF000000"/>
            <rFont val="Tahoma"/>
            <family val="2"/>
          </rPr>
          <t xml:space="preserve">
Jan 2020, additional 10 billion authorized</t>
        </r>
      </text>
    </comment>
    <comment ref="AI515" authorId="0" shapeId="0" xr:uid="{00000000-0006-0000-0100-000069010000}">
      <text>
        <r>
          <rPr>
            <b/>
            <sz val="9"/>
            <color rgb="FF000000"/>
            <rFont val="Tahoma"/>
            <family val="2"/>
          </rPr>
          <t>Tegus (DL):</t>
        </r>
        <r>
          <rPr>
            <sz val="9"/>
            <color rgb="FF000000"/>
            <rFont val="Tahoma"/>
            <family val="2"/>
          </rPr>
          <t xml:space="preserve">
Jan 2021, additional 25 billion authorized</t>
        </r>
      </text>
    </comment>
    <comment ref="AL515" authorId="0" shapeId="0" xr:uid="{00000000-0006-0000-0100-00006A010000}">
      <text>
        <r>
          <rPr>
            <b/>
            <sz val="9"/>
            <color rgb="FF000000"/>
            <rFont val="Tahoma"/>
            <family val="2"/>
          </rPr>
          <t>Tegus (DL):</t>
        </r>
        <r>
          <rPr>
            <sz val="9"/>
            <color rgb="FF000000"/>
            <rFont val="Tahoma"/>
            <family val="2"/>
          </rPr>
          <t xml:space="preserve">
Oct 2021, additional 50 billion authorized</t>
        </r>
      </text>
    </comment>
    <comment ref="AQ515" authorId="0" shapeId="0" xr:uid="{00000000-0006-0000-0100-00006B010000}">
      <text>
        <r>
          <rPr>
            <b/>
            <sz val="9"/>
            <color rgb="FF000000"/>
            <rFont val="Tahoma"/>
            <family val="2"/>
          </rPr>
          <t>Tegus (LZ):</t>
        </r>
        <r>
          <rPr>
            <sz val="9"/>
            <color rgb="FF000000"/>
            <rFont val="Tahoma"/>
            <family val="2"/>
          </rPr>
          <t xml:space="preserve">
In Jan 23, an additional $40bn of repurchases was authorized</t>
        </r>
      </text>
    </comment>
    <comment ref="AU515" authorId="0" shapeId="0" xr:uid="{00000000-0006-0000-0100-00006C010000}">
      <text>
        <r>
          <rPr>
            <b/>
            <sz val="9"/>
            <color rgb="FF000000"/>
            <rFont val="Tahoma"/>
            <family val="2"/>
          </rPr>
          <t>Tegus (AW):</t>
        </r>
        <r>
          <rPr>
            <sz val="9"/>
            <color rgb="FF000000"/>
            <rFont val="Tahoma"/>
            <family val="2"/>
          </rPr>
          <t xml:space="preserve">
In January 2024, an additional $50 billion of repurchases was authorized under this program.</t>
        </r>
      </text>
    </comment>
    <comment ref="R516" authorId="0" shapeId="0" xr:uid="{00000000-0006-0000-0100-00006D010000}">
      <text>
        <r>
          <rPr>
            <b/>
            <sz val="9"/>
            <color rgb="FF000000"/>
            <rFont val="Tahoma"/>
            <family val="2"/>
          </rPr>
          <t>Tegus (DL):</t>
        </r>
        <r>
          <rPr>
            <sz val="9"/>
            <color rgb="FF000000"/>
            <rFont val="Tahoma"/>
            <family val="2"/>
          </rPr>
          <t xml:space="preserve">
Nov 2016, 6 billion authorized</t>
        </r>
      </text>
    </comment>
    <comment ref="Z517" authorId="0" shapeId="0" xr:uid="{00000000-0006-0000-0100-00006E010000}">
      <text>
        <r>
          <rPr>
            <b/>
            <sz val="9"/>
            <color rgb="FF000000"/>
            <rFont val="Tahoma"/>
            <family val="2"/>
          </rPr>
          <t>Tegus (DL):</t>
        </r>
        <r>
          <rPr>
            <sz val="9"/>
            <color rgb="FF000000"/>
            <rFont val="Tahoma"/>
            <family val="2"/>
          </rPr>
          <t xml:space="preserve">
Dec 2018, additional 9 billion authorized</t>
        </r>
      </text>
    </comment>
    <comment ref="AX523" authorId="0" shapeId="0" xr:uid="{00000000-0006-0000-0100-00006F010000}">
      <text>
        <r>
          <rPr>
            <b/>
            <sz val="9"/>
            <color rgb="FF000000"/>
            <rFont val="Tahoma"/>
            <family val="2"/>
          </rPr>
          <t>Tegus (DHJ):</t>
        </r>
        <r>
          <rPr>
            <sz val="9"/>
            <color rgb="FF000000"/>
            <rFont val="Tahoma"/>
            <family val="2"/>
          </rPr>
          <t xml:space="preserve">
Hardcoded as reported
As of December 31, 2024, $51.28 billion remained available and authorized for repurchases</t>
        </r>
      </text>
    </comment>
    <comment ref="AF531" authorId="0" shapeId="0" xr:uid="{00000000-0006-0000-0100-000070010000}">
      <text>
        <r>
          <rPr>
            <b/>
            <sz val="9"/>
            <color rgb="FF000000"/>
            <rFont val="Tahoma"/>
            <family val="2"/>
          </rPr>
          <t>Tegus (JA):</t>
        </r>
        <r>
          <rPr>
            <sz val="9"/>
            <color rgb="FF000000"/>
            <rFont val="Tahoma"/>
            <family val="2"/>
          </rPr>
          <t xml:space="preserve">
Guidance not reported, likely due to impact and uncertainty caused by COVID-19.</t>
        </r>
      </text>
    </comment>
    <comment ref="AG531" authorId="0" shapeId="0" xr:uid="{00000000-0006-0000-0100-000071010000}">
      <text>
        <r>
          <rPr>
            <b/>
            <sz val="9"/>
            <color rgb="FF000000"/>
            <rFont val="Tahoma"/>
            <family val="2"/>
          </rPr>
          <t>Tegus (JA):</t>
        </r>
        <r>
          <rPr>
            <sz val="9"/>
            <color rgb="FF000000"/>
            <rFont val="Tahoma"/>
            <family val="2"/>
          </rPr>
          <t xml:space="preserve">
Guidance not reported, likely due to impact and uncertainty caused by COVID-19.</t>
        </r>
      </text>
    </comment>
    <comment ref="AH531" authorId="0" shapeId="0" xr:uid="{00000000-0006-0000-0100-000072010000}">
      <text>
        <r>
          <rPr>
            <b/>
            <sz val="9"/>
            <color rgb="FF000000"/>
            <rFont val="Tahoma"/>
            <family val="2"/>
          </rPr>
          <t>Tegus (JA):</t>
        </r>
        <r>
          <rPr>
            <sz val="9"/>
            <color rgb="FF000000"/>
            <rFont val="Tahoma"/>
            <family val="2"/>
          </rPr>
          <t xml:space="preserve">
Guidance not reported, likely due to impact and uncertainty caused by COVID-19.</t>
        </r>
      </text>
    </comment>
    <comment ref="AI531" authorId="0" shapeId="0" xr:uid="{00000000-0006-0000-0100-000073010000}">
      <text>
        <r>
          <rPr>
            <b/>
            <sz val="9"/>
            <color rgb="FF000000"/>
            <rFont val="Tahoma"/>
            <family val="2"/>
          </rPr>
          <t>Tegus (JA):</t>
        </r>
        <r>
          <rPr>
            <sz val="9"/>
            <color rgb="FF000000"/>
            <rFont val="Tahoma"/>
            <family val="2"/>
          </rPr>
          <t xml:space="preserve">
Guidance not reported, likely due to impact and uncertainty caused by COVID-19.</t>
        </r>
      </text>
    </comment>
    <comment ref="AJ531" authorId="0" shapeId="0" xr:uid="{00000000-0006-0000-0100-000074010000}">
      <text>
        <r>
          <rPr>
            <b/>
            <sz val="9"/>
            <color rgb="FF000000"/>
            <rFont val="Tahoma"/>
            <family val="2"/>
          </rPr>
          <t>Tegus (JA):</t>
        </r>
        <r>
          <rPr>
            <sz val="9"/>
            <color rgb="FF000000"/>
            <rFont val="Tahoma"/>
            <family val="2"/>
          </rPr>
          <t xml:space="preserve">
Guidance not reported, likely due to impact and uncertainty caused by COVID-19.</t>
        </r>
      </text>
    </comment>
    <comment ref="AK531" authorId="0" shapeId="0" xr:uid="{00000000-0006-0000-0100-000075010000}">
      <text>
        <r>
          <rPr>
            <b/>
            <sz val="9"/>
            <color rgb="FF000000"/>
            <rFont val="Tahoma"/>
            <family val="2"/>
          </rPr>
          <t>Tegus (JA):</t>
        </r>
        <r>
          <rPr>
            <sz val="9"/>
            <color rgb="FF000000"/>
            <rFont val="Tahoma"/>
            <family val="2"/>
          </rPr>
          <t xml:space="preserve">
Guidance not reported, likely due to impact and uncertainty caused by COVID-19.</t>
        </r>
      </text>
    </comment>
    <comment ref="BS531" authorId="0" shapeId="0" xr:uid="{00000000-0006-0000-0100-000076010000}">
      <text>
        <r>
          <rPr>
            <b/>
            <sz val="9"/>
            <color rgb="FF000000"/>
            <rFont val="Tahoma"/>
            <family val="2"/>
          </rPr>
          <t>Tegus (JA):</t>
        </r>
        <r>
          <rPr>
            <sz val="9"/>
            <color rgb="FF000000"/>
            <rFont val="Tahoma"/>
            <family val="2"/>
          </rPr>
          <t xml:space="preserve">
Guidance not reported, likely due to impact and uncertainty caused by COVID-19.</t>
        </r>
      </text>
    </comment>
    <comment ref="AE547" authorId="0" shapeId="0" xr:uid="{00000000-0006-0000-0100-000077010000}">
      <text>
        <r>
          <rPr>
            <b/>
            <sz val="9"/>
            <color rgb="FF000000"/>
            <rFont val="Tahoma"/>
            <family val="2"/>
          </rPr>
          <t>Tegus (JA):</t>
        </r>
        <r>
          <rPr>
            <sz val="9"/>
            <color rgb="FF000000"/>
            <rFont val="Tahoma"/>
            <family val="2"/>
          </rPr>
          <t xml:space="preserve">
Not reported</t>
        </r>
      </text>
    </comment>
    <comment ref="AF547" authorId="0" shapeId="0" xr:uid="{00000000-0006-0000-0100-000078010000}">
      <text>
        <r>
          <rPr>
            <b/>
            <sz val="9"/>
            <color rgb="FF000000"/>
            <rFont val="Tahoma"/>
            <family val="2"/>
          </rPr>
          <t>Tegus (JA):</t>
        </r>
        <r>
          <rPr>
            <sz val="9"/>
            <color rgb="FF000000"/>
            <rFont val="Tahoma"/>
            <family val="2"/>
          </rPr>
          <t xml:space="preserve">
Not reported</t>
        </r>
      </text>
    </comment>
    <comment ref="AG547" authorId="0" shapeId="0" xr:uid="{00000000-0006-0000-0100-000079010000}">
      <text>
        <r>
          <rPr>
            <b/>
            <sz val="9"/>
            <color rgb="FF000000"/>
            <rFont val="Tahoma"/>
            <family val="2"/>
          </rPr>
          <t>Tegus (JA):</t>
        </r>
        <r>
          <rPr>
            <sz val="9"/>
            <color rgb="FF000000"/>
            <rFont val="Tahoma"/>
            <family val="2"/>
          </rPr>
          <t xml:space="preserve">
Not reported</t>
        </r>
      </text>
    </comment>
    <comment ref="AH547" authorId="0" shapeId="0" xr:uid="{00000000-0006-0000-0100-00007A010000}">
      <text>
        <r>
          <rPr>
            <b/>
            <sz val="9"/>
            <color rgb="FF000000"/>
            <rFont val="Tahoma"/>
            <family val="2"/>
          </rPr>
          <t>Tegus (JA):</t>
        </r>
        <r>
          <rPr>
            <sz val="9"/>
            <color rgb="FF000000"/>
            <rFont val="Tahoma"/>
            <family val="2"/>
          </rPr>
          <t xml:space="preserve">
Not reported</t>
        </r>
      </text>
    </comment>
    <comment ref="AI547" authorId="0" shapeId="0" xr:uid="{00000000-0006-0000-0100-00007B010000}">
      <text>
        <r>
          <rPr>
            <b/>
            <sz val="9"/>
            <color rgb="FF000000"/>
            <rFont val="Tahoma"/>
            <family val="2"/>
          </rPr>
          <t>Tegus (JA):</t>
        </r>
        <r>
          <rPr>
            <sz val="9"/>
            <color rgb="FF000000"/>
            <rFont val="Tahoma"/>
            <family val="2"/>
          </rPr>
          <t xml:space="preserve">
Not reported</t>
        </r>
      </text>
    </comment>
    <comment ref="AJ547" authorId="0" shapeId="0" xr:uid="{00000000-0006-0000-0100-00007C010000}">
      <text>
        <r>
          <rPr>
            <b/>
            <sz val="9"/>
            <color rgb="FF000000"/>
            <rFont val="Tahoma"/>
            <family val="2"/>
          </rPr>
          <t>Tegus (JA):</t>
        </r>
        <r>
          <rPr>
            <sz val="9"/>
            <color rgb="FF000000"/>
            <rFont val="Tahoma"/>
            <family val="2"/>
          </rPr>
          <t xml:space="preserve">
Not reported</t>
        </r>
      </text>
    </comment>
    <comment ref="BS547" authorId="0" shapeId="0" xr:uid="{00000000-0006-0000-0100-00007D010000}">
      <text>
        <r>
          <rPr>
            <b/>
            <sz val="9"/>
            <color rgb="FF000000"/>
            <rFont val="Tahoma"/>
            <family val="2"/>
          </rPr>
          <t>Tegus (JA):</t>
        </r>
        <r>
          <rPr>
            <sz val="9"/>
            <color rgb="FF000000"/>
            <rFont val="Tahoma"/>
            <family val="2"/>
          </rPr>
          <t xml:space="preserve">
Not reported</t>
        </r>
      </text>
    </comment>
    <comment ref="AK560" authorId="0" shapeId="0" xr:uid="{00000000-0006-0000-0100-00007E010000}">
      <text>
        <r>
          <rPr>
            <b/>
            <sz val="9"/>
            <color rgb="FF000000"/>
            <rFont val="Tahoma"/>
            <family val="2"/>
          </rPr>
          <t>Tegus (JA):</t>
        </r>
        <r>
          <rPr>
            <sz val="9"/>
            <color rgb="FF000000"/>
            <rFont val="Tahoma"/>
            <family val="2"/>
          </rPr>
          <t xml:space="preserve">
Implied</t>
        </r>
      </text>
    </comment>
    <comment ref="AO560" authorId="0" shapeId="0" xr:uid="{00000000-0006-0000-0100-00007F010000}">
      <text>
        <r>
          <rPr>
            <b/>
            <sz val="9"/>
            <color rgb="FF000000"/>
            <rFont val="Tahoma"/>
            <family val="2"/>
          </rPr>
          <t>Tegus (JA):</t>
        </r>
        <r>
          <rPr>
            <sz val="9"/>
            <color rgb="FF000000"/>
            <rFont val="Tahoma"/>
            <family val="2"/>
          </rPr>
          <t xml:space="preserve">
Implied</t>
        </r>
      </text>
    </comment>
    <comment ref="AK561" authorId="0" shapeId="0" xr:uid="{00000000-0006-0000-0100-000080010000}">
      <text>
        <r>
          <rPr>
            <b/>
            <sz val="9"/>
            <color rgb="FF000000"/>
            <rFont val="Tahoma"/>
            <family val="2"/>
          </rPr>
          <t>Tegus (JA):</t>
        </r>
        <r>
          <rPr>
            <sz val="9"/>
            <color rgb="FF000000"/>
            <rFont val="Tahoma"/>
            <family val="2"/>
          </rPr>
          <t xml:space="preserve">
Implied</t>
        </r>
      </text>
    </comment>
    <comment ref="AO561" authorId="0" shapeId="0" xr:uid="{00000000-0006-0000-0100-000081010000}">
      <text>
        <r>
          <rPr>
            <b/>
            <sz val="9"/>
            <color rgb="FF000000"/>
            <rFont val="Tahoma"/>
            <family val="2"/>
          </rPr>
          <t>Tegus (JA):</t>
        </r>
        <r>
          <rPr>
            <sz val="9"/>
            <color rgb="FF000000"/>
            <rFont val="Tahoma"/>
            <family val="2"/>
          </rPr>
          <t xml:space="preserve">
Implied</t>
        </r>
      </text>
    </comment>
    <comment ref="AD562" authorId="0" shapeId="0" xr:uid="{00000000-0006-0000-0100-000082010000}">
      <text>
        <r>
          <rPr>
            <b/>
            <sz val="9"/>
            <color rgb="FF000000"/>
            <rFont val="Tahoma"/>
            <family val="2"/>
          </rPr>
          <t>Tegus (JA):</t>
        </r>
        <r>
          <rPr>
            <sz val="9"/>
            <color rgb="FF000000"/>
            <rFont val="Tahoma"/>
            <family val="2"/>
          </rPr>
          <t xml:space="preserve">
Not reported</t>
        </r>
      </text>
    </comment>
    <comment ref="AE562" authorId="0" shapeId="0" xr:uid="{00000000-0006-0000-0100-000083010000}">
      <text>
        <r>
          <rPr>
            <b/>
            <sz val="9"/>
            <color rgb="FF000000"/>
            <rFont val="Tahoma"/>
            <family val="2"/>
          </rPr>
          <t>Tegus (JA):</t>
        </r>
        <r>
          <rPr>
            <sz val="9"/>
            <color rgb="FF000000"/>
            <rFont val="Tahoma"/>
            <family val="2"/>
          </rPr>
          <t xml:space="preserve">
Not reported</t>
        </r>
      </text>
    </comment>
    <comment ref="AF562" authorId="0" shapeId="0" xr:uid="{00000000-0006-0000-0100-000084010000}">
      <text>
        <r>
          <rPr>
            <b/>
            <sz val="9"/>
            <color rgb="FF000000"/>
            <rFont val="Tahoma"/>
            <family val="2"/>
          </rPr>
          <t>Tegus (JA):</t>
        </r>
        <r>
          <rPr>
            <sz val="9"/>
            <color rgb="FF000000"/>
            <rFont val="Tahoma"/>
            <family val="2"/>
          </rPr>
          <t xml:space="preserve">
Not reported</t>
        </r>
      </text>
    </comment>
    <comment ref="AG562" authorId="0" shapeId="0" xr:uid="{00000000-0006-0000-0100-000085010000}">
      <text>
        <r>
          <rPr>
            <b/>
            <sz val="9"/>
            <color rgb="FF000000"/>
            <rFont val="Tahoma"/>
            <family val="2"/>
          </rPr>
          <t>Tegus (JA):</t>
        </r>
        <r>
          <rPr>
            <sz val="9"/>
            <color rgb="FF000000"/>
            <rFont val="Tahoma"/>
            <family val="2"/>
          </rPr>
          <t xml:space="preserve">
Not reported</t>
        </r>
      </text>
    </comment>
    <comment ref="AH562" authorId="0" shapeId="0" xr:uid="{00000000-0006-0000-0100-000086010000}">
      <text>
        <r>
          <rPr>
            <b/>
            <sz val="9"/>
            <color rgb="FF000000"/>
            <rFont val="Tahoma"/>
            <family val="2"/>
          </rPr>
          <t>Tegus (JA):</t>
        </r>
        <r>
          <rPr>
            <sz val="9"/>
            <color rgb="FF000000"/>
            <rFont val="Tahoma"/>
            <family val="2"/>
          </rPr>
          <t xml:space="preserve">
Not reported</t>
        </r>
      </text>
    </comment>
    <comment ref="AI562" authorId="0" shapeId="0" xr:uid="{00000000-0006-0000-0100-000087010000}">
      <text>
        <r>
          <rPr>
            <b/>
            <sz val="9"/>
            <color rgb="FF000000"/>
            <rFont val="Tahoma"/>
            <family val="2"/>
          </rPr>
          <t>Tegus (JA):</t>
        </r>
        <r>
          <rPr>
            <sz val="9"/>
            <color rgb="FF000000"/>
            <rFont val="Tahoma"/>
            <family val="2"/>
          </rPr>
          <t xml:space="preserve">
Not reported</t>
        </r>
      </text>
    </comment>
    <comment ref="AJ562" authorId="0" shapeId="0" xr:uid="{00000000-0006-0000-0100-000088010000}">
      <text>
        <r>
          <rPr>
            <b/>
            <sz val="9"/>
            <color rgb="FF000000"/>
            <rFont val="Tahoma"/>
            <family val="2"/>
          </rPr>
          <t>Tegus (JA):</t>
        </r>
        <r>
          <rPr>
            <sz val="9"/>
            <color rgb="FF000000"/>
            <rFont val="Tahoma"/>
            <family val="2"/>
          </rPr>
          <t xml:space="preserve">
Not reported</t>
        </r>
      </text>
    </comment>
    <comment ref="BR562" authorId="0" shapeId="0" xr:uid="{00000000-0006-0000-0100-000089010000}">
      <text>
        <r>
          <rPr>
            <b/>
            <sz val="9"/>
            <color rgb="FF000000"/>
            <rFont val="Tahoma"/>
            <family val="2"/>
          </rPr>
          <t>Tegus (JA):</t>
        </r>
        <r>
          <rPr>
            <sz val="9"/>
            <color rgb="FF000000"/>
            <rFont val="Tahoma"/>
            <family val="2"/>
          </rPr>
          <t xml:space="preserve">
Not reported</t>
        </r>
      </text>
    </comment>
    <comment ref="BS562" authorId="0" shapeId="0" xr:uid="{00000000-0006-0000-0100-00008A010000}">
      <text>
        <r>
          <rPr>
            <b/>
            <sz val="9"/>
            <color rgb="FF000000"/>
            <rFont val="Tahoma"/>
            <family val="2"/>
          </rPr>
          <t>Tegus (JA):</t>
        </r>
        <r>
          <rPr>
            <sz val="9"/>
            <color rgb="FF000000"/>
            <rFont val="Tahoma"/>
            <family val="2"/>
          </rPr>
          <t xml:space="preserve">
Not reported</t>
        </r>
      </text>
    </comment>
    <comment ref="AC587" authorId="0" shapeId="0" xr:uid="{00000000-0006-0000-0100-00008B010000}">
      <text>
        <r>
          <rPr>
            <b/>
            <sz val="9"/>
            <color rgb="FF000000"/>
            <rFont val="Tahoma"/>
            <family val="2"/>
          </rPr>
          <t>Tegus (JA):</t>
        </r>
        <r>
          <rPr>
            <sz val="9"/>
            <color rgb="FF000000"/>
            <rFont val="Tahoma"/>
            <family val="2"/>
          </rPr>
          <t xml:space="preserve">
Not reported, implied</t>
        </r>
      </text>
    </comment>
    <comment ref="AG587" authorId="0" shapeId="0" xr:uid="{00000000-0006-0000-0100-00008C010000}">
      <text>
        <r>
          <rPr>
            <b/>
            <sz val="9"/>
            <color rgb="FF000000"/>
            <rFont val="Tahoma"/>
            <family val="2"/>
          </rPr>
          <t>Tegus (JA):</t>
        </r>
        <r>
          <rPr>
            <sz val="9"/>
            <color rgb="FF000000"/>
            <rFont val="Tahoma"/>
            <family val="2"/>
          </rPr>
          <t xml:space="preserve">
Not reported, implied</t>
        </r>
      </text>
    </comment>
    <comment ref="AK587" authorId="0" shapeId="0" xr:uid="{00000000-0006-0000-0100-00008D010000}">
      <text>
        <r>
          <rPr>
            <b/>
            <sz val="9"/>
            <color rgb="FF000000"/>
            <rFont val="Tahoma"/>
            <family val="2"/>
          </rPr>
          <t>Tegus (JA):</t>
        </r>
        <r>
          <rPr>
            <sz val="9"/>
            <color rgb="FF000000"/>
            <rFont val="Tahoma"/>
            <family val="2"/>
          </rPr>
          <t xml:space="preserve">
Not reported, implied</t>
        </r>
      </text>
    </comment>
    <comment ref="AO587" authorId="0" shapeId="0" xr:uid="{00000000-0006-0000-0100-00008E010000}">
      <text>
        <r>
          <rPr>
            <b/>
            <sz val="9"/>
            <color rgb="FF000000"/>
            <rFont val="Tahoma"/>
            <family val="2"/>
          </rPr>
          <t>Tegus (JA):</t>
        </r>
        <r>
          <rPr>
            <sz val="9"/>
            <color rgb="FF000000"/>
            <rFont val="Tahoma"/>
            <family val="2"/>
          </rPr>
          <t xml:space="preserve">
Not reported, implied</t>
        </r>
      </text>
    </comment>
    <comment ref="AC631" authorId="0" shapeId="0" xr:uid="{00000000-0006-0000-0100-00008F010000}">
      <text>
        <r>
          <rPr>
            <b/>
            <sz val="9"/>
            <color rgb="FF000000"/>
            <rFont val="Tahoma"/>
            <family val="2"/>
          </rPr>
          <t>Tegus (JA):</t>
        </r>
        <r>
          <rPr>
            <sz val="9"/>
            <color rgb="FF000000"/>
            <rFont val="Tahoma"/>
            <family val="2"/>
          </rPr>
          <t xml:space="preserve">
Not reported, implied</t>
        </r>
      </text>
    </comment>
    <comment ref="AG631" authorId="0" shapeId="0" xr:uid="{00000000-0006-0000-0100-000090010000}">
      <text>
        <r>
          <rPr>
            <b/>
            <sz val="9"/>
            <color rgb="FF000000"/>
            <rFont val="Tahoma"/>
            <family val="2"/>
          </rPr>
          <t>Tegus (JA):</t>
        </r>
        <r>
          <rPr>
            <sz val="9"/>
            <color rgb="FF000000"/>
            <rFont val="Tahoma"/>
            <family val="2"/>
          </rPr>
          <t xml:space="preserve">
Not reported, implied</t>
        </r>
      </text>
    </comment>
    <comment ref="AK631" authorId="0" shapeId="0" xr:uid="{00000000-0006-0000-0100-000091010000}">
      <text>
        <r>
          <rPr>
            <b/>
            <sz val="9"/>
            <color rgb="FF000000"/>
            <rFont val="Tahoma"/>
            <family val="2"/>
          </rPr>
          <t>Tegus (JA):</t>
        </r>
        <r>
          <rPr>
            <sz val="9"/>
            <color rgb="FF000000"/>
            <rFont val="Tahoma"/>
            <family val="2"/>
          </rPr>
          <t xml:space="preserve">
Not reported, implied</t>
        </r>
      </text>
    </comment>
    <comment ref="AO631" authorId="0" shapeId="0" xr:uid="{00000000-0006-0000-0100-000092010000}">
      <text>
        <r>
          <rPr>
            <b/>
            <sz val="9"/>
            <color rgb="FF000000"/>
            <rFont val="Tahoma"/>
            <family val="2"/>
          </rPr>
          <t>Tegus (JA):</t>
        </r>
        <r>
          <rPr>
            <sz val="9"/>
            <color rgb="FF000000"/>
            <rFont val="Tahoma"/>
            <family val="2"/>
          </rPr>
          <t xml:space="preserve">
Not reported, implied</t>
        </r>
      </text>
    </comment>
    <comment ref="A665" authorId="0" shapeId="0" xr:uid="{00000000-0006-0000-0100-000093010000}">
      <text>
        <r>
          <rPr>
            <b/>
            <sz val="9"/>
            <color rgb="FF000000"/>
            <rFont val="Tahoma"/>
            <family val="2"/>
          </rPr>
          <t>Tegus (PA):</t>
        </r>
        <r>
          <rPr>
            <sz val="9"/>
            <color rgb="FF000000"/>
            <rFont val="Tahoma"/>
            <family val="2"/>
          </rPr>
          <t xml:space="preserve">
Facebook includes principal payment towards finance leases in Capex whereas Tegus model does not.</t>
        </r>
      </text>
    </comment>
    <comment ref="AA665" authorId="0" shapeId="0" xr:uid="{00000000-0006-0000-0100-000094010000}">
      <text>
        <r>
          <rPr>
            <b/>
            <sz val="9"/>
            <color rgb="FF000000"/>
            <rFont val="Tahoma"/>
            <family val="2"/>
          </rPr>
          <t>Tegus (DL):</t>
        </r>
        <r>
          <rPr>
            <sz val="9"/>
            <color rgb="FF000000"/>
            <rFont val="Tahoma"/>
            <family val="2"/>
          </rPr>
          <t xml:space="preserve">
Formula changed on include Principal payment on operating lease</t>
        </r>
      </text>
    </comment>
    <comment ref="AH665" authorId="0" shapeId="0" xr:uid="{00000000-0006-0000-0100-000095010000}">
      <text>
        <r>
          <rPr>
            <b/>
            <sz val="9"/>
            <color rgb="FF000000"/>
            <rFont val="Tahoma"/>
            <family val="2"/>
          </rPr>
          <t>Tegus (DL):</t>
        </r>
        <r>
          <rPr>
            <sz val="9"/>
            <color rgb="FF000000"/>
            <rFont val="Tahoma"/>
            <family val="2"/>
          </rPr>
          <t xml:space="preserve">
Reported as 4,818 in Q4 2020 PR</t>
        </r>
      </text>
    </comment>
    <comment ref="AY732" authorId="0" shapeId="0" xr:uid="{00000000-0006-0000-0100-000096010000}">
      <text>
        <r>
          <rPr>
            <b/>
            <sz val="9"/>
            <color rgb="FF000000"/>
            <rFont val="Tahoma"/>
            <family val="2"/>
          </rPr>
          <t>Tegus:</t>
        </r>
        <r>
          <rPr>
            <sz val="9"/>
            <color rgb="FF000000"/>
            <rFont val="Tahoma"/>
            <family val="2"/>
          </rPr>
          <t xml:space="preserve">
To be updated with 10-Q/K</t>
        </r>
      </text>
    </comment>
    <comment ref="W793" authorId="0" shapeId="0" xr:uid="{00000000-0006-0000-0100-000097010000}">
      <text>
        <r>
          <rPr>
            <b/>
            <sz val="9"/>
            <color rgb="FF000000"/>
            <rFont val="Tahoma"/>
            <family val="2"/>
          </rPr>
          <t>Tegus (AB):</t>
        </r>
        <r>
          <rPr>
            <sz val="9"/>
            <color rgb="FF000000"/>
            <rFont val="Tahoma"/>
            <family val="2"/>
          </rPr>
          <t xml:space="preserve">
Hardcoded as reported - company began including restricted cash.</t>
        </r>
      </text>
    </comment>
    <comment ref="AY796" authorId="0" shapeId="0" xr:uid="{00000000-0006-0000-0100-000098010000}">
      <text>
        <r>
          <rPr>
            <b/>
            <sz val="9"/>
            <color rgb="FF000000"/>
            <rFont val="Tahoma"/>
            <family val="2"/>
          </rPr>
          <t>Tegus:</t>
        </r>
        <r>
          <rPr>
            <sz val="9"/>
            <color rgb="FF000000"/>
            <rFont val="Tahoma"/>
            <family val="2"/>
          </rPr>
          <t xml:space="preserve">
To be updated with 10-Q/K</t>
        </r>
      </text>
    </comment>
    <comment ref="W862" authorId="0" shapeId="0" xr:uid="{00000000-0006-0000-0100-000099010000}">
      <text>
        <r>
          <rPr>
            <b/>
            <sz val="9"/>
            <color rgb="FF000000"/>
            <rFont val="Tahoma"/>
            <family val="2"/>
          </rPr>
          <t>Tegus (AB):</t>
        </r>
        <r>
          <rPr>
            <sz val="9"/>
            <color rgb="FF000000"/>
            <rFont val="Tahoma"/>
            <family val="2"/>
          </rPr>
          <t xml:space="preserve">
Formula has been adjusted due to change in beginning cash balance - company began including restricted cash.</t>
        </r>
      </text>
    </comment>
    <comment ref="BQ862" authorId="0" shapeId="0" xr:uid="{00000000-0006-0000-0100-00009A010000}">
      <text>
        <r>
          <rPr>
            <b/>
            <sz val="9"/>
            <color rgb="FF000000"/>
            <rFont val="Tahoma"/>
            <family val="2"/>
          </rPr>
          <t>Tegus (AB):</t>
        </r>
        <r>
          <rPr>
            <sz val="9"/>
            <color rgb="FF000000"/>
            <rFont val="Tahoma"/>
            <family val="2"/>
          </rPr>
          <t xml:space="preserve">
Formula has been adjusted due to change in beginning cash balance - company began including restricted cash.</t>
        </r>
      </text>
    </comment>
    <comment ref="BH870" authorId="0" shapeId="0" xr:uid="{00000000-0006-0000-0100-00009B010000}">
      <text>
        <r>
          <rPr>
            <b/>
            <sz val="9"/>
            <color rgb="FF000000"/>
            <rFont val="Tahoma"/>
            <family val="2"/>
          </rPr>
          <t>Tegus (LtT):</t>
        </r>
        <r>
          <rPr>
            <sz val="9"/>
            <color rgb="FF000000"/>
            <rFont val="Tahoma"/>
            <family val="2"/>
          </rPr>
          <t xml:space="preserve">
no balance sheet information available</t>
        </r>
      </text>
    </comment>
    <comment ref="C890" authorId="0" shapeId="0" xr:uid="{00000000-0006-0000-0100-00009C010000}">
      <text>
        <r>
          <rPr>
            <b/>
            <sz val="9"/>
            <color rgb="FF000000"/>
            <rFont val="Tahoma"/>
            <family val="2"/>
          </rPr>
          <t>Tegus (BL):</t>
        </r>
        <r>
          <rPr>
            <sz val="9"/>
            <color rgb="FF000000"/>
            <rFont val="Tahoma"/>
            <family val="2"/>
          </rPr>
          <t xml:space="preserve">
Goodwill included as the company reported combined values historically.</t>
        </r>
      </text>
    </comment>
    <comment ref="D890" authorId="0" shapeId="0" xr:uid="{00000000-0006-0000-0100-00009D010000}">
      <text>
        <r>
          <rPr>
            <b/>
            <sz val="9"/>
            <color rgb="FF000000"/>
            <rFont val="Tahoma"/>
            <family val="2"/>
          </rPr>
          <t>Tegus (BL):</t>
        </r>
        <r>
          <rPr>
            <sz val="9"/>
            <color rgb="FF000000"/>
            <rFont val="Tahoma"/>
            <family val="2"/>
          </rPr>
          <t xml:space="preserve">
Goodwill included as the company reported combined values historically.</t>
        </r>
      </text>
    </comment>
    <comment ref="E890" authorId="0" shapeId="0" xr:uid="{00000000-0006-0000-0100-00009E010000}">
      <text>
        <r>
          <rPr>
            <b/>
            <sz val="9"/>
            <color rgb="FF000000"/>
            <rFont val="Tahoma"/>
            <family val="2"/>
          </rPr>
          <t>Tegus (BL):</t>
        </r>
        <r>
          <rPr>
            <sz val="9"/>
            <color rgb="FF000000"/>
            <rFont val="Tahoma"/>
            <family val="2"/>
          </rPr>
          <t xml:space="preserve">
Goodwill included as the company reported combined values historically.</t>
        </r>
      </text>
    </comment>
    <comment ref="G890" authorId="0" shapeId="0" xr:uid="{00000000-0006-0000-0100-00009F010000}">
      <text>
        <r>
          <rPr>
            <b/>
            <sz val="9"/>
            <color rgb="FF000000"/>
            <rFont val="Tahoma"/>
            <family val="2"/>
          </rPr>
          <t>Tegus (BL):</t>
        </r>
        <r>
          <rPr>
            <sz val="9"/>
            <color rgb="FF000000"/>
            <rFont val="Tahoma"/>
            <family val="2"/>
          </rPr>
          <t xml:space="preserve">
Goodwill included as the company reported combined values historically.</t>
        </r>
      </text>
    </comment>
    <comment ref="H890" authorId="0" shapeId="0" xr:uid="{00000000-0006-0000-0100-0000A0010000}">
      <text>
        <r>
          <rPr>
            <b/>
            <sz val="9"/>
            <color rgb="FF000000"/>
            <rFont val="Tahoma"/>
            <family val="2"/>
          </rPr>
          <t>Tegus (BL):</t>
        </r>
        <r>
          <rPr>
            <sz val="9"/>
            <color rgb="FF000000"/>
            <rFont val="Tahoma"/>
            <family val="2"/>
          </rPr>
          <t xml:space="preserve">
Goodwill included as the company reported combined values historically.</t>
        </r>
      </text>
    </comment>
    <comment ref="BI890" authorId="0" shapeId="0" xr:uid="{00000000-0006-0000-0100-0000A1010000}">
      <text>
        <r>
          <rPr>
            <b/>
            <sz val="9"/>
            <color rgb="FF000000"/>
            <rFont val="Tahoma"/>
            <family val="2"/>
          </rPr>
          <t>Tegus (BL):</t>
        </r>
        <r>
          <rPr>
            <sz val="9"/>
            <color rgb="FF000000"/>
            <rFont val="Tahoma"/>
            <family val="2"/>
          </rPr>
          <t xml:space="preserve">
Goodwill included as the company reported combined values historically.</t>
        </r>
      </text>
    </comment>
    <comment ref="BJ890" authorId="0" shapeId="0" xr:uid="{00000000-0006-0000-0100-0000A2010000}">
      <text>
        <r>
          <rPr>
            <b/>
            <sz val="9"/>
            <color rgb="FF000000"/>
            <rFont val="Tahoma"/>
            <family val="2"/>
          </rPr>
          <t>Tegus (BL):</t>
        </r>
        <r>
          <rPr>
            <sz val="9"/>
            <color rgb="FF000000"/>
            <rFont val="Tahoma"/>
            <family val="2"/>
          </rPr>
          <t xml:space="preserve">
Goodwill included as the company reported combined values historically.</t>
        </r>
      </text>
    </comment>
    <comment ref="BK890" authorId="0" shapeId="0" xr:uid="{00000000-0006-0000-0100-0000A3010000}">
      <text>
        <r>
          <rPr>
            <b/>
            <sz val="9"/>
            <color rgb="FF000000"/>
            <rFont val="Tahoma"/>
            <family val="2"/>
          </rPr>
          <t>Tegus (BL):</t>
        </r>
        <r>
          <rPr>
            <sz val="9"/>
            <color rgb="FF000000"/>
            <rFont val="Tahoma"/>
            <family val="2"/>
          </rPr>
          <t xml:space="preserve">
Goodwill included as the company reported combined values historically.</t>
        </r>
      </text>
    </comment>
    <comment ref="AY901" authorId="0" shapeId="0" xr:uid="{00000000-0006-0000-0100-0000A4010000}">
      <text>
        <r>
          <rPr>
            <b/>
            <sz val="9"/>
            <color rgb="FF000000"/>
            <rFont val="Tahoma"/>
            <family val="2"/>
          </rPr>
          <t>Tegus:</t>
        </r>
        <r>
          <rPr>
            <sz val="9"/>
            <color rgb="FF000000"/>
            <rFont val="Tahoma"/>
            <family val="2"/>
          </rPr>
          <t xml:space="preserve">
To be updated with 10-Q/K</t>
        </r>
      </text>
    </comment>
    <comment ref="W908" authorId="0" shapeId="0" xr:uid="{00000000-0006-0000-0100-0000A5010000}">
      <text>
        <r>
          <rPr>
            <b/>
            <sz val="9"/>
            <color rgb="FF000000"/>
            <rFont val="Tahoma"/>
            <family val="2"/>
          </rPr>
          <t>Tegus (DC):</t>
        </r>
        <r>
          <rPr>
            <sz val="9"/>
            <color rgb="FF000000"/>
            <rFont val="Tahoma"/>
            <family val="2"/>
          </rPr>
          <t xml:space="preserve">
Excludes restricted cash</t>
        </r>
      </text>
    </comment>
    <comment ref="X908" authorId="0" shapeId="0" xr:uid="{00000000-0006-0000-0100-0000A6010000}">
      <text>
        <r>
          <rPr>
            <b/>
            <sz val="9"/>
            <color rgb="FF000000"/>
            <rFont val="Tahoma"/>
            <family val="2"/>
          </rPr>
          <t>Tegus (AY):</t>
        </r>
        <r>
          <rPr>
            <sz val="9"/>
            <color rgb="FF000000"/>
            <rFont val="Tahoma"/>
            <family val="2"/>
          </rPr>
          <t xml:space="preserve">
Excludes restricted cash</t>
        </r>
      </text>
    </comment>
    <comment ref="Y908" authorId="0" shapeId="0" xr:uid="{00000000-0006-0000-0100-0000A7010000}">
      <text>
        <r>
          <rPr>
            <b/>
            <sz val="9"/>
            <color rgb="FF000000"/>
            <rFont val="Tahoma"/>
            <family val="2"/>
          </rPr>
          <t>Tegus (AY):</t>
        </r>
        <r>
          <rPr>
            <sz val="9"/>
            <color rgb="FF000000"/>
            <rFont val="Tahoma"/>
            <family val="2"/>
          </rPr>
          <t xml:space="preserve">
Excludes restricted cash</t>
        </r>
      </text>
    </comment>
    <comment ref="Z908" authorId="0" shapeId="0" xr:uid="{00000000-0006-0000-0100-0000A8010000}">
      <text>
        <r>
          <rPr>
            <b/>
            <sz val="9"/>
            <color rgb="FF000000"/>
            <rFont val="Tahoma"/>
            <family val="2"/>
          </rPr>
          <t>Tegus (AY):</t>
        </r>
        <r>
          <rPr>
            <sz val="9"/>
            <color rgb="FF000000"/>
            <rFont val="Tahoma"/>
            <family val="2"/>
          </rPr>
          <t xml:space="preserve">
Excludes restricted cash</t>
        </r>
      </text>
    </comment>
    <comment ref="AA908" authorId="0" shapeId="0" xr:uid="{00000000-0006-0000-0100-0000A9010000}">
      <text>
        <r>
          <rPr>
            <b/>
            <sz val="9"/>
            <color rgb="FF000000"/>
            <rFont val="Tahoma"/>
            <family val="2"/>
          </rPr>
          <t>Tegus (AY):</t>
        </r>
        <r>
          <rPr>
            <sz val="9"/>
            <color rgb="FF000000"/>
            <rFont val="Tahoma"/>
            <family val="2"/>
          </rPr>
          <t xml:space="preserve">
Excludes restricted cash</t>
        </r>
      </text>
    </comment>
    <comment ref="AE908" authorId="0" shapeId="0" xr:uid="{00000000-0006-0000-0100-0000AA010000}">
      <text>
        <r>
          <rPr>
            <b/>
            <sz val="9"/>
            <color rgb="FF000000"/>
            <rFont val="Tahoma"/>
            <family val="2"/>
          </rPr>
          <t>Tegus (AP):</t>
        </r>
        <r>
          <rPr>
            <sz val="9"/>
            <color rgb="FF000000"/>
            <rFont val="Tahoma"/>
            <family val="2"/>
          </rPr>
          <t xml:space="preserve">
Adjusted for restricted cash</t>
        </r>
      </text>
    </comment>
    <comment ref="AF908" authorId="0" shapeId="0" xr:uid="{00000000-0006-0000-0100-0000AB010000}">
      <text>
        <r>
          <rPr>
            <b/>
            <sz val="9"/>
            <color rgb="FF000000"/>
            <rFont val="Tahoma"/>
            <family val="2"/>
          </rPr>
          <t>Tegus (AP):</t>
        </r>
        <r>
          <rPr>
            <sz val="9"/>
            <color rgb="FF000000"/>
            <rFont val="Tahoma"/>
            <family val="2"/>
          </rPr>
          <t xml:space="preserve">
Adjusted for restricted cash</t>
        </r>
      </text>
    </comment>
    <comment ref="AG908" authorId="0" shapeId="0" xr:uid="{00000000-0006-0000-0100-0000AC010000}">
      <text>
        <r>
          <rPr>
            <b/>
            <sz val="9"/>
            <color rgb="FF000000"/>
            <rFont val="Tahoma"/>
            <family val="2"/>
          </rPr>
          <t>Tegus (LZ):</t>
        </r>
        <r>
          <rPr>
            <sz val="9"/>
            <color rgb="FF000000"/>
            <rFont val="Tahoma"/>
            <family val="2"/>
          </rPr>
          <t xml:space="preserve">
Adjusted for restricted cash</t>
        </r>
      </text>
    </comment>
    <comment ref="AH908" authorId="0" shapeId="0" xr:uid="{00000000-0006-0000-0100-0000AD010000}">
      <text>
        <r>
          <rPr>
            <b/>
            <sz val="9"/>
            <color rgb="FF000000"/>
            <rFont val="Tahoma"/>
            <family val="2"/>
          </rPr>
          <t>Tegus (DL):</t>
        </r>
        <r>
          <rPr>
            <sz val="9"/>
            <color rgb="FF000000"/>
            <rFont val="Tahoma"/>
            <family val="2"/>
          </rPr>
          <t xml:space="preserve">
Adjusted for restricted cash</t>
        </r>
      </text>
    </comment>
    <comment ref="AI908" authorId="0" shapeId="0" xr:uid="{00000000-0006-0000-0100-0000AE010000}">
      <text>
        <r>
          <rPr>
            <b/>
            <sz val="9"/>
            <color rgb="FF000000"/>
            <rFont val="Tahoma"/>
            <family val="2"/>
          </rPr>
          <t>Tegus (LZ):</t>
        </r>
        <r>
          <rPr>
            <sz val="9"/>
            <color rgb="FF000000"/>
            <rFont val="Tahoma"/>
            <family val="2"/>
          </rPr>
          <t xml:space="preserve">
Adjusted for restricted cash</t>
        </r>
      </text>
    </comment>
    <comment ref="AJ908" authorId="0" shapeId="0" xr:uid="{00000000-0006-0000-0100-0000AF010000}">
      <text>
        <r>
          <rPr>
            <b/>
            <sz val="9"/>
            <color rgb="FF000000"/>
            <rFont val="Tahoma"/>
            <family val="2"/>
          </rPr>
          <t>Tegus (LZ):</t>
        </r>
        <r>
          <rPr>
            <sz val="9"/>
            <color rgb="FF000000"/>
            <rFont val="Tahoma"/>
            <family val="2"/>
          </rPr>
          <t xml:space="preserve">
Adjusted for restricted cash</t>
        </r>
      </text>
    </comment>
    <comment ref="AK908" authorId="0" shapeId="0" xr:uid="{00000000-0006-0000-0100-0000B0010000}">
      <text>
        <r>
          <rPr>
            <b/>
            <sz val="9"/>
            <color rgb="FF000000"/>
            <rFont val="Tahoma"/>
            <family val="2"/>
          </rPr>
          <t>Tegus (MG):</t>
        </r>
        <r>
          <rPr>
            <sz val="9"/>
            <color rgb="FF000000"/>
            <rFont val="Tahoma"/>
            <family val="2"/>
          </rPr>
          <t xml:space="preserve">
Adjusted for restricted cash</t>
        </r>
      </text>
    </comment>
    <comment ref="AM908" authorId="0" shapeId="0" xr:uid="{00000000-0006-0000-0100-0000B1010000}">
      <text>
        <r>
          <rPr>
            <b/>
            <sz val="9"/>
            <color rgb="FF000000"/>
            <rFont val="Tahoma"/>
            <family val="2"/>
          </rPr>
          <t>Tegus (LZ):</t>
        </r>
        <r>
          <rPr>
            <sz val="9"/>
            <color rgb="FF000000"/>
            <rFont val="Tahoma"/>
            <family val="2"/>
          </rPr>
          <t xml:space="preserve">
Adjusted for restricted cash</t>
        </r>
      </text>
    </comment>
    <comment ref="AN908" authorId="0" shapeId="0" xr:uid="{00000000-0006-0000-0100-0000B2010000}">
      <text>
        <r>
          <rPr>
            <b/>
            <sz val="9"/>
            <color rgb="FF000000"/>
            <rFont val="Tahoma"/>
            <family val="2"/>
          </rPr>
          <t>Tegus (LZ):</t>
        </r>
        <r>
          <rPr>
            <sz val="9"/>
            <color rgb="FF000000"/>
            <rFont val="Tahoma"/>
            <family val="2"/>
          </rPr>
          <t xml:space="preserve">
Adjusted for restricted cash</t>
        </r>
      </text>
    </comment>
    <comment ref="AO908" authorId="0" shapeId="0" xr:uid="{00000000-0006-0000-0100-0000B3010000}">
      <text>
        <r>
          <rPr>
            <b/>
            <sz val="9"/>
            <color rgb="FF000000"/>
            <rFont val="Tahoma"/>
            <family val="2"/>
          </rPr>
          <t>Tegus (HS):</t>
        </r>
        <r>
          <rPr>
            <sz val="9"/>
            <color rgb="FF000000"/>
            <rFont val="Tahoma"/>
            <family val="2"/>
          </rPr>
          <t xml:space="preserve">
Adjusted for restricted cash</t>
        </r>
      </text>
    </comment>
    <comment ref="AQ908" authorId="0" shapeId="0" xr:uid="{00000000-0006-0000-0100-0000B4010000}">
      <text>
        <r>
          <rPr>
            <b/>
            <sz val="9"/>
            <color rgb="FF000000"/>
            <rFont val="Tahoma"/>
            <family val="2"/>
          </rPr>
          <t>Tegus (LZ):</t>
        </r>
        <r>
          <rPr>
            <sz val="9"/>
            <color rgb="FF000000"/>
            <rFont val="Tahoma"/>
            <family val="2"/>
          </rPr>
          <t xml:space="preserve">
Adjusted for restricted cash</t>
        </r>
      </text>
    </comment>
    <comment ref="AR908" authorId="0" shapeId="0" xr:uid="{00000000-0006-0000-0100-0000B5010000}">
      <text>
        <r>
          <rPr>
            <b/>
            <sz val="9"/>
            <color rgb="FF000000"/>
            <rFont val="Tahoma"/>
            <family val="2"/>
          </rPr>
          <t>Tegus (HZ):</t>
        </r>
        <r>
          <rPr>
            <sz val="9"/>
            <color rgb="FF000000"/>
            <rFont val="Tahoma"/>
            <family val="2"/>
          </rPr>
          <t xml:space="preserve">
Adjusted for restricted cash</t>
        </r>
      </text>
    </comment>
    <comment ref="AS908" authorId="0" shapeId="0" xr:uid="{00000000-0006-0000-0100-0000B6010000}">
      <text>
        <r>
          <rPr>
            <b/>
            <sz val="9"/>
            <color rgb="FF000000"/>
            <rFont val="Tahoma"/>
            <family val="2"/>
          </rPr>
          <t>Tegus (DY):</t>
        </r>
        <r>
          <rPr>
            <sz val="9"/>
            <color rgb="FF000000"/>
            <rFont val="Tahoma"/>
            <family val="2"/>
          </rPr>
          <t xml:space="preserve">
Adjusted for restricted cash</t>
        </r>
      </text>
    </comment>
    <comment ref="AU908" authorId="0" shapeId="0" xr:uid="{00000000-0006-0000-0100-0000B7010000}">
      <text>
        <r>
          <rPr>
            <b/>
            <sz val="9"/>
            <color rgb="FF000000"/>
            <rFont val="Tahoma"/>
            <family val="2"/>
          </rPr>
          <t>Tegus (AG):</t>
        </r>
        <r>
          <rPr>
            <sz val="9"/>
            <color rgb="FF000000"/>
            <rFont val="Tahoma"/>
            <family val="2"/>
          </rPr>
          <t xml:space="preserve">
Adjusted for restricted cash</t>
        </r>
      </text>
    </comment>
    <comment ref="AV908" authorId="0" shapeId="0" xr:uid="{00000000-0006-0000-0100-0000B8010000}">
      <text>
        <r>
          <rPr>
            <b/>
            <sz val="9"/>
            <color rgb="FF000000"/>
            <rFont val="Tahoma"/>
            <family val="2"/>
          </rPr>
          <t>Tegus (AG):</t>
        </r>
        <r>
          <rPr>
            <sz val="9"/>
            <color rgb="FF000000"/>
            <rFont val="Tahoma"/>
            <family val="2"/>
          </rPr>
          <t xml:space="preserve">
Adjusted for restricted cash</t>
        </r>
      </text>
    </comment>
    <comment ref="AW908" authorId="0" shapeId="0" xr:uid="{00000000-0006-0000-0100-0000B9010000}">
      <text>
        <r>
          <rPr>
            <b/>
            <sz val="9"/>
            <color rgb="FF000000"/>
            <rFont val="Tahoma"/>
            <family val="2"/>
          </rPr>
          <t>Tegus (AN):</t>
        </r>
        <r>
          <rPr>
            <sz val="9"/>
            <color rgb="FF000000"/>
            <rFont val="Tahoma"/>
            <family val="2"/>
          </rPr>
          <t xml:space="preserve">
Adjusted for restricted cash</t>
        </r>
      </text>
    </comment>
    <comment ref="BQ908" authorId="0" shapeId="0" xr:uid="{00000000-0006-0000-0100-0000BA010000}">
      <text>
        <r>
          <rPr>
            <b/>
            <sz val="9"/>
            <color rgb="FF000000"/>
            <rFont val="Tahoma"/>
            <family val="2"/>
          </rPr>
          <t>Tegus (AY):</t>
        </r>
        <r>
          <rPr>
            <sz val="9"/>
            <color rgb="FF000000"/>
            <rFont val="Tahoma"/>
            <family val="2"/>
          </rPr>
          <t xml:space="preserve">
Excludes restricted cash</t>
        </r>
      </text>
    </comment>
    <comment ref="BS908" authorId="0" shapeId="0" xr:uid="{00000000-0006-0000-0100-0000BB010000}">
      <text>
        <r>
          <rPr>
            <b/>
            <sz val="9"/>
            <color rgb="FF000000"/>
            <rFont val="Tahoma"/>
            <family val="2"/>
          </rPr>
          <t>Tegus (DL):</t>
        </r>
        <r>
          <rPr>
            <sz val="9"/>
            <color rgb="FF000000"/>
            <rFont val="Tahoma"/>
            <family val="2"/>
          </rPr>
          <t xml:space="preserve">
Adjusted for restricted cash</t>
        </r>
      </text>
    </comment>
    <comment ref="BT908" authorId="0" shapeId="0" xr:uid="{00000000-0006-0000-0100-0000BC010000}">
      <text>
        <r>
          <rPr>
            <b/>
            <sz val="9"/>
            <color rgb="FF000000"/>
            <rFont val="Tahoma"/>
            <family val="2"/>
          </rPr>
          <t>Tegus (LZ):</t>
        </r>
        <r>
          <rPr>
            <sz val="9"/>
            <color rgb="FF000000"/>
            <rFont val="Tahoma"/>
            <family val="2"/>
          </rPr>
          <t xml:space="preserve">
Adjusted for restricted cash</t>
        </r>
      </text>
    </comment>
    <comment ref="BU908" authorId="0" shapeId="0" xr:uid="{00000000-0006-0000-0100-0000BD010000}">
      <text>
        <r>
          <rPr>
            <b/>
            <sz val="9"/>
            <color rgb="FF000000"/>
            <rFont val="Tahoma"/>
            <family val="2"/>
          </rPr>
          <t>Tegus (LZ):</t>
        </r>
        <r>
          <rPr>
            <sz val="9"/>
            <color rgb="FF000000"/>
            <rFont val="Tahoma"/>
            <family val="2"/>
          </rPr>
          <t xml:space="preserve">
Adjusted for restricted cash</t>
        </r>
      </text>
    </comment>
    <comment ref="BV908" authorId="0" shapeId="0" xr:uid="{00000000-0006-0000-0100-0000BE010000}">
      <text>
        <r>
          <rPr>
            <b/>
            <sz val="9"/>
            <color rgb="FF000000"/>
            <rFont val="Tahoma"/>
            <family val="2"/>
          </rPr>
          <t>Tegus (TZ):</t>
        </r>
        <r>
          <rPr>
            <sz val="9"/>
            <color rgb="FF000000"/>
            <rFont val="Tahoma"/>
            <family val="2"/>
          </rPr>
          <t xml:space="preserve">
Adjusted for restricted cash</t>
        </r>
      </text>
    </comment>
    <comment ref="BW908" authorId="0" shapeId="0" xr:uid="{00000000-0006-0000-0100-0000BF010000}">
      <text>
        <r>
          <rPr>
            <b/>
            <sz val="9"/>
            <color rgb="FF000000"/>
            <rFont val="Tahoma"/>
            <family val="2"/>
          </rPr>
          <t>Tegus (DHJ):</t>
        </r>
        <r>
          <rPr>
            <sz val="9"/>
            <color rgb="FF000000"/>
            <rFont val="Tahoma"/>
            <family val="2"/>
          </rPr>
          <t xml:space="preserve">
Adjusted for restricted cash</t>
        </r>
      </text>
    </comment>
    <comment ref="AY915" authorId="0" shapeId="0" xr:uid="{00000000-0006-0000-0100-0000C0010000}">
      <text>
        <r>
          <rPr>
            <b/>
            <sz val="9"/>
            <color rgb="FF000000"/>
            <rFont val="Tahoma"/>
            <family val="2"/>
          </rPr>
          <t>Tegus:</t>
        </r>
        <r>
          <rPr>
            <sz val="9"/>
            <color rgb="FF000000"/>
            <rFont val="Tahoma"/>
            <family val="2"/>
          </rPr>
          <t xml:space="preserve">
Estimated. To be updated with 10-Q/K</t>
        </r>
      </text>
    </comment>
    <comment ref="W918" authorId="0" shapeId="0" xr:uid="{00000000-0006-0000-0100-0000C1010000}">
      <text>
        <r>
          <rPr>
            <b/>
            <sz val="9"/>
            <color rgb="FF000000"/>
            <rFont val="Tahoma"/>
            <family val="2"/>
          </rPr>
          <t>Tegus (DC):</t>
        </r>
        <r>
          <rPr>
            <sz val="9"/>
            <color rgb="FF000000"/>
            <rFont val="Tahoma"/>
            <family val="2"/>
          </rPr>
          <t xml:space="preserve">
Excludes restricted cash</t>
        </r>
      </text>
    </comment>
    <comment ref="X918" authorId="0" shapeId="0" xr:uid="{00000000-0006-0000-0100-0000C2010000}">
      <text>
        <r>
          <rPr>
            <b/>
            <sz val="9"/>
            <color rgb="FF000000"/>
            <rFont val="Tahoma"/>
            <family val="2"/>
          </rPr>
          <t>Tegus (AY):</t>
        </r>
        <r>
          <rPr>
            <sz val="9"/>
            <color rgb="FF000000"/>
            <rFont val="Tahoma"/>
            <family val="2"/>
          </rPr>
          <t xml:space="preserve">
Excludes restricted cash</t>
        </r>
      </text>
    </comment>
    <comment ref="Y918" authorId="0" shapeId="0" xr:uid="{00000000-0006-0000-0100-0000C3010000}">
      <text>
        <r>
          <rPr>
            <b/>
            <sz val="9"/>
            <color rgb="FF000000"/>
            <rFont val="Tahoma"/>
            <family val="2"/>
          </rPr>
          <t>Tegus (AY):</t>
        </r>
        <r>
          <rPr>
            <sz val="9"/>
            <color rgb="FF000000"/>
            <rFont val="Tahoma"/>
            <family val="2"/>
          </rPr>
          <t xml:space="preserve">
Excludes restricted cash</t>
        </r>
      </text>
    </comment>
    <comment ref="Z918" authorId="0" shapeId="0" xr:uid="{00000000-0006-0000-0100-0000C4010000}">
      <text>
        <r>
          <rPr>
            <b/>
            <sz val="9"/>
            <color rgb="FF000000"/>
            <rFont val="Tahoma"/>
            <family val="2"/>
          </rPr>
          <t>Tegus (AY):</t>
        </r>
        <r>
          <rPr>
            <sz val="9"/>
            <color rgb="FF000000"/>
            <rFont val="Tahoma"/>
            <family val="2"/>
          </rPr>
          <t xml:space="preserve">
Excludes restricted cash</t>
        </r>
      </text>
    </comment>
    <comment ref="AA918" authorId="0" shapeId="0" xr:uid="{00000000-0006-0000-0100-0000C5010000}">
      <text>
        <r>
          <rPr>
            <b/>
            <sz val="9"/>
            <color rgb="FF000000"/>
            <rFont val="Tahoma"/>
            <family val="2"/>
          </rPr>
          <t>Tegus (AY):</t>
        </r>
        <r>
          <rPr>
            <sz val="9"/>
            <color rgb="FF000000"/>
            <rFont val="Tahoma"/>
            <family val="2"/>
          </rPr>
          <t xml:space="preserve">
Excludes restricted cash</t>
        </r>
      </text>
    </comment>
    <comment ref="AE918" authorId="0" shapeId="0" xr:uid="{00000000-0006-0000-0100-0000C6010000}">
      <text>
        <r>
          <rPr>
            <b/>
            <sz val="9"/>
            <color rgb="FF000000"/>
            <rFont val="Tahoma"/>
            <family val="2"/>
          </rPr>
          <t>Tegus (AP):</t>
        </r>
        <r>
          <rPr>
            <sz val="9"/>
            <color rgb="FF000000"/>
            <rFont val="Tahoma"/>
            <family val="2"/>
          </rPr>
          <t xml:space="preserve">
Adjusted for restricted cash</t>
        </r>
      </text>
    </comment>
    <comment ref="AF918" authorId="0" shapeId="0" xr:uid="{00000000-0006-0000-0100-0000C7010000}">
      <text>
        <r>
          <rPr>
            <b/>
            <sz val="9"/>
            <color rgb="FF000000"/>
            <rFont val="Tahoma"/>
            <family val="2"/>
          </rPr>
          <t>Tegus (AP):</t>
        </r>
        <r>
          <rPr>
            <sz val="9"/>
            <color rgb="FF000000"/>
            <rFont val="Tahoma"/>
            <family val="2"/>
          </rPr>
          <t xml:space="preserve">
Adjusted for restricted cash</t>
        </r>
      </text>
    </comment>
    <comment ref="AG918" authorId="0" shapeId="0" xr:uid="{00000000-0006-0000-0100-0000C8010000}">
      <text>
        <r>
          <rPr>
            <b/>
            <sz val="9"/>
            <color rgb="FF000000"/>
            <rFont val="Tahoma"/>
            <family val="2"/>
          </rPr>
          <t>Tegus (LZ):</t>
        </r>
        <r>
          <rPr>
            <sz val="9"/>
            <color rgb="FF000000"/>
            <rFont val="Tahoma"/>
            <family val="2"/>
          </rPr>
          <t xml:space="preserve">
Adjusted for restricted cash</t>
        </r>
      </text>
    </comment>
    <comment ref="AH918" authorId="0" shapeId="0" xr:uid="{00000000-0006-0000-0100-0000C9010000}">
      <text>
        <r>
          <rPr>
            <b/>
            <sz val="9"/>
            <color rgb="FF000000"/>
            <rFont val="Tahoma"/>
            <family val="2"/>
          </rPr>
          <t>Tegus (DL):</t>
        </r>
        <r>
          <rPr>
            <sz val="9"/>
            <color rgb="FF000000"/>
            <rFont val="Tahoma"/>
            <family val="2"/>
          </rPr>
          <t xml:space="preserve">
Adjusted for restricted cash</t>
        </r>
      </text>
    </comment>
    <comment ref="AI918" authorId="0" shapeId="0" xr:uid="{00000000-0006-0000-0100-0000CA010000}">
      <text>
        <r>
          <rPr>
            <b/>
            <sz val="9"/>
            <color rgb="FF000000"/>
            <rFont val="Tahoma"/>
            <family val="2"/>
          </rPr>
          <t>Tegus (LZ):</t>
        </r>
        <r>
          <rPr>
            <sz val="9"/>
            <color rgb="FF000000"/>
            <rFont val="Tahoma"/>
            <family val="2"/>
          </rPr>
          <t xml:space="preserve">
Adjusted for restricted cash</t>
        </r>
      </text>
    </comment>
    <comment ref="AJ918" authorId="0" shapeId="0" xr:uid="{00000000-0006-0000-0100-0000CB010000}">
      <text>
        <r>
          <rPr>
            <b/>
            <sz val="9"/>
            <color rgb="FF000000"/>
            <rFont val="Tahoma"/>
            <family val="2"/>
          </rPr>
          <t>Tegus (LZ):</t>
        </r>
        <r>
          <rPr>
            <sz val="9"/>
            <color rgb="FF000000"/>
            <rFont val="Tahoma"/>
            <family val="2"/>
          </rPr>
          <t xml:space="preserve">
Adjusted for restricted cash</t>
        </r>
      </text>
    </comment>
    <comment ref="AK918" authorId="0" shapeId="0" xr:uid="{00000000-0006-0000-0100-0000CC010000}">
      <text>
        <r>
          <rPr>
            <b/>
            <sz val="9"/>
            <color rgb="FF000000"/>
            <rFont val="Tahoma"/>
            <family val="2"/>
          </rPr>
          <t>Tegus (MG):</t>
        </r>
        <r>
          <rPr>
            <sz val="9"/>
            <color rgb="FF000000"/>
            <rFont val="Tahoma"/>
            <family val="2"/>
          </rPr>
          <t xml:space="preserve">
Adjusted for restricted cash</t>
        </r>
      </text>
    </comment>
    <comment ref="AM918" authorId="0" shapeId="0" xr:uid="{00000000-0006-0000-0100-0000CD010000}">
      <text>
        <r>
          <rPr>
            <b/>
            <sz val="9"/>
            <color rgb="FF000000"/>
            <rFont val="Tahoma"/>
            <family val="2"/>
          </rPr>
          <t>Tegus (LZ):</t>
        </r>
        <r>
          <rPr>
            <sz val="9"/>
            <color rgb="FF000000"/>
            <rFont val="Tahoma"/>
            <family val="2"/>
          </rPr>
          <t xml:space="preserve">
Adjusted for restricted cash</t>
        </r>
      </text>
    </comment>
    <comment ref="AN918" authorId="0" shapeId="0" xr:uid="{00000000-0006-0000-0100-0000CE010000}">
      <text>
        <r>
          <rPr>
            <b/>
            <sz val="9"/>
            <color rgb="FF000000"/>
            <rFont val="Tahoma"/>
            <family val="2"/>
          </rPr>
          <t>Tegus (LZ):</t>
        </r>
        <r>
          <rPr>
            <sz val="9"/>
            <color rgb="FF000000"/>
            <rFont val="Tahoma"/>
            <family val="2"/>
          </rPr>
          <t xml:space="preserve">
Adjusted for restricted cash</t>
        </r>
      </text>
    </comment>
    <comment ref="AO918" authorId="0" shapeId="0" xr:uid="{00000000-0006-0000-0100-0000CF010000}">
      <text>
        <r>
          <rPr>
            <b/>
            <sz val="9"/>
            <color rgb="FF000000"/>
            <rFont val="Tahoma"/>
            <family val="2"/>
          </rPr>
          <t>Tegus (HS):</t>
        </r>
        <r>
          <rPr>
            <sz val="9"/>
            <color rgb="FF000000"/>
            <rFont val="Tahoma"/>
            <family val="2"/>
          </rPr>
          <t xml:space="preserve">
Adjusted for restricted cash</t>
        </r>
      </text>
    </comment>
    <comment ref="AQ918" authorId="0" shapeId="0" xr:uid="{00000000-0006-0000-0100-0000D0010000}">
      <text>
        <r>
          <rPr>
            <b/>
            <sz val="9"/>
            <color rgb="FF000000"/>
            <rFont val="Tahoma"/>
            <family val="2"/>
          </rPr>
          <t>Tegus (LZ):</t>
        </r>
        <r>
          <rPr>
            <sz val="9"/>
            <color rgb="FF000000"/>
            <rFont val="Tahoma"/>
            <family val="2"/>
          </rPr>
          <t xml:space="preserve">
Adjusted for restricted cash</t>
        </r>
      </text>
    </comment>
    <comment ref="AR918" authorId="0" shapeId="0" xr:uid="{00000000-0006-0000-0100-0000D1010000}">
      <text>
        <r>
          <rPr>
            <b/>
            <sz val="9"/>
            <color rgb="FF000000"/>
            <rFont val="Tahoma"/>
            <family val="2"/>
          </rPr>
          <t>Tegus (HZ):</t>
        </r>
        <r>
          <rPr>
            <sz val="9"/>
            <color rgb="FF000000"/>
            <rFont val="Tahoma"/>
            <family val="2"/>
          </rPr>
          <t xml:space="preserve">
Adjusted for restricted cash</t>
        </r>
      </text>
    </comment>
    <comment ref="AS918" authorId="0" shapeId="0" xr:uid="{00000000-0006-0000-0100-0000D2010000}">
      <text>
        <r>
          <rPr>
            <b/>
            <sz val="9"/>
            <color rgb="FF000000"/>
            <rFont val="Tahoma"/>
            <family val="2"/>
          </rPr>
          <t>Tegus (DY):</t>
        </r>
        <r>
          <rPr>
            <sz val="9"/>
            <color rgb="FF000000"/>
            <rFont val="Tahoma"/>
            <family val="2"/>
          </rPr>
          <t xml:space="preserve">
Adjusted for restricted cash</t>
        </r>
      </text>
    </comment>
    <comment ref="AU918" authorId="0" shapeId="0" xr:uid="{00000000-0006-0000-0100-0000D3010000}">
      <text>
        <r>
          <rPr>
            <b/>
            <sz val="9"/>
            <color rgb="FF000000"/>
            <rFont val="Tahoma"/>
            <family val="2"/>
          </rPr>
          <t>Tegus (HZ):</t>
        </r>
        <r>
          <rPr>
            <sz val="9"/>
            <color rgb="FF000000"/>
            <rFont val="Tahoma"/>
            <family val="2"/>
          </rPr>
          <t xml:space="preserve">
Adjusted for restricted cash</t>
        </r>
      </text>
    </comment>
    <comment ref="AV918" authorId="0" shapeId="0" xr:uid="{00000000-0006-0000-0100-0000D4010000}">
      <text>
        <r>
          <rPr>
            <b/>
            <sz val="9"/>
            <color rgb="FF000000"/>
            <rFont val="Tahoma"/>
            <family val="2"/>
          </rPr>
          <t>Tegus (CZ):</t>
        </r>
        <r>
          <rPr>
            <sz val="9"/>
            <color rgb="FF000000"/>
            <rFont val="Tahoma"/>
            <family val="2"/>
          </rPr>
          <t xml:space="preserve">
Adjusted for restricted cash</t>
        </r>
      </text>
    </comment>
    <comment ref="AW918" authorId="0" shapeId="0" xr:uid="{00000000-0006-0000-0100-0000D5010000}">
      <text>
        <r>
          <rPr>
            <b/>
            <sz val="9"/>
            <color rgb="FF000000"/>
            <rFont val="Tahoma"/>
            <family val="2"/>
          </rPr>
          <t>Tegus (AN):</t>
        </r>
        <r>
          <rPr>
            <sz val="9"/>
            <color rgb="FF000000"/>
            <rFont val="Tahoma"/>
            <family val="2"/>
          </rPr>
          <t xml:space="preserve">
Adjusted for restricted cash</t>
        </r>
      </text>
    </comment>
    <comment ref="AY918" authorId="0" shapeId="0" xr:uid="{00000000-0006-0000-0100-0000D6010000}">
      <text>
        <r>
          <rPr>
            <b/>
            <sz val="9"/>
            <color rgb="FF000000"/>
            <rFont val="Tahoma"/>
            <family val="2"/>
          </rPr>
          <t>Tegus (BL):</t>
        </r>
        <r>
          <rPr>
            <sz val="9"/>
            <color rgb="FF000000"/>
            <rFont val="Tahoma"/>
            <family val="2"/>
          </rPr>
          <t xml:space="preserve">
Other D&amp;A expense flows into this item for the forecasting periods.</t>
        </r>
      </text>
    </comment>
    <comment ref="AZ918" authorId="0" shapeId="0" xr:uid="{00000000-0006-0000-0100-0000D7010000}">
      <text>
        <r>
          <rPr>
            <b/>
            <sz val="9"/>
            <color rgb="FF000000"/>
            <rFont val="Tahoma"/>
            <family val="2"/>
          </rPr>
          <t>Tegus (BL):</t>
        </r>
        <r>
          <rPr>
            <sz val="9"/>
            <color rgb="FF000000"/>
            <rFont val="Tahoma"/>
            <family val="2"/>
          </rPr>
          <t xml:space="preserve">
Other D&amp;A expense flows into this item for the forecasting periods.</t>
        </r>
      </text>
    </comment>
    <comment ref="BA918" authorId="0" shapeId="0" xr:uid="{00000000-0006-0000-0100-0000D8010000}">
      <text>
        <r>
          <rPr>
            <b/>
            <sz val="9"/>
            <color rgb="FF000000"/>
            <rFont val="Tahoma"/>
            <family val="2"/>
          </rPr>
          <t>Tegus (BL):</t>
        </r>
        <r>
          <rPr>
            <sz val="9"/>
            <color rgb="FF000000"/>
            <rFont val="Tahoma"/>
            <family val="2"/>
          </rPr>
          <t xml:space="preserve">
Other D&amp;A expense flows into this item for the forecasting periods.</t>
        </r>
      </text>
    </comment>
    <comment ref="BB918" authorId="0" shapeId="0" xr:uid="{00000000-0006-0000-0100-0000D9010000}">
      <text>
        <r>
          <rPr>
            <b/>
            <sz val="9"/>
            <color rgb="FF000000"/>
            <rFont val="Tahoma"/>
            <family val="2"/>
          </rPr>
          <t>Tegus (BL):</t>
        </r>
        <r>
          <rPr>
            <sz val="9"/>
            <color rgb="FF000000"/>
            <rFont val="Tahoma"/>
            <family val="2"/>
          </rPr>
          <t xml:space="preserve">
Other D&amp;A expense flows into this item for the forecasting periods.</t>
        </r>
      </text>
    </comment>
    <comment ref="BC918" authorId="0" shapeId="0" xr:uid="{00000000-0006-0000-0100-0000DA010000}">
      <text>
        <r>
          <rPr>
            <b/>
            <sz val="9"/>
            <color rgb="FF000000"/>
            <rFont val="Tahoma"/>
            <family val="2"/>
          </rPr>
          <t>Tegus (BL):</t>
        </r>
        <r>
          <rPr>
            <sz val="9"/>
            <color rgb="FF000000"/>
            <rFont val="Tahoma"/>
            <family val="2"/>
          </rPr>
          <t xml:space="preserve">
Other D&amp;A expense flows into this item for the forecasting periods.</t>
        </r>
      </text>
    </comment>
    <comment ref="BD918" authorId="0" shapeId="0" xr:uid="{00000000-0006-0000-0100-0000DB010000}">
      <text>
        <r>
          <rPr>
            <b/>
            <sz val="9"/>
            <color rgb="FF000000"/>
            <rFont val="Tahoma"/>
            <family val="2"/>
          </rPr>
          <t>Tegus (BL):</t>
        </r>
        <r>
          <rPr>
            <sz val="9"/>
            <color rgb="FF000000"/>
            <rFont val="Tahoma"/>
            <family val="2"/>
          </rPr>
          <t xml:space="preserve">
Other D&amp;A expense flows into this item for the forecasting periods.</t>
        </r>
      </text>
    </comment>
    <comment ref="BE918" authorId="0" shapeId="0" xr:uid="{00000000-0006-0000-0100-0000DC010000}">
      <text>
        <r>
          <rPr>
            <b/>
            <sz val="9"/>
            <color rgb="FF000000"/>
            <rFont val="Tahoma"/>
            <family val="2"/>
          </rPr>
          <t>Tegus (BL):</t>
        </r>
        <r>
          <rPr>
            <sz val="9"/>
            <color rgb="FF000000"/>
            <rFont val="Tahoma"/>
            <family val="2"/>
          </rPr>
          <t xml:space="preserve">
Other D&amp;A expense flows into this item for the forecasting periods.</t>
        </r>
      </text>
    </comment>
    <comment ref="BF918" authorId="0" shapeId="0" xr:uid="{00000000-0006-0000-0100-0000DD010000}">
      <text>
        <r>
          <rPr>
            <b/>
            <sz val="9"/>
            <color rgb="FF000000"/>
            <rFont val="Tahoma"/>
            <family val="2"/>
          </rPr>
          <t>Tegus (BL):</t>
        </r>
        <r>
          <rPr>
            <sz val="9"/>
            <color rgb="FF000000"/>
            <rFont val="Tahoma"/>
            <family val="2"/>
          </rPr>
          <t xml:space="preserve">
Other D&amp;A expense flows into this item for the forecasting periods.</t>
        </r>
      </text>
    </comment>
    <comment ref="BQ918" authorId="0" shapeId="0" xr:uid="{00000000-0006-0000-0100-0000DE010000}">
      <text>
        <r>
          <rPr>
            <b/>
            <sz val="9"/>
            <color rgb="FF000000"/>
            <rFont val="Tahoma"/>
            <family val="2"/>
          </rPr>
          <t>Tegus (AY):</t>
        </r>
        <r>
          <rPr>
            <sz val="9"/>
            <color rgb="FF000000"/>
            <rFont val="Tahoma"/>
            <family val="2"/>
          </rPr>
          <t xml:space="preserve">
Excludes restricted cash</t>
        </r>
      </text>
    </comment>
    <comment ref="BS918" authorId="0" shapeId="0" xr:uid="{00000000-0006-0000-0100-0000DF010000}">
      <text>
        <r>
          <rPr>
            <b/>
            <sz val="9"/>
            <color rgb="FF000000"/>
            <rFont val="Tahoma"/>
            <family val="2"/>
          </rPr>
          <t>Tegus (DL):</t>
        </r>
        <r>
          <rPr>
            <sz val="9"/>
            <color rgb="FF000000"/>
            <rFont val="Tahoma"/>
            <family val="2"/>
          </rPr>
          <t xml:space="preserve">
Adjusted for restricted cash</t>
        </r>
      </text>
    </comment>
    <comment ref="BT918" authorId="0" shapeId="0" xr:uid="{00000000-0006-0000-0100-0000E0010000}">
      <text>
        <r>
          <rPr>
            <b/>
            <sz val="9"/>
            <color rgb="FF000000"/>
            <rFont val="Tahoma"/>
            <family val="2"/>
          </rPr>
          <t>Tegus (LZ):</t>
        </r>
        <r>
          <rPr>
            <sz val="9"/>
            <color rgb="FF000000"/>
            <rFont val="Tahoma"/>
            <family val="2"/>
          </rPr>
          <t xml:space="preserve">
Adjusted for restricted cash</t>
        </r>
      </text>
    </comment>
    <comment ref="BU918" authorId="0" shapeId="0" xr:uid="{00000000-0006-0000-0100-0000E1010000}">
      <text>
        <r>
          <rPr>
            <b/>
            <sz val="9"/>
            <color rgb="FF000000"/>
            <rFont val="Tahoma"/>
            <family val="2"/>
          </rPr>
          <t>Tegus (LZ):</t>
        </r>
        <r>
          <rPr>
            <sz val="9"/>
            <color rgb="FF000000"/>
            <rFont val="Tahoma"/>
            <family val="2"/>
          </rPr>
          <t xml:space="preserve">
Adjusted for restricted cash</t>
        </r>
      </text>
    </comment>
    <comment ref="BV918" authorId="0" shapeId="0" xr:uid="{00000000-0006-0000-0100-0000E2010000}">
      <text>
        <r>
          <rPr>
            <b/>
            <sz val="9"/>
            <color rgb="FF000000"/>
            <rFont val="Tahoma"/>
            <family val="2"/>
          </rPr>
          <t>Tegus (HZ):</t>
        </r>
        <r>
          <rPr>
            <sz val="9"/>
            <color rgb="FF000000"/>
            <rFont val="Tahoma"/>
            <family val="2"/>
          </rPr>
          <t xml:space="preserve">
Adjusted for restricted cash</t>
        </r>
      </text>
    </comment>
    <comment ref="BW918" authorId="0" shapeId="0" xr:uid="{00000000-0006-0000-0100-0000E3010000}">
      <text>
        <r>
          <rPr>
            <b/>
            <sz val="9"/>
            <color rgb="FF000000"/>
            <rFont val="Tahoma"/>
            <family val="2"/>
          </rPr>
          <t>Tegus (DHJ):</t>
        </r>
        <r>
          <rPr>
            <sz val="9"/>
            <color rgb="FF000000"/>
            <rFont val="Tahoma"/>
            <family val="2"/>
          </rPr>
          <t xml:space="preserve">
Adjusted for restricted cash and intangible assets</t>
        </r>
      </text>
    </comment>
    <comment ref="BX918" authorId="0" shapeId="0" xr:uid="{00000000-0006-0000-0100-0000E4010000}">
      <text>
        <r>
          <rPr>
            <b/>
            <sz val="9"/>
            <color rgb="FF000000"/>
            <rFont val="Tahoma"/>
            <family val="2"/>
          </rPr>
          <t>Tegus (BL):</t>
        </r>
        <r>
          <rPr>
            <sz val="9"/>
            <color rgb="FF000000"/>
            <rFont val="Tahoma"/>
            <family val="2"/>
          </rPr>
          <t xml:space="preserve">
Other D&amp;A expense flows into this item for the forecasting periods.</t>
        </r>
      </text>
    </comment>
    <comment ref="BY918" authorId="0" shapeId="0" xr:uid="{00000000-0006-0000-0100-0000E5010000}">
      <text>
        <r>
          <rPr>
            <b/>
            <sz val="9"/>
            <color rgb="FF000000"/>
            <rFont val="Tahoma"/>
            <family val="2"/>
          </rPr>
          <t>Tegus (BL):</t>
        </r>
        <r>
          <rPr>
            <sz val="9"/>
            <color rgb="FF000000"/>
            <rFont val="Tahoma"/>
            <family val="2"/>
          </rPr>
          <t xml:space="preserve">
Other D&amp;A expense flows into this item for the forecasting periods.</t>
        </r>
      </text>
    </comment>
    <comment ref="BZ918" authorId="0" shapeId="0" xr:uid="{00000000-0006-0000-0100-0000E6010000}">
      <text>
        <r>
          <rPr>
            <b/>
            <sz val="9"/>
            <color rgb="FF000000"/>
            <rFont val="Tahoma"/>
            <family val="2"/>
          </rPr>
          <t>Tegus (BL):</t>
        </r>
        <r>
          <rPr>
            <sz val="9"/>
            <color rgb="FF000000"/>
            <rFont val="Tahoma"/>
            <family val="2"/>
          </rPr>
          <t xml:space="preserve">
Other D&amp;A expense flows into this item for the forecasting periods.</t>
        </r>
      </text>
    </comment>
    <comment ref="CA918" authorId="0" shapeId="0" xr:uid="{00000000-0006-0000-0100-0000E7010000}">
      <text>
        <r>
          <rPr>
            <b/>
            <sz val="9"/>
            <color rgb="FF000000"/>
            <rFont val="Tahoma"/>
            <family val="2"/>
          </rPr>
          <t>Tegus (BL):</t>
        </r>
        <r>
          <rPr>
            <sz val="9"/>
            <color rgb="FF000000"/>
            <rFont val="Tahoma"/>
            <family val="2"/>
          </rPr>
          <t xml:space="preserve">
Other D&amp;A expense flows into this item for the forecasting periods.</t>
        </r>
      </text>
    </comment>
    <comment ref="CB918" authorId="0" shapeId="0" xr:uid="{00000000-0006-0000-0100-0000E8010000}">
      <text>
        <r>
          <rPr>
            <b/>
            <sz val="9"/>
            <color rgb="FF000000"/>
            <rFont val="Tahoma"/>
            <family val="2"/>
          </rPr>
          <t>Tegus (BL):</t>
        </r>
        <r>
          <rPr>
            <sz val="9"/>
            <color rgb="FF000000"/>
            <rFont val="Tahoma"/>
            <family val="2"/>
          </rPr>
          <t xml:space="preserve">
Other D&amp;A expense flows into this item for the forecasting periods.</t>
        </r>
      </text>
    </comment>
    <comment ref="AY926" authorId="0" shapeId="0" xr:uid="{00000000-0006-0000-0100-0000E9010000}">
      <text>
        <r>
          <rPr>
            <b/>
            <sz val="9"/>
            <color rgb="FF000000"/>
            <rFont val="Tahoma"/>
            <family val="2"/>
          </rPr>
          <t>Tegus:</t>
        </r>
        <r>
          <rPr>
            <sz val="9"/>
            <color rgb="FF000000"/>
            <rFont val="Tahoma"/>
            <family val="2"/>
          </rPr>
          <t xml:space="preserve">
To be updated with 10-Q/K</t>
        </r>
      </text>
    </comment>
    <comment ref="BN930" authorId="0" shapeId="0" xr:uid="{00000000-0006-0000-0100-0000EA010000}">
      <text>
        <r>
          <rPr>
            <b/>
            <sz val="9"/>
            <color rgb="FF000000"/>
            <rFont val="Tahoma"/>
            <family val="2"/>
          </rPr>
          <t>Tegus (BL):</t>
        </r>
        <r>
          <rPr>
            <sz val="9"/>
            <color rgb="FF000000"/>
            <rFont val="Tahoma"/>
            <family val="2"/>
          </rPr>
          <t xml:space="preserve">
201 promissory note payable 583 other current liabilities</t>
        </r>
      </text>
    </comment>
    <comment ref="BO930" authorId="0" shapeId="0" xr:uid="{00000000-0006-0000-0100-0000EB010000}">
      <text>
        <r>
          <rPr>
            <b/>
            <sz val="9"/>
            <color rgb="FF000000"/>
            <rFont val="Tahoma"/>
            <family val="2"/>
          </rPr>
          <t>Tegus (BL):</t>
        </r>
        <r>
          <rPr>
            <sz val="9"/>
            <color rgb="FF000000"/>
            <rFont val="Tahoma"/>
            <family val="2"/>
          </rPr>
          <t xml:space="preserve">
242 contigent consideration liabiliitiy 839 other current liabilities</t>
        </r>
      </text>
    </comment>
    <comment ref="BQ930" authorId="0" shapeId="0" xr:uid="{00000000-0006-0000-0100-0000EC010000}">
      <text>
        <r>
          <rPr>
            <b/>
            <sz val="9"/>
            <color rgb="FF000000"/>
            <rFont val="Tahoma"/>
            <family val="2"/>
          </rPr>
          <t>Tegus (BL):</t>
        </r>
        <r>
          <rPr>
            <sz val="9"/>
            <color rgb="FF000000"/>
            <rFont val="Tahoma"/>
            <family val="2"/>
          </rPr>
          <t xml:space="preserve">
500 million overdraft in cash pooling entities 1,784 other current liabilities.</t>
        </r>
      </text>
    </comment>
    <comment ref="AZ941" authorId="0" shapeId="0" xr:uid="{00000000-0006-0000-0100-0000ED010000}">
      <text>
        <r>
          <rPr>
            <b/>
            <sz val="9"/>
            <color rgb="FF000000"/>
            <rFont val="Tahoma"/>
            <family val="2"/>
          </rPr>
          <t>Tegus (BL):</t>
        </r>
        <r>
          <rPr>
            <sz val="9"/>
            <color rgb="FF000000"/>
            <rFont val="Tahoma"/>
            <family val="2"/>
          </rPr>
          <t xml:space="preserve">
Includes deferred tax in forecasting period.</t>
        </r>
      </text>
    </comment>
    <comment ref="BA941" authorId="0" shapeId="0" xr:uid="{00000000-0006-0000-0100-0000EE010000}">
      <text>
        <r>
          <rPr>
            <b/>
            <sz val="9"/>
            <color rgb="FF000000"/>
            <rFont val="Tahoma"/>
            <family val="2"/>
          </rPr>
          <t>Tegus (BL):</t>
        </r>
        <r>
          <rPr>
            <sz val="9"/>
            <color rgb="FF000000"/>
            <rFont val="Tahoma"/>
            <family val="2"/>
          </rPr>
          <t xml:space="preserve">
Includes deferred tax in forecasting period.</t>
        </r>
      </text>
    </comment>
    <comment ref="BB941" authorId="0" shapeId="0" xr:uid="{00000000-0006-0000-0100-0000EF010000}">
      <text>
        <r>
          <rPr>
            <b/>
            <sz val="9"/>
            <color rgb="FF000000"/>
            <rFont val="Tahoma"/>
            <family val="2"/>
          </rPr>
          <t>Tegus (BL):</t>
        </r>
        <r>
          <rPr>
            <sz val="9"/>
            <color rgb="FF000000"/>
            <rFont val="Tahoma"/>
            <family val="2"/>
          </rPr>
          <t xml:space="preserve">
Includes deferred tax in forecasting period.</t>
        </r>
      </text>
    </comment>
    <comment ref="BC941" authorId="0" shapeId="0" xr:uid="{00000000-0006-0000-0100-0000F0010000}">
      <text>
        <r>
          <rPr>
            <b/>
            <sz val="9"/>
            <color rgb="FF000000"/>
            <rFont val="Tahoma"/>
            <family val="2"/>
          </rPr>
          <t>Tegus (BL):</t>
        </r>
        <r>
          <rPr>
            <sz val="9"/>
            <color rgb="FF000000"/>
            <rFont val="Tahoma"/>
            <family val="2"/>
          </rPr>
          <t xml:space="preserve">
Includes deferred tax in forecasting period.</t>
        </r>
      </text>
    </comment>
    <comment ref="BD941" authorId="0" shapeId="0" xr:uid="{00000000-0006-0000-0100-0000F1010000}">
      <text>
        <r>
          <rPr>
            <b/>
            <sz val="9"/>
            <color rgb="FF000000"/>
            <rFont val="Tahoma"/>
            <family val="2"/>
          </rPr>
          <t>Tegus (BL):</t>
        </r>
        <r>
          <rPr>
            <sz val="9"/>
            <color rgb="FF000000"/>
            <rFont val="Tahoma"/>
            <family val="2"/>
          </rPr>
          <t xml:space="preserve">
Includes deferred tax in forecasting period.</t>
        </r>
      </text>
    </comment>
    <comment ref="BE941" authorId="0" shapeId="0" xr:uid="{00000000-0006-0000-0100-0000F2010000}">
      <text>
        <r>
          <rPr>
            <b/>
            <sz val="9"/>
            <color rgb="FF000000"/>
            <rFont val="Tahoma"/>
            <family val="2"/>
          </rPr>
          <t>Tegus (BL):</t>
        </r>
        <r>
          <rPr>
            <sz val="9"/>
            <color rgb="FF000000"/>
            <rFont val="Tahoma"/>
            <family val="2"/>
          </rPr>
          <t xml:space="preserve">
Includes deferred tax in forecasting period.</t>
        </r>
      </text>
    </comment>
    <comment ref="BF941" authorId="0" shapeId="0" xr:uid="{00000000-0006-0000-0100-0000F3010000}">
      <text>
        <r>
          <rPr>
            <b/>
            <sz val="9"/>
            <color rgb="FF000000"/>
            <rFont val="Tahoma"/>
            <family val="2"/>
          </rPr>
          <t>Tegus (BL):</t>
        </r>
        <r>
          <rPr>
            <sz val="9"/>
            <color rgb="FF000000"/>
            <rFont val="Tahoma"/>
            <family val="2"/>
          </rPr>
          <t xml:space="preserve">
Includes deferred tax in forecasting period.</t>
        </r>
      </text>
    </comment>
    <comment ref="BX941" authorId="0" shapeId="0" xr:uid="{00000000-0006-0000-0100-0000F4010000}">
      <text>
        <r>
          <rPr>
            <b/>
            <sz val="9"/>
            <color rgb="FF000000"/>
            <rFont val="Tahoma"/>
            <family val="2"/>
          </rPr>
          <t>Tegus (BL):</t>
        </r>
        <r>
          <rPr>
            <sz val="9"/>
            <color rgb="FF000000"/>
            <rFont val="Tahoma"/>
            <family val="2"/>
          </rPr>
          <t xml:space="preserve">
Includes deferred tax in forecasting period.</t>
        </r>
      </text>
    </comment>
    <comment ref="BY941" authorId="0" shapeId="0" xr:uid="{00000000-0006-0000-0100-0000F5010000}">
      <text>
        <r>
          <rPr>
            <b/>
            <sz val="9"/>
            <color rgb="FF000000"/>
            <rFont val="Tahoma"/>
            <family val="2"/>
          </rPr>
          <t>Tegus (BL):</t>
        </r>
        <r>
          <rPr>
            <sz val="9"/>
            <color rgb="FF000000"/>
            <rFont val="Tahoma"/>
            <family val="2"/>
          </rPr>
          <t xml:space="preserve">
Includes deferred tax in forecasting period.</t>
        </r>
      </text>
    </comment>
    <comment ref="BZ941" authorId="0" shapeId="0" xr:uid="{00000000-0006-0000-0100-0000F6010000}">
      <text>
        <r>
          <rPr>
            <b/>
            <sz val="9"/>
            <color rgb="FF000000"/>
            <rFont val="Tahoma"/>
            <family val="2"/>
          </rPr>
          <t>Tegus (BL):</t>
        </r>
        <r>
          <rPr>
            <sz val="9"/>
            <color rgb="FF000000"/>
            <rFont val="Tahoma"/>
            <family val="2"/>
          </rPr>
          <t xml:space="preserve">
Includes deferred tax in forecasting period.</t>
        </r>
      </text>
    </comment>
    <comment ref="CA941" authorId="0" shapeId="0" xr:uid="{00000000-0006-0000-0100-0000F7010000}">
      <text>
        <r>
          <rPr>
            <b/>
            <sz val="9"/>
            <color rgb="FF000000"/>
            <rFont val="Tahoma"/>
            <family val="2"/>
          </rPr>
          <t>Tegus (BL):</t>
        </r>
        <r>
          <rPr>
            <sz val="9"/>
            <color rgb="FF000000"/>
            <rFont val="Tahoma"/>
            <family val="2"/>
          </rPr>
          <t xml:space="preserve">
Includes deferred tax in forecasting period.</t>
        </r>
      </text>
    </comment>
    <comment ref="CB941" authorId="0" shapeId="0" xr:uid="{00000000-0006-0000-0100-0000F8010000}">
      <text>
        <r>
          <rPr>
            <b/>
            <sz val="9"/>
            <color rgb="FF000000"/>
            <rFont val="Tahoma"/>
            <family val="2"/>
          </rPr>
          <t>Tegus (BL):</t>
        </r>
        <r>
          <rPr>
            <sz val="9"/>
            <color rgb="FF000000"/>
            <rFont val="Tahoma"/>
            <family val="2"/>
          </rPr>
          <t xml:space="preserve">
Includes deferred tax in forecasting period.</t>
        </r>
      </text>
    </comment>
    <comment ref="N958" authorId="0" shapeId="0" xr:uid="{00000000-0006-0000-0100-0000F9010000}">
      <text>
        <r>
          <rPr>
            <b/>
            <sz val="9"/>
            <color rgb="FF000000"/>
            <rFont val="Tahoma"/>
            <family val="2"/>
          </rPr>
          <t>Tegus (VT):</t>
        </r>
        <r>
          <rPr>
            <sz val="9"/>
            <color rgb="FF000000"/>
            <rFont val="Tahoma"/>
            <family val="2"/>
          </rPr>
          <t xml:space="preserve">
As reported. Rounding error</t>
        </r>
      </text>
    </comment>
    <comment ref="R958" authorId="0" shapeId="0" xr:uid="{00000000-0006-0000-0100-0000FA010000}">
      <text>
        <r>
          <rPr>
            <b/>
            <sz val="9"/>
            <color rgb="FF000000"/>
            <rFont val="Tahoma"/>
            <family val="2"/>
          </rPr>
          <t>Tegus (VT):</t>
        </r>
        <r>
          <rPr>
            <sz val="9"/>
            <color rgb="FF000000"/>
            <rFont val="Tahoma"/>
            <family val="2"/>
          </rPr>
          <t xml:space="preserve">
As reported. Rounding error</t>
        </r>
      </text>
    </comment>
    <comment ref="T958" authorId="0" shapeId="0" xr:uid="{00000000-0006-0000-0100-0000FB010000}">
      <text>
        <r>
          <rPr>
            <b/>
            <sz val="9"/>
            <color rgb="FF000000"/>
            <rFont val="Tahoma"/>
            <family val="2"/>
          </rPr>
          <t>Tegus (GJ):</t>
        </r>
        <r>
          <rPr>
            <sz val="9"/>
            <color rgb="FF000000"/>
            <rFont val="Tahoma"/>
            <family val="2"/>
          </rPr>
          <t xml:space="preserve">
As reported on press release</t>
        </r>
      </text>
    </comment>
    <comment ref="U958" authorId="0" shapeId="0" xr:uid="{00000000-0006-0000-0100-0000FC010000}">
      <text>
        <r>
          <rPr>
            <b/>
            <sz val="9"/>
            <color rgb="FF000000"/>
            <rFont val="Tahoma"/>
            <family val="2"/>
          </rPr>
          <t>Tegus (AH):</t>
        </r>
        <r>
          <rPr>
            <sz val="9"/>
            <color rgb="FF000000"/>
            <rFont val="Tahoma"/>
            <family val="2"/>
          </rPr>
          <t xml:space="preserve">
Due to prior rounding error</t>
        </r>
      </text>
    </comment>
    <comment ref="V958" authorId="0" shapeId="0" xr:uid="{00000000-0006-0000-0100-0000FD010000}">
      <text>
        <r>
          <rPr>
            <b/>
            <sz val="9"/>
            <color rgb="FF000000"/>
            <rFont val="Tahoma"/>
            <family val="2"/>
          </rPr>
          <t>Tegus (VT):</t>
        </r>
        <r>
          <rPr>
            <sz val="9"/>
            <color rgb="FF000000"/>
            <rFont val="Tahoma"/>
            <family val="2"/>
          </rPr>
          <t xml:space="preserve">
As reported. Rounding error</t>
        </r>
      </text>
    </comment>
    <comment ref="X958" authorId="0" shapeId="0" xr:uid="{00000000-0006-0000-0100-0000FE010000}">
      <text>
        <r>
          <rPr>
            <b/>
            <sz val="9"/>
            <color rgb="FF000000"/>
            <rFont val="Tahoma"/>
            <family val="2"/>
          </rPr>
          <t>Tegus (AY):</t>
        </r>
        <r>
          <rPr>
            <sz val="9"/>
            <color rgb="FF000000"/>
            <rFont val="Tahoma"/>
            <family val="2"/>
          </rPr>
          <t xml:space="preserve">
Rounding error</t>
        </r>
      </text>
    </comment>
    <comment ref="Z958" authorId="0" shapeId="0" xr:uid="{00000000-0006-0000-0100-0000FF010000}">
      <text>
        <r>
          <rPr>
            <b/>
            <sz val="9"/>
            <color rgb="FF000000"/>
            <rFont val="Tahoma"/>
            <family val="2"/>
          </rPr>
          <t>Tegus (AY):</t>
        </r>
        <r>
          <rPr>
            <sz val="9"/>
            <color rgb="FF000000"/>
            <rFont val="Tahoma"/>
            <family val="2"/>
          </rPr>
          <t xml:space="preserve">
Rounding error</t>
        </r>
      </text>
    </comment>
    <comment ref="AF958" authorId="0" shapeId="0" xr:uid="{00000000-0006-0000-0100-000000020000}">
      <text>
        <r>
          <rPr>
            <b/>
            <sz val="9"/>
            <color rgb="FF000000"/>
            <rFont val="Tahoma"/>
            <family val="2"/>
          </rPr>
          <t>Tegus (LZ):</t>
        </r>
        <r>
          <rPr>
            <sz val="9"/>
            <color rgb="FF000000"/>
            <rFont val="Tahoma"/>
            <family val="2"/>
          </rPr>
          <t xml:space="preserve">
Rounding error</t>
        </r>
      </text>
    </comment>
    <comment ref="AJ958" authorId="0" shapeId="0" xr:uid="{00000000-0006-0000-0100-000001020000}">
      <text>
        <r>
          <rPr>
            <b/>
            <sz val="9"/>
            <color rgb="FF000000"/>
            <rFont val="Tahoma"/>
            <family val="2"/>
          </rPr>
          <t>Tegus (LZ):</t>
        </r>
        <r>
          <rPr>
            <sz val="9"/>
            <color rgb="FF000000"/>
            <rFont val="Tahoma"/>
            <family val="2"/>
          </rPr>
          <t xml:space="preserve">
Rounding error</t>
        </r>
      </text>
    </comment>
    <comment ref="AK958" authorId="0" shapeId="0" xr:uid="{00000000-0006-0000-0100-000002020000}">
      <text>
        <r>
          <rPr>
            <b/>
            <sz val="9"/>
            <color rgb="FF000000"/>
            <rFont val="Tahoma"/>
            <family val="2"/>
          </rPr>
          <t>Tegus (MG):</t>
        </r>
        <r>
          <rPr>
            <sz val="9"/>
            <color rgb="FF000000"/>
            <rFont val="Tahoma"/>
            <family val="2"/>
          </rPr>
          <t xml:space="preserve">
Rounding error</t>
        </r>
      </text>
    </comment>
    <comment ref="AL958" authorId="0" shapeId="0" xr:uid="{00000000-0006-0000-0100-000003020000}">
      <text>
        <r>
          <rPr>
            <b/>
            <sz val="9"/>
            <color rgb="FF000000"/>
            <rFont val="Tahoma"/>
            <family val="2"/>
          </rPr>
          <t>Tegus (HQ):</t>
        </r>
        <r>
          <rPr>
            <sz val="9"/>
            <color rgb="FF000000"/>
            <rFont val="Tahoma"/>
            <family val="2"/>
          </rPr>
          <t xml:space="preserve">
Due to rounding</t>
        </r>
      </text>
    </comment>
    <comment ref="AP958" authorId="0" shapeId="0" xr:uid="{00000000-0006-0000-0100-000004020000}">
      <text>
        <r>
          <rPr>
            <b/>
            <sz val="9"/>
            <color rgb="FF000000"/>
            <rFont val="Tahoma"/>
            <family val="2"/>
          </rPr>
          <t>Tegus (AK):</t>
        </r>
        <r>
          <rPr>
            <sz val="9"/>
            <color rgb="FF000000"/>
            <rFont val="Tahoma"/>
            <family val="2"/>
          </rPr>
          <t xml:space="preserve">
rounding</t>
        </r>
      </text>
    </comment>
    <comment ref="AR958" authorId="0" shapeId="0" xr:uid="{00000000-0006-0000-0100-000005020000}">
      <text>
        <r>
          <rPr>
            <b/>
            <sz val="9"/>
            <color rgb="FF000000"/>
            <rFont val="Tahoma"/>
            <family val="2"/>
          </rPr>
          <t>Tegus (TZ):</t>
        </r>
        <r>
          <rPr>
            <sz val="9"/>
            <color rgb="FF000000"/>
            <rFont val="Tahoma"/>
            <family val="2"/>
          </rPr>
          <t xml:space="preserve">
Rounding</t>
        </r>
      </text>
    </comment>
    <comment ref="N962" authorId="0" shapeId="0" xr:uid="{00000000-0006-0000-0100-000006020000}">
      <text>
        <r>
          <rPr>
            <b/>
            <sz val="9"/>
            <color rgb="FF000000"/>
            <rFont val="Tahoma"/>
            <family val="2"/>
          </rPr>
          <t>Tegus (HZ):</t>
        </r>
        <r>
          <rPr>
            <sz val="9"/>
            <color rgb="FF000000"/>
            <rFont val="Tahoma"/>
            <family val="2"/>
          </rPr>
          <t xml:space="preserve">
Rounding</t>
        </r>
      </text>
    </comment>
    <comment ref="AH962" authorId="0" shapeId="0" xr:uid="{00000000-0006-0000-0100-000007020000}">
      <text>
        <r>
          <rPr>
            <b/>
            <sz val="9"/>
            <color rgb="FF000000"/>
            <rFont val="Tahoma"/>
            <family val="2"/>
          </rPr>
          <t>Tegus (HZ):</t>
        </r>
        <r>
          <rPr>
            <sz val="9"/>
            <color rgb="FF000000"/>
            <rFont val="Tahoma"/>
            <family val="2"/>
          </rPr>
          <t xml:space="preserve">
Rounding</t>
        </r>
      </text>
    </comment>
    <comment ref="AT962" authorId="0" shapeId="0" xr:uid="{00000000-0006-0000-0100-000008020000}">
      <text>
        <r>
          <rPr>
            <b/>
            <sz val="9"/>
            <color rgb="FF000000"/>
            <rFont val="Tahoma"/>
            <family val="2"/>
          </rPr>
          <t>Tegus (HZ):</t>
        </r>
        <r>
          <rPr>
            <sz val="9"/>
            <color rgb="FF000000"/>
            <rFont val="Tahoma"/>
            <family val="2"/>
          </rPr>
          <t xml:space="preserve">
Rounding</t>
        </r>
      </text>
    </comment>
    <comment ref="AX962" authorId="0" shapeId="0" xr:uid="{00000000-0006-0000-0100-000009020000}">
      <text>
        <r>
          <rPr>
            <b/>
            <sz val="9"/>
            <color rgb="FF000000"/>
            <rFont val="Tahoma"/>
            <family val="2"/>
          </rPr>
          <t>Tegus (DHJ):</t>
        </r>
        <r>
          <rPr>
            <sz val="9"/>
            <color rgb="FF000000"/>
            <rFont val="Tahoma"/>
            <family val="2"/>
          </rPr>
          <t xml:space="preserve">
Rounding</t>
        </r>
      </text>
    </comment>
    <comment ref="BH962" authorId="0" shapeId="0" xr:uid="{00000000-0006-0000-0100-00000A020000}">
      <text>
        <r>
          <rPr>
            <b/>
            <sz val="9"/>
            <color rgb="FF000000"/>
            <rFont val="Tahoma"/>
            <family val="2"/>
          </rPr>
          <t>Tegus (JH):</t>
        </r>
        <r>
          <rPr>
            <sz val="9"/>
            <color rgb="FF000000"/>
            <rFont val="Tahoma"/>
            <family val="2"/>
          </rPr>
          <t xml:space="preserve">
segmented info not yet available</t>
        </r>
      </text>
    </comment>
    <comment ref="BI962" authorId="0" shapeId="0" xr:uid="{00000000-0006-0000-0100-00000B020000}">
      <text>
        <r>
          <rPr>
            <b/>
            <sz val="9"/>
            <color rgb="FF000000"/>
            <rFont val="Tahoma"/>
            <family val="2"/>
          </rPr>
          <t>Tegus (JH):</t>
        </r>
        <r>
          <rPr>
            <sz val="9"/>
            <color rgb="FF000000"/>
            <rFont val="Tahoma"/>
            <family val="2"/>
          </rPr>
          <t xml:space="preserve">
segmented info not yet available</t>
        </r>
      </text>
    </comment>
    <comment ref="BJ962" authorId="0" shapeId="0" xr:uid="{00000000-0006-0000-0100-00000C020000}">
      <text>
        <r>
          <rPr>
            <b/>
            <sz val="9"/>
            <color rgb="FF000000"/>
            <rFont val="Tahoma"/>
            <family val="2"/>
          </rPr>
          <t>Tegus (JH):</t>
        </r>
        <r>
          <rPr>
            <sz val="9"/>
            <color rgb="FF000000"/>
            <rFont val="Tahoma"/>
            <family val="2"/>
          </rPr>
          <t xml:space="preserve">
segmented info not yet available</t>
        </r>
      </text>
    </comment>
    <comment ref="BN962" authorId="0" shapeId="0" xr:uid="{00000000-0006-0000-0100-00000D020000}">
      <text>
        <r>
          <rPr>
            <b/>
            <sz val="9"/>
            <color rgb="FF000000"/>
            <rFont val="Tahoma"/>
            <family val="2"/>
          </rPr>
          <t>Tegus (LtT):</t>
        </r>
        <r>
          <rPr>
            <sz val="9"/>
            <color rgb="FF000000"/>
            <rFont val="Tahoma"/>
            <family val="2"/>
          </rPr>
          <t xml:space="preserve">
rounding error</t>
        </r>
      </text>
    </comment>
    <comment ref="BS962" authorId="0" shapeId="0" xr:uid="{00000000-0006-0000-0100-00000E020000}">
      <text>
        <r>
          <rPr>
            <b/>
            <sz val="9"/>
            <color rgb="FF000000"/>
            <rFont val="Tahoma"/>
            <family val="2"/>
          </rPr>
          <t>Tegus (AK):</t>
        </r>
        <r>
          <rPr>
            <sz val="9"/>
            <color rgb="FF000000"/>
            <rFont val="Tahoma"/>
            <family val="2"/>
          </rPr>
          <t xml:space="preserve">
figures as reported for quarters do not add up to as reported for FY. rounding</t>
        </r>
      </text>
    </comment>
    <comment ref="BV962" authorId="0" shapeId="0" xr:uid="{00000000-0006-0000-0100-00000F020000}">
      <text>
        <r>
          <rPr>
            <b/>
            <sz val="9"/>
            <color rgb="FF000000"/>
            <rFont val="Tahoma"/>
            <family val="2"/>
          </rPr>
          <t>Tegus (HZ):</t>
        </r>
        <r>
          <rPr>
            <sz val="9"/>
            <color rgb="FF000000"/>
            <rFont val="Tahoma"/>
            <family val="2"/>
          </rPr>
          <t xml:space="preserve">
Rounding</t>
        </r>
      </text>
    </comment>
    <comment ref="BH966" authorId="0" shapeId="0" xr:uid="{00000000-0006-0000-0100-000010020000}">
      <text>
        <r>
          <rPr>
            <b/>
            <sz val="9"/>
            <color rgb="FF000000"/>
            <rFont val="Tahoma"/>
            <family val="2"/>
          </rPr>
          <t>Tegus (LtT):</t>
        </r>
        <r>
          <rPr>
            <sz val="9"/>
            <color rgb="FF000000"/>
            <rFont val="Tahoma"/>
            <family val="2"/>
          </rPr>
          <t xml:space="preserve">
B/S not available</t>
        </r>
      </text>
    </comment>
    <comment ref="AA968" authorId="0" shapeId="0" xr:uid="{00000000-0006-0000-0100-000011020000}">
      <text>
        <r>
          <rPr>
            <b/>
            <sz val="9"/>
            <color rgb="FF000000"/>
            <rFont val="Tahoma"/>
            <family val="2"/>
          </rPr>
          <t>Tegus (DL):</t>
        </r>
        <r>
          <rPr>
            <sz val="9"/>
            <color rgb="FF000000"/>
            <rFont val="Tahoma"/>
            <family val="2"/>
          </rPr>
          <t xml:space="preserve">
Formula changed to reflect Principal payment on operating lease</t>
        </r>
      </text>
    </comment>
    <comment ref="BL970" authorId="0" shapeId="0" xr:uid="{00000000-0006-0000-0100-000012020000}">
      <text>
        <r>
          <rPr>
            <b/>
            <sz val="9"/>
            <color rgb="FF000000"/>
            <rFont val="Tahoma"/>
            <family val="2"/>
          </rPr>
          <t>Tegus (LtT):</t>
        </r>
        <r>
          <rPr>
            <sz val="9"/>
            <color rgb="FF000000"/>
            <rFont val="Tahoma"/>
            <family val="2"/>
          </rPr>
          <t xml:space="preserve">
discrepancy in not restating FY adjusted values, errors incurred to maintain correct final adjusted values</t>
        </r>
      </text>
    </comment>
    <comment ref="BM970" authorId="0" shapeId="0" xr:uid="{00000000-0006-0000-0100-000013020000}">
      <text>
        <r>
          <rPr>
            <b/>
            <sz val="9"/>
            <color rgb="FF000000"/>
            <rFont val="Tahoma"/>
            <family val="2"/>
          </rPr>
          <t>Tegus (LtT):</t>
        </r>
        <r>
          <rPr>
            <sz val="9"/>
            <color rgb="FF000000"/>
            <rFont val="Tahoma"/>
            <family val="2"/>
          </rPr>
          <t xml:space="preserve">
discrepancy in not restating FY adjusted values, errors incurred to maintain correct final adjusted values</t>
        </r>
      </text>
    </comment>
    <comment ref="BN970" authorId="0" shapeId="0" xr:uid="{00000000-0006-0000-0100-000014020000}">
      <text>
        <r>
          <rPr>
            <b/>
            <sz val="9"/>
            <color rgb="FF000000"/>
            <rFont val="Tahoma"/>
            <family val="2"/>
          </rPr>
          <t>Tegus (VT):</t>
        </r>
        <r>
          <rPr>
            <sz val="9"/>
            <color rgb="FF000000"/>
            <rFont val="Tahoma"/>
            <family val="2"/>
          </rPr>
          <t xml:space="preserve">
As reported. Rounding error</t>
        </r>
      </text>
    </comment>
    <comment ref="BH971" authorId="0" shapeId="0" xr:uid="{00000000-0006-0000-0100-000015020000}">
      <text>
        <r>
          <rPr>
            <b/>
            <sz val="9"/>
            <color rgb="FF000000"/>
            <rFont val="Tahoma"/>
            <family val="2"/>
          </rPr>
          <t>Tegus (LtT):</t>
        </r>
        <r>
          <rPr>
            <sz val="9"/>
            <color rgb="FF000000"/>
            <rFont val="Tahoma"/>
            <family val="2"/>
          </rPr>
          <t xml:space="preserve">
Acquisition net of cash received is correctly positive</t>
        </r>
      </text>
    </comment>
    <comment ref="BN972" authorId="0" shapeId="0" xr:uid="{00000000-0006-0000-0100-000016020000}">
      <text>
        <r>
          <rPr>
            <b/>
            <sz val="9"/>
            <color rgb="FF000000"/>
            <rFont val="Tahoma"/>
            <family val="2"/>
          </rPr>
          <t>Tegus (VT):</t>
        </r>
        <r>
          <rPr>
            <sz val="9"/>
            <color rgb="FF000000"/>
            <rFont val="Tahoma"/>
            <family val="2"/>
          </rPr>
          <t xml:space="preserve">
As reported. Rounding error</t>
        </r>
      </text>
    </comment>
    <comment ref="BO972" authorId="0" shapeId="0" xr:uid="{00000000-0006-0000-0100-000017020000}">
      <text>
        <r>
          <rPr>
            <b/>
            <sz val="9"/>
            <color rgb="FF000000"/>
            <rFont val="Tahoma"/>
            <family val="2"/>
          </rPr>
          <t>Tegus (VT):</t>
        </r>
        <r>
          <rPr>
            <sz val="9"/>
            <color rgb="FF000000"/>
            <rFont val="Tahoma"/>
            <family val="2"/>
          </rPr>
          <t xml:space="preserve">
As reported. Rounding error</t>
        </r>
      </text>
    </comment>
    <comment ref="BP972" authorId="0" shapeId="0" xr:uid="{00000000-0006-0000-0100-000018020000}">
      <text>
        <r>
          <rPr>
            <b/>
            <sz val="9"/>
            <color rgb="FF000000"/>
            <rFont val="Tahoma"/>
            <family val="2"/>
          </rPr>
          <t>Tegus (VT):</t>
        </r>
        <r>
          <rPr>
            <sz val="9"/>
            <color rgb="FF000000"/>
            <rFont val="Tahoma"/>
            <family val="2"/>
          </rPr>
          <t xml:space="preserve">
As reported. Rounding error in COGS reporting</t>
        </r>
      </text>
    </comment>
    <comment ref="BS972" authorId="0" shapeId="0" xr:uid="{00000000-0006-0000-0100-000019020000}">
      <text>
        <r>
          <rPr>
            <b/>
            <sz val="9"/>
            <color rgb="FF000000"/>
            <rFont val="Tahoma"/>
            <family val="2"/>
          </rPr>
          <t>Tegus (AK):</t>
        </r>
        <r>
          <rPr>
            <sz val="9"/>
            <color rgb="FF000000"/>
            <rFont val="Tahoma"/>
            <family val="2"/>
          </rPr>
          <t xml:space="preserve">
figures as reported for quarters do not add up to as reported for FY. rounding</t>
        </r>
      </text>
    </comment>
    <comment ref="BT972" authorId="0" shapeId="0" xr:uid="{00000000-0006-0000-0100-00001A020000}">
      <text>
        <r>
          <rPr>
            <b/>
            <sz val="9"/>
            <color rgb="FF000000"/>
            <rFont val="Tahoma"/>
            <family val="2"/>
          </rPr>
          <t>Tegus (HQ):</t>
        </r>
        <r>
          <rPr>
            <sz val="9"/>
            <color rgb="FF000000"/>
            <rFont val="Tahoma"/>
            <family val="2"/>
          </rPr>
          <t xml:space="preserve">
Due to rounding</t>
        </r>
      </text>
    </comment>
    <comment ref="BU972" authorId="0" shapeId="0" xr:uid="{00000000-0006-0000-0100-00001B020000}">
      <text>
        <r>
          <rPr>
            <b/>
            <sz val="9"/>
            <color rgb="FF000000"/>
            <rFont val="Tahoma"/>
            <family val="2"/>
          </rPr>
          <t>Tegus (AK):</t>
        </r>
        <r>
          <rPr>
            <sz val="9"/>
            <color rgb="FF000000"/>
            <rFont val="Tahoma"/>
            <family val="2"/>
          </rPr>
          <t xml:space="preserve">
rounding</t>
        </r>
      </text>
    </comment>
    <comment ref="BV972" authorId="0" shapeId="0" xr:uid="{00000000-0006-0000-0100-00001C020000}">
      <text>
        <r>
          <rPr>
            <b/>
            <sz val="9"/>
            <color rgb="FF000000"/>
            <rFont val="Tahoma"/>
            <family val="2"/>
          </rPr>
          <t>Tegus (AK):</t>
        </r>
        <r>
          <rPr>
            <sz val="9"/>
            <color rgb="FF000000"/>
            <rFont val="Tahoma"/>
            <family val="2"/>
          </rPr>
          <t xml:space="preserve">
rounding</t>
        </r>
      </text>
    </comment>
    <comment ref="BL973" authorId="0" shapeId="0" xr:uid="{00000000-0006-0000-0100-00001D020000}">
      <text>
        <r>
          <rPr>
            <b/>
            <sz val="9"/>
            <color rgb="FF000000"/>
            <rFont val="Tahoma"/>
            <family val="2"/>
          </rPr>
          <t>Tegus (LtT):</t>
        </r>
        <r>
          <rPr>
            <sz val="9"/>
            <color rgb="FF000000"/>
            <rFont val="Tahoma"/>
            <family val="2"/>
          </rPr>
          <t xml:space="preserve">
discrepancy in not restating FY adjusted values, errors incurred to maintain correct final adjusted values</t>
        </r>
      </text>
    </comment>
    <comment ref="BM973" authorId="0" shapeId="0" xr:uid="{00000000-0006-0000-0100-00001E020000}">
      <text>
        <r>
          <rPr>
            <b/>
            <sz val="9"/>
            <color rgb="FF000000"/>
            <rFont val="Tahoma"/>
            <family val="2"/>
          </rPr>
          <t>Tegus (LtT):</t>
        </r>
        <r>
          <rPr>
            <sz val="9"/>
            <color rgb="FF000000"/>
            <rFont val="Tahoma"/>
            <family val="2"/>
          </rPr>
          <t xml:space="preserve">
discrepancy in not restating FY adjusted values, errors incurred to maintain correct final adjusted values</t>
        </r>
      </text>
    </comment>
    <comment ref="BN973" authorId="0" shapeId="0" xr:uid="{00000000-0006-0000-0100-00001F020000}">
      <text>
        <r>
          <rPr>
            <b/>
            <sz val="9"/>
            <color rgb="FF000000"/>
            <rFont val="Tahoma"/>
            <family val="2"/>
          </rPr>
          <t>Tegus (VT):</t>
        </r>
        <r>
          <rPr>
            <sz val="9"/>
            <color rgb="FF000000"/>
            <rFont val="Tahoma"/>
            <family val="2"/>
          </rPr>
          <t xml:space="preserve">
As reported. Rounding error</t>
        </r>
      </text>
    </comment>
    <comment ref="BS973" authorId="0" shapeId="0" xr:uid="{00000000-0006-0000-0100-000020020000}">
      <text>
        <r>
          <rPr>
            <b/>
            <sz val="9"/>
            <color rgb="FF000000"/>
            <rFont val="Tahoma"/>
            <family val="2"/>
          </rPr>
          <t>Tegus (AK):</t>
        </r>
        <r>
          <rPr>
            <sz val="9"/>
            <color rgb="FF000000"/>
            <rFont val="Tahoma"/>
            <family val="2"/>
          </rPr>
          <t xml:space="preserve">
figures as reported for quarters do not add up to as reported for FY. rounding</t>
        </r>
      </text>
    </comment>
    <comment ref="BT973" authorId="0" shapeId="0" xr:uid="{00000000-0006-0000-0100-000021020000}">
      <text>
        <r>
          <rPr>
            <b/>
            <sz val="9"/>
            <color rgb="FF000000"/>
            <rFont val="Tahoma"/>
            <family val="2"/>
          </rPr>
          <t>Tegus (HQ):</t>
        </r>
        <r>
          <rPr>
            <sz val="9"/>
            <color rgb="FF000000"/>
            <rFont val="Tahoma"/>
            <family val="2"/>
          </rPr>
          <t xml:space="preserve">
Due to rounding</t>
        </r>
      </text>
    </comment>
    <comment ref="BU973" authorId="0" shapeId="0" xr:uid="{00000000-0006-0000-0100-000022020000}">
      <text>
        <r>
          <rPr>
            <b/>
            <sz val="9"/>
            <color rgb="FF000000"/>
            <rFont val="Tahoma"/>
            <family val="2"/>
          </rPr>
          <t>Tegus (AK):</t>
        </r>
        <r>
          <rPr>
            <sz val="9"/>
            <color rgb="FF000000"/>
            <rFont val="Tahoma"/>
            <family val="2"/>
          </rPr>
          <t xml:space="preserve">
rounding</t>
        </r>
      </text>
    </comment>
    <comment ref="BV973" authorId="0" shapeId="0" xr:uid="{00000000-0006-0000-0100-000023020000}">
      <text>
        <r>
          <rPr>
            <b/>
            <sz val="9"/>
            <color rgb="FF000000"/>
            <rFont val="Tahoma"/>
            <family val="2"/>
          </rPr>
          <t>Tegus (AK):</t>
        </r>
        <r>
          <rPr>
            <sz val="9"/>
            <color rgb="FF000000"/>
            <rFont val="Tahoma"/>
            <family val="2"/>
          </rPr>
          <t xml:space="preserve">
rounding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Wenhao Zhang</author>
  </authors>
  <commentList>
    <comment ref="BS6" authorId="0" shapeId="0" xr:uid="{00000000-0006-0000-0200-000001000000}">
      <text>
        <r>
          <rPr>
            <b/>
            <sz val="9"/>
            <color rgb="FF000000"/>
            <rFont val="Tahoma"/>
            <family val="2"/>
          </rPr>
          <t>Tegus (AK):</t>
        </r>
        <r>
          <rPr>
            <sz val="9"/>
            <color rgb="FF000000"/>
            <rFont val="Tahoma"/>
            <family val="2"/>
          </rPr>
          <t xml:space="preserve">
Tegus will update after 10-K is published</t>
        </r>
      </text>
    </comment>
    <comment ref="AH8" authorId="0" shapeId="0" xr:uid="{00000000-0006-0000-0200-000002000000}">
      <text>
        <r>
          <rPr>
            <b/>
            <sz val="9"/>
            <color rgb="FF000000"/>
            <rFont val="Tahoma"/>
            <family val="2"/>
          </rPr>
          <t>Tegus (AK):</t>
        </r>
        <r>
          <rPr>
            <sz val="9"/>
            <color rgb="FF000000"/>
            <rFont val="Tahoma"/>
            <family val="2"/>
          </rPr>
          <t xml:space="preserve">
as reported</t>
        </r>
      </text>
    </comment>
    <comment ref="BS8" authorId="0" shapeId="0" xr:uid="{00000000-0006-0000-0200-000003000000}">
      <text>
        <r>
          <rPr>
            <b/>
            <sz val="9"/>
            <color rgb="FF000000"/>
            <rFont val="Tahoma"/>
            <family val="2"/>
          </rPr>
          <t>Tegus (AK):</t>
        </r>
        <r>
          <rPr>
            <sz val="9"/>
            <color rgb="FF000000"/>
            <rFont val="Tahoma"/>
            <family val="2"/>
          </rPr>
          <t xml:space="preserve">
as reported</t>
        </r>
      </text>
    </comment>
    <comment ref="AH18" authorId="0" shapeId="0" xr:uid="{00000000-0006-0000-0200-000004000000}">
      <text>
        <r>
          <rPr>
            <b/>
            <sz val="9"/>
            <color rgb="FF000000"/>
            <rFont val="Tahoma"/>
            <family val="2"/>
          </rPr>
          <t>Tegus (AK):</t>
        </r>
        <r>
          <rPr>
            <sz val="9"/>
            <color rgb="FF000000"/>
            <rFont val="Tahoma"/>
            <family val="2"/>
          </rPr>
          <t xml:space="preserve">
as reported</t>
        </r>
      </text>
    </comment>
    <comment ref="BS18" authorId="0" shapeId="0" xr:uid="{00000000-0006-0000-0200-000005000000}">
      <text>
        <r>
          <rPr>
            <b/>
            <sz val="9"/>
            <color rgb="FF000000"/>
            <rFont val="Tahoma"/>
            <family val="2"/>
          </rPr>
          <t>Tegus (AK):</t>
        </r>
        <r>
          <rPr>
            <sz val="9"/>
            <color rgb="FF000000"/>
            <rFont val="Tahoma"/>
            <family val="2"/>
          </rPr>
          <t xml:space="preserve">
as reported</t>
        </r>
      </text>
    </comment>
    <comment ref="BJ26" authorId="0" shapeId="0" xr:uid="{00000000-0006-0000-0200-000006000000}">
      <text>
        <r>
          <rPr>
            <b/>
            <sz val="9"/>
            <color rgb="FF000000"/>
            <rFont val="Tahoma"/>
            <family val="2"/>
          </rPr>
          <t>Tegus (CS):</t>
        </r>
        <r>
          <rPr>
            <sz val="9"/>
            <color rgb="FF000000"/>
            <rFont val="Tahoma"/>
            <family val="2"/>
          </rPr>
          <t xml:space="preserve">
Reported as $557 mm</t>
        </r>
      </text>
    </comment>
    <comment ref="BK26" authorId="0" shapeId="0" xr:uid="{00000000-0006-0000-0200-000007000000}">
      <text>
        <r>
          <rPr>
            <b/>
            <sz val="9"/>
            <color rgb="FF000000"/>
            <rFont val="Tahoma"/>
            <family val="2"/>
          </rPr>
          <t>Tegus (CS):</t>
        </r>
        <r>
          <rPr>
            <sz val="9"/>
            <color rgb="FF000000"/>
            <rFont val="Tahoma"/>
            <family val="2"/>
          </rPr>
          <t xml:space="preserve">
Reported as $810 mm</t>
        </r>
      </text>
    </comment>
    <comment ref="A30" authorId="0" shapeId="0" xr:uid="{00000000-0006-0000-0200-000008000000}">
      <text>
        <r>
          <rPr>
            <b/>
            <sz val="9"/>
            <color rgb="FF000000"/>
            <rFont val="Tahoma"/>
            <family val="2"/>
          </rPr>
          <t>Tegus (PA):</t>
        </r>
        <r>
          <rPr>
            <sz val="9"/>
            <color rgb="FF000000"/>
            <rFont val="Tahoma"/>
            <family val="2"/>
          </rPr>
          <t xml:space="preserve">
Facebook defines a daily active person (DAP) as a registered and logged-in user of Facebook, Instagram, Messenger, and/or WhatsApp (collectively, their “Family” of products) who visited at least one of these Family products through a mobile device application or using a web or mobile browser on a given day.</t>
        </r>
      </text>
    </comment>
    <comment ref="A31" authorId="0" shapeId="0" xr:uid="{00000000-0006-0000-0200-000009000000}">
      <text>
        <r>
          <rPr>
            <b/>
            <sz val="9"/>
            <color rgb="FF000000"/>
            <rFont val="Tahoma"/>
            <family val="2"/>
          </rPr>
          <t>Tegus (PA):</t>
        </r>
        <r>
          <rPr>
            <sz val="9"/>
            <color rgb="FF000000"/>
            <rFont val="Tahoma"/>
            <family val="2"/>
          </rPr>
          <t xml:space="preserve">
Facebook defines a monthly active person (MAP) as a registered and logged-in user of Facebook, Instagram, Messenger, and/or WhatsApp (collectively, their “Family” of products) who visited at least one of these Family products through a mobile device application or using a web or mobile browser in the last 30 days as of the date of measurement.</t>
        </r>
      </text>
    </comment>
    <comment ref="AU31" authorId="0" shapeId="0" xr:uid="{00000000-0006-0000-0200-00000A000000}">
      <text>
        <r>
          <rPr>
            <b/>
            <sz val="9"/>
            <color rgb="FF000000"/>
            <rFont val="Tahoma"/>
            <family val="2"/>
          </rPr>
          <t>Tegus (TZ):</t>
        </r>
        <r>
          <rPr>
            <sz val="9"/>
            <color rgb="FF000000"/>
            <rFont val="Tahoma"/>
            <family val="2"/>
          </rPr>
          <t xml:space="preserve">
No longer reported</t>
        </r>
      </text>
    </comment>
    <comment ref="AU32" authorId="0" shapeId="0" xr:uid="{00000000-0006-0000-0200-00000B000000}">
      <text>
        <r>
          <rPr>
            <b/>
            <sz val="9"/>
            <color rgb="FF000000"/>
            <rFont val="Tahoma"/>
            <family val="2"/>
          </rPr>
          <t>Tegus (TZ):</t>
        </r>
        <r>
          <rPr>
            <sz val="9"/>
            <color rgb="FF000000"/>
            <rFont val="Tahoma"/>
            <family val="2"/>
          </rPr>
          <t xml:space="preserve">
No longer reported</t>
        </r>
      </text>
    </comment>
    <comment ref="AL34" authorId="0" shapeId="0" xr:uid="{00000000-0006-0000-0200-00000C000000}">
      <text>
        <r>
          <rPr>
            <b/>
            <sz val="9"/>
            <color rgb="FF000000"/>
            <rFont val="Tahoma"/>
            <family val="2"/>
          </rPr>
          <t>Tegus (LZ):</t>
        </r>
        <r>
          <rPr>
            <sz val="9"/>
            <color rgb="FF000000"/>
            <rFont val="Tahoma"/>
            <family val="2"/>
          </rPr>
          <t xml:space="preserve">
No longer reported</t>
        </r>
      </text>
    </comment>
    <comment ref="BT34" authorId="0" shapeId="0" xr:uid="{00000000-0006-0000-0200-00000D000000}">
      <text>
        <r>
          <rPr>
            <b/>
            <sz val="9"/>
            <color rgb="FF000000"/>
            <rFont val="Tahoma"/>
            <family val="2"/>
          </rPr>
          <t>Tegus (LZ):</t>
        </r>
        <r>
          <rPr>
            <sz val="9"/>
            <color rgb="FF000000"/>
            <rFont val="Tahoma"/>
            <family val="2"/>
          </rPr>
          <t xml:space="preserve">
No longer reported</t>
        </r>
      </text>
    </comment>
    <comment ref="AL35" authorId="0" shapeId="0" xr:uid="{00000000-0006-0000-0200-00000E000000}">
      <text>
        <r>
          <rPr>
            <b/>
            <sz val="9"/>
            <color rgb="FF000000"/>
            <rFont val="Tahoma"/>
            <family val="2"/>
          </rPr>
          <t>Tegus (LZ):</t>
        </r>
        <r>
          <rPr>
            <sz val="9"/>
            <color rgb="FF000000"/>
            <rFont val="Tahoma"/>
            <family val="2"/>
          </rPr>
          <t xml:space="preserve">
No longer reported</t>
        </r>
      </text>
    </comment>
    <comment ref="BT35" authorId="0" shapeId="0" xr:uid="{00000000-0006-0000-0200-00000F000000}">
      <text>
        <r>
          <rPr>
            <b/>
            <sz val="9"/>
            <color rgb="FF000000"/>
            <rFont val="Tahoma"/>
            <family val="2"/>
          </rPr>
          <t>Tegus (LZ):</t>
        </r>
        <r>
          <rPr>
            <sz val="9"/>
            <color rgb="FF000000"/>
            <rFont val="Tahoma"/>
            <family val="2"/>
          </rPr>
          <t xml:space="preserve">
No longer reported</t>
        </r>
      </text>
    </comment>
    <comment ref="AI36" authorId="0" shapeId="0" xr:uid="{00000000-0006-0000-0200-000010000000}">
      <text>
        <r>
          <rPr>
            <b/>
            <sz val="9"/>
            <color rgb="FF000000"/>
            <rFont val="Tahoma"/>
            <family val="2"/>
          </rPr>
          <t>Tegus (HS):</t>
        </r>
        <r>
          <rPr>
            <sz val="9"/>
            <color rgb="FF000000"/>
            <rFont val="Tahoma"/>
            <family val="2"/>
          </rPr>
          <t xml:space="preserve">
Reported as 7.75</t>
        </r>
      </text>
    </comment>
    <comment ref="AJ36" authorId="0" shapeId="0" xr:uid="{00000000-0006-0000-0200-000011000000}">
      <text>
        <r>
          <rPr>
            <b/>
            <sz val="9"/>
            <color rgb="FF000000"/>
            <rFont val="Tahoma"/>
            <family val="2"/>
          </rPr>
          <t>Tegus (DL):</t>
        </r>
        <r>
          <rPr>
            <sz val="9"/>
            <color rgb="FF000000"/>
            <rFont val="Tahoma"/>
            <family val="2"/>
          </rPr>
          <t xml:space="preserve">
Reported as $8.36</t>
        </r>
      </text>
    </comment>
    <comment ref="AK36" authorId="0" shapeId="0" xr:uid="{00000000-0006-0000-0200-000012000000}">
      <text>
        <r>
          <rPr>
            <b/>
            <sz val="9"/>
            <color rgb="FF000000"/>
            <rFont val="Tahoma"/>
            <family val="2"/>
          </rPr>
          <t>Tegus (MG):</t>
        </r>
        <r>
          <rPr>
            <sz val="9"/>
            <color rgb="FF000000"/>
            <rFont val="Tahoma"/>
            <family val="2"/>
          </rPr>
          <t xml:space="preserve">
Reported as 8.18</t>
        </r>
      </text>
    </comment>
    <comment ref="AU36" authorId="0" shapeId="0" xr:uid="{00000000-0006-0000-0200-000013000000}">
      <text>
        <r>
          <rPr>
            <b/>
            <sz val="9"/>
            <color rgb="FF000000"/>
            <rFont val="Tahoma"/>
            <family val="2"/>
          </rPr>
          <t>Tegus (TZ):</t>
        </r>
        <r>
          <rPr>
            <sz val="9"/>
            <color rgb="FF000000"/>
            <rFont val="Tahoma"/>
            <family val="2"/>
          </rPr>
          <t xml:space="preserve">
Beginning with this quarter, Meta define average revenue per person (ARPP) as our FoA revenue during a given quarter, divided by the average of the number of DAP at the beginning and end of the quarter.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Wenhao Zhang</author>
  </authors>
  <commentList>
    <comment ref="BW6" authorId="0" shapeId="0" xr:uid="{00000000-0006-0000-0300-000001000000}">
      <text>
        <r>
          <rPr>
            <b/>
            <sz val="9"/>
            <color rgb="FF000000"/>
            <rFont val="Tahoma"/>
            <family val="2"/>
          </rPr>
          <t>Tegus (DHJ):</t>
        </r>
        <r>
          <rPr>
            <sz val="9"/>
            <color rgb="FF000000"/>
            <rFont val="Tahoma"/>
            <family val="2"/>
          </rPr>
          <t xml:space="preserve">
To be updated once annual proxy statement is released</t>
        </r>
      </text>
    </comment>
    <comment ref="BW94" authorId="0" shapeId="0" xr:uid="{00000000-0006-0000-0300-000002000000}">
      <text>
        <r>
          <rPr>
            <b/>
            <sz val="9"/>
            <color rgb="FF000000"/>
            <rFont val="Tahoma"/>
            <family val="2"/>
          </rPr>
          <t>Tegus (DHJ):</t>
        </r>
        <r>
          <rPr>
            <sz val="9"/>
            <color rgb="FF000000"/>
            <rFont val="Tahoma"/>
            <family val="2"/>
          </rPr>
          <t xml:space="preserve">
To be updated once annual proxy statement is released</t>
        </r>
      </text>
    </comment>
    <comment ref="BW103" authorId="0" shapeId="0" xr:uid="{00000000-0006-0000-0300-000003000000}">
      <text>
        <r>
          <rPr>
            <b/>
            <sz val="9"/>
            <color rgb="FF000000"/>
            <rFont val="Tahoma"/>
            <family val="2"/>
          </rPr>
          <t>Tegus (DHJ):</t>
        </r>
        <r>
          <rPr>
            <sz val="9"/>
            <color rgb="FF000000"/>
            <rFont val="Tahoma"/>
            <family val="2"/>
          </rPr>
          <t xml:space="preserve">
To be updated once annual proxy statement is released</t>
        </r>
      </text>
    </comment>
    <comment ref="BW137" authorId="0" shapeId="0" xr:uid="{00000000-0006-0000-0300-000004000000}">
      <text>
        <r>
          <rPr>
            <b/>
            <sz val="9"/>
            <color rgb="FF000000"/>
            <rFont val="Tahoma"/>
            <family val="2"/>
          </rPr>
          <t>Tegus (DHJ):</t>
        </r>
        <r>
          <rPr>
            <sz val="9"/>
            <color rgb="FF000000"/>
            <rFont val="Tahoma"/>
            <family val="2"/>
          </rPr>
          <t xml:space="preserve">
To be updated once annual proxy statement is released</t>
        </r>
      </text>
    </comment>
    <comment ref="BS139" authorId="0" shapeId="0" xr:uid="{00000000-0006-0000-0300-000005000000}">
      <text>
        <r>
          <rPr>
            <b/>
            <sz val="9"/>
            <color rgb="FF000000"/>
            <rFont val="Tahoma"/>
            <family val="2"/>
          </rPr>
          <t>Tegus (AD):</t>
        </r>
        <r>
          <rPr>
            <sz val="9"/>
            <color rgb="FF000000"/>
            <rFont val="Tahoma"/>
            <family val="2"/>
          </rPr>
          <t xml:space="preserve">
our non-employee directors are required to own shares with an equivalent value of $500,000, in each case by the later of (i) five years from the adoption of these stock ownership guidelines, or (ii) five years from becoming an executive officer or non-employee director</t>
        </r>
      </text>
    </comment>
    <comment ref="BT139" authorId="0" shapeId="0" xr:uid="{00000000-0006-0000-0300-000006000000}">
      <text>
        <r>
          <rPr>
            <b/>
            <sz val="9"/>
            <color rgb="FF000000"/>
            <rFont val="Tahoma"/>
            <family val="2"/>
          </rPr>
          <t>Tegus (AD):</t>
        </r>
        <r>
          <rPr>
            <sz val="9"/>
            <color rgb="FF000000"/>
            <rFont val="Tahoma"/>
            <family val="2"/>
          </rPr>
          <t xml:space="preserve">
our non-employee directors are required to own shares with an equivalent value of $500,000, in each case by the later of (i) five years from the adoption of these stock ownership guidelines, or (ii) five years from becoming an executive officer or non-employee director</t>
        </r>
      </text>
    </comment>
    <comment ref="BU139" authorId="0" shapeId="0" xr:uid="{00000000-0006-0000-0300-000007000000}">
      <text>
        <r>
          <rPr>
            <b/>
            <sz val="9"/>
            <color rgb="FF000000"/>
            <rFont val="Tahoma"/>
            <family val="2"/>
          </rPr>
          <t>Tegus (AD):</t>
        </r>
        <r>
          <rPr>
            <sz val="9"/>
            <color rgb="FF000000"/>
            <rFont val="Tahoma"/>
            <family val="2"/>
          </rPr>
          <t xml:space="preserve">
our non-employee directors are required to own shares with an equivalent value of $500,000, in each case by the later of (i) September 2023 or (ii) five years from becoming an executive officer or non-employee director</t>
        </r>
      </text>
    </comment>
    <comment ref="BV139" authorId="0" shapeId="0" xr:uid="{00000000-0006-0000-0300-000008000000}">
      <text>
        <r>
          <rPr>
            <b/>
            <sz val="9"/>
            <color rgb="FF000000"/>
            <rFont val="Tahoma"/>
            <family val="2"/>
          </rPr>
          <t>Tegus (AN):</t>
        </r>
        <r>
          <rPr>
            <sz val="9"/>
            <color rgb="FF000000"/>
            <rFont val="Tahoma"/>
            <family val="2"/>
          </rPr>
          <t xml:space="preserve">
non-employee directors who were serving as of May 2020 continue to be subject to the prior minimum stock ownership guidelines and are required to own the lesser of (x) 3,050 shares and (y) shares with an equivalent value of $500,000 by the later of (i) September 2023 or (ii) five years from becoming a non-employee director.</t>
        </r>
      </text>
    </comment>
    <comment ref="BS140" authorId="0" shapeId="0" xr:uid="{00000000-0006-0000-0300-000009000000}">
      <text>
        <r>
          <rPr>
            <b/>
            <sz val="9"/>
            <color rgb="FF000000"/>
            <rFont val="Tahoma"/>
            <family val="2"/>
          </rPr>
          <t>Tegus (AD):</t>
        </r>
        <r>
          <rPr>
            <sz val="9"/>
            <color rgb="FF000000"/>
            <rFont val="Tahoma"/>
            <family val="2"/>
          </rPr>
          <t xml:space="preserve">
our non-employee directors are required to own shares with an equivalent value of $750,000 by the later of (i) five years from the date of the amendment of these stock ownership guidelines, or (ii) five years from becoming a non-employee director</t>
        </r>
      </text>
    </comment>
    <comment ref="BT140" authorId="0" shapeId="0" xr:uid="{00000000-0006-0000-0300-00000A000000}">
      <text>
        <r>
          <rPr>
            <b/>
            <sz val="9"/>
            <color rgb="FF000000"/>
            <rFont val="Tahoma"/>
            <family val="2"/>
          </rPr>
          <t>Tegus (AD):</t>
        </r>
        <r>
          <rPr>
            <sz val="9"/>
            <color rgb="FF000000"/>
            <rFont val="Tahoma"/>
            <family val="2"/>
          </rPr>
          <t xml:space="preserve">
our non-employee directors are required to own shares with an equivalent value of $750,000 by the later of (i) five years from the date of the amendment of these stock ownership guidelines, or (ii) five years from becoming a non-employee director</t>
        </r>
      </text>
    </comment>
    <comment ref="BU140" authorId="0" shapeId="0" xr:uid="{00000000-0006-0000-0300-00000B000000}">
      <text>
        <r>
          <rPr>
            <b/>
            <sz val="9"/>
            <color rgb="FF000000"/>
            <rFont val="Tahoma"/>
            <family val="2"/>
          </rPr>
          <t>Tegus (AD):</t>
        </r>
        <r>
          <rPr>
            <sz val="9"/>
            <color rgb="FF000000"/>
            <rFont val="Tahoma"/>
            <family val="2"/>
          </rPr>
          <t xml:space="preserve">
our non-employee directors are required to own shares with an equivalent value of $750,000 by the later of (i) May 2025 or (ii) five years from becoming a non-employee director</t>
        </r>
      </text>
    </comment>
    <comment ref="BV140" authorId="0" shapeId="0" xr:uid="{00000000-0006-0000-0300-00000C000000}">
      <text>
        <r>
          <rPr>
            <b/>
            <sz val="9"/>
            <color rgb="FF000000"/>
            <rFont val="Tahoma"/>
            <family val="2"/>
          </rPr>
          <t>Tegus (AN):</t>
        </r>
        <r>
          <rPr>
            <sz val="9"/>
            <color rgb="FF000000"/>
            <rFont val="Tahoma"/>
            <family val="2"/>
          </rPr>
          <t xml:space="preserve">
our non-employee directors are required to own the lesser of (x) 4,570 shares and (y) shares with an equivalent value of $750,000 by the later of (i) May 2025 or (ii) five years from becoming a non-employee director; provided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Tegus (AN)</author>
    <author>Tegus (BL)</author>
  </authors>
  <commentList>
    <comment ref="A4" authorId="0" shapeId="0" xr:uid="{00000000-0006-0000-0400-000001000000}">
      <text>
        <r>
          <rPr>
            <b/>
            <sz val="9"/>
            <rFont val="Tahoma"/>
            <family val="2"/>
          </rPr>
          <t>Tegus:</t>
        </r>
        <r>
          <rPr>
            <sz val="9"/>
            <rFont val="Tahoma"/>
            <family val="2"/>
          </rPr>
          <t xml:space="preserve">
Sort Largest to Smallest to return to default.</t>
        </r>
      </text>
    </comment>
    <comment ref="K8" authorId="0" shapeId="0" xr:uid="{00000000-0006-0000-0400-000002000000}">
      <text>
        <r>
          <rPr>
            <b/>
            <sz val="9"/>
            <rFont val="Tahoma"/>
            <family val="2"/>
          </rPr>
          <t>Tegus (AN):</t>
        </r>
        <r>
          <rPr>
            <sz val="9"/>
            <rFont val="Tahoma"/>
            <family val="2"/>
          </rPr>
          <t xml:space="preserve">
we expect our fourth quarter 2024 tax rate to be in the low-teens.</t>
        </r>
      </text>
    </comment>
    <comment ref="K14" authorId="0" shapeId="0" xr:uid="{00000000-0006-0000-0400-000003000000}">
      <text>
        <r>
          <rPr>
            <b/>
            <sz val="9"/>
            <rFont val="Tahoma"/>
            <family val="2"/>
          </rPr>
          <t>Tegus (AN):</t>
        </r>
        <r>
          <rPr>
            <sz val="9"/>
            <rFont val="Tahoma"/>
            <family val="2"/>
          </rPr>
          <t xml:space="preserve">
we expect our fourth quarter 2024 tax rate to be in the low-teens.</t>
        </r>
      </text>
    </comment>
    <comment ref="N17" authorId="1" shapeId="0" xr:uid="{00000000-0006-0000-0400-000004000000}">
      <text>
        <r>
          <rPr>
            <b/>
            <sz val="9"/>
            <rFont val="Tahoma"/>
            <family val="2"/>
          </rPr>
          <t>Tegus (BL):</t>
        </r>
        <r>
          <rPr>
            <sz val="9"/>
            <rFont val="Tahoma"/>
            <family val="2"/>
          </rPr>
          <t xml:space="preserve">
This metrics is not currently forecasting in the model. Will be disclosed when data released.</t>
        </r>
      </text>
    </comment>
    <comment ref="K23" authorId="0" shapeId="0" xr:uid="{00000000-0006-0000-0400-000005000000}">
      <text>
        <r>
          <rPr>
            <b/>
            <sz val="9"/>
            <rFont val="Tahoma"/>
            <family val="2"/>
          </rPr>
          <t>Tegus (AN):</t>
        </r>
        <r>
          <rPr>
            <sz val="9"/>
            <rFont val="Tahoma"/>
            <family val="2"/>
          </rPr>
          <t xml:space="preserve">
we expect our fourth quarter 2024 tax rate to be in the low-teens.</t>
        </r>
      </text>
    </comment>
    <comment ref="K27" authorId="0" shapeId="0" xr:uid="{00000000-0006-0000-0400-000006000000}">
      <text>
        <r>
          <rPr>
            <b/>
            <sz val="9"/>
            <rFont val="Tahoma"/>
            <family val="2"/>
          </rPr>
          <t>Tegus (TZ):</t>
        </r>
        <r>
          <rPr>
            <sz val="9"/>
            <rFont val="Tahoma"/>
            <family val="2"/>
          </rPr>
          <t xml:space="preserve">
Expect our full-year 2024 tax rate to be in the mid-teens.</t>
        </r>
      </text>
    </comment>
    <comment ref="K33" authorId="0" shapeId="0" xr:uid="{00000000-0006-0000-0400-000007000000}">
      <text>
        <r>
          <rPr>
            <b/>
            <sz val="9"/>
            <rFont val="Tahoma"/>
            <family val="2"/>
          </rPr>
          <t>Tegus (TZ):</t>
        </r>
        <r>
          <rPr>
            <sz val="9"/>
            <rFont val="Tahoma"/>
            <family val="2"/>
          </rPr>
          <t xml:space="preserve">
Expect our full-year 2024 tax rate to be in the mid-teens.</t>
        </r>
      </text>
    </comment>
    <comment ref="K39" authorId="0" shapeId="0" xr:uid="{00000000-0006-0000-0400-000008000000}">
      <text>
        <r>
          <rPr>
            <b/>
            <sz val="9"/>
            <rFont val="Tahoma"/>
            <family val="2"/>
          </rPr>
          <t>Tegus (TZ):</t>
        </r>
        <r>
          <rPr>
            <sz val="9"/>
            <rFont val="Tahoma"/>
            <family val="2"/>
          </rPr>
          <t xml:space="preserve">
Expect our full-year 2024 tax rate to be in the mid-teens.</t>
        </r>
      </text>
    </comment>
    <comment ref="K45" authorId="0" shapeId="0" xr:uid="{00000000-0006-0000-0400-000009000000}">
      <text>
        <r>
          <rPr>
            <b/>
            <sz val="9"/>
            <rFont val="Tahoma"/>
            <family val="2"/>
          </rPr>
          <t>Tegus (CZ):</t>
        </r>
        <r>
          <rPr>
            <sz val="9"/>
            <rFont val="Tahoma"/>
            <family val="2"/>
          </rPr>
          <t xml:space="preserve">
expect fourth quarter 2023 and full-year 2024 tax rates to be similar to the third quarter of 2023</t>
        </r>
      </text>
    </comment>
    <comment ref="K47" authorId="0" shapeId="0" xr:uid="{00000000-0006-0000-0400-00000A000000}">
      <text>
        <r>
          <rPr>
            <b/>
            <sz val="9"/>
            <rFont val="Tahoma"/>
            <family val="2"/>
          </rPr>
          <t>Tegus (CZ):</t>
        </r>
        <r>
          <rPr>
            <sz val="9"/>
            <rFont val="Tahoma"/>
            <family val="2"/>
          </rPr>
          <t xml:space="preserve">
includes approximately $3.5 billion of restructuring costs related to facilities consolidation charges and severance and other personnel costs</t>
        </r>
      </text>
    </comment>
    <comment ref="K50" authorId="0" shapeId="0" xr:uid="{00000000-0006-0000-0400-00000B000000}">
      <text>
        <r>
          <rPr>
            <b/>
            <sz val="9"/>
            <rFont val="Tahoma"/>
            <family val="2"/>
          </rPr>
          <t>Tegus (CZ):</t>
        </r>
        <r>
          <rPr>
            <sz val="9"/>
            <rFont val="Tahoma"/>
            <family val="2"/>
          </rPr>
          <t xml:space="preserve">
guidance assumes a foreign currency tailwind of approximately 2% to year-over-year total revenue growth in the fourth quarter, based on current exchange rates</t>
        </r>
      </text>
    </comment>
    <comment ref="K51" authorId="0" shapeId="0" xr:uid="{00000000-0006-0000-0400-00000C000000}">
      <text>
        <r>
          <rPr>
            <b/>
            <sz val="9"/>
            <rFont val="Tahoma"/>
            <family val="2"/>
          </rPr>
          <t>Tegus (CZ):</t>
        </r>
        <r>
          <rPr>
            <sz val="9"/>
            <rFont val="Tahoma"/>
            <family val="2"/>
          </rPr>
          <t xml:space="preserve">
expect fourth quarter 2023 and full-year 2024 tax rates to be similar to the third quarter of 2023</t>
        </r>
      </text>
    </comment>
    <comment ref="K53" authorId="0" shapeId="0" xr:uid="{00000000-0006-0000-0400-00000D000000}">
      <text>
        <r>
          <rPr>
            <b/>
            <sz val="9"/>
            <rFont val="Tahoma"/>
            <family val="2"/>
          </rPr>
          <t>Tegus (TZ):</t>
        </r>
        <r>
          <rPr>
            <sz val="9"/>
            <rFont val="Tahoma"/>
            <family val="2"/>
          </rPr>
          <t xml:space="preserve">
This outlook includes approx. 4 billion of restructuring costs related to facilities consolidation charges and severance and other personnel costs.</t>
        </r>
      </text>
    </comment>
    <comment ref="K55" authorId="0" shapeId="0" xr:uid="{00000000-0006-0000-0400-00000E000000}">
      <text>
        <r>
          <rPr>
            <b/>
            <sz val="9"/>
            <rFont val="Tahoma"/>
            <family val="2"/>
          </rPr>
          <t>Tegus (TZ):</t>
        </r>
        <r>
          <rPr>
            <sz val="9"/>
            <rFont val="Tahoma"/>
            <family val="2"/>
          </rPr>
          <t xml:space="preserve">
Similar to Q2-2023</t>
        </r>
      </text>
    </comment>
    <comment ref="K57" authorId="0" shapeId="0" xr:uid="{00000000-0006-0000-0400-00000F000000}">
      <text>
        <r>
          <rPr>
            <b/>
            <sz val="9"/>
            <rFont val="Tahoma"/>
            <family val="2"/>
          </rPr>
          <t>Tegus (TZ):</t>
        </r>
        <r>
          <rPr>
            <sz val="9"/>
            <rFont val="Tahoma"/>
            <family val="2"/>
          </rPr>
          <t xml:space="preserve">
guidance assumes foreign currency will be an approximately 3% tailwind to year-over-year total revenue growth in the third quarter, based on current exchange rates</t>
        </r>
      </text>
    </comment>
    <comment ref="K59" authorId="0" shapeId="0" xr:uid="{00000000-0006-0000-0400-000010000000}">
      <text>
        <r>
          <rPr>
            <b/>
            <sz val="9"/>
            <rFont val="Tahoma"/>
            <family val="2"/>
          </rPr>
          <t>Tegus (TP):</t>
        </r>
        <r>
          <rPr>
            <sz val="9"/>
            <rFont val="Tahoma"/>
            <family val="2"/>
          </rPr>
          <t xml:space="preserve">
This outlook includes $3-5 billion of restructuring costs related to facilities consolidation charges and severance and other personnel costs.</t>
        </r>
      </text>
    </comment>
    <comment ref="K61" authorId="0" shapeId="0" xr:uid="{00000000-0006-0000-0400-000011000000}">
      <text>
        <r>
          <rPr>
            <b/>
            <sz val="9"/>
            <rFont val="Tahoma"/>
            <family val="2"/>
          </rPr>
          <t>Tegus (TP):</t>
        </r>
        <r>
          <rPr>
            <sz val="9"/>
            <rFont val="Tahoma"/>
            <family val="2"/>
          </rPr>
          <t xml:space="preserve">
Around 20%</t>
        </r>
      </text>
    </comment>
    <comment ref="K63" authorId="0" shapeId="0" xr:uid="{00000000-0006-0000-0400-000012000000}">
      <text>
        <r>
          <rPr>
            <b/>
            <sz val="9"/>
            <rFont val="Tahoma"/>
            <family val="2"/>
          </rPr>
          <t>Tegus (TP):</t>
        </r>
        <r>
          <rPr>
            <sz val="9"/>
            <rFont val="Tahoma"/>
            <family val="2"/>
          </rPr>
          <t xml:space="preserve">
guidance assumes foreign currency will be an approximately 1% headwind to year-over-year total revenue growth in the first quarter, based on current exchange rates</t>
        </r>
      </text>
    </comment>
    <comment ref="K65" authorId="0" shapeId="0" xr:uid="{00000000-0006-0000-0400-000013000000}">
      <text>
        <r>
          <rPr>
            <b/>
            <sz val="9"/>
            <rFont val="Tahoma"/>
            <family val="2"/>
          </rPr>
          <t>Tegus (AK):</t>
        </r>
        <r>
          <rPr>
            <sz val="9"/>
            <rFont val="Tahoma"/>
            <family val="2"/>
          </rPr>
          <t xml:space="preserve">
expect to record an estimated $1 billion in restructuring charges in 2023 related to consolidating our office facilities footprint</t>
        </r>
      </text>
    </comment>
    <comment ref="K67" authorId="0" shapeId="0" xr:uid="{00000000-0006-0000-0400-000014000000}">
      <text>
        <r>
          <rPr>
            <b/>
            <sz val="9"/>
            <rFont val="Tahoma"/>
            <family val="2"/>
          </rPr>
          <t>Tegus (AK):</t>
        </r>
        <r>
          <rPr>
            <sz val="9"/>
            <rFont val="Tahoma"/>
            <family val="2"/>
          </rPr>
          <t xml:space="preserve">
we expect our full-year 2023 tax rate percentage to be in the low twenties</t>
        </r>
      </text>
    </comment>
    <comment ref="K69" authorId="0" shapeId="0" xr:uid="{00000000-0006-0000-0400-000015000000}">
      <text>
        <r>
          <rPr>
            <b/>
            <sz val="9"/>
            <rFont val="Tahoma"/>
            <family val="2"/>
          </rPr>
          <t>Tegus (AK):</t>
        </r>
        <r>
          <rPr>
            <sz val="9"/>
            <rFont val="Tahoma"/>
            <family val="2"/>
          </rPr>
          <t xml:space="preserve">
guidance assumes foreign currency will be an approximately 2% headwind to year-over-year total revenue growth in the first quarter, based on current exchange rates</t>
        </r>
      </text>
    </comment>
    <comment ref="K81" authorId="0" shapeId="0" xr:uid="{00000000-0006-0000-0400-000016000000}">
      <text>
        <r>
          <rPr>
            <b/>
            <sz val="9"/>
            <rFont val="Tahoma"/>
            <family val="2"/>
          </rPr>
          <t>Tegus (DL):</t>
        </r>
        <r>
          <rPr>
            <sz val="9"/>
            <rFont val="Tahoma"/>
            <family val="2"/>
          </rPr>
          <t xml:space="preserve">
we expect our full-year 2022 tax rate to be above the second quarter rate and in the high teens</t>
        </r>
      </text>
    </comment>
    <comment ref="K84" authorId="0" shapeId="0" xr:uid="{00000000-0006-0000-0400-000017000000}">
      <text>
        <r>
          <rPr>
            <b/>
            <sz val="9"/>
            <rFont val="Tahoma"/>
            <family val="2"/>
          </rPr>
          <t>Tegus (HQ):</t>
        </r>
        <r>
          <rPr>
            <sz val="9"/>
            <rFont val="Tahoma"/>
            <family val="2"/>
          </rPr>
          <t xml:space="preserve">
We also anticipate third quarter Reality Labs revenue to be lower than second quarter revenue.</t>
        </r>
      </text>
    </comment>
    <comment ref="K88" authorId="0" shapeId="0" xr:uid="{00000000-0006-0000-0400-000018000000}">
      <text>
        <r>
          <rPr>
            <b/>
            <sz val="9"/>
            <rFont val="Tahoma"/>
            <family val="2"/>
          </rPr>
          <t>Tegus (DL):</t>
        </r>
        <r>
          <rPr>
            <sz val="9"/>
            <rFont val="Tahoma"/>
            <family val="2"/>
          </rPr>
          <t xml:space="preserve">
full-year tax rate in 2022 to be in the high teens</t>
        </r>
      </text>
    </comment>
    <comment ref="K94" authorId="0" shapeId="0" xr:uid="{00000000-0006-0000-0400-000019000000}">
      <text>
        <r>
          <rPr>
            <b/>
            <sz val="9"/>
            <rFont val="Tahoma"/>
            <family val="2"/>
          </rPr>
          <t>Tegus (LZ):</t>
        </r>
        <r>
          <rPr>
            <sz val="9"/>
            <rFont val="Tahoma"/>
            <family val="2"/>
          </rPr>
          <t xml:space="preserve">
full-year tax rate in 2022 to be similar to the full-year 2021 rate.</t>
        </r>
      </text>
    </comment>
    <comment ref="I101" authorId="0" shapeId="0" xr:uid="{00000000-0006-0000-0400-00001A000000}">
      <text>
        <r>
          <rPr>
            <b/>
            <sz val="9"/>
            <rFont val="Tahoma"/>
            <family val="2"/>
          </rPr>
          <t>Tegus (MG):</t>
        </r>
        <r>
          <rPr>
            <sz val="9"/>
            <rFont val="Tahoma"/>
            <family val="2"/>
          </rPr>
          <t xml:space="preserve">
full-year tax rate in 2022 to be similar to the full-year 2021 rate.</t>
        </r>
      </text>
    </comment>
    <comment ref="J101" authorId="0" shapeId="0" xr:uid="{00000000-0006-0000-0400-00001B000000}">
      <text>
        <r>
          <rPr>
            <b/>
            <sz val="9"/>
            <rFont val="Tahoma"/>
            <family val="2"/>
          </rPr>
          <t>Tegus (MG):</t>
        </r>
        <r>
          <rPr>
            <sz val="9"/>
            <rFont val="Tahoma"/>
            <family val="2"/>
          </rPr>
          <t xml:space="preserve">
full-year tax rate in 2022 to be similar to the full-year 2021 rate.</t>
        </r>
      </text>
    </comment>
    <comment ref="K101" authorId="0" shapeId="0" xr:uid="{00000000-0006-0000-0400-00001C000000}">
      <text>
        <r>
          <rPr>
            <b/>
            <sz val="9"/>
            <rFont val="Tahoma"/>
            <family val="2"/>
          </rPr>
          <t>Tegus (MG):</t>
        </r>
        <r>
          <rPr>
            <sz val="9"/>
            <rFont val="Tahoma"/>
            <family val="2"/>
          </rPr>
          <t xml:space="preserve">
full-year tax rate in 2022 to be similar to the full-year 2021 rate.</t>
        </r>
      </text>
    </comment>
    <comment ref="I107" authorId="0" shapeId="0" xr:uid="{00000000-0006-0000-0400-00001D000000}">
      <text>
        <r>
          <rPr>
            <b/>
            <sz val="9"/>
            <rFont val="Tahoma"/>
            <family val="2"/>
          </rPr>
          <t>Tegus (DL):</t>
        </r>
        <r>
          <rPr>
            <sz val="9"/>
            <rFont val="Tahoma"/>
            <family val="2"/>
          </rPr>
          <t xml:space="preserve">
high teens</t>
        </r>
      </text>
    </comment>
    <comment ref="J107" authorId="0" shapeId="0" xr:uid="{00000000-0006-0000-0400-00001E000000}">
      <text>
        <r>
          <rPr>
            <b/>
            <sz val="9"/>
            <rFont val="Tahoma"/>
            <family val="2"/>
          </rPr>
          <t>Tegus (DL):</t>
        </r>
        <r>
          <rPr>
            <sz val="9"/>
            <rFont val="Tahoma"/>
            <family val="2"/>
          </rPr>
          <t xml:space="preserve">
high teens</t>
        </r>
      </text>
    </comment>
    <comment ref="K107" authorId="0" shapeId="0" xr:uid="{00000000-0006-0000-0400-00001F000000}">
      <text>
        <r>
          <rPr>
            <b/>
            <sz val="9"/>
            <rFont val="Tahoma"/>
            <family val="2"/>
          </rPr>
          <t>Tegus (DL):</t>
        </r>
        <r>
          <rPr>
            <sz val="9"/>
            <rFont val="Tahoma"/>
            <family val="2"/>
          </rPr>
          <t xml:space="preserve">
high teens</t>
        </r>
      </text>
    </comment>
    <comment ref="I111" authorId="0" shapeId="0" xr:uid="{00000000-0006-0000-0400-000020000000}">
      <text>
        <r>
          <rPr>
            <b/>
            <sz val="9"/>
            <rFont val="Tahoma"/>
            <family val="2"/>
          </rPr>
          <t>Tegus (DL):</t>
        </r>
        <r>
          <rPr>
            <sz val="9"/>
            <rFont val="Tahoma"/>
            <family val="2"/>
          </rPr>
          <t xml:space="preserve">
high teens</t>
        </r>
      </text>
    </comment>
    <comment ref="J111" authorId="0" shapeId="0" xr:uid="{00000000-0006-0000-0400-000021000000}">
      <text>
        <r>
          <rPr>
            <b/>
            <sz val="9"/>
            <rFont val="Tahoma"/>
            <family val="2"/>
          </rPr>
          <t>Tegus (DL):</t>
        </r>
        <r>
          <rPr>
            <sz val="9"/>
            <rFont val="Tahoma"/>
            <family val="2"/>
          </rPr>
          <t xml:space="preserve">
high teens</t>
        </r>
      </text>
    </comment>
    <comment ref="K111" authorId="0" shapeId="0" xr:uid="{00000000-0006-0000-0400-000022000000}">
      <text>
        <r>
          <rPr>
            <b/>
            <sz val="9"/>
            <rFont val="Tahoma"/>
            <family val="2"/>
          </rPr>
          <t>Tegus (DL):</t>
        </r>
        <r>
          <rPr>
            <sz val="9"/>
            <rFont val="Tahoma"/>
            <family val="2"/>
          </rPr>
          <t xml:space="preserve">
high teens</t>
        </r>
      </text>
    </comment>
    <comment ref="I115" authorId="0" shapeId="0" xr:uid="{00000000-0006-0000-0400-000023000000}">
      <text>
        <r>
          <rPr>
            <b/>
            <sz val="9"/>
            <rFont val="Tahoma"/>
            <family val="2"/>
          </rPr>
          <t>Tegus (LZ):</t>
        </r>
        <r>
          <rPr>
            <sz val="9"/>
            <rFont val="Tahoma"/>
            <family val="2"/>
          </rPr>
          <t xml:space="preserve">
high teens</t>
        </r>
      </text>
    </comment>
    <comment ref="J115" authorId="0" shapeId="0" xr:uid="{00000000-0006-0000-0400-000024000000}">
      <text>
        <r>
          <rPr>
            <b/>
            <sz val="9"/>
            <rFont val="Tahoma"/>
            <family val="2"/>
          </rPr>
          <t>Tegus (LZ):</t>
        </r>
        <r>
          <rPr>
            <sz val="9"/>
            <rFont val="Tahoma"/>
            <family val="2"/>
          </rPr>
          <t xml:space="preserve">
high teens</t>
        </r>
      </text>
    </comment>
    <comment ref="K115" authorId="0" shapeId="0" xr:uid="{00000000-0006-0000-0400-000025000000}">
      <text>
        <r>
          <rPr>
            <b/>
            <sz val="9"/>
            <rFont val="Tahoma"/>
            <family val="2"/>
          </rPr>
          <t>Tegus (LZ):</t>
        </r>
        <r>
          <rPr>
            <sz val="9"/>
            <rFont val="Tahoma"/>
            <family val="2"/>
          </rPr>
          <t xml:space="preserve">
high teens</t>
        </r>
      </text>
    </comment>
    <comment ref="I119" authorId="0" shapeId="0" xr:uid="{00000000-0006-0000-0400-000026000000}">
      <text>
        <r>
          <rPr>
            <b/>
            <sz val="9"/>
            <rFont val="Tahoma"/>
            <family val="2"/>
          </rPr>
          <t>Tegus (LZ):</t>
        </r>
        <r>
          <rPr>
            <sz val="9"/>
            <rFont val="Tahoma"/>
            <family val="2"/>
          </rPr>
          <t xml:space="preserve">
high teens</t>
        </r>
      </text>
    </comment>
    <comment ref="J119" authorId="0" shapeId="0" xr:uid="{00000000-0006-0000-0400-000027000000}">
      <text>
        <r>
          <rPr>
            <b/>
            <sz val="9"/>
            <rFont val="Tahoma"/>
            <family val="2"/>
          </rPr>
          <t>Tegus (LZ):</t>
        </r>
        <r>
          <rPr>
            <sz val="9"/>
            <rFont val="Tahoma"/>
            <family val="2"/>
          </rPr>
          <t xml:space="preserve">
high teens</t>
        </r>
      </text>
    </comment>
    <comment ref="K119" authorId="0" shapeId="0" xr:uid="{00000000-0006-0000-0400-000028000000}">
      <text>
        <r>
          <rPr>
            <b/>
            <sz val="9"/>
            <rFont val="Tahoma"/>
            <family val="2"/>
          </rPr>
          <t>Tegus (LZ):</t>
        </r>
        <r>
          <rPr>
            <sz val="9"/>
            <rFont val="Tahoma"/>
            <family val="2"/>
          </rPr>
          <t xml:space="preserve">
high teens</t>
        </r>
      </text>
    </comment>
    <comment ref="I123" authorId="0" shapeId="0" xr:uid="{00000000-0006-0000-0400-000029000000}">
      <text>
        <r>
          <rPr>
            <b/>
            <sz val="9"/>
            <rFont val="Tahoma"/>
            <family val="2"/>
          </rPr>
          <t>Tegus (LZ):</t>
        </r>
        <r>
          <rPr>
            <sz val="9"/>
            <rFont val="Tahoma"/>
            <family val="2"/>
          </rPr>
          <t xml:space="preserve">
high teens</t>
        </r>
      </text>
    </comment>
    <comment ref="J123" authorId="0" shapeId="0" xr:uid="{00000000-0006-0000-0400-00002A000000}">
      <text>
        <r>
          <rPr>
            <b/>
            <sz val="9"/>
            <rFont val="Tahoma"/>
            <family val="2"/>
          </rPr>
          <t>Tegus (LZ):</t>
        </r>
        <r>
          <rPr>
            <sz val="9"/>
            <rFont val="Tahoma"/>
            <family val="2"/>
          </rPr>
          <t xml:space="preserve">
high teens</t>
        </r>
      </text>
    </comment>
    <comment ref="K123" authorId="0" shapeId="0" xr:uid="{00000000-0006-0000-0400-00002B000000}">
      <text>
        <r>
          <rPr>
            <b/>
            <sz val="9"/>
            <rFont val="Tahoma"/>
            <family val="2"/>
          </rPr>
          <t>Tegus (LZ):</t>
        </r>
        <r>
          <rPr>
            <sz val="9"/>
            <rFont val="Tahoma"/>
            <family val="2"/>
          </rPr>
          <t xml:space="preserve">
high teens</t>
        </r>
      </text>
    </comment>
    <comment ref="I128" authorId="0" shapeId="0" xr:uid="{00000000-0006-0000-0400-00002C000000}">
      <text>
        <r>
          <rPr>
            <b/>
            <sz val="9"/>
            <rFont val="Tahoma"/>
            <family val="2"/>
          </rPr>
          <t>Tegus (LZ):</t>
        </r>
        <r>
          <rPr>
            <sz val="9"/>
            <rFont val="Tahoma"/>
            <family val="2"/>
          </rPr>
          <t xml:space="preserve">
mid teens</t>
        </r>
      </text>
    </comment>
    <comment ref="J128" authorId="0" shapeId="0" xr:uid="{00000000-0006-0000-0400-00002D000000}">
      <text>
        <r>
          <rPr>
            <b/>
            <sz val="9"/>
            <rFont val="Tahoma"/>
            <family val="2"/>
          </rPr>
          <t>Tegus (LZ):</t>
        </r>
        <r>
          <rPr>
            <sz val="9"/>
            <rFont val="Tahoma"/>
            <family val="2"/>
          </rPr>
          <t xml:space="preserve">
mid teens</t>
        </r>
      </text>
    </comment>
    <comment ref="K128" authorId="0" shapeId="0" xr:uid="{00000000-0006-0000-0400-00002E000000}">
      <text>
        <r>
          <rPr>
            <b/>
            <sz val="9"/>
            <rFont val="Tahoma"/>
            <family val="2"/>
          </rPr>
          <t>Tegus (LZ):</t>
        </r>
        <r>
          <rPr>
            <sz val="9"/>
            <rFont val="Tahoma"/>
            <family val="2"/>
          </rPr>
          <t xml:space="preserve">
mid teens</t>
        </r>
      </text>
    </comment>
    <comment ref="I132" authorId="0" shapeId="0" xr:uid="{00000000-0006-0000-0400-00002F000000}">
      <text>
        <r>
          <rPr>
            <b/>
            <sz val="9"/>
            <rFont val="Tahoma"/>
            <family val="2"/>
          </rPr>
          <t>Tegus (LZ):</t>
        </r>
        <r>
          <rPr>
            <sz val="9"/>
            <rFont val="Tahoma"/>
            <family val="2"/>
          </rPr>
          <t xml:space="preserve">
mid teens</t>
        </r>
      </text>
    </comment>
    <comment ref="J132" authorId="0" shapeId="0" xr:uid="{00000000-0006-0000-0400-000030000000}">
      <text>
        <r>
          <rPr>
            <b/>
            <sz val="9"/>
            <rFont val="Tahoma"/>
            <family val="2"/>
          </rPr>
          <t>Tegus (LZ):</t>
        </r>
        <r>
          <rPr>
            <sz val="9"/>
            <rFont val="Tahoma"/>
            <family val="2"/>
          </rPr>
          <t xml:space="preserve">
mid teens</t>
        </r>
      </text>
    </comment>
    <comment ref="K132" authorId="0" shapeId="0" xr:uid="{00000000-0006-0000-0400-000031000000}">
      <text>
        <r>
          <rPr>
            <b/>
            <sz val="9"/>
            <rFont val="Tahoma"/>
            <family val="2"/>
          </rPr>
          <t>Tegus (LZ):</t>
        </r>
        <r>
          <rPr>
            <sz val="9"/>
            <rFont val="Tahoma"/>
            <family val="2"/>
          </rPr>
          <t xml:space="preserve">
mid teens</t>
        </r>
      </text>
    </comment>
    <comment ref="I138" authorId="0" shapeId="0" xr:uid="{00000000-0006-0000-0400-000032000000}">
      <text>
        <r>
          <rPr>
            <b/>
            <sz val="9"/>
            <rFont val="Tahoma"/>
            <family val="2"/>
          </rPr>
          <t>Tegus (DL):</t>
        </r>
        <r>
          <rPr>
            <sz val="9"/>
            <rFont val="Tahoma"/>
            <family val="2"/>
          </rPr>
          <t xml:space="preserve">
high teens</t>
        </r>
      </text>
    </comment>
    <comment ref="J138" authorId="0" shapeId="0" xr:uid="{00000000-0006-0000-0400-000033000000}">
      <text>
        <r>
          <rPr>
            <b/>
            <sz val="9"/>
            <rFont val="Tahoma"/>
            <family val="2"/>
          </rPr>
          <t>Tegus (DL):</t>
        </r>
        <r>
          <rPr>
            <sz val="9"/>
            <rFont val="Tahoma"/>
            <family val="2"/>
          </rPr>
          <t xml:space="preserve">
high teens</t>
        </r>
      </text>
    </comment>
    <comment ref="K138" authorId="0" shapeId="0" xr:uid="{00000000-0006-0000-0400-000034000000}">
      <text>
        <r>
          <rPr>
            <b/>
            <sz val="9"/>
            <rFont val="Tahoma"/>
            <family val="2"/>
          </rPr>
          <t>Tegus (DL):</t>
        </r>
        <r>
          <rPr>
            <sz val="9"/>
            <rFont val="Tahoma"/>
            <family val="2"/>
          </rPr>
          <t xml:space="preserve">
high teens</t>
        </r>
      </text>
    </comment>
    <comment ref="N141" authorId="0" shapeId="0" xr:uid="{00000000-0006-0000-0400-000035000000}">
      <text>
        <r>
          <rPr>
            <b/>
            <sz val="9"/>
            <rFont val="Tahoma"/>
            <family val="2"/>
          </rPr>
          <t>Tegus (PA):</t>
        </r>
        <r>
          <rPr>
            <sz val="9"/>
            <rFont val="Tahoma"/>
            <family val="2"/>
          </rPr>
          <t xml:space="preserve">
Tegus model has not forecasted principal payments on finance leases. Hence, this difference.</t>
        </r>
      </text>
    </comment>
    <comment ref="P141" authorId="0" shapeId="0" xr:uid="{00000000-0006-0000-0400-000036000000}">
      <text>
        <r>
          <rPr>
            <b/>
            <sz val="9"/>
            <rFont val="Tahoma"/>
            <family val="2"/>
          </rPr>
          <t>Tegus (PA):</t>
        </r>
        <r>
          <rPr>
            <sz val="9"/>
            <rFont val="Tahoma"/>
            <family val="2"/>
          </rPr>
          <t xml:space="preserve">
Tegus model has not forecasted principal payments on finance leases. Hence, this difference.</t>
        </r>
      </text>
    </comment>
    <comment ref="I143" authorId="0" shapeId="0" xr:uid="{00000000-0006-0000-0400-000037000000}">
      <text>
        <r>
          <rPr>
            <b/>
            <sz val="9"/>
            <rFont val="Tahoma"/>
            <family val="2"/>
          </rPr>
          <t>Tegus (DL):</t>
        </r>
        <r>
          <rPr>
            <sz val="9"/>
            <rFont val="Tahoma"/>
            <family val="2"/>
          </rPr>
          <t xml:space="preserve">
low-to-mid single digit percentage less compared with Q4-2019</t>
        </r>
      </text>
    </comment>
    <comment ref="I144" authorId="0" shapeId="0" xr:uid="{00000000-0006-0000-0400-000038000000}">
      <text>
        <r>
          <rPr>
            <b/>
            <sz val="9"/>
            <rFont val="Tahoma"/>
            <family val="2"/>
          </rPr>
          <t>Tegus (DL):</t>
        </r>
        <r>
          <rPr>
            <sz val="9"/>
            <rFont val="Tahoma"/>
            <family val="2"/>
          </rPr>
          <t xml:space="preserve">
high teens</t>
        </r>
      </text>
    </comment>
    <comment ref="N147" authorId="0" shapeId="0" xr:uid="{00000000-0006-0000-0400-000039000000}">
      <text>
        <r>
          <rPr>
            <b/>
            <sz val="9"/>
            <rFont val="Tahoma"/>
            <family val="2"/>
          </rPr>
          <t>Tegus (PA):</t>
        </r>
        <r>
          <rPr>
            <sz val="9"/>
            <rFont val="Tahoma"/>
            <family val="2"/>
          </rPr>
          <t xml:space="preserve">
Tegus model has not forecasted principal payments on finance leases. Hence, this difference.</t>
        </r>
      </text>
    </comment>
    <comment ref="P147" authorId="0" shapeId="0" xr:uid="{00000000-0006-0000-0400-00003A000000}">
      <text>
        <r>
          <rPr>
            <b/>
            <sz val="9"/>
            <rFont val="Tahoma"/>
            <family val="2"/>
          </rPr>
          <t>Tegus (PA):</t>
        </r>
        <r>
          <rPr>
            <sz val="9"/>
            <rFont val="Tahoma"/>
            <family val="2"/>
          </rPr>
          <t xml:space="preserve">
Tegus model has not forecasted principal payments on finance leases. Hence, this difference.</t>
        </r>
      </text>
    </comment>
    <comment ref="N151" authorId="0" shapeId="0" xr:uid="{00000000-0006-0000-0400-00003B000000}">
      <text>
        <r>
          <rPr>
            <b/>
            <sz val="9"/>
            <rFont val="Tahoma"/>
            <family val="2"/>
          </rPr>
          <t>Tegus (PA):</t>
        </r>
        <r>
          <rPr>
            <sz val="9"/>
            <rFont val="Tahoma"/>
            <family val="2"/>
          </rPr>
          <t xml:space="preserve">
Tegus model has not forecasted principal payments on finance leases. Hence, this difference.</t>
        </r>
      </text>
    </comment>
    <comment ref="P151" authorId="0" shapeId="0" xr:uid="{00000000-0006-0000-0400-00003C000000}">
      <text>
        <r>
          <rPr>
            <b/>
            <sz val="9"/>
            <rFont val="Tahoma"/>
            <family val="2"/>
          </rPr>
          <t>Tegus (PA):</t>
        </r>
        <r>
          <rPr>
            <sz val="9"/>
            <rFont val="Tahoma"/>
            <family val="2"/>
          </rPr>
          <t xml:space="preserve">
Tegus model has not forecasted principal payments on finance leases. Hence, this difference.</t>
        </r>
      </text>
    </comment>
    <comment ref="I153" authorId="0" shapeId="0" xr:uid="{00000000-0006-0000-0400-00003D000000}">
      <text>
        <r>
          <rPr>
            <b/>
            <sz val="9"/>
            <rFont val="Tahoma"/>
            <family val="2"/>
          </rPr>
          <t>Tegus (DL):</t>
        </r>
        <r>
          <rPr>
            <sz val="9"/>
            <rFont val="Tahoma"/>
            <family val="2"/>
          </rPr>
          <t xml:space="preserve">
mid-to-high single digit percentage less compared with Q3-2019</t>
        </r>
      </text>
    </comment>
    <comment ref="I160" authorId="0" shapeId="0" xr:uid="{00000000-0006-0000-0400-00003E000000}">
      <text>
        <r>
          <rPr>
            <b/>
            <sz val="9"/>
            <rFont val="Tahoma"/>
            <family val="2"/>
          </rPr>
          <t>Tegus (DL):</t>
        </r>
        <r>
          <rPr>
            <sz val="9"/>
            <rFont val="Tahoma"/>
            <family val="2"/>
          </rPr>
          <t xml:space="preserve">
pronounced deceleration of growth rate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21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21"/>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futureMetadata>
  <cellMetadata count="1">
    <bk>
      <rc t="1" v="0"/>
    </bk>
  </cellMetadata>
  <valueMetadata count="2213">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valueMetadata>
</metadata>
</file>

<file path=xl/sharedStrings.xml><?xml version="1.0" encoding="utf-8"?>
<sst xmlns="http://schemas.openxmlformats.org/spreadsheetml/2006/main" count="2765" uniqueCount="1563">
  <si>
    <t xml:space="preserve">Please contact this email for any model-specific questions: </t>
  </si>
  <si>
    <t>support@tegus.com</t>
  </si>
  <si>
    <t>Company Model:</t>
  </si>
  <si>
    <t>Comments on Model:</t>
  </si>
  <si>
    <t xml:space="preserve">Updated: </t>
  </si>
  <si>
    <t>For:</t>
  </si>
  <si>
    <t>Consensus Data and Real-Time Stock Price:</t>
  </si>
  <si>
    <t>Bloomberg</t>
  </si>
  <si>
    <t>Real-Time Stock Price:</t>
  </si>
  <si>
    <t>Stock Price Override:</t>
  </si>
  <si>
    <t>USD</t>
  </si>
  <si>
    <t>FY2009</t>
  </si>
  <si>
    <t>US &amp; Canada advertising revenue, mm</t>
  </si>
  <si>
    <t>US &amp; Canada revenue, mm</t>
  </si>
  <si>
    <t>Europe advertising revenue, mm</t>
  </si>
  <si>
    <t>Europe revenue, mm</t>
  </si>
  <si>
    <t>Asia-Pacific advertising revenue, mm</t>
  </si>
  <si>
    <t>Asia-Pacific revenue, mm</t>
  </si>
  <si>
    <t>Rest of world advertising revenue, mm</t>
  </si>
  <si>
    <t>Rest of world revenue, mm</t>
  </si>
  <si>
    <t>Total Revenues, mm</t>
  </si>
  <si>
    <t>Advertising revenue, mm</t>
  </si>
  <si>
    <t>Payments and other fees revenue, mm</t>
  </si>
  <si>
    <t>US &amp; Canada monthly active users, mm MAU</t>
  </si>
  <si>
    <t>Europe monthly active users, mm MAU</t>
  </si>
  <si>
    <t>Asia Pacific monthly active users, mm MAU</t>
  </si>
  <si>
    <t>Rest of world monthly active users, mm MAU</t>
  </si>
  <si>
    <t>US &amp; Canada daily active users, mm DAU</t>
  </si>
  <si>
    <t>Europe daily active users, mm DAU</t>
  </si>
  <si>
    <t>Asia Pacific daily active users, mm DAU</t>
  </si>
  <si>
    <t>Rest of world daily active users, mm DAU</t>
  </si>
  <si>
    <t>Key Metrics - Constant Currency Revenue (PR)</t>
  </si>
  <si>
    <t>Margin Analysis</t>
  </si>
  <si>
    <t>Consensus Estimates - Gross Margin, %</t>
  </si>
  <si>
    <t>G&amp;A Margin, %</t>
  </si>
  <si>
    <t>S&amp;M Margin, %</t>
  </si>
  <si>
    <t>R&amp;D Margin, %</t>
  </si>
  <si>
    <t>EBITDA Margin, %</t>
  </si>
  <si>
    <t>Consensus Estimates - Adjusted EBITDA Margin, %</t>
  </si>
  <si>
    <t>Income Statement - As Reported</t>
  </si>
  <si>
    <t>Revenue</t>
  </si>
  <si>
    <t>Cost of revenue</t>
  </si>
  <si>
    <t>Gross profit</t>
  </si>
  <si>
    <t>Research and development</t>
  </si>
  <si>
    <t>Marketing and sales</t>
  </si>
  <si>
    <t>General and administrative</t>
  </si>
  <si>
    <t>Total costs and expenses</t>
  </si>
  <si>
    <t>Income from operations</t>
  </si>
  <si>
    <t>Other income/(expense), net</t>
  </si>
  <si>
    <t>Income before provision for income taxes</t>
  </si>
  <si>
    <t>Provision for income taxes</t>
  </si>
  <si>
    <t>Net income</t>
  </si>
  <si>
    <t>Less: Net income attributable to participating securities</t>
  </si>
  <si>
    <t>Net income attributable to Class A and Class B common stockholders</t>
  </si>
  <si>
    <t>IS Check</t>
  </si>
  <si>
    <t>Adjusted Numbers - As Reported</t>
  </si>
  <si>
    <t>GAAP net income</t>
  </si>
  <si>
    <t>Share-based compensation expense</t>
  </si>
  <si>
    <t>Payroll tax expenses related to share-based compensation</t>
  </si>
  <si>
    <t>Amortization of intangible assets</t>
  </si>
  <si>
    <t>Income tax adjustments</t>
  </si>
  <si>
    <t>Non-GAAP net income</t>
  </si>
  <si>
    <t>Net income attributable to Class A common stockholders</t>
  </si>
  <si>
    <t>Reallocation of net income attributable to participating securities</t>
  </si>
  <si>
    <t>Reallocation of net income as a result of conversion of Class B to Class A stock</t>
  </si>
  <si>
    <t>Net income attributable to Class A common stockholders for diluted EPS</t>
  </si>
  <si>
    <t>Revised Income Statement</t>
  </si>
  <si>
    <t>Net Revenue</t>
  </si>
  <si>
    <t>COGS</t>
  </si>
  <si>
    <t>Gross Profit</t>
  </si>
  <si>
    <t>G&amp;A</t>
  </si>
  <si>
    <t>S&amp;M</t>
  </si>
  <si>
    <t>R&amp;D</t>
  </si>
  <si>
    <t>EBITDA</t>
  </si>
  <si>
    <t>Add back: D&amp;A</t>
  </si>
  <si>
    <t>Add back: Amortization of Intangibles</t>
  </si>
  <si>
    <t>Add back: SBC</t>
  </si>
  <si>
    <t>EBIT</t>
  </si>
  <si>
    <t>Interest expense</t>
  </si>
  <si>
    <t>Other items</t>
  </si>
  <si>
    <t>One-time item</t>
  </si>
  <si>
    <t>EBT</t>
  </si>
  <si>
    <t>Current tax</t>
  </si>
  <si>
    <t>Deferred tax</t>
  </si>
  <si>
    <t>Net Income from Continued Operation</t>
  </si>
  <si>
    <t>Discontinued Operations</t>
  </si>
  <si>
    <t>Net Income to NCI</t>
  </si>
  <si>
    <t>Earnings to Preferred and Other Securities</t>
  </si>
  <si>
    <t>Net Income to Common Shareholders</t>
  </si>
  <si>
    <t>Adjustments for Convertible Securities</t>
  </si>
  <si>
    <t>Diluted Net Income to Common Shareholders</t>
  </si>
  <si>
    <t>Non-GAAP Adjustments</t>
  </si>
  <si>
    <t>Non-GAAP Adjustments for Dilutive Securities</t>
  </si>
  <si>
    <t>Adjusted Net Income</t>
  </si>
  <si>
    <t>Current tax rate</t>
  </si>
  <si>
    <t>Deferred tax rate</t>
  </si>
  <si>
    <t>Earnings Per Share - WAB</t>
  </si>
  <si>
    <t>Earnings Per Share - WAD</t>
  </si>
  <si>
    <t>Adjusted Earnings Per Share - WAD</t>
  </si>
  <si>
    <t>Shares Outstanding - WAB</t>
  </si>
  <si>
    <t>Shares Outstanding - WAD</t>
  </si>
  <si>
    <t>Adjusted Shares Outstanding - WAD</t>
  </si>
  <si>
    <t>Cash Flow Summary</t>
  </si>
  <si>
    <t>Operating Cash Flow before WC</t>
  </si>
  <si>
    <t>Cash Flow Per Diluted Share before WC</t>
  </si>
  <si>
    <t>Capex</t>
  </si>
  <si>
    <t>Acquisitions</t>
  </si>
  <si>
    <t>Divestiture</t>
  </si>
  <si>
    <t>Dividend Paid</t>
  </si>
  <si>
    <t>Dividend Per Share</t>
  </si>
  <si>
    <t>FCF (before WC), Pre Div</t>
  </si>
  <si>
    <t>FCF (before WC), Post Div, Pre A/D</t>
  </si>
  <si>
    <t>FCF (before WC), Post Div, Post A/D</t>
  </si>
  <si>
    <t>Balance Sheet Summary</t>
  </si>
  <si>
    <t>Cash</t>
  </si>
  <si>
    <t>Debt</t>
  </si>
  <si>
    <t>Net Debt</t>
  </si>
  <si>
    <t>Net Debt / EBITDA</t>
  </si>
  <si>
    <t>Net Debt / Cash Flow</t>
  </si>
  <si>
    <t>Valuation</t>
  </si>
  <si>
    <t>Avg</t>
  </si>
  <si>
    <t>Enterprise Value Components</t>
  </si>
  <si>
    <t>Noncontrolling Interest</t>
  </si>
  <si>
    <t>Preferred Shares</t>
  </si>
  <si>
    <t>Other EV Components</t>
  </si>
  <si>
    <t>Cumulative Cash Flow Statement</t>
  </si>
  <si>
    <t>CFO</t>
  </si>
  <si>
    <t>Depreciation and amortization</t>
  </si>
  <si>
    <t>Loss on write-off of equipment</t>
  </si>
  <si>
    <t>Lease abandonment</t>
  </si>
  <si>
    <t>Loss on disposal or write-off of equipment</t>
  </si>
  <si>
    <t>Share-based compensation</t>
  </si>
  <si>
    <t>Deferred income taxes</t>
  </si>
  <si>
    <t>Tax benefit from share-based award activity</t>
  </si>
  <si>
    <t>Excess tax benefit from share-based award activity</t>
  </si>
  <si>
    <t>Other</t>
  </si>
  <si>
    <t>CFO before WC</t>
  </si>
  <si>
    <t>Accounts receivable</t>
  </si>
  <si>
    <t>Income tax refundable</t>
  </si>
  <si>
    <t>Prepaid expenses and other current assets</t>
  </si>
  <si>
    <t>Other assets</t>
  </si>
  <si>
    <t>Accounts payable</t>
  </si>
  <si>
    <t>Partners payable</t>
  </si>
  <si>
    <t>Accrued expenses and other current liabilities</t>
  </si>
  <si>
    <t>Deferred revenue and deposits</t>
  </si>
  <si>
    <t>Other liabilities</t>
  </si>
  <si>
    <t>Net CFO</t>
  </si>
  <si>
    <t>CFI</t>
  </si>
  <si>
    <t>Purchases of property and equipment</t>
  </si>
  <si>
    <t>Purchases of marketable securities</t>
  </si>
  <si>
    <t>Sales of marketable securities</t>
  </si>
  <si>
    <t>Maturities of marketable securities</t>
  </si>
  <si>
    <t>Investments in non-marketable equity securities</t>
  </si>
  <si>
    <t>Acquisitions of businesses, net of cash acquired, and purchases of intangible assets</t>
  </si>
  <si>
    <t>Change in restricted cash and deposits</t>
  </si>
  <si>
    <t>Divestiture of business segment</t>
  </si>
  <si>
    <t>Other investing activities, net</t>
  </si>
  <si>
    <t>Net CFI</t>
  </si>
  <si>
    <t>CFF</t>
  </si>
  <si>
    <t>Net proceeds from issuance of common stock</t>
  </si>
  <si>
    <t>Net proceeds from issuance of convertible preferred stock</t>
  </si>
  <si>
    <t>Taxes paid related to net share settlement</t>
  </si>
  <si>
    <t>Proceeds from exercise of stock options</t>
  </si>
  <si>
    <t>Proceeds from long-term debt, net of issuance cost</t>
  </si>
  <si>
    <t>Repayment of long-term debt</t>
  </si>
  <si>
    <t>Proceeds from sale and lease-back transactions</t>
  </si>
  <si>
    <t>Principal payments on capital lease obligations</t>
  </si>
  <si>
    <t>Repurchases of Class A common stock</t>
  </si>
  <si>
    <t>Net change in overdraft in cash pooling entities</t>
  </si>
  <si>
    <t>Dividends paid</t>
  </si>
  <si>
    <t>Other financing activities, net</t>
  </si>
  <si>
    <t>Net CFF</t>
  </si>
  <si>
    <t>FX</t>
  </si>
  <si>
    <t>Net Change in Cash Balance</t>
  </si>
  <si>
    <t>Beginning Cash Balance</t>
  </si>
  <si>
    <t>Ending Cash Balance</t>
  </si>
  <si>
    <t>Cash Flow Statement</t>
  </si>
  <si>
    <t>CF Check</t>
  </si>
  <si>
    <t>Working Capital Forecasting</t>
  </si>
  <si>
    <t>Accounts receivable, net of allowances, % of LTM Sales</t>
  </si>
  <si>
    <t>Accrued expenses and other current liabilities, % of LTM Sales</t>
  </si>
  <si>
    <t>Accounts receivable, net of allowances, Y/Y Change, %</t>
  </si>
  <si>
    <t>Accrued expenses and other current liabilities, Y/Y Change, %</t>
  </si>
  <si>
    <t>Balance Sheet</t>
  </si>
  <si>
    <t>Current Assets</t>
  </si>
  <si>
    <t>Cash and cash equivalents</t>
  </si>
  <si>
    <t>Restricted cash, included in prepaid expenses and other current assets</t>
  </si>
  <si>
    <t>Restricted cash, included in other assets</t>
  </si>
  <si>
    <t>Marketable securities</t>
  </si>
  <si>
    <t>Accounts receivable, net of allowances</t>
  </si>
  <si>
    <t>Total Current Assets</t>
  </si>
  <si>
    <t>Non-Current Assets</t>
  </si>
  <si>
    <t>Property and equipment, net</t>
  </si>
  <si>
    <t>Intangible assets, net</t>
  </si>
  <si>
    <t>Goodwill</t>
  </si>
  <si>
    <t>Total Non-Current Assets</t>
  </si>
  <si>
    <t>Total Assets</t>
  </si>
  <si>
    <t>Current Liabilities</t>
  </si>
  <si>
    <t>Current portion of capital lease obligations</t>
  </si>
  <si>
    <t>Total Current Liabilities</t>
  </si>
  <si>
    <t>Non-Current Liabilities</t>
  </si>
  <si>
    <t>Capital lease obligations, less current portion</t>
  </si>
  <si>
    <t>Long-term debt</t>
  </si>
  <si>
    <t>Total Non-Current liabilities</t>
  </si>
  <si>
    <t>Total Liabilities</t>
  </si>
  <si>
    <t>Shareholders' Equity</t>
  </si>
  <si>
    <t>Convertible preferred stock</t>
  </si>
  <si>
    <t>Additional paid-in capital</t>
  </si>
  <si>
    <t>Accumulated other comprehensive loss</t>
  </si>
  <si>
    <t>Retained earnings</t>
  </si>
  <si>
    <t>Total SE</t>
  </si>
  <si>
    <t>NCI</t>
  </si>
  <si>
    <t>Total Liabilities &amp; SE</t>
  </si>
  <si>
    <t>BS Check</t>
  </si>
  <si>
    <t>Model Checks</t>
  </si>
  <si>
    <t>Net Income on Revised IS = NI on CF statement</t>
  </si>
  <si>
    <t>Net Income on Reported IS = NI on Revised</t>
  </si>
  <si>
    <t>Segmented Revenue = Revenue</t>
  </si>
  <si>
    <t>Cash Flow is not Repeated</t>
  </si>
  <si>
    <t>Income Statement is not Repeated</t>
  </si>
  <si>
    <t>Balance Sheet is not Repeated</t>
  </si>
  <si>
    <t>Ending CF = Ending Cumulative CF</t>
  </si>
  <si>
    <t>Capex is Updated</t>
  </si>
  <si>
    <t>Margin is Updated</t>
  </si>
  <si>
    <t>Adjusted Numbers FY = Sum of Qs</t>
  </si>
  <si>
    <t>*Cash Flow Summary Signs are Correct</t>
  </si>
  <si>
    <t>*RIS NI FY = Sum of Qs</t>
  </si>
  <si>
    <t>*RIS Adjusted NI FY = Sum of Qs</t>
  </si>
  <si>
    <t>*CFO Before WC subtotal FY = Sum of Qs</t>
  </si>
  <si>
    <t>*CFO subtotal FY = Sum of Qs</t>
  </si>
  <si>
    <t>*CFI subtotal FY = Sum of Qs</t>
  </si>
  <si>
    <t>*CFF subtotal FY = Sum of Qs</t>
  </si>
  <si>
    <t>*CF Summary FY = Sum of Qs</t>
  </si>
  <si>
    <t>Other Tables</t>
  </si>
  <si>
    <t>Ticker Symbol</t>
  </si>
  <si>
    <t>Valuation Toggle Table</t>
  </si>
  <si>
    <t>High</t>
  </si>
  <si>
    <t>Low</t>
  </si>
  <si>
    <t>Consensus Estimate Table</t>
  </si>
  <si>
    <t>FY or FQ</t>
  </si>
  <si>
    <t>Period</t>
  </si>
  <si>
    <t>Stock Price Table</t>
  </si>
  <si>
    <t>Fiscal Period Start Date</t>
  </si>
  <si>
    <t>Real-Time Off Source</t>
  </si>
  <si>
    <t>Capital IQ</t>
  </si>
  <si>
    <t>FactSet</t>
  </si>
  <si>
    <t>General Table</t>
  </si>
  <si>
    <t>Last Price</t>
  </si>
  <si>
    <t>Last Price Date</t>
  </si>
  <si>
    <t>Real-Time Stock Price</t>
  </si>
  <si>
    <t>Last Price Formula</t>
  </si>
  <si>
    <t>Trade Currency</t>
  </si>
  <si>
    <t>Trade Currency Hardcoded</t>
  </si>
  <si>
    <t>Model Sheet Currency Hardcoded</t>
  </si>
  <si>
    <t>Most Recent FX</t>
  </si>
  <si>
    <t>Most Recent FX Hardcoded</t>
  </si>
  <si>
    <t>MRFP Column Number</t>
  </si>
  <si>
    <t>Most Recent Fiscal Period (MRFP)</t>
  </si>
  <si>
    <t>Current Fiscal Year</t>
  </si>
  <si>
    <t>Data Source Index</t>
  </si>
  <si>
    <t>Reports</t>
  </si>
  <si>
    <t>Capitalization Summary</t>
  </si>
  <si>
    <t>Company-Specific Operational Data</t>
  </si>
  <si>
    <t>GAAP Financials</t>
  </si>
  <si>
    <t>Other Items</t>
  </si>
  <si>
    <t>Tax</t>
  </si>
  <si>
    <t>Base Period</t>
  </si>
  <si>
    <t>Non-GAAP Financials</t>
  </si>
  <si>
    <t>Cash Flow Analysis</t>
  </si>
  <si>
    <t>Core FCF, Pre Div</t>
  </si>
  <si>
    <t>Core FCF, Post Div</t>
  </si>
  <si>
    <t>Change in WC</t>
  </si>
  <si>
    <t>New Equity Issuance</t>
  </si>
  <si>
    <t>New Debt Issuance</t>
  </si>
  <si>
    <t>Change in Cash Position</t>
  </si>
  <si>
    <t>Operating Cash Flow Per Share</t>
  </si>
  <si>
    <t>Core Free Cash Flow Per Share, Pre Div</t>
  </si>
  <si>
    <t>Dividend Payout Ratio vs Core FCF, Pre Div</t>
  </si>
  <si>
    <t>Dividend Payout Ratio vs Earnings Per Share</t>
  </si>
  <si>
    <t>Net Debt / Capital</t>
  </si>
  <si>
    <t>LTM EBITDA</t>
  </si>
  <si>
    <t>LTM Cash Flow</t>
  </si>
  <si>
    <t>Net Income</t>
  </si>
  <si>
    <t>LTM Net Income</t>
  </si>
  <si>
    <t>Shareholder's Equity</t>
  </si>
  <si>
    <t>Average Shareholder's Equity</t>
  </si>
  <si>
    <t>ROE</t>
  </si>
  <si>
    <t>Net Operating Profit</t>
  </si>
  <si>
    <t>LTM Net Operating Profit</t>
  </si>
  <si>
    <t>Average Total Assets</t>
  </si>
  <si>
    <t>ROA</t>
  </si>
  <si>
    <t>Total Debt</t>
  </si>
  <si>
    <t>Average Book Value of Debt</t>
  </si>
  <si>
    <t>Average Invested Capital</t>
  </si>
  <si>
    <t>ROIC</t>
  </si>
  <si>
    <t>LTM EBIT</t>
  </si>
  <si>
    <t>Average Current Liabilities</t>
  </si>
  <si>
    <t>Average Capital Employed</t>
  </si>
  <si>
    <t>ROCE</t>
  </si>
  <si>
    <t>Per-Share Growth Metrics</t>
  </si>
  <si>
    <t>Revenue Per Share Growth</t>
  </si>
  <si>
    <t>Adj. EBITDA Per Share Growth</t>
  </si>
  <si>
    <t>Adj. Earnings Per Share Growth</t>
  </si>
  <si>
    <t>Operating Cash Flow Per Share Growth</t>
  </si>
  <si>
    <t>Free Cash Flow Per Share Growth</t>
  </si>
  <si>
    <t>Valuation Metrics</t>
  </si>
  <si>
    <t>Check</t>
  </si>
  <si>
    <t>Adjusted EBITDA</t>
  </si>
  <si>
    <t>Non GAAP NI</t>
  </si>
  <si>
    <t>GAAP NI</t>
  </si>
  <si>
    <t>Change in Cash Summary = Change in Cash Model</t>
  </si>
  <si>
    <t>Update Date</t>
  </si>
  <si>
    <t>Updated By (Initials)</t>
  </si>
  <si>
    <t>Update Type</t>
  </si>
  <si>
    <t>Special Comments</t>
  </si>
  <si>
    <t>Link to Press Release / News Item</t>
  </si>
  <si>
    <t>BW</t>
  </si>
  <si>
    <t>Annual (Earnings Report)</t>
  </si>
  <si>
    <t>Earnings Press Release</t>
  </si>
  <si>
    <t>Model Improvement</t>
  </si>
  <si>
    <t>NQ</t>
  </si>
  <si>
    <t>WC Project</t>
  </si>
  <si>
    <t>AY</t>
  </si>
  <si>
    <t>Q3-2018</t>
  </si>
  <si>
    <t>RG AY</t>
  </si>
  <si>
    <t>Q2-2018</t>
  </si>
  <si>
    <t>DC &amp; AY</t>
  </si>
  <si>
    <t>Q1-2018</t>
  </si>
  <si>
    <t>AB VT</t>
  </si>
  <si>
    <t>FY2017</t>
  </si>
  <si>
    <t>GJ YK</t>
  </si>
  <si>
    <t>Q3-2017</t>
  </si>
  <si>
    <t>SL &amp; ND</t>
  </si>
  <si>
    <t>Q2-2017</t>
  </si>
  <si>
    <t>PV &amp; YY</t>
  </si>
  <si>
    <t>Q1-2017</t>
  </si>
  <si>
    <t>JG &amp; YY</t>
  </si>
  <si>
    <t>FY2016</t>
  </si>
  <si>
    <t>BL</t>
  </si>
  <si>
    <t>Q3-2016</t>
  </si>
  <si>
    <t>JD</t>
  </si>
  <si>
    <t>Q2-2016</t>
  </si>
  <si>
    <t>LtT</t>
  </si>
  <si>
    <t>New Build</t>
  </si>
  <si>
    <r>
      <rPr>
        <b/>
        <sz val="7"/>
        <color rgb="FF000000"/>
        <rFont val="Calibri"/>
        <family val="2"/>
        <scheme val="minor"/>
      </rPr>
      <t>DISCLAIMER</t>
    </r>
    <r>
      <rPr>
        <sz val="7"/>
        <color rgb="FF000000"/>
        <rFont val="Calibri"/>
        <family val="2"/>
        <scheme val="minor"/>
      </rPr>
      <t xml:space="preserve">
Access to and use of this model, including the data contained herein (this "Model") is subject to Tegus, Inc.'s (a successor entity to Canalyst Financial Modeling Corporation) ("Company") Terms of Use that you accepted prior to accessing this Model, the applicable Service Agreement between the Company and you (or a corporate entity that has authorized you to access and use this Model on its behalf in accordance with the terms of such Service Agreement) or other similar agreement between you and the Company. BY CONTINUING TO ACCESS OR USE THIS MODEL, YOU EXPRESSLY AGREE TO THE TERMS AND CONDITIONS OF SUCH AGREEMENTS.
</t>
    </r>
    <r>
      <rPr>
        <b/>
        <sz val="7"/>
        <color rgb="FF000000"/>
        <rFont val="Calibri"/>
        <family val="2"/>
        <scheme val="minor"/>
      </rPr>
      <t>The Company and certain of its licensors have exclusive proprietary rights in this Model. This Model is being provided for internal use only. Unless prior written consent by the Company and its licensors has been provided to you, you may not distribute or otherwise furnish this Model to any third party, nor use or permit anyone to use this Model for any unlawful or unauthorized purpose. IF YOU HAVE UNLAWFULLY OBTAINED, OR ARE NOT AUTHORIZED TO USE THIS MODEL, YOU ARE OBLIGATED TO PROMPTLY: (I) RETURN THIS MODEL (AND ANY DERIVATIVE WORKS ARISING FROM OR RELATING THERETO) TO THE AUTHORIZED USER OF THIS MODEL; (II) PROVIDE NOTICE TO THE COMPANY AT LEGAL@TEGUS.COM OF SUCH UNLAWFUL OR UNAUTHORIZED ACCESS AND USE; AND, (III) CERTIFY THAT YOU HAVE DESTROYED THIS MODEL (AND ANY DERIVATIVE WORKS ARISING FROM OR RELATING THERETO) AND ANY COPIES FROM YOUR SYSTEMS SO AS TO ENSURE THEY ARE INCAPABLE OF RETRIEVAL.</t>
    </r>
    <r>
      <rPr>
        <sz val="7"/>
        <color rgb="FF000000"/>
        <rFont val="Calibri"/>
        <family val="2"/>
        <scheme val="minor"/>
      </rPr>
      <t xml:space="preserve">
A portion of the data contained in this Model may be powered by third party contributors and their respective licensors, or derived from data provided by such contributors, including (but not limited to): (i) </t>
    </r>
    <r>
      <rPr>
        <b/>
        <sz val="7"/>
        <color rgb="FF000000"/>
        <rFont val="Calibri"/>
        <family val="2"/>
        <scheme val="minor"/>
      </rPr>
      <t>QuoteMedia Inc.</t>
    </r>
    <r>
      <rPr>
        <sz val="7"/>
        <color rgb="FF000000"/>
        <rFont val="Calibri"/>
        <family val="2"/>
        <scheme val="minor"/>
      </rPr>
      <t xml:space="preserve">: A portion of the market data is powered by Quotemedia.com. All rights reserved. Data delayed 15 minutes unless otherwise indicated; (ii) </t>
    </r>
    <r>
      <rPr>
        <b/>
        <sz val="7"/>
        <color rgb="FF000000"/>
        <rFont val="Calibri"/>
        <family val="2"/>
        <scheme val="minor"/>
      </rPr>
      <t>S&amp;P Global Market Intelligence LLC</t>
    </r>
    <r>
      <rPr>
        <sz val="7"/>
        <color rgb="FF000000"/>
        <rFont val="Calibri"/>
        <family val="2"/>
        <scheme val="minor"/>
      </rPr>
      <t xml:space="preserve">: Copyright (c) {{YEAR}} S&amp;P Global Market Intelligence LLC (and its affiliates as applicable). All rights reserved. Reproduction of any information, opinions, views, data or material, including ratings ("Content") in any form is prohibited except with the prior written permission of the relevant party. Such party, its affiliates and suppliers ("Content Providers") do not guarantee the accuracy, adequacy, completeness, timeliness or availability of any Content and are not responsible for any errors or omissions (negligent or otherwise), regardless of the cause, or for the results obtained from the use of such Content. In no event shall Content Providers be liable for any damages, costs, expenses, legal fees, or losses (including lost income or lost profit and opportunity costs) in connection with any use of the Content. A reference to a particular investment or security, a rating or any observation concerning an investment that is part of the Content is not a recommendation to buy, sell or hold such investment or security, does not address the suitability of an investment or security and should not be relied on as investment advice. Credit ratings are statements of opinions and are not statements of fact; and, (iii) </t>
    </r>
    <r>
      <rPr>
        <b/>
        <sz val="7"/>
        <color rgb="FF000000"/>
        <rFont val="Calibri"/>
        <family val="2"/>
        <scheme val="minor"/>
      </rPr>
      <t>Refinitiv Canada Holdings Limited</t>
    </r>
    <r>
      <rPr>
        <sz val="7"/>
        <color rgb="FF000000"/>
        <rFont val="Calibri"/>
        <family val="2"/>
        <scheme val="minor"/>
      </rPr>
      <t xml:space="preserve">: A portion of the information may be provided by or derived from data provided by Refinitiv.
By accessing or using this Model (including any portion of the data contained herein) you expressly represent that such access or use does not constitute a violation of any applicable law or regulation to which you or the securities are subject.
This Model does not constitute investment advice by the Company or any of its licensors. Reference to a particular investment or security, credit rating or any observation concerning a security or investment in this Model is not a recommendation or solicitation to buy, sell or hold such investment or security or make any other investment decisions. For greater certainty, any forecasts or forward-looking information expressed herein are for illustrative purposes only and do not purport to express any view on what may transpire. Neither the Company nor any of its licensors have performed company-specific research on any projected information, as such, it is your responsibility to express your own views on projected results. This Model does not guarantee future performance and undue reliance should not be placed on such. You are solely responsible for evaluating the merits and risks of any investment based on your own business and financial expertise, the business and financial expertise of professional advisors with whom you have consulted, your financial situation and risk tolerance. Neither the Company, nor any of its licensors, undertake any liability with respect to your reliance on this Model.
This Model is a quantitative tool with no investment views. The Company and its respective directors, officers, employees, agents, contractors, and affiliates may hold long or short positions in the security to which this Model relates, based on their personal views, and may initiate or close out any positions in such security at any time without any notice.
</t>
    </r>
    <r>
      <rPr>
        <b/>
        <sz val="7"/>
        <color rgb="FF000000"/>
        <rFont val="Calibri"/>
        <family val="2"/>
        <scheme val="minor"/>
      </rPr>
      <t>THIS MODEL IS PROVIDED "AS IS" AND ON AN "AS AVAILABLE" BASIS ONLY, WITHOUT WARRANTIES OR CONDITIONS OF ANY KIND. NEITHER THE COMPANY NOR ANY OF ITS LICENSORS NOR THEIR RESPECTIVE AFFILIATES OR SUPPLIERS HAVE LIABILITY FOR THE ACCURACY, TIMELINESS OR COMPLETENESS OF THIS MODEL, OR FOR DELAYS, INTERRUPTIONS OR OMISSIONS HEREIN, NOR FOR ANY LOST PROFITS, INDIRECT, SPECIAL OR CONSEQUENTIAL DAMAGES.</t>
    </r>
    <r>
      <rPr>
        <sz val="7"/>
        <color rgb="FF000000"/>
        <rFont val="Calibri"/>
        <family val="2"/>
        <scheme val="minor"/>
      </rPr>
      <t xml:space="preserve"> Access to data in this Model that is sourced from third party contributors is subject to termination in the event that any agreement between the Company and such third party contributors terminates for any reason.
</t>
    </r>
    <r>
      <rPr>
        <b/>
        <sz val="7"/>
        <color rgb="FF000000"/>
        <rFont val="Calibri"/>
        <family val="2"/>
        <scheme val="minor"/>
      </rPr>
      <t>Copyright 2023 Tegus. All rights reserved.</t>
    </r>
  </si>
  <si>
    <t>Is Historical Period</t>
  </si>
  <si>
    <t>Operating lease right-of-use assets, net</t>
  </si>
  <si>
    <t>Operating lease liabilities, current</t>
  </si>
  <si>
    <t>Operating lease liabilities, non-current</t>
  </si>
  <si>
    <t>Q1-2019</t>
  </si>
  <si>
    <t>Total Geography Revenues, mm</t>
  </si>
  <si>
    <t>Gross Margin, %</t>
  </si>
  <si>
    <t>COGS Margin, %</t>
  </si>
  <si>
    <t>DL</t>
  </si>
  <si>
    <t>Q2-2019</t>
  </si>
  <si>
    <t>Balance Sheet Ratios - Return</t>
  </si>
  <si>
    <t>Guidance</t>
  </si>
  <si>
    <t>Model</t>
  </si>
  <si>
    <t>Difference vs. Mid</t>
  </si>
  <si>
    <t>Update Log</t>
  </si>
  <si>
    <t>Type</t>
  </si>
  <si>
    <t>Item</t>
  </si>
  <si>
    <t>Item Name</t>
  </si>
  <si>
    <t>Fiscal Period</t>
  </si>
  <si>
    <t>Mid</t>
  </si>
  <si>
    <t>Output</t>
  </si>
  <si>
    <t>Absolute</t>
  </si>
  <si>
    <t>Relative</t>
  </si>
  <si>
    <t>Date</t>
  </si>
  <si>
    <t>Link</t>
  </si>
  <si>
    <t>MO_GA_TotalRevenue</t>
  </si>
  <si>
    <t>Q3-2019</t>
  </si>
  <si>
    <t>Expenses growth</t>
  </si>
  <si>
    <t>FY2019</t>
  </si>
  <si>
    <t>Conference Call Transcript</t>
  </si>
  <si>
    <t>MO_CFSum_Capex</t>
  </si>
  <si>
    <t>Most Recent Period:</t>
  </si>
  <si>
    <t>First Forecast Fiscal Year</t>
  </si>
  <si>
    <t>Initial (Press Release)</t>
  </si>
  <si>
    <t>Q4-2019</t>
  </si>
  <si>
    <t>Total Expenses</t>
  </si>
  <si>
    <t>Tax Rate</t>
  </si>
  <si>
    <t>FY2020</t>
  </si>
  <si>
    <t>PA</t>
  </si>
  <si>
    <t>Operating Lease Liabilities</t>
  </si>
  <si>
    <t>Research and development headcount growth, %</t>
  </si>
  <si>
    <t>Marketing and sales headcount growth, %</t>
  </si>
  <si>
    <t>General and administrative headcount growth, %</t>
  </si>
  <si>
    <t>Total headcount growth, %</t>
  </si>
  <si>
    <t>Most Recent Period</t>
  </si>
  <si>
    <t>Quarterly (Earnings Report)</t>
  </si>
  <si>
    <t>FY2018</t>
  </si>
  <si>
    <t>Q1-2016</t>
  </si>
  <si>
    <t>DAP/MAP, %</t>
  </si>
  <si>
    <t>Net cash from operating activities</t>
  </si>
  <si>
    <t>Purchase of property and equipment, net</t>
  </si>
  <si>
    <t>Principal payments on finance lease</t>
  </si>
  <si>
    <t>Free Cash Flow</t>
  </si>
  <si>
    <t>Advertising Family ARPP, $/MAP</t>
  </si>
  <si>
    <t>Other Family ARPP, $/MAP</t>
  </si>
  <si>
    <t>Family ARPP, $/MAP</t>
  </si>
  <si>
    <t>Q1-2020</t>
  </si>
  <si>
    <t>Key Outputs</t>
  </si>
  <si>
    <t>AP</t>
  </si>
  <si>
    <t>Press Release</t>
  </si>
  <si>
    <t>Total Worldwide ARPU (Calculated), $/MAU</t>
  </si>
  <si>
    <t>Interest income (expense), net</t>
  </si>
  <si>
    <t>Interest Expense</t>
  </si>
  <si>
    <t>Effective Interest Rate on Debt</t>
  </si>
  <si>
    <t>Interest Income</t>
  </si>
  <si>
    <t>Effective Interest Rate on Cash</t>
  </si>
  <si>
    <t>Net Interest Expense (Income)</t>
  </si>
  <si>
    <t>Effective Net Interest Rate on Debt</t>
  </si>
  <si>
    <t>EBITDA / Net Interest Expense</t>
  </si>
  <si>
    <t>ST Debt</t>
  </si>
  <si>
    <t>LT Debt</t>
  </si>
  <si>
    <t>Net Debt Issuance (Repayment)</t>
  </si>
  <si>
    <t>Cash is Positive</t>
  </si>
  <si>
    <t>Debt is Positive</t>
  </si>
  <si>
    <t>Net Share Issuance (Buybacks)</t>
  </si>
  <si>
    <t>FCF (before WC), Post Div, Debt, Buyback, A/D</t>
  </si>
  <si>
    <t>Q2-2020</t>
  </si>
  <si>
    <t>LZ</t>
  </si>
  <si>
    <t>Q3-2020</t>
  </si>
  <si>
    <t>KZZH</t>
  </si>
  <si>
    <t>D&amp;A Forecasting</t>
  </si>
  <si>
    <t>PP&amp;E EoP, mm</t>
  </si>
  <si>
    <t>PP&amp;E BoP, mm</t>
  </si>
  <si>
    <t>Depreciation of fixed assets, mm</t>
  </si>
  <si>
    <t>Depreciation as percentage of PP&amp;E BoP, %</t>
  </si>
  <si>
    <t>Capex of PP&amp;E, mm</t>
  </si>
  <si>
    <t>Other net additions to PP&amp;E, mm</t>
  </si>
  <si>
    <t>Intangibles EoP, mm</t>
  </si>
  <si>
    <t>Intangibles BoP, mm</t>
  </si>
  <si>
    <t>Amortization of intangibles, mm</t>
  </si>
  <si>
    <t>Amortization as percentage of Intangibles BoP, %</t>
  </si>
  <si>
    <t>Capex of intangibles, mm</t>
  </si>
  <si>
    <t>Other net additions to intangibles, mm</t>
  </si>
  <si>
    <t>Implied life of fixed assets, yr</t>
  </si>
  <si>
    <t>Implied life of intangibles, yr</t>
  </si>
  <si>
    <t>Total D&amp;A, mm</t>
  </si>
  <si>
    <t>Total Capex, mm</t>
  </si>
  <si>
    <t>Percentage of capex allocated to intangible assets, %</t>
  </si>
  <si>
    <t>Purchase of equity investments</t>
  </si>
  <si>
    <t>Equity investments</t>
  </si>
  <si>
    <t>FY2021</t>
  </si>
  <si>
    <t>Q4-2020</t>
  </si>
  <si>
    <t>Refinitiv</t>
  </si>
  <si>
    <t>AK</t>
  </si>
  <si>
    <t>Q1-2021</t>
  </si>
  <si>
    <t>HS</t>
  </si>
  <si>
    <t>Q2-2021</t>
  </si>
  <si>
    <t>Total number of ad impressions growth rate, %</t>
  </si>
  <si>
    <t>Average price per ad growth rate, %</t>
  </si>
  <si>
    <t>EBIT Margin, %</t>
  </si>
  <si>
    <t>Consensus Estimates - Adjusted EBIT</t>
  </si>
  <si>
    <t>Consensus Estimates - Adjusted EBIT Margin, %</t>
  </si>
  <si>
    <t>Adjusted EBIT</t>
  </si>
  <si>
    <t>Advertising expenses, mm</t>
  </si>
  <si>
    <t>Consolidated Summary</t>
  </si>
  <si>
    <t>Europe monthly active users mix, %</t>
  </si>
  <si>
    <t>Asia Pacific monthly active users mix, %</t>
  </si>
  <si>
    <t>Rest of world monthly active users mix, %</t>
  </si>
  <si>
    <t>US &amp; Canada monthly active users mix, %</t>
  </si>
  <si>
    <t>Total monthly active users mix, %</t>
  </si>
  <si>
    <t>US &amp; Canada revenue mix, %</t>
  </si>
  <si>
    <t>Europe revenue mix, %</t>
  </si>
  <si>
    <t>Asia-Pacific revenue mix, %</t>
  </si>
  <si>
    <t>Rest of world revenue mix, %</t>
  </si>
  <si>
    <t>Total monthly active users, mm MAU</t>
  </si>
  <si>
    <t>Segment Summary (SI)</t>
  </si>
  <si>
    <t>Total revenue mix, %</t>
  </si>
  <si>
    <t>Q/Q Advertising revenue growth, %</t>
  </si>
  <si>
    <t>Y/Y Advertising revenue growth, %</t>
  </si>
  <si>
    <t>Y/Y Payments and other fees revenue growth, %</t>
  </si>
  <si>
    <t>Advertising Worldwide ARPU (Reported), $/MAU</t>
  </si>
  <si>
    <t>Payments and Other Fees Worldwide ARPU (Reported), $/MAU</t>
  </si>
  <si>
    <t>Y/Y Payments and other fees revenue constant currency revenue growth, %</t>
  </si>
  <si>
    <t>Y/Y Advertising constant currency revenue growth, %</t>
  </si>
  <si>
    <t>Y/Y Total constant currency revenue growth, %</t>
  </si>
  <si>
    <t>Y/Y Monthly active user growth, %</t>
  </si>
  <si>
    <t>Q/Q Daily active user growth, %</t>
  </si>
  <si>
    <t>Y/Y Daily active user growth, %</t>
  </si>
  <si>
    <t>Q/Q Monthly active user growth, %</t>
  </si>
  <si>
    <t>Total Daily active users, mm DAU</t>
  </si>
  <si>
    <t>Total Monthly active users, mm MAU</t>
  </si>
  <si>
    <t>GAAP Advertising revenue, mm</t>
  </si>
  <si>
    <t>GAAP revenue, mm</t>
  </si>
  <si>
    <t>GAAP Payments and other fees revenue (calculated), mm</t>
  </si>
  <si>
    <t>Q/Q Total revenue growth, %</t>
  </si>
  <si>
    <t>Y/Y Total revenue growth, %</t>
  </si>
  <si>
    <t>Q3-2021</t>
  </si>
  <si>
    <t>MG</t>
  </si>
  <si>
    <t>FY2022</t>
  </si>
  <si>
    <t>MO_RIS_REV</t>
  </si>
  <si>
    <t>Q4-2021</t>
  </si>
  <si>
    <t>PK</t>
  </si>
  <si>
    <t>Add back: D&amp;A Margin, %</t>
  </si>
  <si>
    <t>Add back: Amortization of Intangibles Margin, %</t>
  </si>
  <si>
    <t>Add back: SBC Margin, %</t>
  </si>
  <si>
    <t>Adjusted EBIT Margin, % - (No Adjustments)</t>
  </si>
  <si>
    <t>Revenue, mm</t>
  </si>
  <si>
    <t>Gross Profit, mm</t>
  </si>
  <si>
    <t>Y/Y improvement in Gross Margin, bps</t>
  </si>
  <si>
    <t>Y/Y improvement in G&amp;A Margin, bps</t>
  </si>
  <si>
    <t>Y/Y improvement in S&amp;M Margin, bps</t>
  </si>
  <si>
    <t>Y/Y improvement in R&amp;D Margin, bps</t>
  </si>
  <si>
    <t>Y/Y improvement in EBIT Margin, bps</t>
  </si>
  <si>
    <t>G&amp;A Expense, mm</t>
  </si>
  <si>
    <t>S&amp;M Expense, mm</t>
  </si>
  <si>
    <t>R&amp;D Expense, mm</t>
  </si>
  <si>
    <t>EBIT, mm</t>
  </si>
  <si>
    <t>Adjusted EBIT, mm</t>
  </si>
  <si>
    <t>Operating Expense Forecasting</t>
  </si>
  <si>
    <t>Y/Y growth in Gross profit, %</t>
  </si>
  <si>
    <t>Y/Y improvement in adjusted EBIT Margin, bps</t>
  </si>
  <si>
    <t>SBC &amp; D&amp;A Breakdown (FS/PR)</t>
  </si>
  <si>
    <t>SBC expense</t>
  </si>
  <si>
    <t>SBC expense as % of revenue, %</t>
  </si>
  <si>
    <t>Y/Y growth in G&amp;A expense, %</t>
  </si>
  <si>
    <t>Y/Y growth in S&amp;M expense, %</t>
  </si>
  <si>
    <t>Y/Y growth in R&amp;D expense, %</t>
  </si>
  <si>
    <t>Y/Y growth in EBIT, %</t>
  </si>
  <si>
    <t>Y/Y growth in adjusted EBIT, %</t>
  </si>
  <si>
    <t>SBC included in cost of revenue, mm</t>
  </si>
  <si>
    <t>SBC included in research and development expenses, mm</t>
  </si>
  <si>
    <t>SBC included in marketing and sales expenses, mm</t>
  </si>
  <si>
    <t>SBC included in general and administrative expenses, mm</t>
  </si>
  <si>
    <t>Total share-based compensation expense, mm</t>
  </si>
  <si>
    <t>Amortization of intangibles expense, mm</t>
  </si>
  <si>
    <t>COGS, mm</t>
  </si>
  <si>
    <t>Europe daily active users mix, %</t>
  </si>
  <si>
    <t>Asia Pacific daily active users mix, %</t>
  </si>
  <si>
    <t>Rest of world daily active users mix, %</t>
  </si>
  <si>
    <t>Total daily active users mix, %</t>
  </si>
  <si>
    <t>US &amp; Canada daily active users mix, %</t>
  </si>
  <si>
    <t>Q1-2022</t>
  </si>
  <si>
    <t>Key Metrics - Ad Impression (CC/PR)</t>
  </si>
  <si>
    <t>Other revenue, mm</t>
  </si>
  <si>
    <t>Family of Apps revenue, mm</t>
  </si>
  <si>
    <t>Reality Labs revenue, mm</t>
  </si>
  <si>
    <t>Y/Y Other revenue growth, %</t>
  </si>
  <si>
    <t>Q/Q Other revenue growth, %</t>
  </si>
  <si>
    <t>Y/Y Reality Labs revenue growth, %</t>
  </si>
  <si>
    <t>Q/Q Reality Labs revenue growth, %</t>
  </si>
  <si>
    <t>Family of Apps Income from operations, mm</t>
  </si>
  <si>
    <t>Reality Labs Income from operations, mm</t>
  </si>
  <si>
    <t>Total Income from operations, mm</t>
  </si>
  <si>
    <t>Family of Apps income from operations, mm</t>
  </si>
  <si>
    <t>Reality Labs income from operations, mm</t>
  </si>
  <si>
    <t>Total income from operations, mm</t>
  </si>
  <si>
    <t>Total revenue, mm</t>
  </si>
  <si>
    <t>Family of Apps income from operations margin, %</t>
  </si>
  <si>
    <t>Reality Labs income from operations margin, %</t>
  </si>
  <si>
    <t>Total income from operations margin, %</t>
  </si>
  <si>
    <t>Consensus Estimates - Income from operations</t>
  </si>
  <si>
    <t>Operating income margin, %</t>
  </si>
  <si>
    <t>DH</t>
  </si>
  <si>
    <t>Other revenue mix, %</t>
  </si>
  <si>
    <t>Family of Apps revenue mix, %</t>
  </si>
  <si>
    <t>Reality Labs revenue mix, %</t>
  </si>
  <si>
    <t>Advertising revenue mix, %</t>
  </si>
  <si>
    <t>Reality Labs income from operations mix, %</t>
  </si>
  <si>
    <t>Total income from operations mix, %</t>
  </si>
  <si>
    <t>Family of Apps income from operations mix, %</t>
  </si>
  <si>
    <t>Foreign currency exchange losses, net</t>
  </si>
  <si>
    <t>Q/Q Family of Apps revenue growth, %</t>
  </si>
  <si>
    <t>Y/Y Family of Apps revenue growth, %</t>
  </si>
  <si>
    <t>Share Count Analysis</t>
  </si>
  <si>
    <t>Class B to Class A conversion ratio, x</t>
  </si>
  <si>
    <t>Q2-2022</t>
  </si>
  <si>
    <t>META US</t>
  </si>
  <si>
    <t>NASDAQ:META</t>
  </si>
  <si>
    <t>META-US</t>
  </si>
  <si>
    <t>META.OQ</t>
  </si>
  <si>
    <t>Number of shares repurchased - month1, 000s of shares</t>
  </si>
  <si>
    <t>Number of shares repurchased - month2, 000s of shares</t>
  </si>
  <si>
    <t>Number of shares repurchased - month3, 000s of shares</t>
  </si>
  <si>
    <t>Average price of shares repurchased - month1, $/share</t>
  </si>
  <si>
    <t>Average price of shares repurchased - month2, $/share</t>
  </si>
  <si>
    <t>Average price of shares repurchased - month3, $/share</t>
  </si>
  <si>
    <t>Repurchase dollar value - month1, mm</t>
  </si>
  <si>
    <t>Repurchase dollar value - month2, mm</t>
  </si>
  <si>
    <t>Repurchase dollar value - month3, mm</t>
  </si>
  <si>
    <t>Addition of repurchases authorized - month1, mm</t>
  </si>
  <si>
    <t>Addition of repurchases authorized - month2, mm</t>
  </si>
  <si>
    <t>Addition of repurchases authorized - month3, mm</t>
  </si>
  <si>
    <t>Addition of repurchases authorized, mm</t>
  </si>
  <si>
    <t>Remaining dollar value under repurchase program - month1, mm</t>
  </si>
  <si>
    <t>Remaining dollar value under repurchase program - month2, mm</t>
  </si>
  <si>
    <t>Remaining dollar value under repurchase program - month3, mm</t>
  </si>
  <si>
    <t>Remaining dollar value under repurchase program, mm</t>
  </si>
  <si>
    <t>Meta Platforms, Inc.</t>
  </si>
  <si>
    <t>Repurchase dollar value, mm</t>
  </si>
  <si>
    <t>Average price of shares repurchased (calculated), $/share</t>
  </si>
  <si>
    <t>Number of shares repurchased, 000s of shares</t>
  </si>
  <si>
    <t>Last Working Day In Period</t>
  </si>
  <si>
    <t>Stock Price EoP</t>
  </si>
  <si>
    <t>FX EoP</t>
  </si>
  <si>
    <t>HQ</t>
  </si>
  <si>
    <t>Q3-2022</t>
  </si>
  <si>
    <t>z_T897CE0113_MO_OS_RealityLabsrevenue</t>
  </si>
  <si>
    <t>META_US</t>
  </si>
  <si>
    <t>Y/Y growth in Advertising expenses, %</t>
  </si>
  <si>
    <t>Advertising expenses as a % of SM, %</t>
  </si>
  <si>
    <t>Adjusted EBIT Margin (No Adjustments), %</t>
  </si>
  <si>
    <t>Adjusted EBITDA Margin (No Adjustments), %</t>
  </si>
  <si>
    <t>Impairment related to leases and leasehold improvements</t>
  </si>
  <si>
    <t>Q4-2022</t>
  </si>
  <si>
    <t>FY2023</t>
  </si>
  <si>
    <t>OFF</t>
  </si>
  <si>
    <t>Estimated Share Price for Issuance/Buybacks, Not Signed In</t>
  </si>
  <si>
    <t>Cash paid during the period for interest</t>
  </si>
  <si>
    <t>Cash paid during the period for income taxes, net</t>
  </si>
  <si>
    <t>Cash paid during the period for income taxes, gross</t>
  </si>
  <si>
    <t>Cash received during the period for income taxes</t>
  </si>
  <si>
    <t>Fair value adjustments for non-marketable securities</t>
  </si>
  <si>
    <t>Q1-2023</t>
  </si>
  <si>
    <t>Change in Working Capital</t>
  </si>
  <si>
    <t>Operating Cash Flow after WC</t>
  </si>
  <si>
    <t>Cash Flow Per Diluted Share</t>
  </si>
  <si>
    <t>FCF, Pre Div</t>
  </si>
  <si>
    <t>FCF, Post Div, Pre A/D</t>
  </si>
  <si>
    <t>FCF, Post Div, Post A/D</t>
  </si>
  <si>
    <t>FCF, Post Div, Debt, Buyback, A/D</t>
  </si>
  <si>
    <t>Consensus Estimates - Cash Flow Per Diluted Share</t>
  </si>
  <si>
    <t>EoP Class A Common Stock Outstanding, mm shares</t>
  </si>
  <si>
    <t>EoP Class B Common Stock Outstanding, mm shares</t>
  </si>
  <si>
    <t>EoP Class A Equivalent Common Stock Outstanding, mm shares</t>
  </si>
  <si>
    <t>EoP Class A Outstanding Shares Subject to Repurchase, mm shares</t>
  </si>
  <si>
    <t>EoP Class B Outstanding Shares Subject to Repurchase, mm shares</t>
  </si>
  <si>
    <t>EoP Class A Equivalent Common Stock Outstanding excl. shares subject to repurchase (calculated), mm shares</t>
  </si>
  <si>
    <t>Cover Page Class A Common Stock Outstanding, mm shares</t>
  </si>
  <si>
    <t>Cover Page Class B Common Stock Outstanding, mm shares</t>
  </si>
  <si>
    <t>Date of Cover Page Share Count, date</t>
  </si>
  <si>
    <t>Q/Q basic share expansion from dilutive securities, %</t>
  </si>
  <si>
    <t>Y/Y basic share expansion from dilutive securities, %</t>
  </si>
  <si>
    <t>Q/Q basic share expansion from share issuance (buyback), %</t>
  </si>
  <si>
    <t>Y/Y basic share expansion from share issuance (buyback), %</t>
  </si>
  <si>
    <t>Q/Q basic share expansion - EoP, %</t>
  </si>
  <si>
    <t>Y/Y basic share expansion - EoP, %</t>
  </si>
  <si>
    <t>Diluted share count to basic share count ratio, x</t>
  </si>
  <si>
    <t>EoP</t>
  </si>
  <si>
    <t>Last Working Day, date</t>
  </si>
  <si>
    <t>End of Period Stock Price, $/share</t>
  </si>
  <si>
    <t>Cumulative BoP Total Stock Options Outstanding, mm options</t>
  </si>
  <si>
    <t>Cumulative Granted Stock Options, mm options</t>
  </si>
  <si>
    <t>Cumulative Exercised Stock Options, mm options</t>
  </si>
  <si>
    <t>Cumulative Forfeited and Canceled Stock Options, mm options</t>
  </si>
  <si>
    <t>BoP Total Stock Options Outstanding, mm options</t>
  </si>
  <si>
    <t>Exercised Stock Options, mm options</t>
  </si>
  <si>
    <t>Forfeited and Canceled Stock Options, mm options</t>
  </si>
  <si>
    <t>Cumulative BoP Weighted Average Exercise Price, $/share</t>
  </si>
  <si>
    <t>Cumulative Granted Average Exercise Price, $/share</t>
  </si>
  <si>
    <t>Cumulative Exercised Average Exercise Price, $/share</t>
  </si>
  <si>
    <t>Cumulative Forfeited and Canceled Average Exercise Price, $/share</t>
  </si>
  <si>
    <t>Cumulative EoP Weighted Average Exercise Price, $/share</t>
  </si>
  <si>
    <t>BoP Weighted Average Exercise Price, $/share</t>
  </si>
  <si>
    <t>Granted Average Exercise Price, $/share</t>
  </si>
  <si>
    <t>Exercised Average Exercise Price, $/share</t>
  </si>
  <si>
    <t>Forfeited and Canceled Average Exercise Price, $/share</t>
  </si>
  <si>
    <t>EoP Weighted Average Exercise Price, $/share</t>
  </si>
  <si>
    <t>EoP Total Stock Options Exercisable, mm options</t>
  </si>
  <si>
    <t>EoP Weighted Average Exercisable Option Exercise Price, $/share</t>
  </si>
  <si>
    <t>EoP Unvested RSUs, mm shares</t>
  </si>
  <si>
    <t>EoP Unvested RSU Price, $/share</t>
  </si>
  <si>
    <t>Granted Stock Options, mm options</t>
  </si>
  <si>
    <t>Canalyst EoP Fully Diluted Shares Outstanding, mm shares</t>
  </si>
  <si>
    <t>Canalyst Cover Page Fully Diluted Shares Outstanding, mm shares</t>
  </si>
  <si>
    <t>Dilutive Shares from Exercised Options (treasury method), mm shares</t>
  </si>
  <si>
    <t>Dilutive Shares, mm shares</t>
  </si>
  <si>
    <t>EoP Total Diluted Common Stock Outstanding, mm shares</t>
  </si>
  <si>
    <t>EoP Potentially Dilutive Securities, mm shares</t>
  </si>
  <si>
    <t>Cover Page Class A Equivalent Common Stock Outstanding, mm shares</t>
  </si>
  <si>
    <t>EoP Other, mm shares</t>
  </si>
  <si>
    <t>Segmented Results - Family of Apps (SI)</t>
  </si>
  <si>
    <t>Segmented Results - Reality Labs (SI)</t>
  </si>
  <si>
    <t>Family of Apps operating expenses, mm</t>
  </si>
  <si>
    <t>Reality Labs operating expenses, mm</t>
  </si>
  <si>
    <t>Y/Y Family of Apps income from operations growth, %</t>
  </si>
  <si>
    <t>Family of Apps operating income margin, %</t>
  </si>
  <si>
    <t>Y/Y improvement in Family of Apps operating income margin, bps</t>
  </si>
  <si>
    <t>Y/Y Reality Labs income from operations growth, %</t>
  </si>
  <si>
    <t>Reality Labs operating income margin, %</t>
  </si>
  <si>
    <t>Y/Y improvement in Reality Labs operating income margin, bps</t>
  </si>
  <si>
    <t>KPI Data</t>
  </si>
  <si>
    <t>MO_RIS_NI_NONGAAP_Diluted</t>
  </si>
  <si>
    <t>MO_RIS_EPS_WAD_Adj</t>
  </si>
  <si>
    <t>MO_RIS_EBITDA_Adj</t>
  </si>
  <si>
    <t>MO_MA_EBITDA_Adj</t>
  </si>
  <si>
    <t>MO_OS_EmployeeCount</t>
  </si>
  <si>
    <t>KPI Count</t>
  </si>
  <si>
    <t>Apply Trade Currency Scaling</t>
  </si>
  <si>
    <t>EoP ESPP Obligations, mm shares</t>
  </si>
  <si>
    <t>Total headcount, # of headcount</t>
  </si>
  <si>
    <t>TP</t>
  </si>
  <si>
    <t>Proceeds relating to property and equipment</t>
  </si>
  <si>
    <t>Q2-2023</t>
  </si>
  <si>
    <t>KB</t>
  </si>
  <si>
    <t>Canada revenue (based on billing address), mm</t>
  </si>
  <si>
    <t>US &amp; Canada revenue (based on billing address), mm</t>
  </si>
  <si>
    <t>Europe revenue (based on billing address), mm</t>
  </si>
  <si>
    <t>Asia-Pacific revenue (based on billing address), mm</t>
  </si>
  <si>
    <t>Rest of world revenue (based on billing address), mm</t>
  </si>
  <si>
    <t>US revenue (based on billing address) mix, %</t>
  </si>
  <si>
    <t>Canada revenue (based on billing address) mix, %</t>
  </si>
  <si>
    <t>US &amp; Canada revenue (based on billing address) mix, %</t>
  </si>
  <si>
    <t>Europe revenue (based on billing address) mix, %</t>
  </si>
  <si>
    <t>Asia-Pacific revenue (based on billing address) mix, %</t>
  </si>
  <si>
    <t>Rest of world revenue (based on billing address) mix, %</t>
  </si>
  <si>
    <t>Total revenue (based on billing address) mix, %</t>
  </si>
  <si>
    <t>US revenue (based on billing address), mm</t>
  </si>
  <si>
    <t>EoP Total Stock Options Outstanding, mm options</t>
  </si>
  <si>
    <t>Cumulative EoP Total Stock Options Outstanding, mm options</t>
  </si>
  <si>
    <t>Quarterly Guidance Table</t>
  </si>
  <si>
    <t>Reporting Date</t>
  </si>
  <si>
    <t>Applicable Period</t>
  </si>
  <si>
    <t>Low - Net Revenue, mm</t>
  </si>
  <si>
    <t>High - Net Revenue, mm</t>
  </si>
  <si>
    <t>Mid - Net Revenue, mm</t>
  </si>
  <si>
    <t>Low - Y/Y Net Revenue Growth, %</t>
  </si>
  <si>
    <t>High - Y/Y Net Revenue Growth, %</t>
  </si>
  <si>
    <t>Mid - Y/Y Net Revenue Growth, %</t>
  </si>
  <si>
    <t>Low - Total Expenses, mm</t>
  </si>
  <si>
    <t>High - Total Expenses, mm</t>
  </si>
  <si>
    <t>Mid - Total Expenses, mm</t>
  </si>
  <si>
    <t>High - Capex, mm</t>
  </si>
  <si>
    <t>Mid - Capex, mm</t>
  </si>
  <si>
    <t>Low - Capex, mm</t>
  </si>
  <si>
    <t>Is Latest</t>
  </si>
  <si>
    <t>MO_OS_OPEX</t>
  </si>
  <si>
    <t>Annual Guidance Table</t>
  </si>
  <si>
    <t>Guidance Analysis</t>
  </si>
  <si>
    <t>Revenue - Guidance Analysis</t>
  </si>
  <si>
    <t>Total Expenses - Guidance Analysis</t>
  </si>
  <si>
    <t>Capex - Guidance Analysis</t>
  </si>
  <si>
    <t>Revenue guidance - initial midpoint, mm</t>
  </si>
  <si>
    <t>Revenue guidance - update 1 midpoint, mm</t>
  </si>
  <si>
    <t>Revenue guidance - update 2 midpoint, mm</t>
  </si>
  <si>
    <t>Revenue guidance - update 3 midpoint, mm</t>
  </si>
  <si>
    <t>Revenue guidance - most recent midpoint, mm</t>
  </si>
  <si>
    <t>Revenue beat/(miss) vs. most recent guidance - Mid, mm</t>
  </si>
  <si>
    <t>Relative revenue beat/(miss) vs. most recent guidance - Mid, %</t>
  </si>
  <si>
    <t>Q/Q guided revenue growth, %</t>
  </si>
  <si>
    <t>Q/Q beat/(miss) revenue growth, %</t>
  </si>
  <si>
    <t>Q/Q revenue growth, %</t>
  </si>
  <si>
    <t>Y/Y guided revenue growth, %</t>
  </si>
  <si>
    <t>Y/Y beat/(miss) revenue growth, %</t>
  </si>
  <si>
    <t>Y/Y revenue growth, %</t>
  </si>
  <si>
    <t>Forward guidance - report date, date</t>
  </si>
  <si>
    <t>Forward quarterly guidance - applicable period, period</t>
  </si>
  <si>
    <t>Forward quarterly revenue guidance - Low, mm</t>
  </si>
  <si>
    <t>Forward quarterly revenue guidance - High, mm</t>
  </si>
  <si>
    <t>Forward quarterly revenue guidance - Mid, mm</t>
  </si>
  <si>
    <t>Forward quarterly revenue guidance variance, mm</t>
  </si>
  <si>
    <t>Forward quarterly revenue guidance variance (+/-), %</t>
  </si>
  <si>
    <t>Forward quarterly guided Q/Q revenue growth - Low, %</t>
  </si>
  <si>
    <t>Forward quarterly guided Q/Q revenue growth - High, %</t>
  </si>
  <si>
    <t>Forward guided Q/Q revenue growth - Mid, %</t>
  </si>
  <si>
    <t>Forward guided Y/Y revenue growth - Mid, %</t>
  </si>
  <si>
    <t>Y/Y Implied annual guidance revenue growth, %</t>
  </si>
  <si>
    <t>Y/Y annual guidance beat/(miss) revenue growth, %</t>
  </si>
  <si>
    <t>Y/Y annual revenue growth, %</t>
  </si>
  <si>
    <t>Forward annual guidance - applicable period, date</t>
  </si>
  <si>
    <t>Forward annual revenue guidance - Low, mm</t>
  </si>
  <si>
    <t>Forward annual revenue guidance - High, mm</t>
  </si>
  <si>
    <t>Forward annual revenue guidance - Mid, mm</t>
  </si>
  <si>
    <t>Forward annual revenue guidance variance, mm</t>
  </si>
  <si>
    <t>Forward annual revenue guidance variance (+/-), %</t>
  </si>
  <si>
    <t>Forward annual guided Y/Y revenue growth - Low, %</t>
  </si>
  <si>
    <t>Forward annual guided Y/Y revenue growth - High, %</t>
  </si>
  <si>
    <t>Forward annual guided Y/Y revenue growth - Mid, %</t>
  </si>
  <si>
    <t>Total Expenses, mm</t>
  </si>
  <si>
    <t>Expenses guidance - update 1 midpoint, mm</t>
  </si>
  <si>
    <t>Expenses guidance - update 2 midpoint, mm</t>
  </si>
  <si>
    <t>Expenses guidance - update 3 midpoint, mm</t>
  </si>
  <si>
    <t>Expenses guidance - most recent midpoint, mm</t>
  </si>
  <si>
    <t>Expenses guidance - initial midpoint, mm</t>
  </si>
  <si>
    <t>Y/Y guided expenses growth, %</t>
  </si>
  <si>
    <t>Y/Y (beat)/miss expenses growth, %</t>
  </si>
  <si>
    <t>Y/Y expenses growth, %</t>
  </si>
  <si>
    <t>Forward quarterly expenses guidance - Low, mm</t>
  </si>
  <si>
    <t>Forward quarterly expenses guidance - High, mm</t>
  </si>
  <si>
    <t>Forward quarterly expenses guidance - Mid, mm</t>
  </si>
  <si>
    <t>Forward quarterly expenses guidance variance, mm</t>
  </si>
  <si>
    <t>Forward quarterly expenses guidance variance (+/-), %</t>
  </si>
  <si>
    <t>Forward quarterly guided Y/Y expenses growth - Low, %</t>
  </si>
  <si>
    <t>Forward quarterly guided Y/Y expenses growth - High, %</t>
  </si>
  <si>
    <t>Forward guided Y/Y expenses growth - Mid, %</t>
  </si>
  <si>
    <t>Y/Y Implied annual guidance expenses growth, %</t>
  </si>
  <si>
    <t>Y/Y annual expenses growth, %</t>
  </si>
  <si>
    <t>Forward annual expenses guidance - Low, mm</t>
  </si>
  <si>
    <t>Forward annual expenses guidance - High, mm</t>
  </si>
  <si>
    <t>Forward annual expenses guidance - Mid, mm</t>
  </si>
  <si>
    <t>Forward annual expenses guidance variance, mm</t>
  </si>
  <si>
    <t>Forward annual expenses guidance variance (+/-), %</t>
  </si>
  <si>
    <t>Forward annual guided Y/Y expenses growth - Low, %</t>
  </si>
  <si>
    <t>Forward annual guided Y/Y expenses growth - High, %</t>
  </si>
  <si>
    <t>Forward annual guided Y/Y expenses growth - Mid, %</t>
  </si>
  <si>
    <t>FY expenses Guidance Raise/(Lower), mm</t>
  </si>
  <si>
    <t>Sequential increase/(decrease) in FY expenses guidance, %</t>
  </si>
  <si>
    <t>Cumulative FY expenses Guidance Raise/(Lower), mm</t>
  </si>
  <si>
    <t>Cumulative increase/(decrease) in FY expenses guidance, %</t>
  </si>
  <si>
    <t>Expenses (beat)/miss vs. most recent guidance - Mid, mm</t>
  </si>
  <si>
    <t>Relative expenses (beat)/miss vs. most recent guidance - Mid, %</t>
  </si>
  <si>
    <t>Y/Y annual guidance (beat)/miss expenses growth, %</t>
  </si>
  <si>
    <t>Capex guidance - update 1 midpoint, mm</t>
  </si>
  <si>
    <t>Capex guidance - update 2 midpoint, mm</t>
  </si>
  <si>
    <t>Capex guidance - update 3 midpoint, mm</t>
  </si>
  <si>
    <t>Capex guidance - most recent midpoint, mm</t>
  </si>
  <si>
    <t>Capex (beat)/miss vs. most recent guidance - Mid, mm</t>
  </si>
  <si>
    <t>Capex guidance - initial midpoint, mm</t>
  </si>
  <si>
    <t>Relative capex (beat)/miss vs. most recent guidance - Mid, %</t>
  </si>
  <si>
    <t>Y/Y guided capex growth, %</t>
  </si>
  <si>
    <t>Y/Y (beat)/miss capex growth, %</t>
  </si>
  <si>
    <t>Y/Y capex growth, %</t>
  </si>
  <si>
    <t>Forward quarterly capex guidance - Low, mm</t>
  </si>
  <si>
    <t>Forward quarterly capex guidance - High, mm</t>
  </si>
  <si>
    <t>Forward quarterly capex guidance - Mid, mm</t>
  </si>
  <si>
    <t>Forward quarterly capex guidance variance, mm</t>
  </si>
  <si>
    <t>Forward quarterly capex guidance variance (+/-), %</t>
  </si>
  <si>
    <t>Forward quarterly guided Y/Y capex growth - Low, %</t>
  </si>
  <si>
    <t>Forward quarterly guided Y/Y capex growth - High, %</t>
  </si>
  <si>
    <t>Forward guided Y/Y capex growth - Mid, %</t>
  </si>
  <si>
    <t>Y/Y Implied annual guidance capex growth, %</t>
  </si>
  <si>
    <t>Y/Y annual guidance (beat)/miss capex growth, %</t>
  </si>
  <si>
    <t>Y/Y annual capex growth, %</t>
  </si>
  <si>
    <t>Forward annual capex guidance - Low, mm</t>
  </si>
  <si>
    <t>Forward annual capex guidance - High, mm</t>
  </si>
  <si>
    <t>Forward annual capex guidance - Mid, mm</t>
  </si>
  <si>
    <t>Forward annual capex guidance variance, mm</t>
  </si>
  <si>
    <t>Forward annual capex guidance variance (+/-), %</t>
  </si>
  <si>
    <t>Forward annual guided Y/Y capex growth - Low, %</t>
  </si>
  <si>
    <t>Forward annual guided Y/Y capex growth - High, %</t>
  </si>
  <si>
    <t>Forward annual guided Y/Y capex growth - Mid, %</t>
  </si>
  <si>
    <t>FY capex Guidance Raise/(Lower), mm</t>
  </si>
  <si>
    <t>Sequential increase/(decrease) in FY capex guidance, %</t>
  </si>
  <si>
    <t>Cumulative FY capex Guidance Raise/(Lower), mm</t>
  </si>
  <si>
    <t>Cumulative increase/(decrease) in FY capex guidance, %</t>
  </si>
  <si>
    <t>Balance Sheet Ratios</t>
  </si>
  <si>
    <t>TZ</t>
  </si>
  <si>
    <t>Q3-2023</t>
  </si>
  <si>
    <t>HZ</t>
  </si>
  <si>
    <t>Facilities Consolidation Restructuring Charges - COGS, mm</t>
  </si>
  <si>
    <t>Data Center Assets Restructuring Charges - COGS, mm</t>
  </si>
  <si>
    <t>Cost of revenue Restructuring Charges, mm</t>
  </si>
  <si>
    <t>Facilities Consolidation Restructuring Charges - R&amp;D, mm</t>
  </si>
  <si>
    <t>Severance and Other Personnel Costs Restructuring Charges - R&amp;D, mm</t>
  </si>
  <si>
    <t>Research and development Restructuring Charges, mm</t>
  </si>
  <si>
    <t>Facilities Consolidation Restructuring Charges - S&amp;M, mm</t>
  </si>
  <si>
    <t>Severance and Other Personnel Costs Restructuring Charges - S&amp;M, mm</t>
  </si>
  <si>
    <t>Marketing and sales Restructuring Charges, mm</t>
  </si>
  <si>
    <t>Facilities Consolidation Restructuring Charges - G&amp;A, mm</t>
  </si>
  <si>
    <t>Severance and Other Personnel Costs Restructuring Charges - G&amp;A, mm</t>
  </si>
  <si>
    <t>General and administrative Restructuring Charges, mm</t>
  </si>
  <si>
    <t>Total Restructuring Charges, mm</t>
  </si>
  <si>
    <t>Total Geography revenue (based on billing address), mm</t>
  </si>
  <si>
    <t>Key Metrics - Headcount (PR/FS)</t>
  </si>
  <si>
    <t>Key Metrics - Restructuring Charges Breakdown (PR)</t>
  </si>
  <si>
    <t>Revenue - reported/model estimate, mm</t>
  </si>
  <si>
    <t>Expenses - reported/model estimate, mm</t>
  </si>
  <si>
    <t>Capex - reported/model estimate, mm</t>
  </si>
  <si>
    <t>MO_MA_GM</t>
  </si>
  <si>
    <t>MO_MA_SM</t>
  </si>
  <si>
    <t>MO_MA_GA</t>
  </si>
  <si>
    <t>MO_MA_RD</t>
  </si>
  <si>
    <t>MO_MA_EBIT</t>
  </si>
  <si>
    <t>CZ</t>
  </si>
  <si>
    <t>Q4-2023</t>
  </si>
  <si>
    <t>FY2024</t>
  </si>
  <si>
    <t>DY</t>
  </si>
  <si>
    <t>MO_KPI_DAU</t>
  </si>
  <si>
    <t>MO_KPI_REV_Advertising</t>
  </si>
  <si>
    <t>MO_KPI_AdvertisingExpense</t>
  </si>
  <si>
    <t>MO_KPI_AdvertisingExpense_Growth</t>
  </si>
  <si>
    <t>Q1-2024</t>
  </si>
  <si>
    <t>First Section</t>
  </si>
  <si>
    <t>CEO - Base Pay, 000s</t>
  </si>
  <si>
    <t>CEO - Bonus, 000s</t>
  </si>
  <si>
    <t>CEO - Stock Awards, 000s</t>
  </si>
  <si>
    <t>CEO - All other compensation, 000s</t>
  </si>
  <si>
    <t>CEO - Total Comp, 000s</t>
  </si>
  <si>
    <t>CEO - comp tied to equity, %</t>
  </si>
  <si>
    <t>Market Cap - EoP, mm</t>
  </si>
  <si>
    <t>CEO - EoP Class A shares beneficially owned, 000s</t>
  </si>
  <si>
    <t>CEO - EoP Class B shares beneficially owned, 000s</t>
  </si>
  <si>
    <t>CEO - EoP shares beneficially owned, 000s</t>
  </si>
  <si>
    <t>Outgoing CFO - Base Pay, 000s</t>
  </si>
  <si>
    <t>Outgoing CFO - Bonus, 000s</t>
  </si>
  <si>
    <t>Outgoing CFO - Stock Awards, 000s</t>
  </si>
  <si>
    <t>Outgoing CFO - All other compensation, 000s</t>
  </si>
  <si>
    <t>Outgoing CFO - Total Comp, 000s</t>
  </si>
  <si>
    <t>Incoming CFO - Base Pay, 000s</t>
  </si>
  <si>
    <t>Incoming CFO - Bonus, 000s</t>
  </si>
  <si>
    <t>Incoming CFO - Stock Awards, 000s</t>
  </si>
  <si>
    <t>Incoming CFO - All other compensation, 000s</t>
  </si>
  <si>
    <t>Incoming CFO - Total Comp, 000s</t>
  </si>
  <si>
    <t>CFO - Base Pay, 000s</t>
  </si>
  <si>
    <t>CFO - Bonus, 000s</t>
  </si>
  <si>
    <t>CFO - Stock Awards, 000s</t>
  </si>
  <si>
    <t>CFO - All other compensation, 000s</t>
  </si>
  <si>
    <t>CFO - Total Comp, 000s</t>
  </si>
  <si>
    <t>CFO - comp tied to equity, %</t>
  </si>
  <si>
    <t>CFO - EoP Class A shares beneficially owned, 000s</t>
  </si>
  <si>
    <t>CFO - EoP Class B shares beneficially owned, 000s</t>
  </si>
  <si>
    <t>CFO - EoP shares beneficially owned, 000s</t>
  </si>
  <si>
    <t>CPO - Base Pay, 000s</t>
  </si>
  <si>
    <t>CPO - Bonus, 000s</t>
  </si>
  <si>
    <t>CPO - Stock Awards, 000s</t>
  </si>
  <si>
    <t>CPO - All other compensation, 000s</t>
  </si>
  <si>
    <t>CPO - Total Comp, 000s</t>
  </si>
  <si>
    <t>CPO - comp tied to equity, %</t>
  </si>
  <si>
    <t>CPO - EoP Class A shares beneficially owned, 000s</t>
  </si>
  <si>
    <t>CPO - EoP Class B shares beneficially owned, 000s</t>
  </si>
  <si>
    <t>CPO - EoP shares beneficially owned, 000s</t>
  </si>
  <si>
    <t>Outgoing COO - Base Pay, 000s</t>
  </si>
  <si>
    <t>Outgoing COO - Bonus, 000s</t>
  </si>
  <si>
    <t>Outgoing COO - Stock Awards, 000s</t>
  </si>
  <si>
    <t>Outgoing COO - All other compensation, 000s</t>
  </si>
  <si>
    <t>Outgoing COO - Total Comp, 000s</t>
  </si>
  <si>
    <t>Incoming COO - Base Pay, 000s</t>
  </si>
  <si>
    <t>Incoming COO - Bonus, 000s</t>
  </si>
  <si>
    <t>Incoming COO - Stock Awards, 000s</t>
  </si>
  <si>
    <t>Incoming COO - All other compensation, 000s</t>
  </si>
  <si>
    <t>Incoming COO - Total Comp, 000s</t>
  </si>
  <si>
    <t>COO - Base Pay, 000s</t>
  </si>
  <si>
    <t>COO - Bonus, 000s</t>
  </si>
  <si>
    <t>COO - Stock Awards, 000s</t>
  </si>
  <si>
    <t>COO - All other compensation, 000s</t>
  </si>
  <si>
    <t>COO - Total Comp, 000s</t>
  </si>
  <si>
    <t>COO - comp tied to equity, %</t>
  </si>
  <si>
    <t>COO - EoP Class A shares beneficially owned, 000s</t>
  </si>
  <si>
    <t>COO - EoP Class B shares beneficially owned, 000s</t>
  </si>
  <si>
    <t>COO - EoP shares beneficially owned, 000s</t>
  </si>
  <si>
    <t>CTO - Base Pay, 000s</t>
  </si>
  <si>
    <t>CTO - Bonus, 000s</t>
  </si>
  <si>
    <t>CTO - Stock Awards, 000s</t>
  </si>
  <si>
    <t>CTO - All other compensation, 000s</t>
  </si>
  <si>
    <t>CTO - Total Comp, 000s</t>
  </si>
  <si>
    <t>CTO - comp tied to equity, %</t>
  </si>
  <si>
    <t>CTO - EoP Class A shares beneficially owned, 000s</t>
  </si>
  <si>
    <t>CTO - EoP Class B shares beneficially owned, 000s</t>
  </si>
  <si>
    <t>CTO - EoP shares beneficially owned, 000s</t>
  </si>
  <si>
    <t>CBO - Base Pay, 000s</t>
  </si>
  <si>
    <t>CBO - Bonus, 000s</t>
  </si>
  <si>
    <t>CBO - Stock Awards, 000s</t>
  </si>
  <si>
    <t>CBO - All other compensation, 000s</t>
  </si>
  <si>
    <t>CBO - Total Comp, 000s</t>
  </si>
  <si>
    <t>CBO - comp tied to equity, %</t>
  </si>
  <si>
    <t>CBO - EoP Class A shares beneficially owned, 000s</t>
  </si>
  <si>
    <t>CBO - EoP Class B shares beneficially owned, 000s</t>
  </si>
  <si>
    <t>CBO - EoP shares beneficially owned, 000s</t>
  </si>
  <si>
    <t>Board Diversity</t>
  </si>
  <si>
    <t>Total # of current directors</t>
  </si>
  <si>
    <t>Total # of independent current directors</t>
  </si>
  <si>
    <t>Total # of female current directors</t>
  </si>
  <si>
    <t>Total # of director nominees</t>
  </si>
  <si>
    <t>Total # of independent director nominees</t>
  </si>
  <si>
    <t>Total # of female director nominees</t>
  </si>
  <si>
    <t>Director Compensation</t>
  </si>
  <si>
    <t>Director 1 cash comp, 000s</t>
  </si>
  <si>
    <t>Director 2 cash comp, 000s</t>
  </si>
  <si>
    <t>Director 3 cash comp, 000s</t>
  </si>
  <si>
    <t>Director 4 cash comp, 000s</t>
  </si>
  <si>
    <t>Director 5 cash comp, 000s</t>
  </si>
  <si>
    <t>Director 6 cash comp, 000s</t>
  </si>
  <si>
    <t>Director 7 cash comp, 000s</t>
  </si>
  <si>
    <t>Director 8 cash comp, 000s</t>
  </si>
  <si>
    <t>Director 9 cash comp, 000s</t>
  </si>
  <si>
    <t>Total director cash comp, 000s</t>
  </si>
  <si>
    <t>Director 1 stock award comp, 000s</t>
  </si>
  <si>
    <t>Director 2 stock award comp, 000s</t>
  </si>
  <si>
    <t>Director 3 stock award comp, 000s</t>
  </si>
  <si>
    <t>Director 4 stock award comp, 000s</t>
  </si>
  <si>
    <t>Director 5 stock award comp, 000s</t>
  </si>
  <si>
    <t>Director 6 stock award comp, 000s</t>
  </si>
  <si>
    <t>Director 7 stock award comp, 000s</t>
  </si>
  <si>
    <t>Director 8 stock award comp, 000s</t>
  </si>
  <si>
    <t>Director 9 stock award comp, 000s</t>
  </si>
  <si>
    <t>Total director stock award comp, 000s</t>
  </si>
  <si>
    <t>Director 1 all other comp, 000s</t>
  </si>
  <si>
    <t>Director 2 all other comp, 000s</t>
  </si>
  <si>
    <t>Director 3 all other comp, 000s</t>
  </si>
  <si>
    <t>Director 4 all other comp, 000s</t>
  </si>
  <si>
    <t>Director 5 all other comp, 000s</t>
  </si>
  <si>
    <t>Director 6 all other comp, 000s</t>
  </si>
  <si>
    <t>Director 7 all other comp, 000s</t>
  </si>
  <si>
    <t>Director 8 all other comp, 000s</t>
  </si>
  <si>
    <t>Director 9 all other comp, 000s</t>
  </si>
  <si>
    <t>Total director all other comp, 000s</t>
  </si>
  <si>
    <t>Total director compensation, 000s</t>
  </si>
  <si>
    <t>Other Alignment Data Points</t>
  </si>
  <si>
    <t>CEO - Stock Ownership Guidelines - shares equivalent value, mm</t>
  </si>
  <si>
    <t>Non-employee Directors - Stock Ownership Historical Guidelines - shares equivalent value, mm</t>
  </si>
  <si>
    <t>Non-employee Directors - Stock Ownership Guidelines - shares equivalent value, mm</t>
  </si>
  <si>
    <t>Family daily active people, mm active members</t>
  </si>
  <si>
    <t>Family monthly active people, mm active members</t>
  </si>
  <si>
    <t>Land, mm</t>
  </si>
  <si>
    <t>Servers and network assets, mm</t>
  </si>
  <si>
    <t>Buildings, mm</t>
  </si>
  <si>
    <t>Leasehold improvements, mm</t>
  </si>
  <si>
    <t>Equipment and other, mm</t>
  </si>
  <si>
    <t>Finance lease right-of-use assets, mm</t>
  </si>
  <si>
    <t>Construction in progress, mm</t>
  </si>
  <si>
    <t>Property and equipment, gross, mm</t>
  </si>
  <si>
    <t>Less: Accumulated depreciation, mm</t>
  </si>
  <si>
    <t>Property and equipment, net, mm</t>
  </si>
  <si>
    <t>Computer software, office equipment and other, mm</t>
  </si>
  <si>
    <t>Network equipment, mm</t>
  </si>
  <si>
    <t>Long-term income taxes</t>
  </si>
  <si>
    <t>Q2-2024</t>
  </si>
  <si>
    <t>AW</t>
  </si>
  <si>
    <t>Europe ad impression growth rate, %</t>
  </si>
  <si>
    <t>Asia-Pacific ad impression growth rate, %</t>
  </si>
  <si>
    <t>Rest of world ad impression growth rate, %</t>
  </si>
  <si>
    <t>Europe average price per ad growth rate, %</t>
  </si>
  <si>
    <t>Asia-Pacific average price per ad growth rate, %</t>
  </si>
  <si>
    <t>Rest of world average price per ad growth rate, %</t>
  </si>
  <si>
    <t>US &amp; Canada ad impression growth rate, %</t>
  </si>
  <si>
    <t>US &amp; Canada average price per ad growth rate, %</t>
  </si>
  <si>
    <t>Legal-related accruals</t>
  </si>
  <si>
    <t>Accrued compensation and benefits</t>
  </si>
  <si>
    <t>Accrued taxes</t>
  </si>
  <si>
    <t>Accrued property and equipment</t>
  </si>
  <si>
    <t>Other current liabilities</t>
  </si>
  <si>
    <t>Tegus</t>
  </si>
  <si>
    <t>Family average revenue per person, USD/DAP</t>
  </si>
  <si>
    <t>Family daily active people - BoP, mm DAP</t>
  </si>
  <si>
    <t>Family daily active people - EoP, mm DAP</t>
  </si>
  <si>
    <t>DAP net change, mm DAP</t>
  </si>
  <si>
    <t>Family daily active people - Average, mm DAP</t>
  </si>
  <si>
    <t>Key Metrics - Operating Stats of Family Products (Historical)(SI)</t>
  </si>
  <si>
    <t>Y/Y Family average revenue per person growth, %</t>
  </si>
  <si>
    <t>Y/Y Family daily active people - EoP growth, %</t>
  </si>
  <si>
    <t>Europe advertising revenue mix, %</t>
  </si>
  <si>
    <t>Asia-Pacific advertising revenue mix, %</t>
  </si>
  <si>
    <t>Rest of world advertising revenue mix, %</t>
  </si>
  <si>
    <t>Total advertising revenue mix, %</t>
  </si>
  <si>
    <t>US &amp; Canada advertising revenue mix, %</t>
  </si>
  <si>
    <t>Payments and other fees revenue exc. FX effect (calculated), mm</t>
  </si>
  <si>
    <t>Advertising revenue exc. FX effect, mm</t>
  </si>
  <si>
    <t>Revenue exc. FX effect, mm</t>
  </si>
  <si>
    <t>Advertising revenue FX effects, mm</t>
  </si>
  <si>
    <t>Payments and other fees revenue FX effects (calculated), mm</t>
  </si>
  <si>
    <t>Revenue FX effects, mm</t>
  </si>
  <si>
    <t>Segment Summary (Historical)</t>
  </si>
  <si>
    <t>z_T897CE0113_MO_OS_YYAdvertisingrevenuegrowth_1</t>
  </si>
  <si>
    <t>Europe Payment and other fees revenue, mm</t>
  </si>
  <si>
    <t>Asia-Pacific Payment and other fees revenue, mm</t>
  </si>
  <si>
    <t>Rest of world Payment and other fees revenue, mm</t>
  </si>
  <si>
    <t>US &amp; Canada Payment and other fees revenue, mm</t>
  </si>
  <si>
    <t>Total advertising revenue, mm</t>
  </si>
  <si>
    <t>MO_KPI_ARPU_Daily</t>
  </si>
  <si>
    <t>Q3-2024</t>
  </si>
  <si>
    <t>AG</t>
  </si>
  <si>
    <t>Segmented EBIT = EBIT</t>
  </si>
  <si>
    <t>Interest income</t>
  </si>
  <si>
    <t>AN</t>
  </si>
  <si>
    <t>Q4-2024</t>
  </si>
  <si>
    <t>Key Metrics - Leases (FS)</t>
  </si>
  <si>
    <t>Operating cash flows for operating leases, mm</t>
  </si>
  <si>
    <t>Operating lease liabilities arising from obtaining ROU assets, mm</t>
  </si>
  <si>
    <t>Cumulative Operating cash flows for operating leases, mm</t>
  </si>
  <si>
    <t>Cumulative Operating lease liabilities arising from obtaining ROU assets, mm</t>
  </si>
  <si>
    <t>Cumulative Operating cash flows for finance leases, mm</t>
  </si>
  <si>
    <t>Cumulative Financing cash flows for finance leases, mm</t>
  </si>
  <si>
    <t>Cumulative Financing lease liabilities arising from obtaining ROU assets, mm</t>
  </si>
  <si>
    <t>Operating cash flows for finance leases, mm</t>
  </si>
  <si>
    <t>Financing cash flows for finance leases, mm</t>
  </si>
  <si>
    <t>Financing lease liabilities arising from obtaining ROU assets, mm</t>
  </si>
  <si>
    <t>Amortization of ROU assets, mm</t>
  </si>
  <si>
    <t>Total Finance Lease Cost, mm</t>
  </si>
  <si>
    <t>Finance lease interest, mm</t>
  </si>
  <si>
    <t>Operating lease cost, mm</t>
  </si>
  <si>
    <t>Variable lease cost and other, net, mm</t>
  </si>
  <si>
    <t>Total Lease Cost, mm</t>
  </si>
  <si>
    <t>Depreciation and amortization, mm</t>
  </si>
  <si>
    <t>Server and network assets depreciation, mm</t>
  </si>
  <si>
    <t>Other D&amp;A expenses, mm</t>
  </si>
  <si>
    <t>Depreciation of PP&amp;E, mm</t>
  </si>
  <si>
    <t>Other PP&amp;E depreciation expense, mm</t>
  </si>
  <si>
    <t>Key Metrics - Property and Equipment Breakdown (FS)</t>
  </si>
  <si>
    <t>Q1-2025</t>
  </si>
  <si>
    <t>z_T897CE0113_MO_GA_ConstantCurrencyRevenueGrowth</t>
  </si>
  <si>
    <t>FY2025</t>
  </si>
  <si>
    <t>DHJ</t>
  </si>
  <si>
    <t>The Exec Comp tab has not been updated yet. To be updated once annual proxy statement is released
'Model uses segmented EBIT margins forecasted directly to EBIT on the Revised Income Statement. Any inputs for cost items above that line are dummy inputs and exist for "display-only" purposes (they do not affect the output of the model).</t>
  </si>
  <si>
    <t>Family of Apps employee compensation, mm</t>
  </si>
  <si>
    <t>Family of Apps other costs and expenses, mm</t>
  </si>
  <si>
    <t>Reality Labs employee compensation, mm</t>
  </si>
  <si>
    <t>Reality Labs other costs and expenses, mm</t>
  </si>
  <si>
    <t>Total employee compensation, mm</t>
  </si>
  <si>
    <t>Total other costs and expenses, mm</t>
  </si>
  <si>
    <t>Segmented Results - Revenue, Expenses and EBIT (FS)</t>
  </si>
  <si>
    <t>Partial</t>
  </si>
  <si>
    <t>Q2-2025</t>
  </si>
  <si>
    <t>Q1-2013</t>
  </si>
  <si>
    <t>Q2-2013</t>
  </si>
  <si>
    <t>Q3-2013</t>
  </si>
  <si>
    <t>Q4-2013</t>
  </si>
  <si>
    <t>Q1-2014</t>
  </si>
  <si>
    <t>Q2-2014</t>
  </si>
  <si>
    <t>Q3-2014</t>
  </si>
  <si>
    <t>Q4-2014</t>
  </si>
  <si>
    <t>Q1-2015</t>
  </si>
  <si>
    <t>Q2-2015</t>
  </si>
  <si>
    <t>Q3-2015</t>
  </si>
  <si>
    <t>Q4-2015</t>
  </si>
  <si>
    <t>Q4-2016</t>
  </si>
  <si>
    <t>Q4-2017</t>
  </si>
  <si>
    <t>Q4-2018</t>
  </si>
  <si>
    <t>Q3-2025</t>
  </si>
  <si>
    <t>Q4-2025</t>
  </si>
  <si>
    <t>Q1-2026</t>
  </si>
  <si>
    <t>Q2-2026</t>
  </si>
  <si>
    <t>Q3-2026</t>
  </si>
  <si>
    <t>Q4-2026</t>
  </si>
  <si>
    <t>FY2010</t>
  </si>
  <si>
    <t>FY2011</t>
  </si>
  <si>
    <t>FY2012</t>
  </si>
  <si>
    <t>FY2013</t>
  </si>
  <si>
    <t>FY2014</t>
  </si>
  <si>
    <t>FY2015</t>
  </si>
  <si>
    <t>FY2026</t>
  </si>
  <si>
    <t>FY2027</t>
  </si>
  <si>
    <t>FY2028</t>
  </si>
  <si>
    <t>FY2029</t>
  </si>
  <si>
    <t>% EBT</t>
  </si>
  <si>
    <t>taxes due</t>
  </si>
  <si>
    <t>% revenue</t>
  </si>
  <si>
    <t>Interest and other income</t>
  </si>
  <si>
    <t>YE</t>
  </si>
  <si>
    <t>Today</t>
  </si>
  <si>
    <t>Downside</t>
  </si>
  <si>
    <t>Upside</t>
  </si>
  <si>
    <t>Base</t>
  </si>
  <si>
    <t>Share price</t>
  </si>
  <si>
    <t>MOC</t>
  </si>
  <si>
    <t>XIRR</t>
  </si>
  <si>
    <t>DSO</t>
  </si>
  <si>
    <t>Equity value</t>
  </si>
  <si>
    <t>(+) cash</t>
  </si>
  <si>
    <t>(-) debt</t>
  </si>
  <si>
    <t>Enterprise value</t>
  </si>
  <si>
    <t>Multiple</t>
  </si>
  <si>
    <t>Sensitivity</t>
  </si>
  <si>
    <t>Dec 31, '25 price target</t>
  </si>
  <si>
    <t>BS</t>
  </si>
  <si>
    <t>ROW</t>
  </si>
  <si>
    <t>APAC</t>
  </si>
  <si>
    <t xml:space="preserve">EU </t>
  </si>
  <si>
    <t xml:space="preserve">US </t>
  </si>
  <si>
    <t>--</t>
  </si>
  <si>
    <t>y/y, $</t>
  </si>
  <si>
    <t>y/y, %</t>
  </si>
  <si>
    <t>Total revenue</t>
  </si>
  <si>
    <t>EU revenue</t>
  </si>
  <si>
    <t>US revenue</t>
  </si>
  <si>
    <t xml:space="preserve">Geographical </t>
  </si>
  <si>
    <t>Upside (downside)</t>
  </si>
  <si>
    <t>Intrinsic value</t>
  </si>
  <si>
    <t>IRR</t>
  </si>
  <si>
    <t>Exit earnings multiple</t>
  </si>
  <si>
    <t>Discount rate</t>
  </si>
  <si>
    <t>Cash flows</t>
  </si>
  <si>
    <t>Mid year convention date</t>
  </si>
  <si>
    <t>earnings yield</t>
  </si>
  <si>
    <t>EBITDA multiple</t>
  </si>
  <si>
    <t>FCF yield</t>
  </si>
  <si>
    <t>FCF multiple</t>
  </si>
  <si>
    <t>CFO yield</t>
  </si>
  <si>
    <t>CFO multiple</t>
  </si>
  <si>
    <t>Earnings multiple</t>
  </si>
  <si>
    <t>Net equity value</t>
  </si>
  <si>
    <t>EV</t>
  </si>
  <si>
    <t>MVE</t>
  </si>
  <si>
    <t>Price</t>
  </si>
  <si>
    <t>WAD</t>
  </si>
  <si>
    <t>margin</t>
  </si>
  <si>
    <t>FCF</t>
  </si>
  <si>
    <t>SBC</t>
  </si>
  <si>
    <t>D&amp;A</t>
  </si>
  <si>
    <t>tax rate, %</t>
  </si>
  <si>
    <t>Taxes due</t>
  </si>
  <si>
    <t xml:space="preserve">Other income </t>
  </si>
  <si>
    <t>gross margin</t>
  </si>
  <si>
    <t>Reality labs revenue</t>
  </si>
  <si>
    <t>FOA revenue</t>
  </si>
  <si>
    <t>DAPs</t>
  </si>
  <si>
    <t>Financials</t>
  </si>
  <si>
    <t>Global CTV market size</t>
  </si>
  <si>
    <t>Global SMS</t>
  </si>
  <si>
    <t>Global digital advertising</t>
  </si>
  <si>
    <t>U.S. programmatic spend</t>
  </si>
  <si>
    <t>U.S TV advertising market size (incl CTV)</t>
  </si>
  <si>
    <t>U.S CTV spend</t>
  </si>
  <si>
    <t>Meta market share</t>
  </si>
  <si>
    <t>U.S. performance marketing spend</t>
  </si>
  <si>
    <t>U.S advertising</t>
  </si>
  <si>
    <t>y/y impressions</t>
  </si>
  <si>
    <t>y/y price per ad</t>
  </si>
  <si>
    <t xml:space="preserve">U.S Retail sales </t>
  </si>
  <si>
    <t>KPIs</t>
  </si>
  <si>
    <t>24 to '34</t>
  </si>
  <si>
    <t>24 to '29</t>
  </si>
  <si>
    <t>24 to '27</t>
  </si>
  <si>
    <t>21 to '24</t>
  </si>
  <si>
    <t>19 to '24</t>
  </si>
  <si>
    <t>2034E</t>
  </si>
  <si>
    <t>2033E</t>
  </si>
  <si>
    <t>2032E</t>
  </si>
  <si>
    <t>2031E</t>
  </si>
  <si>
    <t>2030E</t>
  </si>
  <si>
    <t>2029E</t>
  </si>
  <si>
    <t>2028E</t>
  </si>
  <si>
    <t>2027E</t>
  </si>
  <si>
    <t>2026E</t>
  </si>
  <si>
    <t>2025E</t>
  </si>
  <si>
    <t>2024A</t>
  </si>
  <si>
    <t>2023A</t>
  </si>
  <si>
    <t>2022A</t>
  </si>
  <si>
    <t>2021A</t>
  </si>
  <si>
    <t>2020A</t>
  </si>
  <si>
    <t>2019A</t>
  </si>
  <si>
    <t>($ millions)</t>
  </si>
  <si>
    <t>CAGR</t>
  </si>
  <si>
    <t>Projected</t>
  </si>
  <si>
    <t>Actual</t>
  </si>
  <si>
    <t>Consolidated</t>
  </si>
  <si>
    <t>Case</t>
  </si>
  <si>
    <t>Price per ad</t>
  </si>
  <si>
    <t>DAU mix</t>
  </si>
  <si>
    <t>DAUs</t>
  </si>
  <si>
    <t>DAUs (FB)</t>
  </si>
  <si>
    <t>% of total ad revenue growth</t>
  </si>
  <si>
    <t>Ad revenue growth</t>
  </si>
  <si>
    <t>y/y ad revenue growth, #</t>
  </si>
  <si>
    <t>last 4Q</t>
  </si>
  <si>
    <t>last 8Q</t>
  </si>
  <si>
    <t>Q4 '24</t>
  </si>
  <si>
    <t>Q3 '24</t>
  </si>
  <si>
    <t>Q2 '24</t>
  </si>
  <si>
    <t>Q1 '24</t>
  </si>
  <si>
    <t>Q4 '23</t>
  </si>
  <si>
    <t>Q3 '23</t>
  </si>
  <si>
    <t>Q2 '23</t>
  </si>
  <si>
    <t>Q1 '23</t>
  </si>
  <si>
    <t>y/y ad revenue growth, %</t>
  </si>
  <si>
    <t>Total</t>
  </si>
  <si>
    <t>EU</t>
  </si>
  <si>
    <t>US &amp; Canada</t>
  </si>
  <si>
    <t>Ad revenue</t>
  </si>
  <si>
    <t>Incremental less current overall margins</t>
  </si>
  <si>
    <t>Operating margin</t>
  </si>
  <si>
    <t>Incremental operating margin (y/y)</t>
  </si>
  <si>
    <t>y/y operating income</t>
  </si>
  <si>
    <t>Expenses y/y</t>
  </si>
  <si>
    <t>G&amp;A, y/y</t>
  </si>
  <si>
    <t>S&amp;M, y/y</t>
  </si>
  <si>
    <t>R&amp;D, y/y</t>
  </si>
  <si>
    <t>COGS y/y</t>
  </si>
  <si>
    <t>y/y revenue</t>
  </si>
  <si>
    <t>Incremental margins</t>
  </si>
  <si>
    <t>LTM CapEx</t>
  </si>
  <si>
    <t>y/y price per ad growth rate</t>
  </si>
  <si>
    <t>Impressions</t>
  </si>
  <si>
    <t>y/y impressions growth rate</t>
  </si>
  <si>
    <t>ARPP</t>
  </si>
  <si>
    <t>US revenue per DAU vs Avg (est)</t>
  </si>
  <si>
    <t>US % of revenue</t>
  </si>
  <si>
    <t>Per DAU</t>
  </si>
  <si>
    <t>ROW revenue per DAU</t>
  </si>
  <si>
    <t>ROW y/y, %</t>
  </si>
  <si>
    <t>ROW revenue</t>
  </si>
  <si>
    <t>APAC revenue per DAU</t>
  </si>
  <si>
    <t>APAC y/y, %</t>
  </si>
  <si>
    <t>APAC revenue</t>
  </si>
  <si>
    <t>EU revenue per DAU</t>
  </si>
  <si>
    <t>EU y/y, %</t>
  </si>
  <si>
    <t>Europe revenue</t>
  </si>
  <si>
    <t>US &amp; Canada revenue per DAU</t>
  </si>
  <si>
    <t>US &amp; Canada y/y, %</t>
  </si>
  <si>
    <t>US &amp; Canada revenue</t>
  </si>
  <si>
    <t xml:space="preserve">billing address - assume more ppl NPV etc into US - US % </t>
  </si>
  <si>
    <t>Total DAU</t>
  </si>
  <si>
    <t>ROW DAU</t>
  </si>
  <si>
    <t>APAC DAU</t>
  </si>
  <si>
    <t>Europe DAU</t>
  </si>
  <si>
    <t>US &amp; Canada DAU</t>
  </si>
  <si>
    <t>MAUs</t>
  </si>
  <si>
    <t>Revenue per DAU</t>
  </si>
  <si>
    <t>APAC DAUs</t>
  </si>
  <si>
    <t>2yr CAGR</t>
  </si>
  <si>
    <t>CapEx</t>
  </si>
  <si>
    <t>Change in NWC</t>
  </si>
  <si>
    <t>Effective tax rate</t>
  </si>
  <si>
    <t>Other and forex income</t>
  </si>
  <si>
    <t>Interest income, net</t>
  </si>
  <si>
    <t>operating margin, %</t>
  </si>
  <si>
    <t>Total operating income (EBIT)</t>
  </si>
  <si>
    <t>Reality labs expenses</t>
  </si>
  <si>
    <t>Reality labs operating margin, %</t>
  </si>
  <si>
    <t>Reality labs operating income</t>
  </si>
  <si>
    <t>FOA expenses</t>
  </si>
  <si>
    <t>FOA operating margin, %</t>
  </si>
  <si>
    <t>FOA operating income</t>
  </si>
  <si>
    <t>c</t>
  </si>
  <si>
    <t>FOA revenue (advertising)</t>
  </si>
  <si>
    <t>Ad impressions growth, y/y</t>
  </si>
  <si>
    <t>Avg price per ad growth, y/y</t>
  </si>
  <si>
    <t>Revenue per DAP, y/y %</t>
  </si>
  <si>
    <t>Revenue per DAP</t>
  </si>
  <si>
    <t>DAP, y/y %</t>
  </si>
  <si>
    <t>DAP, EoP</t>
  </si>
  <si>
    <t>Europe</t>
  </si>
  <si>
    <t>Impressions growth</t>
  </si>
  <si>
    <t>Price per ad growth</t>
  </si>
  <si>
    <t>Annual</t>
  </si>
  <si>
    <t>Historical</t>
  </si>
  <si>
    <t>Consolidated financials</t>
  </si>
  <si>
    <t>Revenue per DAP, 2yr CAGR</t>
  </si>
  <si>
    <t>AI generating better creative; and targeting already better then own owners</t>
  </si>
  <si>
    <t xml:space="preserve">believes ads will be larger share of GDP then is today </t>
  </si>
  <si>
    <t>increased reels yb 5%</t>
  </si>
  <si>
    <t>30% advsertisers using AI for crateiv now</t>
  </si>
  <si>
    <t>EBIT multiple</t>
  </si>
  <si>
    <t>Enterprise value (YE)</t>
  </si>
  <si>
    <t>NI margin</t>
  </si>
  <si>
    <t>EBIT margin</t>
  </si>
  <si>
    <t>Equity / Assets</t>
  </si>
  <si>
    <t>Debt to equity</t>
  </si>
  <si>
    <t>Working capital</t>
  </si>
  <si>
    <t>Current ratio</t>
  </si>
  <si>
    <t>Total liabilities &amp; SE</t>
  </si>
  <si>
    <t>Total assets</t>
  </si>
  <si>
    <t>Cash &amp; equivalents</t>
  </si>
  <si>
    <t>Shareholders equity</t>
  </si>
  <si>
    <t>Other LT assets</t>
  </si>
  <si>
    <t>Other LT liabilities</t>
  </si>
  <si>
    <t>PP&amp;E</t>
  </si>
  <si>
    <t>Debt, incl finance leases</t>
  </si>
  <si>
    <t>Finance &amp; operating leases</t>
  </si>
  <si>
    <t>Operating leases</t>
  </si>
  <si>
    <t>Diluted equity value (C)</t>
  </si>
  <si>
    <t>Other current assets</t>
  </si>
  <si>
    <t>WAD shares</t>
  </si>
  <si>
    <t>Current liabilities</t>
  </si>
  <si>
    <t>Cash and equivalents</t>
  </si>
  <si>
    <t>Liabilities &amp; SE</t>
  </si>
  <si>
    <t>Assets</t>
  </si>
  <si>
    <t>52WL</t>
  </si>
  <si>
    <t>ATH</t>
  </si>
  <si>
    <t>2 year</t>
  </si>
  <si>
    <t>52WH</t>
  </si>
  <si>
    <t>1 year</t>
  </si>
  <si>
    <t>6 month</t>
  </si>
  <si>
    <t>2 month</t>
  </si>
  <si>
    <t>Beta</t>
  </si>
  <si>
    <t>1 month</t>
  </si>
  <si>
    <t>Daily</t>
  </si>
  <si>
    <t>Meta</t>
  </si>
  <si>
    <t>vidoe ads generally out perform statis in tiktok</t>
  </si>
  <si>
    <t>tiktok shows max 1 ad every 4 vidoes</t>
  </si>
  <si>
    <t>There's no point in having fraud in performance ad networks because advertisers pay for customers, not for clicks.</t>
  </si>
  <si>
    <t xml:space="preserve">Now, that matters from a scaling perspective because for every advertiser, they only have a finite number of customers they can retarget. It's basically people who visited their site or their app and that weren't masked, so you have some form of ID. </t>
  </si>
  <si>
    <t>The counter to that, it's only really what might slow down growth, is at the moment, over half of our advertisers on AppLovin are only getting a really good ROAS for retargeting, not for finding new customers.</t>
  </si>
  <si>
    <t>Obviously, I don't know what price AppLovin pay to gaming companies for their inventory, but they're probably paying in the U.S. something like a $3 CPM to the publishers, but they're generating $18 from advertisers, so they're making a very high margin product at the moment from their e-commerce ads</t>
  </si>
  <si>
    <t xml:space="preserve"> The other big upside for AppLovin is at the moment, I believe they are the only company serving e-commerce ads into gaming inventory.</t>
  </si>
  <si>
    <t>the same as Meta. On Meta, the News Feed was $22. Stories and reels are $19, so literally AppLovin is a dollar or two less than Meta, and yet advertisers at the moment are reporting a better ROAS than Meta.</t>
  </si>
  <si>
    <t>Although it's not really affecting the big verticals that advertise, the verticals that seem to be hit are agriculture, auto, airplane companies, etc., which they don't have big ad budgets compared to e-commerce or whatever. Ultimately, if it drives up the price of fuel or food, that will reduce consumer spending on other categories. At the moment, advertisers aren't seeing a drop in consumer spending, so they are not yet reducing their budgets, but they're very, very nervous. There's more chief marketing officers with their finger over the pause button now than there has been a long time, ready to click pause on a campaign and maybe reduce budgets or pause spending in certain areas.</t>
  </si>
  <si>
    <t>overlay ads where meta &amp; creator share ad revenue - now more inventory / can monetize the 75% that isnt currrently</t>
  </si>
  <si>
    <t>This is a really interesting model if we start thinking about the potential here. Right now, Meta makes money from 25% of the content we see and they make no money from 75% of the content we see</t>
  </si>
  <si>
    <t>Reels in Q3 was 22.4% of our spend with Meta. In Q4, it was 23.3%. Now, I don't have Q1 yet, but I can tell you that quarter to date, it's been 24.3% of our spend with Meta in Q1</t>
  </si>
  <si>
    <t>If you think about a typical Facebook or Instagram News Feed, about one in four things you see is an ad and three in four things you see are not ad. They're content, typically coming from creators and influencers, etc. Now, the overlay ad is an ad that appears over the creator content.</t>
  </si>
  <si>
    <t>Comments</t>
  </si>
  <si>
    <t>Topic</t>
  </si>
  <si>
    <t>#</t>
  </si>
  <si>
    <t>CEO at Portfolio collective</t>
  </si>
  <si>
    <t>https://research.alpha-sense.com?docid=EC-1000000-123634&amp;utm_source=alphasense%20platform&amp;utm_medium=document%20share&amp;utm_content=EC-1000000-123634&amp;utm_campaign=1743014229231</t>
  </si>
  <si>
    <t xml:space="preserve">always tempered as employee &amp; investor expected </t>
  </si>
  <si>
    <t>Meta guidance</t>
  </si>
  <si>
    <t>Netfliex, etc</t>
  </si>
  <si>
    <t>CTV more of comp vs TikTok</t>
  </si>
  <si>
    <t>Remain bullish - need to keep ppl in the core app (not super bullish but fine)</t>
  </si>
  <si>
    <t>Opporunity</t>
  </si>
  <si>
    <t>AI powered automation tools (creative optimization) - used to do manual a/b testing (ad creatives, copy, etc) now done automatically. Very manual before</t>
  </si>
  <si>
    <t>Advanatge +</t>
  </si>
  <si>
    <t>where brands need to be</t>
  </si>
  <si>
    <t>Instagram</t>
  </si>
  <si>
    <t>handing over this &amp; putting into blackbox (vs controlling) is a massive change</t>
  </si>
  <si>
    <t>Companies letting go</t>
  </si>
  <si>
    <t>Former Director at Meta Sees AI-Powered Tools and TikTok Shaping the Future of Digital Advertising -  previous role was Global Director for Meta Platform Inc. leaving in July 2023.</t>
  </si>
  <si>
    <t>https://research.alpha-sense.com/expert-insights/results/doc/EC-1000000-119065?companies=TK580522&amp;primaryOnly=false&amp;utm_source=alphasense%20platform&amp;utm_medium=document%20share&amp;utm_content=EC-1000000-119065&amp;utm_campaign=1741556714018&amp;utm_doc_id=EC-1000000-119065&amp;utm_doc_type=Expert%20Insight</t>
  </si>
  <si>
    <t>chatbot angle where if have the data can develop pretty robusta nd agile model (if voice answeres are similar)</t>
  </si>
  <si>
    <t>New  MAUs likely low income regions thus limited upside</t>
  </si>
  <si>
    <t xml:space="preserve">MAU growth upside limited </t>
  </si>
  <si>
    <t>Meta’s 80-90% performance ads focus on mid-funnel prospecting (e.g., retail), differing from Google’s lower-funnel search ads.
Aspirational scrolling (Instagram) and social networking (Facebook) drive engagement, not just intent, ensuring resilience.
This unique model reduces competitive pressure for your investment, though TikTok’s e-commerce focus is a challenge.</t>
  </si>
  <si>
    <t>Aspirational Ads Offer Revenue Stability</t>
  </si>
  <si>
    <t>Declining AI costs reduce Meta’s ad targeting expenses, potentially expanding margins if ad prices hold steady.
AI improvements cut data needs by 66-75%, enhancing conversion predictions with less input.
For you, this cost advantage could lift profitability, though benefits hinge on scaling first-party data.</t>
  </si>
  <si>
    <t>Cost Declines from AI Boost Margins</t>
  </si>
  <si>
    <t>Meta shifted to first-party data via Meta Pixel, Conversions API, and CRM integration, collecting on-platform signals like native shops.
Only 10% of ads use first-party data currently, but scaling to 40% could yield 20-30% revenue upside, per the expert.
This resilience supports long-term ad stability for your investment, but slow adoption limits near-term impact.</t>
  </si>
  <si>
    <t>First-Party Data Shift Counters Privacy Changes</t>
  </si>
  <si>
    <t>Meta uses transformers and LLMs to analyze months of user data (e.g., comments, likes), matching pre-3rd-party cookie ad precision.
This boosts return on ad spend (ROAS), increasing pricing power and driving stock recovery from under $100 since 2022.
For investment, this signals sustained ad revenue growth, though AI model accuracy is a risk if performance dips.</t>
  </si>
  <si>
    <t>AI-Powered Ad Targeting Drives RevenueT</t>
  </si>
  <si>
    <t>Former Director of AI at Facebook</t>
  </si>
  <si>
    <t>https://research.alpha-sense.com?docid=EC-1000000-97704&amp;utm_source=alphasense%20platform&amp;utm_medium=document%20share&amp;utm_content=EC-1000000-97704&amp;utm_campaign=1741452621024&amp;utm_doc_id=EC-1000000-97704&amp;utm_doc_type=Expert%20Insight</t>
  </si>
  <si>
    <t>Former META Unit Head Discusses Changes to Sales GTM</t>
  </si>
  <si>
    <t>https://research.alpha-sense.com?docid=EC-021925-179749&amp;utm_source=alphasense%20platform&amp;utm_medium=document%20share&amp;utm_content=EC-021925-179749&amp;utm_campaign=1741452467725&amp;utm_doc_id=EC-021925-179749&amp;utm_doc_type=Expert%20Insight</t>
  </si>
  <si>
    <t>IN recession ppl do consolidate Meta etc</t>
  </si>
  <si>
    <t>Saw how could cut a lot in 2023 and this will continue - also saw what Musk did so should remain lean (and AI)</t>
  </si>
  <si>
    <t>Operational Effeicney</t>
  </si>
  <si>
    <t>Before built persona, engineerd, hypothesis  etc whereas now just need to get out of the way, have no input let it do its thing</t>
  </si>
  <si>
    <t>Persona /friction</t>
  </si>
  <si>
    <t xml:space="preserve">Once meta n google prove to just turtsu them - set objective let us run, then will see them trust. E.g., let AI set bid vs saying I won't go above Y bc it knows whats going on in the wnvironmeny </t>
  </si>
  <si>
    <t>Turst</t>
  </si>
  <si>
    <t>overlay all maketing spend - focus on ROAS or CaC northstart style but overlaya all as some mktg spend isn't conversion driven</t>
  </si>
  <si>
    <t>AD spend review</t>
  </si>
  <si>
    <t>is the kiler, sleeping giant (sales &amp; user data &amp; marrying them is very powerful)</t>
  </si>
  <si>
    <t>Amazon</t>
  </si>
  <si>
    <t>change is hard &amp;b slow but will keep occuring / advertisors move incrementally so will keep running (no sizemic shift &amp; lots of wasetn outside digital)</t>
  </si>
  <si>
    <t>Ad CAGR - sees double digits</t>
  </si>
  <si>
    <t>Better returns, why</t>
  </si>
  <si>
    <t>FB &gt; TikTok</t>
  </si>
  <si>
    <t>Easy to take $ out of TikTok as Instagram very similar to TikTok</t>
  </si>
  <si>
    <t>Easy to take $ out of TikTok</t>
  </si>
  <si>
    <t>A lot of competition for video (Amazon is great but a lot of competition)</t>
  </si>
  <si>
    <t>Video</t>
  </si>
  <si>
    <t>If have insight into CRM can optimize marketing bc know how users act in the client's ecosystem</t>
  </si>
  <si>
    <t>ROAS</t>
  </si>
  <si>
    <t>$5T in wages for all sales ppl in word</t>
  </si>
  <si>
    <t>Call center</t>
  </si>
  <si>
    <t>Thinks ~2026 rollout for chatbot; thinks 3-5yr journey / thinks N20 B no 100B….</t>
  </si>
  <si>
    <t>Chatbot rollout</t>
  </si>
  <si>
    <t>Meta AI asking for all info from CRM etc to then see what can automate ("Big smiley faces" from the results so far) - can replace 30% of calls, that's $3M if 30% $10M</t>
  </si>
  <si>
    <t>Chatbot for advertisors (CRM integration)</t>
  </si>
  <si>
    <t>took 3-4yrs for stories monetization</t>
  </si>
  <si>
    <t>Reels</t>
  </si>
  <si>
    <t xml:space="preserve">Materially better ROI (google &amp; Meta best) - AI beneifts long tail more </t>
  </si>
  <si>
    <t>Long Tail Advertisors Beneift A lot</t>
  </si>
  <si>
    <t>AI Executive Thinks GOOG and META Are Leaders in Leveraging AI to Dramatically Improve Advertiser Return on Ad Spend - Expert is a Board Member at Optimi Health. Expert manages the relationship with Facebook</t>
  </si>
  <si>
    <t>https://research.alpha-sense.com/expert-insights/results/doc/EC-082224-166998?companies=TK580522&amp;primaryOnly=false&amp;utm_source=alphasense%20platform&amp;utm_medium=document%20share&amp;utm_content=EC-082224-166998&amp;utm_campaign=1741554160458&amp;utm_doc_id=EC-082224-166998&amp;utm_doc_type=Expert%20Insight</t>
  </si>
  <si>
    <t>composition and how is it accounted for? If on CFS means all deployed &amp; using? E.g., ifQ4  2024 CapEx is high means beneift to be seen In Q1?</t>
  </si>
  <si>
    <t>There's a cap on ads can show as ppl can't buy everything / maybe show 12-15 performance ads and then branding ads as other (branding has no limit as don't need conversion (limit on how much ppl can buy not see))</t>
  </si>
  <si>
    <t># ads avg person sees</t>
  </si>
  <si>
    <t>timeline and tam (will ppl let them integrate with CRM data etc)</t>
  </si>
  <si>
    <t>Chatbot</t>
  </si>
  <si>
    <t>What is current &amp; future revenue for reels (took years for stories)</t>
  </si>
  <si>
    <t>Reels revenue growth</t>
  </si>
  <si>
    <t>Business Impact</t>
  </si>
  <si>
    <t>Question</t>
  </si>
  <si>
    <t>Dilligence Items</t>
  </si>
  <si>
    <t xml:space="preserve">Mainly for done for office heavy stores; </t>
  </si>
  <si>
    <t>Catering / orders</t>
  </si>
  <si>
    <t xml:space="preserve">1. trying to change consumer perception (dinner heavy) - is this realistic, where becomes material?
2. </t>
  </si>
  <si>
    <t>Seeing more demand - before was ~60-70% lunch; upside through dinner, IF can continue - steak has helped. ~2/50 had better dinner than lunch (v rare)</t>
  </si>
  <si>
    <t>Dinner upside</t>
  </si>
  <si>
    <t>1. 4-wall margins in the coming years for ex-NYC/CA stores 
2. Infinite kitchen should mitigate but by how much?</t>
  </si>
  <si>
    <t>NYC 4-wall margins are 24-28%; non NYC likely ~18%, this will limit LT upside unless IK scale, which isn't a great bet</t>
  </si>
  <si>
    <t>4-wall margins</t>
  </si>
  <si>
    <t>1. is 8% pts expansion to 4-wall margins scalable? Cherry picked data point?
2. If scalable, then why not guide to convert the majority of stores with $3M+ AUV into IK? (see unit economics tab)</t>
  </si>
  <si>
    <t xml:space="preserve">Incremental costs of ~300K for ground-up and ~$500K for retrofit - save ~7pts on labor and ~1pt on COGS, but need scale to justify </t>
  </si>
  <si>
    <t>Infinite kitchen 
scabalibity &amp; impact</t>
  </si>
  <si>
    <t>1. Whats terminal count? 
2. Incremental AUV (&amp; drag on overall AUV)
3. Expansion startegy and traction in newer states</t>
  </si>
  <si>
    <t>Will end 2025 with ~290, what's a feasible count 5, 10 years from today given price point &amp; lack of ability to travel</t>
  </si>
  <si>
    <t>Unit count</t>
  </si>
  <si>
    <t>Key Questions</t>
  </si>
  <si>
    <t>Remarks</t>
  </si>
  <si>
    <t>Key drivers</t>
  </si>
  <si>
    <t>KPI is how many posts are being shared etc - discover &amp; talk about video</t>
  </si>
  <si>
    <t>Reels was how to be bale to solve needle in hay stack - heres 100M vidoes how to show right one - not just engaging but more sharing</t>
  </si>
  <si>
    <t>30% post ppls ee AI rec, 50% instagram, increasing click through rates etc</t>
  </si>
  <si>
    <t>whats app business monetization - how many ppl</t>
  </si>
  <si>
    <t>personalization AI</t>
  </si>
  <si>
    <t>Key</t>
  </si>
  <si>
    <t>EMG wrist band observes electricla activity under the skin, don’t want to waive hands around when using computer (glasses next comp) so ideal input is voice and also signals as can't speak in public etc - so subtle way to use fingertips but 100% repreatvle as fingers become the mouse</t>
  </si>
  <si>
    <t>Glasses (EMG wirstband)</t>
  </si>
  <si>
    <t>Seeing very high retention (E.g., making calls w.o  buttons, music, talking to glasses about what's infront)</t>
  </si>
  <si>
    <t>Rayban</t>
  </si>
  <si>
    <t>$2B run rate what's app business (other revenue) - in Brail it's the way ppl communicate, incl brasil, mexico, india, etc / hundreds of millions use whatsapp SMB app / banks in brasil use whatsapp</t>
  </si>
  <si>
    <t>Whats App monetization</t>
  </si>
  <si>
    <t>Businesses using whatsapp to chat w customers rn (delegating - most obvious to monetize) (hundreds of millions using whats app to chat w customer, answering sames questions)</t>
  </si>
  <si>
    <t>Whatsapp Beta (Llama)</t>
  </si>
  <si>
    <t>How to monetize w/o being annoying (NOT a priorty rn to moentize, first is to make ppl like it)</t>
  </si>
  <si>
    <t>Monetization</t>
  </si>
  <si>
    <t>assistant can learn in rich way vs one shot</t>
  </si>
  <si>
    <t>FB instagram is want to learn more about what you're looking at; useful as discovering a lot  (search 2.0 in a sense)</t>
  </si>
  <si>
    <t>Meta AI - how using</t>
  </si>
  <si>
    <t>intelligence into smaller form factors, reasoning, agentic use cases (browser), omni mode - interact w image &amp; voice natively vs voice to text to llm and back. Big deal as if can talk to internet it'll be powerful</t>
  </si>
  <si>
    <t>Llama 4</t>
  </si>
  <si>
    <t>Business of billions of ppl getting personalized content experiences - can curate ads to user increasing conversions</t>
  </si>
  <si>
    <t>What Meta does</t>
  </si>
  <si>
    <t>4M advertisers using tools for act of images and text generation / before could help reach audience now generate and reach / right language for free (lip syncing incl), and more</t>
  </si>
  <si>
    <t>Llama opportunities (benefits)</t>
  </si>
  <si>
    <t>Lots of company was built on open source (heritage/soul, best reseraches want to work so attract a lot of talent, safety, auditability, and more)</t>
  </si>
  <si>
    <t>Why open source</t>
  </si>
  <si>
    <t>Lots of teams need AI - reels, ads, research, and more / not sure what will be right (post, pre, etc) but lots of use cases so ok to invest</t>
  </si>
  <si>
    <t>AI usage</t>
  </si>
  <si>
    <t>Can talk, as questions about world infront</t>
  </si>
  <si>
    <t>Ray Ban Metas</t>
  </si>
  <si>
    <t>Personalzied assistant &amp; understanding who u are, reading level, and more (vs one shot apps)</t>
  </si>
  <si>
    <t>AI</t>
  </si>
  <si>
    <t>Using AI most as India, Mexico, Indoneia etc as most comftorbale having convo in whats app using whats app most (voice chat)</t>
  </si>
  <si>
    <t>Whats App</t>
  </si>
  <si>
    <t>800M + downlaods (weights)</t>
  </si>
  <si>
    <t>Llama</t>
  </si>
  <si>
    <t>designing one size of manhattan rn (2GW)</t>
  </si>
  <si>
    <t>Data center</t>
  </si>
  <si>
    <t>Chris Cox - CPO MS TMT (March 5)
#13 engineer at Meta</t>
  </si>
  <si>
    <t>deisgning data centr size of manhattan rn 
800M llama downlaods (the weigh)</t>
  </si>
  <si>
    <t>NM</t>
  </si>
  <si>
    <t>Earnings</t>
  </si>
  <si>
    <t>P/E</t>
  </si>
  <si>
    <t>%</t>
  </si>
  <si>
    <t>Market cap (Bs)</t>
  </si>
  <si>
    <t>S&amp;P 500</t>
  </si>
  <si>
    <t>NASDAQ</t>
  </si>
  <si>
    <t>Netflix</t>
  </si>
  <si>
    <t>TTD</t>
  </si>
  <si>
    <t>Google</t>
  </si>
  <si>
    <t>Current</t>
  </si>
  <si>
    <t>Start date</t>
  </si>
  <si>
    <t>Key risks</t>
  </si>
  <si>
    <t>Key assumptions</t>
  </si>
  <si>
    <t>Qualitative</t>
  </si>
  <si>
    <t>Rest of world revenue</t>
  </si>
  <si>
    <t>Asia-Pacific revenue</t>
  </si>
  <si>
    <t>Revenue by geography</t>
  </si>
  <si>
    <t>EV / EBITDA</t>
  </si>
  <si>
    <t>Market capitalization</t>
  </si>
  <si>
    <t>Trading multiples</t>
  </si>
  <si>
    <t>margin, %</t>
  </si>
  <si>
    <t>EBITDA and FCF</t>
  </si>
  <si>
    <t>Earnings multiple Sensitivity</t>
  </si>
  <si>
    <t>Expected return</t>
  </si>
  <si>
    <t>Upside/downside</t>
  </si>
  <si>
    <t>Likelihood</t>
  </si>
  <si>
    <t>Risk-Reward</t>
  </si>
  <si>
    <t>CapEx &amp; principal payments on finance leases</t>
  </si>
  <si>
    <t>vs '24, % pts</t>
  </si>
  <si>
    <t>vs '24</t>
  </si>
  <si>
    <t>Realty labs revenue</t>
  </si>
  <si>
    <t>price per ad growth, %</t>
  </si>
  <si>
    <t>impressions growth, %</t>
  </si>
  <si>
    <t>DAP</t>
  </si>
  <si>
    <t>Meta's share (FOA)</t>
  </si>
  <si>
    <t>Digital advertising market size</t>
  </si>
  <si>
    <t>Burning $17B p.a on RL</t>
  </si>
  <si>
    <t>taking price is key variable as DAP growth will be limited</t>
  </si>
  <si>
    <t>25% world's population</t>
  </si>
  <si>
    <t>Advertising market size</t>
  </si>
  <si>
    <t>Key takeaways</t>
  </si>
  <si>
    <t>Market size</t>
  </si>
  <si>
    <t>CY</t>
  </si>
  <si>
    <t>Historicals</t>
  </si>
  <si>
    <t>Summary</t>
  </si>
  <si>
    <t>Expenses, net income, and FCF</t>
  </si>
  <si>
    <t>Operating model, summary</t>
  </si>
  <si>
    <t>FCF margin</t>
  </si>
  <si>
    <t>CFO margin</t>
  </si>
  <si>
    <t>Days</t>
  </si>
  <si>
    <t>Market size and share</t>
  </si>
  <si>
    <t>CapEx and finance lease principal</t>
  </si>
  <si>
    <t>Non-GAAP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</si>
</sst>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4">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_(* #,##0.0_);_(* \(#,##0.0\);_(* &quot;-&quot;??_);_(@_)"/>
    <numFmt numFmtId="169" formatCode="_(&quot;$&quot;* #,##0_);_(&quot;$&quot;* \(#,##0\);_(&quot;$&quot;* &quot;-&quot;??_);_(@_)"/>
    <numFmt numFmtId="170" formatCode="_(* #,##0_);_(* \(#,##0\);_(* &quot;-&quot;??_);_(@_)"/>
    <numFmt numFmtId="171" formatCode="_(* 0.0%_);_(* \-0.0%_);_(* &quot;-&quot;??_);_(@_)"/>
    <numFmt numFmtId="172" formatCode="_(* #,##0.0_);_(* \(#,##0.0\);_(* &quot;-&quot;??_);@"/>
    <numFmt numFmtId="173" formatCode="_(&quot;$&quot;* 0.00_);_(&quot;$&quot;* \(0.00\);_(&quot;$&quot;* &quot;-&quot;??_);_(@_)"/>
    <numFmt numFmtId="174" formatCode="_(* 0.0\ \x_);\ _(* &quot;n/a&quot;_);_(* &quot;-&quot;??_);_(@_)"/>
    <numFmt numFmtId="175" formatCode=";;;"/>
    <numFmt numFmtId="176" formatCode="_(&quot;$&quot;* 0.000_);_(&quot;$&quot;* \(0.000\);_(&quot;$&quot;* &quot;-&quot;??_);_(@_)"/>
    <numFmt numFmtId="177" formatCode="_(* #,##0.0_);_(* \(#,##0.0\);_(* &quot;-&quot;??_);_(&quot;Bloomberg &gt;&gt; &quot;@_)"/>
    <numFmt numFmtId="178" formatCode="_(* #,##0.0_);_(* \(#,##0.0\);_(* &quot;-&quot;??_);_(&quot;Capital IQ &gt;&gt; &quot;@_)"/>
    <numFmt numFmtId="179" formatCode="_(* #,##0.0_);_(* \(#,##0.0\);_(* &quot;-&quot;??_);_(&quot;FactSet &gt;&gt; &quot;@_)"/>
    <numFmt numFmtId="180" formatCode="_(* #,##0.0_);_(* \(#,##0.0\);_(* &quot;-&quot;??_);_(&quot;Ticker :   &quot;@_)"/>
    <numFmt numFmtId="181" formatCode="_(* 0.0%_);_(* &quot;NMF&quot;_);_(* &quot;-&quot;??_);_(@_)"/>
    <numFmt numFmtId="182" formatCode="_(* 0.0%_);_(* &quot;n/a&quot;_);_(* &quot;-&quot;??_);_(@_)"/>
    <numFmt numFmtId="183" formatCode="_(* #,##0.0_);_(* \(#,##0.0\);_(* &quot;-&quot;??_);_(&quot;Model Sheet Currency :   &quot;@_)"/>
    <numFmt numFmtId="184" formatCode="_(* #,##0.0_);_(* \(#,##0.0\);_(* &quot;-&quot;??_);_(&quot;Canalyst Security Identification #: &quot;@_)"/>
    <numFmt numFmtId="185" formatCode="_(* #,##0.0_);_(* \(#,##0.0\);_(* &quot;-&quot;??_);_(&quot;Model Version #: &quot;@_)"/>
    <numFmt numFmtId="186" formatCode="_(* #,##0.0_);_(* \(#,##0.0\);_(* &quot; - &quot;??_);_(&quot;Last Price (&quot;@&quot;) &quot;_)"/>
    <numFmt numFmtId="187" formatCode="_(* #,##0.0_);_(* \(#,##0.0\);_(* &quot;-&quot;??_);_(&quot;Real-Time Stock Price :   &quot;@_)"/>
    <numFmt numFmtId="188" formatCode="_(&quot;$&quot;* 0.00_);_(&quot;$&quot;* \(0.00\);_(&quot;$&quot;* &quot; - &quot;??_);_(@_)"/>
    <numFmt numFmtId="189" formatCode="_(* #,##0.000_);_(* \(#,##0.000\);_(* &quot;-&quot;??_);_(@_)"/>
    <numFmt numFmtId="190" formatCode="_(&quot;$&quot;* 0.00_);_(&quot;$&quot;* \(0.00\);_(&quot;$&quot;* &quot;-&quot;??_);_(@\ * \ &quot;Toggle  &gt;&gt;&gt;&quot;_)"/>
    <numFmt numFmtId="191" formatCode="&quot;Most Recent Period:&quot;"/>
    <numFmt numFmtId="192" formatCode="_(* #,##0.0_);_(* \(#,##0.0\);_(* &quot; -&quot;??_);_(&quot;Refinitiv &gt;&gt; &quot;@_)"/>
    <numFmt numFmtId="193" formatCode="yyyy\-mm\-dd"/>
    <numFmt numFmtId="194" formatCode="_(&quot;$&quot;* #,##0.00_);_(&quot;$&quot;* \(#,##0.00\);_(&quot;$&quot;* &quot; - &quot;??_);_(@_)"/>
    <numFmt numFmtId="195" formatCode=";;"/>
    <numFmt numFmtId="196" formatCode="_(* 0%_);_(* \-0%_);_(* &quot;-&quot;??_);_(@_)"/>
    <numFmt numFmtId="197" formatCode="m/dd/yy;@"/>
    <numFmt numFmtId="198" formatCode="_(\$* 0.00_);_(\$* \(0.00\);_(\$* &quot; - &quot;??_);_(@_)"/>
    <numFmt numFmtId="199" formatCode="_(\$* 0.00_);_(\$* \(0.00\);_(\$* &quot;-&quot;??_);_(@\ * \ &quot;Toggle  &gt;&gt;&gt;&quot;_)"/>
    <numFmt numFmtId="200" formatCode="m\-d\-yy"/>
    <numFmt numFmtId="201" formatCode="_(* 0.000\ \x_);\ _(* &quot;n/a&quot;_);_(* &quot;-&quot;??_);_(@_)"/>
    <numFmt numFmtId="202" formatCode="_(&quot;$&quot;* 0.00_);_(&quot;$&quot;* \(0.00\);_(&quot;$&quot;* \&quot;\ \-\ \&quot;??_);_(@_)"/>
    <numFmt numFmtId="203" formatCode="dd/mm/yy;@"/>
    <numFmt numFmtId="204" formatCode="m/d/yy;@"/>
    <numFmt numFmtId="205" formatCode="_(* 0.00\ \x_);\ _(* &quot;n/a&quot;_);_(* &quot;-&quot;??_);_(@_)"/>
    <numFmt numFmtId="206" formatCode="_(* #,##0.0_);_(* \(#,##0.0\);_(* &quot;-&quot;??_);_(&quot;Tegus Ticker &gt;&gt; &quot;@_)"/>
    <numFmt numFmtId="207" formatCode="0.0%;\(0.0%\);&quot;--&quot;"/>
    <numFmt numFmtId="208" formatCode="#,##0;\(#,##0\);&quot;--&quot;"/>
    <numFmt numFmtId="209" formatCode="0.0\x;\(0.0\x\)"/>
    <numFmt numFmtId="210" formatCode="0.0\x"/>
    <numFmt numFmtId="211" formatCode="0.0%"/>
    <numFmt numFmtId="212" formatCode="0&quot;A&quot;"/>
    <numFmt numFmtId="213" formatCode="0%;\(0%\);&quot;--&quot;"/>
    <numFmt numFmtId="214" formatCode="#,##0.00;\(#,##0.00\);&quot;--&quot;"/>
    <numFmt numFmtId="215" formatCode="#,##0.0\x;\(#,##0.0\);&quot;--&quot;"/>
    <numFmt numFmtId="216" formatCode="mmm/yyyy"/>
    <numFmt numFmtId="217" formatCode="#,##0.0\x;\(#,##0\);&quot;--&quot;"/>
  </numFmts>
  <fonts count="90" x14ac:knownFonts="1">
    <font>
      <sz val="11"/>
      <name val="Calibri"/>
      <family val="2"/>
    </font>
    <font>
      <sz val="10"/>
      <color theme="1"/>
      <name val="Work Sans"/>
      <family val="2"/>
    </font>
    <font>
      <sz val="10"/>
      <color theme="1"/>
      <name val="Arial"/>
      <family val="2"/>
    </font>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b/>
      <sz val="11"/>
      <name val="Calibri"/>
      <family val="2"/>
      <scheme val="minor"/>
    </font>
    <font>
      <b/>
      <sz val="11"/>
      <name val="Calibri"/>
      <family val="2"/>
    </font>
    <font>
      <sz val="11"/>
      <name val="Calibri"/>
      <family val="2"/>
      <scheme val="minor"/>
    </font>
    <font>
      <sz val="11"/>
      <color rgb="FFFF0000"/>
      <name val="Calibri"/>
      <family val="2"/>
    </font>
    <font>
      <sz val="22"/>
      <color theme="1"/>
      <name val="Calibri"/>
      <family val="2"/>
      <scheme val="minor"/>
    </font>
    <font>
      <u/>
      <sz val="11"/>
      <color theme="10"/>
      <name val="Calibri"/>
      <family val="2"/>
    </font>
    <font>
      <sz val="14"/>
      <color theme="1"/>
      <name val="Calibri"/>
      <family val="2"/>
      <scheme val="minor"/>
    </font>
    <font>
      <sz val="11"/>
      <color rgb="FF006100"/>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sz val="14"/>
      <name val="Calibri"/>
      <family val="2"/>
      <scheme val="minor"/>
    </font>
    <font>
      <i/>
      <sz val="11"/>
      <name val="Calibri"/>
      <family val="2"/>
    </font>
    <font>
      <u/>
      <sz val="22"/>
      <color theme="10"/>
      <name val="Calibri"/>
      <family val="2"/>
      <scheme val="minor"/>
    </font>
    <font>
      <sz val="11"/>
      <color rgb="FF000000"/>
      <name val="Calibri"/>
      <family val="2"/>
      <scheme val="minor"/>
    </font>
    <font>
      <b/>
      <sz val="11"/>
      <color rgb="FFFFFFFF"/>
      <name val="Calibri"/>
      <family val="2"/>
    </font>
    <font>
      <b/>
      <sz val="11"/>
      <color rgb="FF000000"/>
      <name val="Calibri"/>
      <family val="2"/>
    </font>
    <font>
      <b/>
      <sz val="11"/>
      <color rgb="FF000000"/>
      <name val="Calibri"/>
      <family val="2"/>
      <scheme val="minor"/>
    </font>
    <font>
      <sz val="11"/>
      <color rgb="FF000000"/>
      <name val="Calibri"/>
      <family val="2"/>
    </font>
    <font>
      <i/>
      <sz val="11"/>
      <color rgb="FF000000"/>
      <name val="Calibri"/>
      <family val="2"/>
    </font>
    <font>
      <i/>
      <sz val="11"/>
      <color rgb="FF000000"/>
      <name val="Calibri"/>
      <family val="2"/>
      <scheme val="minor"/>
    </font>
    <font>
      <sz val="10"/>
      <color theme="0"/>
      <name val="Calibri"/>
      <family val="2"/>
      <scheme val="minor"/>
    </font>
    <font>
      <b/>
      <sz val="11"/>
      <color rgb="FFFFFFFF"/>
      <name val="Calibri"/>
      <family val="2"/>
      <scheme val="minor"/>
    </font>
    <font>
      <u/>
      <sz val="22"/>
      <color rgb="FF000000"/>
      <name val="Calibri"/>
      <family val="2"/>
      <scheme val="minor"/>
    </font>
    <font>
      <sz val="11"/>
      <color rgb="FFFFFFFF"/>
      <name val="Calibri"/>
      <family val="2"/>
    </font>
    <font>
      <u/>
      <sz val="14"/>
      <color rgb="FF0000FF"/>
      <name val="Calibri"/>
      <family val="2"/>
      <scheme val="minor"/>
    </font>
    <font>
      <b/>
      <i/>
      <sz val="11"/>
      <name val="Calibri"/>
      <family val="2"/>
    </font>
    <font>
      <b/>
      <sz val="9"/>
      <name val="Tahoma"/>
      <family val="2"/>
    </font>
    <font>
      <sz val="9"/>
      <name val="Tahoma"/>
      <family val="2"/>
    </font>
    <font>
      <sz val="11"/>
      <color theme="0" tint="-3.534043397320475E-2"/>
      <name val="Calibri"/>
      <family val="2"/>
    </font>
    <font>
      <b/>
      <sz val="11"/>
      <color theme="0"/>
      <name val="Calibri"/>
      <family val="2"/>
    </font>
    <font>
      <u/>
      <sz val="11"/>
      <color rgb="FF000000"/>
      <name val="Calibri"/>
      <family val="2"/>
      <scheme val="minor"/>
    </font>
    <font>
      <sz val="11"/>
      <color rgb="FFF2F2F2"/>
      <name val="Calibri"/>
      <family val="2"/>
    </font>
    <font>
      <u/>
      <sz val="11"/>
      <color rgb="FF0000FF"/>
      <name val="Calibri"/>
      <family val="2"/>
      <scheme val="minor"/>
    </font>
    <font>
      <b/>
      <i/>
      <sz val="11"/>
      <color rgb="FF000000"/>
      <name val="Calibri"/>
      <family val="2"/>
    </font>
    <font>
      <sz val="7"/>
      <color rgb="FF000000"/>
      <name val="Calibri"/>
      <family val="2"/>
      <scheme val="minor"/>
    </font>
    <font>
      <b/>
      <sz val="7"/>
      <color rgb="FF000000"/>
      <name val="Calibri"/>
      <family val="2"/>
      <scheme val="minor"/>
    </font>
    <font>
      <b/>
      <i/>
      <sz val="11"/>
      <color rgb="FF000000"/>
      <name val="Calibri"/>
      <family val="2"/>
      <scheme val="minor"/>
    </font>
    <font>
      <u/>
      <sz val="22"/>
      <color theme="1"/>
      <name val="Calibri"/>
      <family val="2"/>
      <scheme val="minor"/>
    </font>
    <font>
      <i/>
      <sz val="11"/>
      <name val="Calibri"/>
      <family val="2"/>
      <scheme val="minor"/>
    </font>
    <font>
      <u val="singleAccounting"/>
      <sz val="11"/>
      <color rgb="FF000000"/>
      <name val="Calibri"/>
      <family val="2"/>
    </font>
    <font>
      <b/>
      <sz val="14"/>
      <color rgb="FFD04B35"/>
      <name val="Calibri"/>
      <family val="2"/>
      <scheme val="minor"/>
    </font>
    <font>
      <u/>
      <sz val="14"/>
      <color theme="10"/>
      <name val="Calibri"/>
      <family val="2"/>
      <scheme val="minor"/>
    </font>
    <font>
      <sz val="11"/>
      <color rgb="FF0000FC"/>
      <name val="Calibri"/>
      <family val="2"/>
    </font>
    <font>
      <sz val="11"/>
      <color rgb="FF009900"/>
      <name val="Calibri"/>
      <family val="2"/>
    </font>
    <font>
      <b/>
      <sz val="11"/>
      <color rgb="FF009900"/>
      <name val="Calibri"/>
      <family val="2"/>
    </font>
    <font>
      <b/>
      <sz val="11"/>
      <color rgb="FF0000FC"/>
      <name val="Calibri"/>
      <family val="2"/>
    </font>
    <font>
      <b/>
      <i/>
      <sz val="11"/>
      <color rgb="FF0000FC"/>
      <name val="Calibri"/>
      <family val="2"/>
    </font>
    <font>
      <i/>
      <sz val="11"/>
      <color rgb="FF0000FC"/>
      <name val="Calibri"/>
      <family val="2"/>
    </font>
    <font>
      <i/>
      <sz val="11"/>
      <color rgb="FF009900"/>
      <name val="Calibri"/>
      <family val="2"/>
    </font>
    <font>
      <sz val="11"/>
      <color rgb="FF0000FC"/>
      <name val="Calibri"/>
      <family val="2"/>
      <scheme val="minor"/>
    </font>
    <font>
      <sz val="11"/>
      <name val="Calibri"/>
      <family val="2"/>
    </font>
    <font>
      <b/>
      <sz val="9"/>
      <color rgb="FF000000"/>
      <name val="Tahoma"/>
      <family val="2"/>
    </font>
    <font>
      <sz val="9"/>
      <color rgb="FF000000"/>
      <name val="Tahoma"/>
      <family val="2"/>
    </font>
    <font>
      <sz val="10"/>
      <color theme="1"/>
      <name val="Garamond"/>
      <family val="1"/>
    </font>
    <font>
      <sz val="10"/>
      <color theme="0" tint="-0.499984740745262"/>
      <name val="Garamond"/>
      <family val="1"/>
    </font>
    <font>
      <sz val="10"/>
      <color rgb="FF008000"/>
      <name val="Garamond"/>
      <family val="1"/>
    </font>
    <font>
      <b/>
      <u val="singleAccounting"/>
      <sz val="10"/>
      <color theme="1"/>
      <name val="Garamond"/>
      <family val="1"/>
    </font>
    <font>
      <sz val="10"/>
      <color rgb="FF0000FF"/>
      <name val="Garamond"/>
      <family val="1"/>
    </font>
    <font>
      <b/>
      <sz val="10"/>
      <color theme="1"/>
      <name val="Garamond"/>
      <family val="1"/>
    </font>
    <font>
      <b/>
      <sz val="10"/>
      <color theme="0"/>
      <name val="Garamond"/>
      <family val="1"/>
    </font>
    <font>
      <b/>
      <sz val="10"/>
      <color rgb="FF008000"/>
      <name val="Garamond"/>
      <family val="1"/>
    </font>
    <font>
      <b/>
      <sz val="10"/>
      <color rgb="FF0000FF"/>
      <name val="Garamond"/>
      <family val="1"/>
    </font>
    <font>
      <u val="singleAccounting"/>
      <sz val="10"/>
      <color theme="1"/>
      <name val="Garamond"/>
      <family val="1"/>
    </font>
    <font>
      <b/>
      <sz val="9"/>
      <color indexed="81"/>
      <name val="Tahoma"/>
      <family val="2"/>
    </font>
    <font>
      <sz val="9"/>
      <color indexed="81"/>
      <name val="Tahoma"/>
      <family val="2"/>
    </font>
    <font>
      <b/>
      <u/>
      <sz val="10"/>
      <color theme="1"/>
      <name val="Garamond"/>
      <family val="1"/>
    </font>
    <font>
      <i/>
      <sz val="10"/>
      <color theme="1"/>
      <name val="Garamond"/>
      <family val="1"/>
    </font>
    <font>
      <i/>
      <sz val="10"/>
      <color rgb="FF800000"/>
      <name val="Garamond"/>
      <family val="1"/>
    </font>
    <font>
      <b/>
      <sz val="10"/>
      <color theme="0" tint="-0.499984740745262"/>
      <name val="Garamond"/>
      <family val="1"/>
    </font>
    <font>
      <sz val="10"/>
      <name val="Garamond"/>
      <family val="1"/>
    </font>
    <font>
      <b/>
      <sz val="10"/>
      <name val="Garamond"/>
      <family val="1"/>
    </font>
    <font>
      <b/>
      <u/>
      <sz val="10"/>
      <color theme="0"/>
      <name val="Garamond"/>
      <family val="1"/>
    </font>
    <font>
      <sz val="10"/>
      <color theme="1"/>
      <name val="Times New Roman"/>
      <family val="1"/>
    </font>
    <font>
      <sz val="8"/>
      <color theme="1"/>
      <name val="Times New Roman"/>
      <family val="1"/>
    </font>
    <font>
      <b/>
      <u val="singleAccounting"/>
      <sz val="10"/>
      <color theme="1"/>
      <name val="Times New Roman"/>
      <family val="1"/>
    </font>
    <font>
      <b/>
      <sz val="10"/>
      <color theme="0"/>
      <name val="Times New Roman"/>
      <family val="1"/>
    </font>
    <font>
      <b/>
      <sz val="6"/>
      <color theme="0" tint="-0.499984740745262"/>
      <name val="Times New Roman"/>
      <family val="1"/>
    </font>
    <font>
      <b/>
      <sz val="10"/>
      <color theme="1"/>
      <name val="Times New Roman"/>
      <family val="1"/>
    </font>
    <font>
      <b/>
      <sz val="8"/>
      <color theme="1"/>
      <name val="Times New Roman"/>
      <family val="1"/>
    </font>
    <font>
      <sz val="14"/>
      <color theme="1"/>
      <name val="Garamond"/>
      <family val="1"/>
    </font>
    <font>
      <b/>
      <u val="singleAccounting"/>
      <sz val="10"/>
      <color theme="0"/>
      <name val="Garamond"/>
      <family val="1"/>
    </font>
    <font>
      <sz val="10"/>
      <color rgb="FF800000"/>
      <name val="Garamond"/>
      <family val="1"/>
    </font>
  </fonts>
  <fills count="17">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rgb="FF000000"/>
        <bgColor indexed="64"/>
      </patternFill>
    </fill>
    <fill>
      <patternFill patternType="solid">
        <fgColor rgb="FFF2F2F2"/>
        <bgColor indexed="64"/>
      </patternFill>
    </fill>
    <fill>
      <patternFill patternType="solid">
        <fgColor rgb="FFD0F9F2"/>
        <bgColor indexed="64"/>
      </patternFill>
    </fill>
    <fill>
      <patternFill patternType="solid">
        <fgColor rgb="FFECEDF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0E2841"/>
        <bgColor indexed="64"/>
      </patternFill>
    </fill>
    <fill>
      <patternFill patternType="solid">
        <fgColor theme="9" tint="0.79995117038483843"/>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1"/>
        <bgColor indexed="64"/>
      </patternFill>
    </fill>
    <fill>
      <patternFill patternType="solid">
        <fgColor theme="8" tint="0.79998168889431442"/>
        <bgColor indexed="64"/>
      </patternFill>
    </fill>
    <fill>
      <patternFill patternType="solid">
        <fgColor theme="0" tint="-0.14999847407452621"/>
        <bgColor indexed="64"/>
      </patternFill>
    </fill>
  </fills>
  <borders count="60">
    <border>
      <left/>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right/>
      <top style="thin">
        <color auto="1"/>
      </top>
      <bottom style="thin">
        <color auto="1"/>
      </bottom>
      <diagonal/>
    </border>
    <border>
      <left style="thin">
        <color rgb="FF000000"/>
      </left>
      <right/>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bottom style="thin">
        <color auto="1"/>
      </bottom>
      <diagonal/>
    </border>
    <border>
      <left/>
      <right style="thick">
        <color auto="1"/>
      </right>
      <top/>
      <bottom/>
      <diagonal/>
    </border>
    <border>
      <left/>
      <right style="thick">
        <color auto="1"/>
      </right>
      <top/>
      <bottom style="thin">
        <color auto="1"/>
      </bottom>
      <diagonal/>
    </border>
    <border>
      <left/>
      <right style="thick">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rgb="FF000000"/>
      </top>
      <bottom style="thin">
        <color rgb="FF000000"/>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rgb="FF000000"/>
      </bottom>
      <diagonal/>
    </border>
    <border>
      <left style="thin">
        <color auto="1"/>
      </left>
      <right style="thin">
        <color auto="1"/>
      </right>
      <top/>
      <bottom style="thin">
        <color rgb="FF000000"/>
      </bottom>
      <diagonal/>
    </border>
    <border>
      <left style="thin">
        <color auto="1"/>
      </left>
      <right style="thin">
        <color rgb="FF000000"/>
      </right>
      <top/>
      <bottom style="thin">
        <color rgb="FF000000"/>
      </bottom>
      <diagonal/>
    </border>
    <border>
      <left/>
      <right style="thick">
        <color auto="1"/>
      </right>
      <top style="thin">
        <color rgb="FF000000"/>
      </top>
      <bottom/>
      <diagonal/>
    </border>
    <border>
      <left/>
      <right style="thick">
        <color auto="1"/>
      </right>
      <top style="thin">
        <color auto="1"/>
      </top>
      <bottom style="thin">
        <color auto="1"/>
      </bottom>
      <diagonal/>
    </border>
    <border>
      <left/>
      <right style="thick">
        <color auto="1"/>
      </right>
      <top/>
      <bottom style="thin">
        <color rgb="FF000000"/>
      </bottom>
      <diagonal/>
    </border>
    <border>
      <left style="thin">
        <color theme="0" tint="-0.24994659260841701"/>
      </left>
      <right/>
      <top/>
      <bottom/>
      <diagonal/>
    </border>
    <border>
      <left/>
      <right style="thin">
        <color theme="0" tint="-0.34998626667073579"/>
      </right>
      <top/>
      <bottom/>
      <diagonal/>
    </border>
    <border>
      <left style="thin">
        <color theme="0" tint="-0.34998626667073579"/>
      </left>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style="hair">
        <color theme="0" tint="-0.499984740745262"/>
      </right>
      <top style="hair">
        <color theme="0" tint="-0.499984740745262"/>
      </top>
      <bottom style="hair">
        <color theme="0" tint="-0.499984740745262"/>
      </bottom>
      <diagonal/>
    </border>
    <border>
      <left/>
      <right/>
      <top style="hair">
        <color theme="0" tint="-0.499984740745262"/>
      </top>
      <bottom style="hair">
        <color theme="0" tint="-0.499984740745262"/>
      </bottom>
      <diagonal/>
    </border>
    <border>
      <left style="hair">
        <color theme="0" tint="-0.499984740745262"/>
      </left>
      <right/>
      <top style="hair">
        <color theme="0" tint="-0.499984740745262"/>
      </top>
      <bottom style="hair">
        <color theme="0" tint="-0.499984740745262"/>
      </bottom>
      <diagonal/>
    </border>
    <border>
      <left style="thin">
        <color theme="0" tint="-0.34998626667073579"/>
      </left>
      <right/>
      <top/>
      <bottom style="thin">
        <color auto="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style="medium">
        <color theme="0"/>
      </left>
      <right/>
      <top/>
      <bottom/>
      <diagonal/>
    </border>
    <border>
      <left/>
      <right/>
      <top style="hair">
        <color rgb="FF0E2841"/>
      </top>
      <bottom/>
      <diagonal/>
    </border>
    <border>
      <left/>
      <right/>
      <top style="hair">
        <color rgb="FF0E2841"/>
      </top>
      <bottom style="hair">
        <color rgb="FF0E2841"/>
      </bottom>
      <diagonal/>
    </border>
    <border>
      <left/>
      <right style="thin">
        <color theme="0" tint="-0.34998626667073579"/>
      </right>
      <top/>
      <bottom style="thin">
        <color indexed="64"/>
      </bottom>
      <diagonal/>
    </border>
    <border>
      <left/>
      <right style="thin">
        <color theme="0" tint="-0.34998626667073579"/>
      </right>
      <top style="hair">
        <color rgb="FF0E2841"/>
      </top>
      <bottom style="hair">
        <color rgb="FF0E2841"/>
      </bottom>
      <diagonal/>
    </border>
    <border>
      <left style="thin">
        <color theme="0" tint="-0.34998626667073579"/>
      </left>
      <right/>
      <top style="hair">
        <color rgb="FF0E2841"/>
      </top>
      <bottom style="hair">
        <color rgb="FF0E2841"/>
      </bottom>
      <diagonal/>
    </border>
    <border>
      <left/>
      <right style="thin">
        <color theme="0" tint="-0.34998626667073579"/>
      </right>
      <top style="thin">
        <color indexed="64"/>
      </top>
      <bottom/>
      <diagonal/>
    </border>
    <border>
      <left style="thin">
        <color theme="0" tint="-0.34998626667073579"/>
      </left>
      <right/>
      <top style="thin">
        <color auto="1"/>
      </top>
      <bottom/>
      <diagonal/>
    </border>
    <border>
      <left style="thin">
        <color theme="0" tint="-0.34998626667073579"/>
      </left>
      <right style="hair">
        <color theme="0" tint="-0.499984740745262"/>
      </right>
      <top style="hair">
        <color theme="0" tint="-0.499984740745262"/>
      </top>
      <bottom style="hair">
        <color theme="0" tint="-0.499984740745262"/>
      </bottom>
      <diagonal/>
    </border>
    <border>
      <left/>
      <right style="thin">
        <color theme="0" tint="-0.34998626667073579"/>
      </right>
      <top style="hair">
        <color theme="0" tint="-0.499984740745262"/>
      </top>
      <bottom style="hair">
        <color theme="0" tint="-0.499984740745262"/>
      </bottom>
      <diagonal/>
    </border>
    <border>
      <left style="thin">
        <color theme="0" tint="-0.34998626667073579"/>
      </left>
      <right/>
      <top style="hair">
        <color theme="0" tint="-0.499984740745262"/>
      </top>
      <bottom style="hair">
        <color theme="0" tint="-0.499984740745262"/>
      </bottom>
      <diagonal/>
    </border>
    <border>
      <left/>
      <right style="thin">
        <color theme="0" tint="-0.34998626667073579"/>
      </right>
      <top style="thin">
        <color theme="0" tint="-0.34998626667073579"/>
      </top>
      <bottom/>
      <diagonal/>
    </border>
    <border>
      <left/>
      <right/>
      <top style="thin">
        <color theme="0" tint="-0.34998626667073579"/>
      </top>
      <bottom/>
      <diagonal/>
    </border>
    <border>
      <left style="medium">
        <color theme="0"/>
      </left>
      <right/>
      <top style="thin">
        <color theme="0" tint="-0.34998626667073579"/>
      </top>
      <bottom/>
      <diagonal/>
    </border>
    <border>
      <left style="thin">
        <color theme="0" tint="-0.34998626667073579"/>
      </left>
      <right/>
      <top style="thin">
        <color theme="0" tint="-0.34998626667073579"/>
      </top>
      <bottom/>
      <diagonal/>
    </border>
    <border>
      <left/>
      <right/>
      <top/>
      <bottom style="thin">
        <color theme="0" tint="-0.34998626667073579"/>
      </bottom>
      <diagonal/>
    </border>
    <border>
      <left style="thin">
        <color theme="0" tint="-0.34998626667073579"/>
      </left>
      <right/>
      <top/>
      <bottom style="thin">
        <color theme="0" tint="-0.34998626667073579"/>
      </bottom>
      <diagonal/>
    </border>
    <border>
      <left style="thin">
        <color theme="0" tint="-0.24994659260841701"/>
      </left>
      <right/>
      <top/>
      <bottom style="thin">
        <color theme="0" tint="-0.34998626667073579"/>
      </bottom>
      <diagonal/>
    </border>
  </borders>
  <cellStyleXfs count="20">
    <xf numFmtId="0" fontId="0" fillId="0" borderId="0"/>
    <xf numFmtId="9" fontId="58" fillId="0" borderId="0"/>
    <xf numFmtId="166" fontId="58" fillId="0" borderId="0"/>
    <xf numFmtId="164"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6" fontId="3" fillId="0" borderId="0"/>
    <xf numFmtId="0" fontId="14" fillId="2" borderId="0"/>
    <xf numFmtId="0" fontId="5" fillId="0" borderId="0"/>
    <xf numFmtId="0" fontId="12" fillId="0" borderId="0">
      <alignment vertical="top"/>
      <protection locked="0"/>
    </xf>
    <xf numFmtId="0" fontId="3" fillId="0" borderId="0"/>
    <xf numFmtId="0" fontId="3" fillId="0" borderId="0"/>
    <xf numFmtId="0" fontId="58" fillId="0" borderId="0"/>
    <xf numFmtId="9" fontId="3" fillId="0" borderId="0"/>
    <xf numFmtId="0" fontId="5" fillId="0" borderId="0" applyNumberFormat="0" applyFill="0" applyBorder="0" applyAlignment="0" applyProtection="0"/>
    <xf numFmtId="0" fontId="58" fillId="0" borderId="0"/>
    <xf numFmtId="0" fontId="58" fillId="0" borderId="0"/>
    <xf numFmtId="166" fontId="58" fillId="0" borderId="0" applyFont="0" applyFill="0" applyBorder="0" applyAlignment="0" applyProtection="0"/>
    <xf numFmtId="166" fontId="58" fillId="0" borderId="0" applyFont="0" applyFill="0" applyBorder="0" applyAlignment="0" applyProtection="0"/>
    <xf numFmtId="0" fontId="1" fillId="0" borderId="0"/>
  </cellStyleXfs>
  <cellXfs count="1578">
    <xf numFmtId="0" fontId="0" fillId="0" borderId="0" xfId="0"/>
    <xf numFmtId="0" fontId="15" fillId="3" borderId="0" xfId="11" applyFont="1" applyFill="1"/>
    <xf numFmtId="0" fontId="3" fillId="0" borderId="0" xfId="11"/>
    <xf numFmtId="0" fontId="3" fillId="3" borderId="0" xfId="11" applyFill="1"/>
    <xf numFmtId="171" fontId="8" fillId="3" borderId="7" xfId="0" applyNumberFormat="1" applyFont="1" applyFill="1" applyBorder="1" applyAlignment="1">
      <alignment horizontal="right"/>
    </xf>
    <xf numFmtId="170" fontId="8" fillId="3" borderId="7" xfId="0" applyNumberFormat="1" applyFont="1" applyFill="1" applyBorder="1"/>
    <xf numFmtId="170" fontId="8" fillId="3" borderId="0" xfId="0" applyNumberFormat="1" applyFont="1" applyFill="1"/>
    <xf numFmtId="170" fontId="8" fillId="3" borderId="9" xfId="0" applyNumberFormat="1" applyFont="1" applyFill="1" applyBorder="1"/>
    <xf numFmtId="170" fontId="19" fillId="3" borderId="0" xfId="0" applyNumberFormat="1" applyFont="1" applyFill="1"/>
    <xf numFmtId="171" fontId="8" fillId="3" borderId="0" xfId="0" applyNumberFormat="1" applyFont="1" applyFill="1"/>
    <xf numFmtId="173" fontId="8" fillId="3" borderId="0" xfId="0" applyNumberFormat="1" applyFont="1" applyFill="1"/>
    <xf numFmtId="176" fontId="0" fillId="3" borderId="0" xfId="0" applyNumberFormat="1" applyFill="1"/>
    <xf numFmtId="173" fontId="0" fillId="3" borderId="0" xfId="0" applyNumberFormat="1" applyFill="1"/>
    <xf numFmtId="173" fontId="8" fillId="3" borderId="7" xfId="0" applyNumberFormat="1" applyFont="1" applyFill="1" applyBorder="1"/>
    <xf numFmtId="170" fontId="0" fillId="3" borderId="2" xfId="0" applyNumberFormat="1" applyFill="1" applyBorder="1"/>
    <xf numFmtId="174" fontId="8" fillId="3" borderId="0" xfId="0" applyNumberFormat="1" applyFont="1" applyFill="1"/>
    <xf numFmtId="174" fontId="0" fillId="3" borderId="0" xfId="0" applyNumberFormat="1" applyFill="1"/>
    <xf numFmtId="170" fontId="8" fillId="3" borderId="9" xfId="0" applyNumberFormat="1" applyFont="1" applyFill="1" applyBorder="1" applyAlignment="1">
      <alignment horizontal="left"/>
    </xf>
    <xf numFmtId="170" fontId="0" fillId="3" borderId="2" xfId="0" applyNumberFormat="1" applyFill="1" applyBorder="1" applyAlignment="1">
      <alignment horizontal="left" indent="1"/>
    </xf>
    <xf numFmtId="170" fontId="8" fillId="3" borderId="0" xfId="0" applyNumberFormat="1" applyFont="1" applyFill="1" applyAlignment="1">
      <alignment horizontal="left"/>
    </xf>
    <xf numFmtId="170" fontId="8" fillId="3" borderId="7" xfId="0" applyNumberFormat="1" applyFont="1" applyFill="1" applyBorder="1" applyAlignment="1">
      <alignment horizontal="left"/>
    </xf>
    <xf numFmtId="173" fontId="4" fillId="3" borderId="0" xfId="2" applyNumberFormat="1" applyFont="1" applyFill="1"/>
    <xf numFmtId="173" fontId="4" fillId="3" borderId="7" xfId="2" applyNumberFormat="1" applyFont="1" applyFill="1" applyBorder="1"/>
    <xf numFmtId="171" fontId="8" fillId="3" borderId="7" xfId="0" applyNumberFormat="1" applyFont="1" applyFill="1" applyBorder="1" applyAlignment="1">
      <alignment horizontal="left"/>
    </xf>
    <xf numFmtId="171" fontId="0" fillId="3" borderId="0" xfId="0" applyNumberFormat="1" applyFill="1"/>
    <xf numFmtId="168" fontId="8" fillId="3" borderId="0" xfId="0" applyNumberFormat="1" applyFont="1" applyFill="1" applyAlignment="1">
      <alignment horizontal="left"/>
    </xf>
    <xf numFmtId="170" fontId="4" fillId="3" borderId="0" xfId="0" applyNumberFormat="1" applyFont="1" applyFill="1"/>
    <xf numFmtId="174" fontId="4" fillId="3" borderId="0" xfId="0" applyNumberFormat="1" applyFont="1" applyFill="1"/>
    <xf numFmtId="171" fontId="0" fillId="3" borderId="0" xfId="0" applyNumberFormat="1" applyFill="1" applyAlignment="1">
      <alignment horizontal="left"/>
    </xf>
    <xf numFmtId="168" fontId="8" fillId="3" borderId="0" xfId="0" applyNumberFormat="1" applyFont="1" applyFill="1" applyAlignment="1">
      <alignment horizontal="left" indent="1"/>
    </xf>
    <xf numFmtId="168" fontId="0" fillId="3" borderId="0" xfId="0" applyNumberFormat="1" applyFill="1" applyAlignment="1">
      <alignment horizontal="left" indent="2"/>
    </xf>
    <xf numFmtId="171" fontId="22" fillId="4" borderId="0" xfId="0" applyNumberFormat="1" applyFont="1" applyFill="1"/>
    <xf numFmtId="0" fontId="24" fillId="3" borderId="0" xfId="0" applyFont="1" applyFill="1" applyAlignment="1">
      <alignment horizontal="center"/>
    </xf>
    <xf numFmtId="170" fontId="23" fillId="3" borderId="7" xfId="0" applyNumberFormat="1" applyFont="1" applyFill="1" applyBorder="1"/>
    <xf numFmtId="173" fontId="23" fillId="3" borderId="7" xfId="0" applyNumberFormat="1" applyFont="1" applyFill="1" applyBorder="1"/>
    <xf numFmtId="170" fontId="23" fillId="3" borderId="0" xfId="0" applyNumberFormat="1" applyFont="1" applyFill="1"/>
    <xf numFmtId="171" fontId="23" fillId="3" borderId="7" xfId="0" applyNumberFormat="1" applyFont="1" applyFill="1" applyBorder="1" applyAlignment="1">
      <alignment horizontal="right"/>
    </xf>
    <xf numFmtId="170" fontId="25" fillId="3" borderId="0" xfId="0" applyNumberFormat="1" applyFont="1" applyFill="1"/>
    <xf numFmtId="170" fontId="23" fillId="3" borderId="9" xfId="0" applyNumberFormat="1" applyFont="1" applyFill="1" applyBorder="1"/>
    <xf numFmtId="0" fontId="15" fillId="0" borderId="0" xfId="11" applyFont="1"/>
    <xf numFmtId="1" fontId="23" fillId="3" borderId="0" xfId="0" applyNumberFormat="1" applyFont="1" applyFill="1" applyAlignment="1">
      <alignment horizontal="center"/>
    </xf>
    <xf numFmtId="17" fontId="21" fillId="3" borderId="0" xfId="0" applyNumberFormat="1" applyFont="1" applyFill="1" applyAlignment="1">
      <alignment horizontal="center"/>
    </xf>
    <xf numFmtId="171" fontId="8" fillId="3" borderId="0" xfId="0" applyNumberFormat="1" applyFont="1" applyFill="1" applyAlignment="1">
      <alignment horizontal="left"/>
    </xf>
    <xf numFmtId="183" fontId="4" fillId="3" borderId="0" xfId="0" applyNumberFormat="1" applyFont="1" applyFill="1"/>
    <xf numFmtId="170" fontId="27" fillId="3" borderId="0" xfId="0" applyNumberFormat="1" applyFont="1" applyFill="1" applyAlignment="1">
      <alignment horizontal="left" indent="1"/>
    </xf>
    <xf numFmtId="170" fontId="26" fillId="3" borderId="0" xfId="0" applyNumberFormat="1" applyFont="1" applyFill="1"/>
    <xf numFmtId="173" fontId="27" fillId="3" borderId="0" xfId="0" applyNumberFormat="1" applyFont="1" applyFill="1" applyAlignment="1">
      <alignment horizontal="left" indent="1"/>
    </xf>
    <xf numFmtId="173" fontId="26" fillId="3" borderId="0" xfId="0" applyNumberFormat="1" applyFont="1" applyFill="1"/>
    <xf numFmtId="171" fontId="19" fillId="3" borderId="0" xfId="0" applyNumberFormat="1" applyFont="1" applyFill="1" applyAlignment="1">
      <alignment horizontal="left" indent="1"/>
    </xf>
    <xf numFmtId="171" fontId="24" fillId="3" borderId="0" xfId="2" applyNumberFormat="1" applyFont="1" applyFill="1"/>
    <xf numFmtId="171" fontId="23" fillId="3" borderId="0" xfId="0" applyNumberFormat="1" applyFont="1" applyFill="1" applyAlignment="1">
      <alignment horizontal="right"/>
    </xf>
    <xf numFmtId="171" fontId="23" fillId="3" borderId="7" xfId="0" applyNumberFormat="1" applyFont="1" applyFill="1" applyBorder="1" applyAlignment="1">
      <alignment horizontal="left" indent="1"/>
    </xf>
    <xf numFmtId="171" fontId="24" fillId="3" borderId="7" xfId="2" applyNumberFormat="1" applyFont="1" applyFill="1" applyBorder="1"/>
    <xf numFmtId="171" fontId="27" fillId="3" borderId="0" xfId="0" applyNumberFormat="1" applyFont="1" applyFill="1" applyAlignment="1">
      <alignment horizontal="left" indent="1"/>
    </xf>
    <xf numFmtId="171" fontId="26" fillId="3" borderId="0" xfId="0" applyNumberFormat="1" applyFont="1" applyFill="1"/>
    <xf numFmtId="171" fontId="25" fillId="3" borderId="0" xfId="0" applyNumberFormat="1" applyFont="1" applyFill="1"/>
    <xf numFmtId="168" fontId="29" fillId="4" borderId="0" xfId="12" applyNumberFormat="1" applyFont="1" applyFill="1"/>
    <xf numFmtId="171" fontId="22" fillId="4" borderId="0" xfId="12" applyNumberFormat="1" applyFont="1" applyFill="1"/>
    <xf numFmtId="168" fontId="24" fillId="3" borderId="0" xfId="12" applyNumberFormat="1" applyFont="1" applyFill="1" applyAlignment="1">
      <alignment horizontal="center"/>
    </xf>
    <xf numFmtId="170" fontId="25" fillId="3" borderId="0" xfId="12" applyNumberFormat="1" applyFont="1" applyFill="1"/>
    <xf numFmtId="170" fontId="23" fillId="3" borderId="7" xfId="12" applyNumberFormat="1" applyFont="1" applyFill="1" applyBorder="1"/>
    <xf numFmtId="171" fontId="25" fillId="3" borderId="0" xfId="0" applyNumberFormat="1" applyFont="1" applyFill="1" applyAlignment="1">
      <alignment horizontal="right"/>
    </xf>
    <xf numFmtId="170" fontId="23" fillId="3" borderId="0" xfId="12" applyNumberFormat="1" applyFont="1" applyFill="1"/>
    <xf numFmtId="173" fontId="23" fillId="3" borderId="0" xfId="12" applyNumberFormat="1" applyFont="1" applyFill="1"/>
    <xf numFmtId="171" fontId="25" fillId="3" borderId="0" xfId="12" applyNumberFormat="1" applyFont="1" applyFill="1" applyAlignment="1">
      <alignment horizontal="center"/>
    </xf>
    <xf numFmtId="171" fontId="25" fillId="3" borderId="0" xfId="12" applyNumberFormat="1" applyFont="1" applyFill="1" applyAlignment="1">
      <alignment horizontal="right"/>
    </xf>
    <xf numFmtId="171" fontId="23" fillId="3" borderId="0" xfId="12" applyNumberFormat="1" applyFont="1" applyFill="1" applyAlignment="1">
      <alignment horizontal="right"/>
    </xf>
    <xf numFmtId="181" fontId="23" fillId="3" borderId="0" xfId="12" applyNumberFormat="1" applyFont="1" applyFill="1" applyAlignment="1">
      <alignment horizontal="right"/>
    </xf>
    <xf numFmtId="174" fontId="23" fillId="3" borderId="0" xfId="12" applyNumberFormat="1" applyFont="1" applyFill="1"/>
    <xf numFmtId="182" fontId="23" fillId="3" borderId="0" xfId="12" applyNumberFormat="1" applyFont="1" applyFill="1" applyAlignment="1">
      <alignment horizontal="right"/>
    </xf>
    <xf numFmtId="174" fontId="25" fillId="3" borderId="0" xfId="12" applyNumberFormat="1" applyFont="1" applyFill="1"/>
    <xf numFmtId="171" fontId="8" fillId="3" borderId="0" xfId="0" applyNumberFormat="1" applyFont="1" applyFill="1" applyAlignment="1">
      <alignment horizontal="left" indent="1"/>
    </xf>
    <xf numFmtId="176" fontId="3" fillId="3" borderId="0" xfId="2" applyNumberFormat="1" applyFont="1" applyFill="1"/>
    <xf numFmtId="174" fontId="3" fillId="3" borderId="0" xfId="0" applyNumberFormat="1" applyFont="1" applyFill="1"/>
    <xf numFmtId="170" fontId="0" fillId="3" borderId="0" xfId="0" applyNumberFormat="1" applyFill="1" applyAlignment="1">
      <alignment horizontal="left"/>
    </xf>
    <xf numFmtId="171" fontId="26" fillId="3" borderId="0" xfId="0" applyNumberFormat="1" applyFont="1" applyFill="1" applyAlignment="1">
      <alignment horizontal="left" indent="3"/>
    </xf>
    <xf numFmtId="170" fontId="26" fillId="3" borderId="0" xfId="0" applyNumberFormat="1" applyFont="1" applyFill="1" applyAlignment="1">
      <alignment horizontal="left" indent="3"/>
    </xf>
    <xf numFmtId="173" fontId="26" fillId="3" borderId="0" xfId="0" applyNumberFormat="1" applyFont="1" applyFill="1" applyAlignment="1">
      <alignment horizontal="left" indent="3"/>
    </xf>
    <xf numFmtId="173" fontId="25" fillId="3" borderId="0" xfId="0" applyNumberFormat="1" applyFont="1" applyFill="1"/>
    <xf numFmtId="171" fontId="26" fillId="3" borderId="0" xfId="0" applyNumberFormat="1" applyFont="1" applyFill="1" applyAlignment="1">
      <alignment horizontal="left" indent="1"/>
    </xf>
    <xf numFmtId="173" fontId="23" fillId="3" borderId="0" xfId="0" applyNumberFormat="1" applyFont="1" applyFill="1"/>
    <xf numFmtId="173" fontId="23" fillId="3" borderId="0" xfId="2" applyNumberFormat="1" applyFont="1" applyFill="1"/>
    <xf numFmtId="170" fontId="25" fillId="3" borderId="2" xfId="0" applyNumberFormat="1" applyFont="1" applyFill="1" applyBorder="1"/>
    <xf numFmtId="171" fontId="19" fillId="3" borderId="0" xfId="0" applyNumberFormat="1" applyFont="1" applyFill="1"/>
    <xf numFmtId="17" fontId="21" fillId="3" borderId="0" xfId="12" applyNumberFormat="1" applyFont="1" applyFill="1" applyAlignment="1">
      <alignment horizontal="center"/>
    </xf>
    <xf numFmtId="171" fontId="25" fillId="3" borderId="0" xfId="12" applyNumberFormat="1" applyFont="1" applyFill="1"/>
    <xf numFmtId="170" fontId="25" fillId="3" borderId="0" xfId="0" applyNumberFormat="1" applyFont="1" applyFill="1" applyAlignment="1">
      <alignment horizontal="left" indent="1"/>
    </xf>
    <xf numFmtId="170" fontId="25" fillId="3" borderId="0" xfId="0" applyNumberFormat="1" applyFont="1" applyFill="1" applyAlignment="1">
      <alignment horizontal="left" indent="3"/>
    </xf>
    <xf numFmtId="172" fontId="30" fillId="3" borderId="0" xfId="8" applyNumberFormat="1" applyFont="1" applyFill="1" applyAlignment="1">
      <alignment horizontal="left"/>
    </xf>
    <xf numFmtId="168" fontId="24" fillId="3" borderId="0" xfId="12" applyNumberFormat="1" applyFont="1" applyFill="1" applyAlignment="1">
      <alignment horizontal="left"/>
    </xf>
    <xf numFmtId="168" fontId="23" fillId="3" borderId="0" xfId="12" applyNumberFormat="1" applyFont="1" applyFill="1" applyAlignment="1">
      <alignment horizontal="left"/>
    </xf>
    <xf numFmtId="168" fontId="25" fillId="3" borderId="0" xfId="12" applyNumberFormat="1" applyFont="1" applyFill="1" applyAlignment="1">
      <alignment horizontal="left" indent="1"/>
    </xf>
    <xf numFmtId="168" fontId="25" fillId="3" borderId="0" xfId="12" applyNumberFormat="1" applyFont="1" applyFill="1" applyAlignment="1">
      <alignment horizontal="left" indent="3"/>
    </xf>
    <xf numFmtId="168" fontId="23" fillId="3" borderId="7" xfId="12" applyNumberFormat="1" applyFont="1" applyFill="1" applyBorder="1" applyAlignment="1">
      <alignment horizontal="left"/>
    </xf>
    <xf numFmtId="168" fontId="23" fillId="3" borderId="7" xfId="12" applyNumberFormat="1" applyFont="1" applyFill="1" applyBorder="1" applyAlignment="1">
      <alignment horizontal="left" indent="3"/>
    </xf>
    <xf numFmtId="168" fontId="23" fillId="3" borderId="0" xfId="12" applyNumberFormat="1" applyFont="1" applyFill="1" applyAlignment="1">
      <alignment horizontal="left" indent="3"/>
    </xf>
    <xf numFmtId="171" fontId="21" fillId="3" borderId="0" xfId="2" applyNumberFormat="1" applyFont="1" applyFill="1"/>
    <xf numFmtId="168" fontId="25" fillId="3" borderId="0" xfId="12" applyNumberFormat="1" applyFont="1" applyFill="1" applyAlignment="1">
      <alignment horizontal="left" indent="4"/>
    </xf>
    <xf numFmtId="173" fontId="24" fillId="3" borderId="0" xfId="2" applyNumberFormat="1" applyFont="1" applyFill="1"/>
    <xf numFmtId="173" fontId="23" fillId="3" borderId="0" xfId="12" applyNumberFormat="1" applyFont="1" applyFill="1" applyAlignment="1">
      <alignment horizontal="left" indent="3"/>
    </xf>
    <xf numFmtId="171" fontId="25" fillId="3" borderId="0" xfId="12" applyNumberFormat="1" applyFont="1" applyFill="1" applyAlignment="1">
      <alignment horizontal="left" indent="1"/>
    </xf>
    <xf numFmtId="171" fontId="23" fillId="3" borderId="0" xfId="12" applyNumberFormat="1" applyFont="1" applyFill="1" applyAlignment="1">
      <alignment horizontal="left"/>
    </xf>
    <xf numFmtId="181" fontId="23" fillId="3" borderId="0" xfId="12" applyNumberFormat="1" applyFont="1" applyFill="1" applyAlignment="1">
      <alignment horizontal="left"/>
    </xf>
    <xf numFmtId="181" fontId="24" fillId="3" borderId="0" xfId="2" applyNumberFormat="1" applyFont="1" applyFill="1"/>
    <xf numFmtId="174" fontId="24" fillId="3" borderId="0" xfId="12" applyNumberFormat="1" applyFont="1" applyFill="1"/>
    <xf numFmtId="174" fontId="23" fillId="3" borderId="0" xfId="12" applyNumberFormat="1" applyFont="1" applyFill="1" applyAlignment="1">
      <alignment horizontal="left" indent="3"/>
    </xf>
    <xf numFmtId="182" fontId="23" fillId="3" borderId="0" xfId="12" applyNumberFormat="1" applyFont="1" applyFill="1" applyAlignment="1">
      <alignment horizontal="left"/>
    </xf>
    <xf numFmtId="182" fontId="24" fillId="3" borderId="0" xfId="2" applyNumberFormat="1" applyFont="1" applyFill="1"/>
    <xf numFmtId="171" fontId="25" fillId="3" borderId="0" xfId="12" applyNumberFormat="1" applyFont="1" applyFill="1" applyAlignment="1">
      <alignment horizontal="left"/>
    </xf>
    <xf numFmtId="174" fontId="21" fillId="3" borderId="0" xfId="12" applyNumberFormat="1" applyFont="1" applyFill="1"/>
    <xf numFmtId="174" fontId="25" fillId="3" borderId="0" xfId="12" applyNumberFormat="1" applyFont="1" applyFill="1" applyAlignment="1">
      <alignment horizontal="left" indent="3"/>
    </xf>
    <xf numFmtId="0" fontId="25" fillId="3" borderId="0" xfId="12" applyFont="1" applyFill="1"/>
    <xf numFmtId="168" fontId="8" fillId="3" borderId="11" xfId="0" applyNumberFormat="1" applyFont="1" applyFill="1" applyBorder="1"/>
    <xf numFmtId="188" fontId="0" fillId="3" borderId="0" xfId="0" applyNumberFormat="1" applyFill="1"/>
    <xf numFmtId="168" fontId="0" fillId="3" borderId="0" xfId="0" applyNumberFormat="1" applyFill="1" applyAlignment="1">
      <alignment horizontal="left" indent="1"/>
    </xf>
    <xf numFmtId="0" fontId="0" fillId="3" borderId="0" xfId="0" applyFill="1"/>
    <xf numFmtId="170" fontId="0" fillId="3" borderId="0" xfId="0" applyNumberFormat="1" applyFill="1" applyAlignment="1">
      <alignment horizontal="left" indent="1"/>
    </xf>
    <xf numFmtId="170" fontId="0" fillId="3" borderId="0" xfId="0" applyNumberFormat="1" applyFill="1"/>
    <xf numFmtId="170" fontId="0" fillId="3" borderId="12" xfId="0" applyNumberFormat="1" applyFill="1" applyBorder="1" applyAlignment="1">
      <alignment horizontal="left" indent="1"/>
    </xf>
    <xf numFmtId="170" fontId="0" fillId="3" borderId="12" xfId="0" applyNumberFormat="1" applyFill="1" applyBorder="1"/>
    <xf numFmtId="0" fontId="31" fillId="4" borderId="0" xfId="0" applyFont="1" applyFill="1"/>
    <xf numFmtId="171" fontId="23" fillId="3" borderId="0" xfId="0" applyNumberFormat="1" applyFont="1" applyFill="1"/>
    <xf numFmtId="0" fontId="8" fillId="3" borderId="0" xfId="0" applyFont="1" applyFill="1"/>
    <xf numFmtId="171" fontId="23" fillId="3" borderId="0" xfId="12" applyNumberFormat="1" applyFont="1" applyFill="1"/>
    <xf numFmtId="181" fontId="23" fillId="3" borderId="0" xfId="12" applyNumberFormat="1" applyFont="1" applyFill="1"/>
    <xf numFmtId="182" fontId="23" fillId="3" borderId="0" xfId="12" applyNumberFormat="1" applyFont="1" applyFill="1"/>
    <xf numFmtId="0" fontId="25" fillId="3" borderId="0" xfId="0" applyFont="1" applyFill="1"/>
    <xf numFmtId="168" fontId="22" fillId="4" borderId="0" xfId="0" applyNumberFormat="1" applyFont="1" applyFill="1" applyAlignment="1">
      <alignment horizontal="left"/>
    </xf>
    <xf numFmtId="168" fontId="22" fillId="4" borderId="0" xfId="0" applyNumberFormat="1" applyFont="1" applyFill="1" applyAlignment="1">
      <alignment horizontal="left" indent="3"/>
    </xf>
    <xf numFmtId="171" fontId="33" fillId="3" borderId="0" xfId="0" applyNumberFormat="1" applyFont="1" applyFill="1" applyAlignment="1">
      <alignment horizontal="left" indent="1"/>
    </xf>
    <xf numFmtId="171" fontId="0" fillId="3" borderId="0" xfId="0" applyNumberFormat="1" applyFill="1" applyAlignment="1">
      <alignment horizontal="left" indent="1"/>
    </xf>
    <xf numFmtId="171" fontId="25" fillId="3" borderId="0" xfId="12" applyNumberFormat="1" applyFont="1" applyFill="1" applyAlignment="1">
      <alignment horizontal="left" indent="4"/>
    </xf>
    <xf numFmtId="171" fontId="25" fillId="3" borderId="2" xfId="12" applyNumberFormat="1" applyFont="1" applyFill="1" applyBorder="1" applyAlignment="1">
      <alignment horizontal="left" indent="1"/>
    </xf>
    <xf numFmtId="168" fontId="21" fillId="3" borderId="11" xfId="10" applyNumberFormat="1" applyFont="1" applyFill="1" applyBorder="1"/>
    <xf numFmtId="188" fontId="25" fillId="3" borderId="0" xfId="0" applyNumberFormat="1" applyFont="1" applyFill="1"/>
    <xf numFmtId="189" fontId="0" fillId="3" borderId="0" xfId="0" applyNumberFormat="1" applyFill="1"/>
    <xf numFmtId="188" fontId="0" fillId="3" borderId="0" xfId="0" applyNumberFormat="1" applyFill="1" applyAlignment="1">
      <alignment horizontal="left" indent="1"/>
    </xf>
    <xf numFmtId="189" fontId="0" fillId="3" borderId="0" xfId="0" applyNumberFormat="1" applyFill="1" applyAlignment="1">
      <alignment horizontal="left" indent="1"/>
    </xf>
    <xf numFmtId="188" fontId="8" fillId="3" borderId="0" xfId="0" applyNumberFormat="1" applyFont="1" applyFill="1"/>
    <xf numFmtId="171" fontId="23" fillId="3" borderId="0" xfId="0" applyNumberFormat="1" applyFont="1" applyFill="1" applyAlignment="1">
      <alignment horizontal="left" indent="1"/>
    </xf>
    <xf numFmtId="0" fontId="8" fillId="3" borderId="0" xfId="0" applyFont="1" applyFill="1" applyAlignment="1">
      <alignment horizontal="center"/>
    </xf>
    <xf numFmtId="172" fontId="30" fillId="3" borderId="0" xfId="14" applyNumberFormat="1" applyFont="1" applyFill="1" applyAlignment="1">
      <alignment horizontal="left"/>
    </xf>
    <xf numFmtId="0" fontId="23" fillId="3" borderId="0" xfId="0" applyFont="1" applyFill="1"/>
    <xf numFmtId="0" fontId="26" fillId="3" borderId="0" xfId="0" applyFont="1" applyFill="1"/>
    <xf numFmtId="0" fontId="25" fillId="3" borderId="0" xfId="0" applyFont="1" applyFill="1" applyAlignment="1">
      <alignment horizontal="left"/>
    </xf>
    <xf numFmtId="14" fontId="25" fillId="3" borderId="0" xfId="0" applyNumberFormat="1" applyFont="1" applyFill="1" applyAlignment="1">
      <alignment horizontal="left"/>
    </xf>
    <xf numFmtId="0" fontId="38" fillId="3" borderId="0" xfId="14" applyFont="1" applyFill="1"/>
    <xf numFmtId="0" fontId="25" fillId="3" borderId="0" xfId="0" applyFont="1" applyFill="1" applyAlignment="1">
      <alignment horizontal="center"/>
    </xf>
    <xf numFmtId="168" fontId="25" fillId="3" borderId="0" xfId="0" applyNumberFormat="1" applyFont="1" applyFill="1" applyAlignment="1">
      <alignment horizontal="center"/>
    </xf>
    <xf numFmtId="0" fontId="39" fillId="3" borderId="0" xfId="0" applyFont="1" applyFill="1"/>
    <xf numFmtId="0" fontId="22" fillId="4" borderId="0" xfId="0" applyFont="1" applyFill="1" applyAlignment="1">
      <alignment horizontal="left"/>
    </xf>
    <xf numFmtId="0" fontId="22" fillId="4" borderId="0" xfId="0" applyFont="1" applyFill="1" applyAlignment="1">
      <alignment horizontal="centerContinuous"/>
    </xf>
    <xf numFmtId="0" fontId="22" fillId="4" borderId="0" xfId="0" applyFont="1" applyFill="1" applyAlignment="1">
      <alignment horizontal="center"/>
    </xf>
    <xf numFmtId="171" fontId="22" fillId="4" borderId="0" xfId="0" applyNumberFormat="1" applyFont="1" applyFill="1" applyAlignment="1">
      <alignment horizontal="center"/>
    </xf>
    <xf numFmtId="0" fontId="25" fillId="5" borderId="0" xfId="0" applyFont="1" applyFill="1"/>
    <xf numFmtId="0" fontId="26" fillId="5" borderId="0" xfId="0" applyFont="1" applyFill="1"/>
    <xf numFmtId="171" fontId="25" fillId="5" borderId="0" xfId="0" applyNumberFormat="1" applyFont="1" applyFill="1"/>
    <xf numFmtId="14" fontId="25" fillId="5" borderId="0" xfId="0" applyNumberFormat="1" applyFont="1" applyFill="1" applyAlignment="1">
      <alignment horizontal="left"/>
    </xf>
    <xf numFmtId="170" fontId="25" fillId="5" borderId="0" xfId="0" applyNumberFormat="1" applyFont="1" applyFill="1"/>
    <xf numFmtId="0" fontId="22" fillId="3" borderId="0" xfId="0" applyFont="1" applyFill="1" applyAlignment="1">
      <alignment horizontal="left"/>
    </xf>
    <xf numFmtId="0" fontId="22" fillId="3" borderId="0" xfId="0" applyFont="1" applyFill="1" applyAlignment="1">
      <alignment horizontal="center"/>
    </xf>
    <xf numFmtId="0" fontId="23" fillId="5" borderId="0" xfId="0" applyFont="1" applyFill="1"/>
    <xf numFmtId="171" fontId="23" fillId="5" borderId="0" xfId="0" applyNumberFormat="1" applyFont="1" applyFill="1" applyAlignment="1">
      <alignment horizontal="center"/>
    </xf>
    <xf numFmtId="170" fontId="23" fillId="5" borderId="0" xfId="0" applyNumberFormat="1" applyFont="1" applyFill="1" applyAlignment="1">
      <alignment horizontal="center"/>
    </xf>
    <xf numFmtId="0" fontId="40" fillId="5" borderId="0" xfId="8" applyFont="1" applyFill="1"/>
    <xf numFmtId="170" fontId="0" fillId="3" borderId="7" xfId="0" applyNumberFormat="1" applyFill="1" applyBorder="1"/>
    <xf numFmtId="170" fontId="0" fillId="3" borderId="9" xfId="0" applyNumberFormat="1" applyFill="1" applyBorder="1"/>
    <xf numFmtId="168" fontId="25" fillId="3" borderId="13" xfId="0" applyNumberFormat="1" applyFont="1" applyFill="1" applyBorder="1"/>
    <xf numFmtId="170" fontId="25" fillId="3" borderId="2" xfId="12" applyNumberFormat="1" applyFont="1" applyFill="1" applyBorder="1"/>
    <xf numFmtId="171" fontId="25" fillId="3" borderId="2" xfId="12" applyNumberFormat="1" applyFont="1" applyFill="1" applyBorder="1" applyAlignment="1">
      <alignment horizontal="right"/>
    </xf>
    <xf numFmtId="170" fontId="0" fillId="3" borderId="9" xfId="0" applyNumberFormat="1" applyFill="1" applyBorder="1" applyAlignment="1">
      <alignment horizontal="left" indent="1"/>
    </xf>
    <xf numFmtId="170" fontId="25" fillId="3" borderId="9" xfId="0" applyNumberFormat="1" applyFont="1" applyFill="1" applyBorder="1"/>
    <xf numFmtId="170" fontId="0" fillId="3" borderId="7" xfId="0" applyNumberFormat="1" applyFill="1" applyBorder="1" applyAlignment="1">
      <alignment horizontal="left" indent="1"/>
    </xf>
    <xf numFmtId="170" fontId="25" fillId="3" borderId="7" xfId="0" applyNumberFormat="1" applyFont="1" applyFill="1" applyBorder="1"/>
    <xf numFmtId="168" fontId="8" fillId="3" borderId="10" xfId="0" applyNumberFormat="1" applyFont="1" applyFill="1" applyBorder="1"/>
    <xf numFmtId="171" fontId="0" fillId="3" borderId="10" xfId="0" applyNumberFormat="1" applyFill="1" applyBorder="1"/>
    <xf numFmtId="168" fontId="0" fillId="3" borderId="10" xfId="0" applyNumberFormat="1" applyFill="1" applyBorder="1"/>
    <xf numFmtId="173" fontId="0" fillId="3" borderId="10" xfId="0" applyNumberFormat="1" applyFill="1" applyBorder="1"/>
    <xf numFmtId="168" fontId="21" fillId="3" borderId="13" xfId="10" applyNumberFormat="1" applyFont="1" applyFill="1" applyBorder="1" applyAlignment="1">
      <alignment horizontal="left" indent="1"/>
    </xf>
    <xf numFmtId="168" fontId="21" fillId="3" borderId="13" xfId="10" applyNumberFormat="1" applyFont="1" applyFill="1" applyBorder="1"/>
    <xf numFmtId="188" fontId="0" fillId="3" borderId="10" xfId="0" applyNumberFormat="1" applyFill="1" applyBorder="1"/>
    <xf numFmtId="189" fontId="0" fillId="3" borderId="10" xfId="0" applyNumberFormat="1" applyFill="1" applyBorder="1"/>
    <xf numFmtId="168" fontId="21" fillId="3" borderId="2" xfId="10" applyNumberFormat="1" applyFont="1" applyFill="1" applyBorder="1"/>
    <xf numFmtId="168" fontId="25" fillId="3" borderId="2" xfId="12" applyNumberFormat="1" applyFont="1" applyFill="1" applyBorder="1" applyAlignment="1">
      <alignment horizontal="left" indent="1"/>
    </xf>
    <xf numFmtId="168" fontId="25" fillId="3" borderId="2" xfId="12" applyNumberFormat="1" applyFont="1" applyFill="1" applyBorder="1" applyAlignment="1">
      <alignment horizontal="left" indent="3"/>
    </xf>
    <xf numFmtId="171" fontId="21" fillId="3" borderId="2" xfId="2" applyNumberFormat="1" applyFont="1" applyFill="1" applyBorder="1"/>
    <xf numFmtId="168" fontId="25" fillId="5" borderId="0" xfId="0" applyNumberFormat="1" applyFont="1" applyFill="1"/>
    <xf numFmtId="168" fontId="23" fillId="5" borderId="0" xfId="0" applyNumberFormat="1" applyFont="1" applyFill="1" applyAlignment="1">
      <alignment horizontal="center"/>
    </xf>
    <xf numFmtId="168" fontId="23" fillId="3" borderId="0" xfId="0" applyNumberFormat="1" applyFont="1" applyFill="1" applyAlignment="1">
      <alignment horizontal="center"/>
    </xf>
    <xf numFmtId="0" fontId="40" fillId="3" borderId="0" xfId="14" applyFont="1" applyFill="1"/>
    <xf numFmtId="173" fontId="37" fillId="3" borderId="0" xfId="0" applyNumberFormat="1" applyFont="1" applyFill="1"/>
    <xf numFmtId="171" fontId="6" fillId="3" borderId="0" xfId="2" applyNumberFormat="1" applyFont="1" applyFill="1" applyAlignment="1">
      <alignment horizontal="left" indent="1"/>
    </xf>
    <xf numFmtId="170" fontId="23" fillId="3" borderId="0" xfId="0" applyNumberFormat="1" applyFont="1" applyFill="1" applyAlignment="1">
      <alignment horizontal="left"/>
    </xf>
    <xf numFmtId="170" fontId="23" fillId="3" borderId="0" xfId="0" applyNumberFormat="1" applyFont="1" applyFill="1" applyAlignment="1">
      <alignment horizontal="left" indent="3"/>
    </xf>
    <xf numFmtId="170" fontId="23" fillId="3" borderId="7" xfId="0" applyNumberFormat="1" applyFont="1" applyFill="1" applyBorder="1" applyAlignment="1">
      <alignment horizontal="left"/>
    </xf>
    <xf numFmtId="170" fontId="23" fillId="3" borderId="7" xfId="0" applyNumberFormat="1" applyFont="1" applyFill="1" applyBorder="1" applyAlignment="1">
      <alignment horizontal="left" indent="3"/>
    </xf>
    <xf numFmtId="173" fontId="29" fillId="4" borderId="0" xfId="2" applyNumberFormat="1" applyFont="1" applyFill="1"/>
    <xf numFmtId="173" fontId="22" fillId="4" borderId="0" xfId="0" applyNumberFormat="1" applyFont="1" applyFill="1"/>
    <xf numFmtId="171" fontId="8" fillId="3" borderId="0" xfId="0" applyNumberFormat="1" applyFont="1" applyFill="1" applyAlignment="1">
      <alignment horizontal="left" indent="2"/>
    </xf>
    <xf numFmtId="0" fontId="5" fillId="3" borderId="15" xfId="8" applyFill="1" applyBorder="1"/>
    <xf numFmtId="170" fontId="25" fillId="3" borderId="0" xfId="0" applyNumberFormat="1" applyFont="1" applyFill="1" applyAlignment="1">
      <alignment horizontal="right"/>
    </xf>
    <xf numFmtId="174" fontId="23" fillId="3" borderId="0" xfId="0" applyNumberFormat="1" applyFont="1" applyFill="1" applyAlignment="1">
      <alignment horizontal="right"/>
    </xf>
    <xf numFmtId="170" fontId="25" fillId="3" borderId="12" xfId="0" applyNumberFormat="1" applyFont="1" applyFill="1" applyBorder="1"/>
    <xf numFmtId="176" fontId="4" fillId="3" borderId="0" xfId="2" applyNumberFormat="1" applyFont="1" applyFill="1"/>
    <xf numFmtId="0" fontId="5" fillId="3" borderId="16" xfId="8" applyFill="1" applyBorder="1"/>
    <xf numFmtId="190" fontId="23" fillId="3" borderId="0" xfId="12" applyNumberFormat="1" applyFont="1" applyFill="1" applyAlignment="1">
      <alignment horizontal="left" indent="1"/>
    </xf>
    <xf numFmtId="188" fontId="23" fillId="3" borderId="0" xfId="12" applyNumberFormat="1" applyFont="1" applyFill="1" applyAlignment="1">
      <alignment horizontal="right"/>
    </xf>
    <xf numFmtId="170" fontId="22" fillId="4" borderId="0" xfId="0" applyNumberFormat="1" applyFont="1" applyFill="1"/>
    <xf numFmtId="170" fontId="22" fillId="4" borderId="0" xfId="0" applyNumberFormat="1" applyFont="1" applyFill="1" applyAlignment="1">
      <alignment horizontal="right"/>
    </xf>
    <xf numFmtId="168" fontId="8" fillId="3" borderId="11" xfId="0" applyNumberFormat="1" applyFont="1" applyFill="1" applyBorder="1" applyAlignment="1">
      <alignment horizontal="left"/>
    </xf>
    <xf numFmtId="170" fontId="8" fillId="3" borderId="11" xfId="0" applyNumberFormat="1" applyFont="1" applyFill="1" applyBorder="1" applyAlignment="1">
      <alignment horizontal="right"/>
    </xf>
    <xf numFmtId="168" fontId="19" fillId="3" borderId="0" xfId="0" applyNumberFormat="1" applyFont="1" applyFill="1" applyAlignment="1">
      <alignment horizontal="left"/>
    </xf>
    <xf numFmtId="170" fontId="23" fillId="3" borderId="0" xfId="0" applyNumberFormat="1" applyFont="1" applyFill="1" applyAlignment="1">
      <alignment horizontal="right"/>
    </xf>
    <xf numFmtId="170" fontId="23" fillId="3" borderId="11" xfId="0" applyNumberFormat="1" applyFont="1" applyFill="1" applyBorder="1" applyAlignment="1">
      <alignment horizontal="right"/>
    </xf>
    <xf numFmtId="170" fontId="3" fillId="3" borderId="0" xfId="0" applyNumberFormat="1" applyFont="1" applyFill="1" applyAlignment="1">
      <alignment horizontal="left" indent="1"/>
    </xf>
    <xf numFmtId="171" fontId="23" fillId="3" borderId="0" xfId="0" applyNumberFormat="1" applyFont="1" applyFill="1" applyAlignment="1">
      <alignment horizontal="center"/>
    </xf>
    <xf numFmtId="171" fontId="25" fillId="3" borderId="0" xfId="0" applyNumberFormat="1" applyFont="1" applyFill="1" applyAlignment="1">
      <alignment horizontal="center"/>
    </xf>
    <xf numFmtId="168" fontId="8" fillId="3" borderId="0" xfId="0" applyNumberFormat="1" applyFont="1" applyFill="1"/>
    <xf numFmtId="168" fontId="19" fillId="3" borderId="0" xfId="0" applyNumberFormat="1" applyFont="1" applyFill="1"/>
    <xf numFmtId="180" fontId="3" fillId="3" borderId="0" xfId="0" applyNumberFormat="1" applyFont="1" applyFill="1" applyAlignment="1">
      <alignment horizontal="left"/>
    </xf>
    <xf numFmtId="186" fontId="4" fillId="3" borderId="0" xfId="0" applyNumberFormat="1" applyFont="1" applyFill="1" applyAlignment="1">
      <alignment horizontal="left"/>
    </xf>
    <xf numFmtId="173" fontId="7" fillId="3" borderId="0" xfId="2" applyNumberFormat="1" applyFont="1" applyFill="1" applyAlignment="1">
      <alignment horizontal="center"/>
    </xf>
    <xf numFmtId="168" fontId="8" fillId="3" borderId="0" xfId="0" applyNumberFormat="1" applyFont="1" applyFill="1" applyAlignment="1">
      <alignment horizontal="center"/>
    </xf>
    <xf numFmtId="187" fontId="4" fillId="3" borderId="0" xfId="0" applyNumberFormat="1" applyFont="1" applyFill="1"/>
    <xf numFmtId="171" fontId="26" fillId="3" borderId="0" xfId="0" applyNumberFormat="1" applyFont="1" applyFill="1" applyAlignment="1">
      <alignment horizontal="right"/>
    </xf>
    <xf numFmtId="176" fontId="25" fillId="3" borderId="0" xfId="0" applyNumberFormat="1" applyFont="1" applyFill="1"/>
    <xf numFmtId="172" fontId="21" fillId="3" borderId="0" xfId="0" applyNumberFormat="1" applyFont="1" applyFill="1" applyAlignment="1">
      <alignment horizontal="center"/>
    </xf>
    <xf numFmtId="0" fontId="24" fillId="3" borderId="0" xfId="2" applyNumberFormat="1" applyFont="1" applyFill="1" applyAlignment="1">
      <alignment horizontal="center"/>
    </xf>
    <xf numFmtId="171" fontId="23" fillId="3" borderId="0" xfId="0" applyNumberFormat="1" applyFont="1" applyFill="1" applyAlignment="1">
      <alignment horizontal="left"/>
    </xf>
    <xf numFmtId="170" fontId="25" fillId="3" borderId="0" xfId="0" applyNumberFormat="1" applyFont="1" applyFill="1" applyAlignment="1">
      <alignment horizontal="left" indent="4"/>
    </xf>
    <xf numFmtId="170" fontId="25" fillId="3" borderId="2" xfId="0" applyNumberFormat="1" applyFont="1" applyFill="1" applyBorder="1" applyAlignment="1">
      <alignment horizontal="left" indent="4"/>
    </xf>
    <xf numFmtId="170" fontId="23" fillId="3" borderId="7" xfId="0" applyNumberFormat="1" applyFont="1" applyFill="1" applyBorder="1" applyAlignment="1">
      <alignment horizontal="left" indent="4"/>
    </xf>
    <xf numFmtId="170" fontId="23" fillId="3" borderId="0" xfId="0" applyNumberFormat="1" applyFont="1" applyFill="1" applyAlignment="1">
      <alignment horizontal="left" indent="4"/>
    </xf>
    <xf numFmtId="170" fontId="23" fillId="3" borderId="0" xfId="0" applyNumberFormat="1" applyFont="1" applyFill="1" applyAlignment="1">
      <alignment horizontal="left" indent="1"/>
    </xf>
    <xf numFmtId="173" fontId="25" fillId="3" borderId="0" xfId="0" applyNumberFormat="1" applyFont="1" applyFill="1" applyAlignment="1">
      <alignment horizontal="left" indent="3"/>
    </xf>
    <xf numFmtId="173" fontId="23" fillId="3" borderId="7" xfId="0" applyNumberFormat="1" applyFont="1" applyFill="1" applyBorder="1" applyAlignment="1">
      <alignment horizontal="left" indent="3"/>
    </xf>
    <xf numFmtId="173" fontId="23" fillId="3" borderId="0" xfId="0" applyNumberFormat="1" applyFont="1" applyFill="1" applyAlignment="1">
      <alignment horizontal="left" indent="3"/>
    </xf>
    <xf numFmtId="171" fontId="25" fillId="3" borderId="0" xfId="0" applyNumberFormat="1" applyFont="1" applyFill="1" applyAlignment="1">
      <alignment horizontal="left" indent="4"/>
    </xf>
    <xf numFmtId="171" fontId="27" fillId="3" borderId="0" xfId="2" applyNumberFormat="1" applyFont="1" applyFill="1" applyAlignment="1">
      <alignment horizontal="left" indent="1"/>
    </xf>
    <xf numFmtId="170" fontId="23" fillId="3" borderId="9" xfId="0" applyNumberFormat="1" applyFont="1" applyFill="1" applyBorder="1" applyAlignment="1">
      <alignment horizontal="left" indent="3"/>
    </xf>
    <xf numFmtId="168" fontId="25" fillId="3" borderId="0" xfId="0" applyNumberFormat="1" applyFont="1" applyFill="1" applyAlignment="1">
      <alignment horizontal="left" indent="1"/>
    </xf>
    <xf numFmtId="168" fontId="25" fillId="3" borderId="0" xfId="0" applyNumberFormat="1" applyFont="1" applyFill="1" applyAlignment="1">
      <alignment horizontal="left" indent="3"/>
    </xf>
    <xf numFmtId="168" fontId="23" fillId="3" borderId="0" xfId="0" applyNumberFormat="1" applyFont="1" applyFill="1" applyAlignment="1">
      <alignment horizontal="left"/>
    </xf>
    <xf numFmtId="168" fontId="23" fillId="3" borderId="0" xfId="0" applyNumberFormat="1" applyFont="1" applyFill="1" applyAlignment="1">
      <alignment horizontal="left" indent="3"/>
    </xf>
    <xf numFmtId="170" fontId="25" fillId="3" borderId="2" xfId="0" applyNumberFormat="1" applyFont="1" applyFill="1" applyBorder="1" applyAlignment="1">
      <alignment horizontal="left" indent="3"/>
    </xf>
    <xf numFmtId="170" fontId="25" fillId="3" borderId="9" xfId="0" applyNumberFormat="1" applyFont="1" applyFill="1" applyBorder="1" applyAlignment="1">
      <alignment horizontal="left" indent="3"/>
    </xf>
    <xf numFmtId="170" fontId="25" fillId="3" borderId="7" xfId="0" applyNumberFormat="1" applyFont="1" applyFill="1" applyBorder="1" applyAlignment="1">
      <alignment horizontal="left" indent="3"/>
    </xf>
    <xf numFmtId="168" fontId="27" fillId="3" borderId="7" xfId="0" applyNumberFormat="1" applyFont="1" applyFill="1" applyBorder="1" applyAlignment="1">
      <alignment horizontal="left" indent="1"/>
    </xf>
    <xf numFmtId="168" fontId="26" fillId="3" borderId="7" xfId="0" applyNumberFormat="1" applyFont="1" applyFill="1" applyBorder="1" applyAlignment="1">
      <alignment horizontal="left" indent="3"/>
    </xf>
    <xf numFmtId="171" fontId="23" fillId="3" borderId="0" xfId="0" applyNumberFormat="1" applyFont="1" applyFill="1" applyAlignment="1">
      <alignment horizontal="left" indent="3"/>
    </xf>
    <xf numFmtId="176" fontId="25" fillId="3" borderId="0" xfId="0" applyNumberFormat="1" applyFont="1" applyFill="1" applyAlignment="1">
      <alignment horizontal="left" indent="3"/>
    </xf>
    <xf numFmtId="176" fontId="21" fillId="3" borderId="0" xfId="2" applyNumberFormat="1" applyFont="1" applyFill="1"/>
    <xf numFmtId="176" fontId="23" fillId="3" borderId="0" xfId="0" applyNumberFormat="1" applyFont="1" applyFill="1" applyAlignment="1">
      <alignment horizontal="left" indent="3"/>
    </xf>
    <xf numFmtId="168" fontId="27" fillId="3" borderId="0" xfId="0" applyNumberFormat="1" applyFont="1" applyFill="1" applyAlignment="1">
      <alignment horizontal="left" indent="1"/>
    </xf>
    <xf numFmtId="168" fontId="26" fillId="3" borderId="0" xfId="0" applyNumberFormat="1" applyFont="1" applyFill="1" applyAlignment="1">
      <alignment horizontal="left" indent="3"/>
    </xf>
    <xf numFmtId="170" fontId="25" fillId="3" borderId="12" xfId="0" applyNumberFormat="1" applyFont="1" applyFill="1" applyBorder="1" applyAlignment="1">
      <alignment horizontal="left" indent="3"/>
    </xf>
    <xf numFmtId="174" fontId="23" fillId="3" borderId="0" xfId="0" applyNumberFormat="1" applyFont="1" applyFill="1" applyAlignment="1">
      <alignment horizontal="left" indent="3"/>
    </xf>
    <xf numFmtId="174" fontId="23" fillId="3" borderId="0" xfId="0" applyNumberFormat="1" applyFont="1" applyFill="1"/>
    <xf numFmtId="0" fontId="25" fillId="3" borderId="0" xfId="0" applyFont="1" applyFill="1" applyAlignment="1">
      <alignment horizontal="left" indent="3"/>
    </xf>
    <xf numFmtId="174" fontId="21" fillId="3" borderId="0" xfId="0" applyNumberFormat="1" applyFont="1" applyFill="1"/>
    <xf numFmtId="174" fontId="25" fillId="3" borderId="0" xfId="0" applyNumberFormat="1" applyFont="1" applyFill="1" applyAlignment="1">
      <alignment horizontal="left" indent="3"/>
    </xf>
    <xf numFmtId="174" fontId="25" fillId="3" borderId="0" xfId="0" applyNumberFormat="1" applyFont="1" applyFill="1"/>
    <xf numFmtId="171" fontId="25" fillId="3" borderId="0" xfId="0" applyNumberFormat="1" applyFont="1" applyFill="1" applyAlignment="1">
      <alignment horizontal="left"/>
    </xf>
    <xf numFmtId="188" fontId="21" fillId="3" borderId="0" xfId="2" applyNumberFormat="1" applyFont="1" applyFill="1"/>
    <xf numFmtId="189" fontId="21" fillId="3" borderId="0" xfId="2" applyNumberFormat="1" applyFont="1" applyFill="1"/>
    <xf numFmtId="168" fontId="25" fillId="3" borderId="0" xfId="0" applyNumberFormat="1" applyFont="1" applyFill="1" applyAlignment="1">
      <alignment horizontal="left" indent="2"/>
    </xf>
    <xf numFmtId="171" fontId="41" fillId="3" borderId="0" xfId="0" applyNumberFormat="1" applyFont="1" applyFill="1" applyAlignment="1">
      <alignment horizontal="left" indent="3"/>
    </xf>
    <xf numFmtId="171" fontId="41" fillId="3" borderId="0" xfId="0" applyNumberFormat="1" applyFont="1" applyFill="1"/>
    <xf numFmtId="168" fontId="23" fillId="3" borderId="11" xfId="0" applyNumberFormat="1" applyFont="1" applyFill="1" applyBorder="1" applyAlignment="1">
      <alignment horizontal="left" indent="3"/>
    </xf>
    <xf numFmtId="168" fontId="21" fillId="3" borderId="12" xfId="10" applyNumberFormat="1" applyFont="1" applyFill="1" applyBorder="1" applyAlignment="1">
      <alignment horizontal="left" indent="1"/>
    </xf>
    <xf numFmtId="0" fontId="25" fillId="3" borderId="11" xfId="0" applyFont="1" applyFill="1" applyBorder="1"/>
    <xf numFmtId="171" fontId="22" fillId="4" borderId="18" xfId="0" applyNumberFormat="1" applyFont="1" applyFill="1" applyBorder="1"/>
    <xf numFmtId="170" fontId="23" fillId="3" borderId="18" xfId="0" applyNumberFormat="1" applyFont="1" applyFill="1" applyBorder="1"/>
    <xf numFmtId="170" fontId="25" fillId="3" borderId="18" xfId="0" applyNumberFormat="1" applyFont="1" applyFill="1" applyBorder="1"/>
    <xf numFmtId="173" fontId="22" fillId="4" borderId="18" xfId="0" applyNumberFormat="1" applyFont="1" applyFill="1" applyBorder="1"/>
    <xf numFmtId="171" fontId="25" fillId="3" borderId="18" xfId="0" applyNumberFormat="1" applyFont="1" applyFill="1" applyBorder="1"/>
    <xf numFmtId="0" fontId="25" fillId="3" borderId="18" xfId="0" applyFont="1" applyFill="1" applyBorder="1"/>
    <xf numFmtId="170" fontId="22" fillId="4" borderId="18" xfId="0" applyNumberFormat="1" applyFont="1" applyFill="1" applyBorder="1" applyAlignment="1">
      <alignment horizontal="right"/>
    </xf>
    <xf numFmtId="173" fontId="25" fillId="3" borderId="18" xfId="0" applyNumberFormat="1" applyFont="1" applyFill="1" applyBorder="1"/>
    <xf numFmtId="188" fontId="25" fillId="3" borderId="18" xfId="0" applyNumberFormat="1" applyFont="1" applyFill="1" applyBorder="1"/>
    <xf numFmtId="168" fontId="29" fillId="4" borderId="18" xfId="12" applyNumberFormat="1" applyFont="1" applyFill="1" applyBorder="1"/>
    <xf numFmtId="171" fontId="22" fillId="4" borderId="18" xfId="12" applyNumberFormat="1" applyFont="1" applyFill="1" applyBorder="1"/>
    <xf numFmtId="193" fontId="25" fillId="3" borderId="0" xfId="0" applyNumberFormat="1" applyFont="1" applyFill="1"/>
    <xf numFmtId="170" fontId="22" fillId="4" borderId="0" xfId="0" applyNumberFormat="1" applyFont="1" applyFill="1" applyAlignment="1">
      <alignment horizontal="left"/>
    </xf>
    <xf numFmtId="170" fontId="22" fillId="4" borderId="18" xfId="0" applyNumberFormat="1" applyFont="1" applyFill="1" applyBorder="1"/>
    <xf numFmtId="170" fontId="19" fillId="3" borderId="0" xfId="0" applyNumberFormat="1" applyFont="1" applyFill="1" applyAlignment="1">
      <alignment horizontal="left" indent="1"/>
    </xf>
    <xf numFmtId="171" fontId="27" fillId="3" borderId="0" xfId="2" applyNumberFormat="1" applyFont="1" applyFill="1"/>
    <xf numFmtId="170" fontId="25" fillId="3" borderId="0" xfId="0" applyNumberFormat="1" applyFont="1" applyFill="1" applyAlignment="1">
      <alignment horizontal="left"/>
    </xf>
    <xf numFmtId="171" fontId="19" fillId="3" borderId="0" xfId="0" applyNumberFormat="1" applyFont="1" applyFill="1" applyAlignment="1">
      <alignment horizontal="left" indent="2"/>
    </xf>
    <xf numFmtId="194" fontId="25" fillId="3" borderId="0" xfId="0" applyNumberFormat="1" applyFont="1" applyFill="1" applyAlignment="1">
      <alignment horizontal="left" indent="4"/>
    </xf>
    <xf numFmtId="194" fontId="8" fillId="3" borderId="0" xfId="0" applyNumberFormat="1" applyFont="1" applyFill="1"/>
    <xf numFmtId="194" fontId="8" fillId="3" borderId="7" xfId="0" applyNumberFormat="1" applyFont="1" applyFill="1" applyBorder="1" applyAlignment="1">
      <alignment horizontal="left"/>
    </xf>
    <xf numFmtId="194" fontId="23" fillId="3" borderId="7" xfId="0" applyNumberFormat="1" applyFont="1" applyFill="1" applyBorder="1" applyAlignment="1">
      <alignment horizontal="left" indent="4"/>
    </xf>
    <xf numFmtId="194" fontId="8" fillId="3" borderId="7" xfId="0" applyNumberFormat="1" applyFont="1" applyFill="1" applyBorder="1"/>
    <xf numFmtId="170" fontId="25" fillId="3" borderId="0" xfId="1" applyNumberFormat="1" applyFont="1" applyFill="1" applyAlignment="1">
      <alignment horizontal="left" indent="4"/>
    </xf>
    <xf numFmtId="170" fontId="25" fillId="3" borderId="0" xfId="1" applyNumberFormat="1" applyFont="1" applyFill="1"/>
    <xf numFmtId="171" fontId="23" fillId="3" borderId="7" xfId="0" applyNumberFormat="1" applyFont="1" applyFill="1" applyBorder="1" applyAlignment="1">
      <alignment horizontal="left" indent="4"/>
    </xf>
    <xf numFmtId="171" fontId="8" fillId="3" borderId="7" xfId="0" applyNumberFormat="1" applyFont="1" applyFill="1" applyBorder="1"/>
    <xf numFmtId="171" fontId="26" fillId="3" borderId="0" xfId="0" applyNumberFormat="1" applyFont="1" applyFill="1" applyAlignment="1">
      <alignment horizontal="left" indent="4"/>
    </xf>
    <xf numFmtId="0" fontId="45" fillId="3" borderId="0" xfId="8" applyFont="1" applyFill="1"/>
    <xf numFmtId="180" fontId="3" fillId="3" borderId="0" xfId="12" applyNumberFormat="1" applyFont="1" applyFill="1" applyAlignment="1">
      <alignment horizontal="left"/>
    </xf>
    <xf numFmtId="172" fontId="21" fillId="3" borderId="0" xfId="12" applyNumberFormat="1" applyFont="1" applyFill="1" applyAlignment="1">
      <alignment horizontal="center"/>
    </xf>
    <xf numFmtId="186" fontId="4" fillId="3" borderId="0" xfId="12" applyNumberFormat="1" applyFont="1" applyFill="1" applyAlignment="1">
      <alignment horizontal="left"/>
    </xf>
    <xf numFmtId="187" fontId="4" fillId="3" borderId="0" xfId="12" applyNumberFormat="1" applyFont="1" applyFill="1"/>
    <xf numFmtId="0" fontId="8" fillId="3" borderId="0" xfId="12" applyFont="1" applyFill="1" applyAlignment="1">
      <alignment horizontal="center"/>
    </xf>
    <xf numFmtId="183" fontId="4" fillId="3" borderId="0" xfId="12" applyNumberFormat="1" applyFont="1" applyFill="1"/>
    <xf numFmtId="0" fontId="24" fillId="3" borderId="0" xfId="18" applyNumberFormat="1" applyFont="1" applyFill="1" applyAlignment="1">
      <alignment horizontal="center"/>
    </xf>
    <xf numFmtId="170" fontId="58" fillId="3" borderId="0" xfId="12" applyNumberFormat="1" applyFill="1"/>
    <xf numFmtId="0" fontId="58" fillId="3" borderId="0" xfId="12" applyFill="1"/>
    <xf numFmtId="168" fontId="44" fillId="3" borderId="0" xfId="12" applyNumberFormat="1" applyFont="1" applyFill="1" applyAlignment="1">
      <alignment horizontal="center"/>
    </xf>
    <xf numFmtId="0" fontId="31" fillId="4" borderId="0" xfId="12" applyFont="1" applyFill="1"/>
    <xf numFmtId="195" fontId="58" fillId="3" borderId="0" xfId="12" applyNumberFormat="1" applyFill="1"/>
    <xf numFmtId="195" fontId="58" fillId="3" borderId="18" xfId="12" applyNumberFormat="1" applyFill="1" applyBorder="1"/>
    <xf numFmtId="170" fontId="21" fillId="3" borderId="0" xfId="2" applyNumberFormat="1" applyFont="1" applyFill="1"/>
    <xf numFmtId="196" fontId="19" fillId="3" borderId="0" xfId="0" applyNumberFormat="1" applyFont="1" applyFill="1"/>
    <xf numFmtId="170" fontId="25" fillId="3" borderId="2" xfId="0" applyNumberFormat="1" applyFont="1" applyFill="1" applyBorder="1" applyAlignment="1">
      <alignment horizontal="left" indent="1"/>
    </xf>
    <xf numFmtId="194" fontId="25" fillId="3" borderId="0" xfId="0" applyNumberFormat="1" applyFont="1" applyFill="1"/>
    <xf numFmtId="194" fontId="25" fillId="3" borderId="0" xfId="0" applyNumberFormat="1" applyFont="1" applyFill="1" applyAlignment="1">
      <alignment horizontal="left" indent="1"/>
    </xf>
    <xf numFmtId="173" fontId="3" fillId="3" borderId="0" xfId="2" applyNumberFormat="1" applyFont="1" applyFill="1" applyAlignment="1">
      <alignment horizontal="left" indent="1"/>
    </xf>
    <xf numFmtId="170" fontId="21" fillId="3" borderId="2" xfId="2" applyNumberFormat="1" applyFont="1" applyFill="1" applyBorder="1"/>
    <xf numFmtId="170" fontId="25" fillId="3" borderId="2" xfId="0" applyNumberFormat="1" applyFont="1" applyFill="1" applyBorder="1" applyAlignment="1">
      <alignment horizontal="right"/>
    </xf>
    <xf numFmtId="171" fontId="25" fillId="3" borderId="0" xfId="0" applyNumberFormat="1" applyFont="1" applyFill="1" applyAlignment="1">
      <alignment horizontal="left" indent="1"/>
    </xf>
    <xf numFmtId="171" fontId="27" fillId="3" borderId="0" xfId="0" applyNumberFormat="1" applyFont="1" applyFill="1" applyAlignment="1">
      <alignment horizontal="left" indent="2"/>
    </xf>
    <xf numFmtId="170" fontId="21" fillId="3" borderId="0" xfId="17" applyNumberFormat="1" applyFont="1" applyFill="1" applyBorder="1"/>
    <xf numFmtId="171" fontId="27" fillId="3" borderId="0" xfId="17" applyNumberFormat="1" applyFont="1" applyFill="1" applyBorder="1" applyAlignment="1">
      <alignment horizontal="left" indent="1"/>
    </xf>
    <xf numFmtId="170" fontId="26" fillId="3" borderId="0" xfId="0" applyNumberFormat="1" applyFont="1" applyFill="1" applyAlignment="1">
      <alignment horizontal="left" indent="1"/>
    </xf>
    <xf numFmtId="170" fontId="26" fillId="3" borderId="0" xfId="0" applyNumberFormat="1" applyFont="1" applyFill="1" applyAlignment="1">
      <alignment horizontal="left" indent="4"/>
    </xf>
    <xf numFmtId="171" fontId="26" fillId="3" borderId="0" xfId="0" applyNumberFormat="1" applyFont="1" applyFill="1" applyAlignment="1">
      <alignment horizontal="left" indent="2"/>
    </xf>
    <xf numFmtId="171" fontId="23" fillId="3" borderId="7" xfId="0" applyNumberFormat="1" applyFont="1" applyFill="1" applyBorder="1"/>
    <xf numFmtId="171" fontId="25" fillId="3" borderId="2" xfId="0" applyNumberFormat="1" applyFont="1" applyFill="1" applyBorder="1" applyAlignment="1">
      <alignment horizontal="left" indent="1"/>
    </xf>
    <xf numFmtId="171" fontId="25" fillId="3" borderId="2" xfId="0" applyNumberFormat="1" applyFont="1" applyFill="1" applyBorder="1"/>
    <xf numFmtId="170" fontId="24" fillId="3" borderId="0" xfId="2" applyNumberFormat="1" applyFont="1" applyFill="1"/>
    <xf numFmtId="171" fontId="26" fillId="3" borderId="2" xfId="0" applyNumberFormat="1" applyFont="1" applyFill="1" applyBorder="1" applyAlignment="1">
      <alignment horizontal="right"/>
    </xf>
    <xf numFmtId="171" fontId="26" fillId="3" borderId="2" xfId="0" applyNumberFormat="1" applyFont="1" applyFill="1" applyBorder="1" applyAlignment="1">
      <alignment horizontal="left" indent="2"/>
    </xf>
    <xf numFmtId="170" fontId="8" fillId="3" borderId="0" xfId="0" applyNumberFormat="1" applyFont="1" applyFill="1" applyAlignment="1">
      <alignment horizontal="left" indent="1"/>
    </xf>
    <xf numFmtId="171" fontId="23" fillId="3" borderId="0" xfId="0" applyNumberFormat="1" applyFont="1" applyFill="1" applyAlignment="1">
      <alignment horizontal="left" indent="4"/>
    </xf>
    <xf numFmtId="170" fontId="25" fillId="3" borderId="0" xfId="0" applyNumberFormat="1" applyFont="1" applyFill="1" applyAlignment="1">
      <alignment horizontal="left" indent="2"/>
    </xf>
    <xf numFmtId="170" fontId="25" fillId="3" borderId="2" xfId="0" applyNumberFormat="1" applyFont="1" applyFill="1" applyBorder="1" applyAlignment="1">
      <alignment horizontal="left" indent="2"/>
    </xf>
    <xf numFmtId="171" fontId="25" fillId="3" borderId="0" xfId="0" applyNumberFormat="1" applyFont="1" applyFill="1" applyAlignment="1">
      <alignment horizontal="left" indent="2"/>
    </xf>
    <xf numFmtId="171" fontId="25" fillId="3" borderId="2" xfId="0" applyNumberFormat="1" applyFont="1" applyFill="1" applyBorder="1" applyAlignment="1">
      <alignment horizontal="left" indent="2"/>
    </xf>
    <xf numFmtId="171" fontId="25" fillId="3" borderId="2" xfId="0" applyNumberFormat="1" applyFont="1" applyFill="1" applyBorder="1" applyAlignment="1">
      <alignment horizontal="left" indent="4"/>
    </xf>
    <xf numFmtId="170" fontId="27" fillId="3" borderId="0" xfId="2" applyNumberFormat="1" applyFont="1" applyFill="1"/>
    <xf numFmtId="170" fontId="26" fillId="3" borderId="0" xfId="0" applyNumberFormat="1" applyFont="1" applyFill="1" applyAlignment="1">
      <alignment horizontal="right"/>
    </xf>
    <xf numFmtId="194" fontId="23" fillId="3" borderId="7" xfId="0" applyNumberFormat="1" applyFont="1" applyFill="1" applyBorder="1"/>
    <xf numFmtId="171" fontId="26" fillId="3" borderId="2" xfId="0" applyNumberFormat="1" applyFont="1" applyFill="1" applyBorder="1" applyAlignment="1">
      <alignment horizontal="left" indent="1"/>
    </xf>
    <xf numFmtId="197" fontId="0" fillId="3" borderId="0" xfId="0" applyNumberFormat="1" applyFill="1"/>
    <xf numFmtId="197" fontId="25" fillId="3" borderId="0" xfId="0" applyNumberFormat="1" applyFont="1" applyFill="1" applyAlignment="1">
      <alignment horizontal="left" indent="3"/>
    </xf>
    <xf numFmtId="197" fontId="25" fillId="3" borderId="0" xfId="0" applyNumberFormat="1" applyFont="1" applyFill="1"/>
    <xf numFmtId="174" fontId="19" fillId="3" borderId="0" xfId="0" applyNumberFormat="1" applyFont="1" applyFill="1"/>
    <xf numFmtId="174" fontId="26" fillId="3" borderId="0" xfId="0" applyNumberFormat="1" applyFont="1" applyFill="1" applyAlignment="1">
      <alignment horizontal="left" indent="3"/>
    </xf>
    <xf numFmtId="174" fontId="26" fillId="3" borderId="0" xfId="0" applyNumberFormat="1" applyFont="1" applyFill="1"/>
    <xf numFmtId="166" fontId="0" fillId="3" borderId="0" xfId="0" applyNumberFormat="1" applyFill="1" applyAlignment="1">
      <alignment horizontal="left" indent="1"/>
    </xf>
    <xf numFmtId="166" fontId="25" fillId="3" borderId="0" xfId="0" applyNumberFormat="1" applyFont="1" applyFill="1" applyAlignment="1">
      <alignment horizontal="left" indent="3"/>
    </xf>
    <xf numFmtId="166" fontId="25" fillId="3" borderId="0" xfId="0" applyNumberFormat="1" applyFont="1" applyFill="1"/>
    <xf numFmtId="166" fontId="0" fillId="3" borderId="0" xfId="0" applyNumberFormat="1" applyFill="1"/>
    <xf numFmtId="166" fontId="0" fillId="3" borderId="2" xfId="0" applyNumberFormat="1" applyFill="1" applyBorder="1" applyAlignment="1">
      <alignment horizontal="left" indent="1"/>
    </xf>
    <xf numFmtId="166" fontId="25" fillId="3" borderId="2" xfId="0" applyNumberFormat="1" applyFont="1" applyFill="1" applyBorder="1" applyAlignment="1">
      <alignment horizontal="left" indent="3"/>
    </xf>
    <xf numFmtId="166" fontId="25" fillId="3" borderId="2" xfId="0" applyNumberFormat="1" applyFont="1" applyFill="1" applyBorder="1"/>
    <xf numFmtId="168" fontId="0" fillId="3" borderId="0" xfId="0" applyNumberFormat="1" applyFill="1"/>
    <xf numFmtId="17" fontId="25" fillId="3" borderId="0" xfId="0" applyNumberFormat="1" applyFont="1" applyFill="1"/>
    <xf numFmtId="198" fontId="25" fillId="3" borderId="0" xfId="0" applyNumberFormat="1" applyFont="1" applyFill="1"/>
    <xf numFmtId="189" fontId="25" fillId="3" borderId="0" xfId="0" applyNumberFormat="1" applyFont="1" applyFill="1"/>
    <xf numFmtId="189" fontId="21" fillId="3" borderId="2" xfId="10" applyNumberFormat="1" applyFont="1" applyFill="1" applyBorder="1"/>
    <xf numFmtId="189" fontId="25" fillId="3" borderId="2" xfId="0" applyNumberFormat="1" applyFont="1" applyFill="1" applyBorder="1"/>
    <xf numFmtId="0" fontId="20" fillId="3" borderId="0" xfId="8" applyFont="1" applyFill="1"/>
    <xf numFmtId="199" fontId="8" fillId="3" borderId="0" xfId="0" applyNumberFormat="1" applyFont="1" applyFill="1" applyAlignment="1">
      <alignment horizontal="left"/>
    </xf>
    <xf numFmtId="171" fontId="0" fillId="3" borderId="0" xfId="0" applyNumberFormat="1" applyFill="1" applyAlignment="1">
      <alignment horizontal="left" indent="2"/>
    </xf>
    <xf numFmtId="194" fontId="23" fillId="3" borderId="0" xfId="0" applyNumberFormat="1" applyFont="1" applyFill="1"/>
    <xf numFmtId="188" fontId="23" fillId="3" borderId="0" xfId="0" applyNumberFormat="1" applyFont="1" applyFill="1" applyAlignment="1">
      <alignment horizontal="right"/>
    </xf>
    <xf numFmtId="188" fontId="25" fillId="3" borderId="0" xfId="0" applyNumberFormat="1" applyFont="1" applyFill="1" applyAlignment="1">
      <alignment horizontal="right"/>
    </xf>
    <xf numFmtId="198" fontId="25" fillId="3" borderId="0" xfId="0" applyNumberFormat="1" applyFont="1" applyFill="1" applyAlignment="1">
      <alignment horizontal="right"/>
    </xf>
    <xf numFmtId="189" fontId="25" fillId="3" borderId="0" xfId="0" applyNumberFormat="1" applyFont="1" applyFill="1" applyAlignment="1">
      <alignment horizontal="right"/>
    </xf>
    <xf numFmtId="195" fontId="25" fillId="3" borderId="0" xfId="12" applyNumberFormat="1" applyFont="1" applyFill="1"/>
    <xf numFmtId="0" fontId="23" fillId="3" borderId="0" xfId="12" applyFont="1" applyFill="1" applyAlignment="1">
      <alignment horizontal="center"/>
    </xf>
    <xf numFmtId="17" fontId="25" fillId="3" borderId="0" xfId="12" applyNumberFormat="1" applyFont="1" applyFill="1" applyAlignment="1">
      <alignment horizontal="center"/>
    </xf>
    <xf numFmtId="173" fontId="24" fillId="3" borderId="0" xfId="0" applyNumberFormat="1" applyFont="1" applyFill="1" applyAlignment="1">
      <alignment horizontal="left"/>
    </xf>
    <xf numFmtId="197" fontId="26" fillId="3" borderId="0" xfId="0" applyNumberFormat="1" applyFont="1" applyFill="1" applyAlignment="1">
      <alignment horizontal="left" indent="3"/>
    </xf>
    <xf numFmtId="168" fontId="21" fillId="3" borderId="0" xfId="10" applyNumberFormat="1" applyFont="1" applyFill="1" applyAlignment="1">
      <alignment horizontal="left" indent="1"/>
    </xf>
    <xf numFmtId="168" fontId="25" fillId="3" borderId="0" xfId="12" applyNumberFormat="1" applyFont="1" applyFill="1" applyAlignment="1">
      <alignment horizontal="left"/>
    </xf>
    <xf numFmtId="168" fontId="25" fillId="3" borderId="12" xfId="12" applyNumberFormat="1" applyFont="1" applyFill="1" applyBorder="1" applyAlignment="1">
      <alignment horizontal="left" indent="1"/>
    </xf>
    <xf numFmtId="168" fontId="25" fillId="3" borderId="11" xfId="0" applyNumberFormat="1" applyFont="1" applyFill="1" applyBorder="1" applyAlignment="1">
      <alignment horizontal="left" indent="3"/>
    </xf>
    <xf numFmtId="168" fontId="25" fillId="3" borderId="11" xfId="0" applyNumberFormat="1" applyFont="1" applyFill="1" applyBorder="1" applyAlignment="1">
      <alignment horizontal="left" indent="1"/>
    </xf>
    <xf numFmtId="168" fontId="25" fillId="3" borderId="2" xfId="0" applyNumberFormat="1" applyFont="1" applyFill="1" applyBorder="1" applyAlignment="1">
      <alignment horizontal="left" indent="3"/>
    </xf>
    <xf numFmtId="188" fontId="25" fillId="3" borderId="0" xfId="0" applyNumberFormat="1" applyFont="1" applyFill="1" applyAlignment="1">
      <alignment horizontal="left" indent="3"/>
    </xf>
    <xf numFmtId="202" fontId="25" fillId="3" borderId="0" xfId="0" applyNumberFormat="1" applyFont="1" applyFill="1"/>
    <xf numFmtId="202" fontId="25" fillId="3" borderId="0" xfId="0" applyNumberFormat="1" applyFont="1" applyFill="1" applyAlignment="1">
      <alignment horizontal="left" indent="1"/>
    </xf>
    <xf numFmtId="202" fontId="25" fillId="3" borderId="0" xfId="0" applyNumberFormat="1" applyFont="1" applyFill="1" applyAlignment="1">
      <alignment horizontal="left" indent="2"/>
    </xf>
    <xf numFmtId="188" fontId="25" fillId="3" borderId="2" xfId="0" applyNumberFormat="1" applyFont="1" applyFill="1" applyBorder="1" applyAlignment="1">
      <alignment horizontal="left" indent="3"/>
    </xf>
    <xf numFmtId="188" fontId="25" fillId="3" borderId="12" xfId="0" applyNumberFormat="1" applyFont="1" applyFill="1" applyBorder="1" applyAlignment="1">
      <alignment horizontal="left" indent="3"/>
    </xf>
    <xf numFmtId="202" fontId="25" fillId="3" borderId="12" xfId="0" applyNumberFormat="1" applyFont="1" applyFill="1" applyBorder="1"/>
    <xf numFmtId="202" fontId="25" fillId="3" borderId="12" xfId="0" applyNumberFormat="1" applyFont="1" applyFill="1" applyBorder="1" applyAlignment="1">
      <alignment horizontal="left" indent="2"/>
    </xf>
    <xf numFmtId="194" fontId="25" fillId="3" borderId="0" xfId="0" applyNumberFormat="1" applyFont="1" applyFill="1" applyAlignment="1">
      <alignment horizontal="left" indent="2"/>
    </xf>
    <xf numFmtId="202" fontId="23" fillId="3" borderId="0" xfId="0" applyNumberFormat="1" applyFont="1" applyFill="1"/>
    <xf numFmtId="188" fontId="23" fillId="3" borderId="0" xfId="0" applyNumberFormat="1" applyFont="1" applyFill="1" applyAlignment="1">
      <alignment horizontal="left" indent="3"/>
    </xf>
    <xf numFmtId="188" fontId="23" fillId="3" borderId="11" xfId="0" applyNumberFormat="1" applyFont="1" applyFill="1" applyBorder="1" applyAlignment="1">
      <alignment horizontal="left" indent="3"/>
    </xf>
    <xf numFmtId="168" fontId="23" fillId="3" borderId="11" xfId="0" applyNumberFormat="1" applyFont="1" applyFill="1" applyBorder="1" applyAlignment="1">
      <alignment horizontal="left"/>
    </xf>
    <xf numFmtId="200" fontId="25" fillId="3" borderId="0" xfId="0" applyNumberFormat="1" applyFont="1" applyFill="1"/>
    <xf numFmtId="194" fontId="25" fillId="3" borderId="2" xfId="0" applyNumberFormat="1" applyFont="1" applyFill="1" applyBorder="1" applyAlignment="1">
      <alignment horizontal="left" indent="2"/>
    </xf>
    <xf numFmtId="194" fontId="25" fillId="3" borderId="2" xfId="0" applyNumberFormat="1" applyFont="1" applyFill="1" applyBorder="1"/>
    <xf numFmtId="170" fontId="23" fillId="3" borderId="11" xfId="0" applyNumberFormat="1" applyFont="1" applyFill="1" applyBorder="1"/>
    <xf numFmtId="170" fontId="23" fillId="3" borderId="11" xfId="0" applyNumberFormat="1" applyFont="1" applyFill="1" applyBorder="1" applyAlignment="1">
      <alignment horizontal="left" indent="3"/>
    </xf>
    <xf numFmtId="168" fontId="25" fillId="3" borderId="2" xfId="0" applyNumberFormat="1" applyFont="1" applyFill="1" applyBorder="1" applyAlignment="1">
      <alignment horizontal="left" indent="2"/>
    </xf>
    <xf numFmtId="170" fontId="26" fillId="3" borderId="2" xfId="0" applyNumberFormat="1" applyFont="1" applyFill="1" applyBorder="1" applyAlignment="1">
      <alignment horizontal="left" indent="1"/>
    </xf>
    <xf numFmtId="170" fontId="26" fillId="3" borderId="2" xfId="0" applyNumberFormat="1" applyFont="1" applyFill="1" applyBorder="1" applyAlignment="1">
      <alignment horizontal="left" indent="3"/>
    </xf>
    <xf numFmtId="171" fontId="26" fillId="3" borderId="2" xfId="0" applyNumberFormat="1" applyFont="1" applyFill="1" applyBorder="1"/>
    <xf numFmtId="188" fontId="25" fillId="3" borderId="12" xfId="12" applyNumberFormat="1" applyFont="1" applyFill="1" applyBorder="1" applyAlignment="1">
      <alignment horizontal="left"/>
    </xf>
    <xf numFmtId="170" fontId="25" fillId="3" borderId="19" xfId="0" applyNumberFormat="1" applyFont="1" applyFill="1" applyBorder="1"/>
    <xf numFmtId="170" fontId="25" fillId="3" borderId="18" xfId="0" applyNumberFormat="1" applyFont="1" applyFill="1" applyBorder="1" applyAlignment="1">
      <alignment horizontal="right"/>
    </xf>
    <xf numFmtId="171" fontId="25" fillId="3" borderId="18" xfId="0" applyNumberFormat="1" applyFont="1" applyFill="1" applyBorder="1" applyAlignment="1">
      <alignment horizontal="right"/>
    </xf>
    <xf numFmtId="170" fontId="23" fillId="3" borderId="20" xfId="0" applyNumberFormat="1" applyFont="1" applyFill="1" applyBorder="1"/>
    <xf numFmtId="171" fontId="0" fillId="3" borderId="7" xfId="0" applyNumberFormat="1" applyFill="1" applyBorder="1" applyAlignment="1">
      <alignment horizontal="left" indent="1"/>
    </xf>
    <xf numFmtId="171" fontId="25" fillId="3" borderId="7" xfId="0" applyNumberFormat="1" applyFont="1" applyFill="1" applyBorder="1" applyAlignment="1">
      <alignment horizontal="left" indent="4"/>
    </xf>
    <xf numFmtId="171" fontId="0" fillId="3" borderId="7" xfId="0" applyNumberFormat="1" applyFill="1" applyBorder="1"/>
    <xf numFmtId="171" fontId="25" fillId="3" borderId="7" xfId="0" applyNumberFormat="1" applyFont="1" applyFill="1" applyBorder="1"/>
    <xf numFmtId="170" fontId="0" fillId="3" borderId="0" xfId="0" applyNumberFormat="1" applyFill="1" applyAlignment="1">
      <alignment horizontal="left" indent="2"/>
    </xf>
    <xf numFmtId="170" fontId="25" fillId="3" borderId="7" xfId="0" applyNumberFormat="1" applyFont="1" applyFill="1" applyBorder="1" applyAlignment="1">
      <alignment horizontal="left" indent="4"/>
    </xf>
    <xf numFmtId="173" fontId="26" fillId="3" borderId="0" xfId="0" applyNumberFormat="1" applyFont="1" applyFill="1" applyAlignment="1">
      <alignment horizontal="right"/>
    </xf>
    <xf numFmtId="168" fontId="21" fillId="3" borderId="2" xfId="10" applyNumberFormat="1" applyFont="1" applyFill="1" applyBorder="1" applyAlignment="1">
      <alignment horizontal="left" indent="1"/>
    </xf>
    <xf numFmtId="170" fontId="21" fillId="3" borderId="2" xfId="10" applyNumberFormat="1" applyFont="1" applyFill="1" applyBorder="1"/>
    <xf numFmtId="170" fontId="24" fillId="3" borderId="7" xfId="10" applyNumberFormat="1" applyFont="1" applyFill="1" applyBorder="1"/>
    <xf numFmtId="168" fontId="24" fillId="3" borderId="7" xfId="10" applyNumberFormat="1" applyFont="1" applyFill="1" applyBorder="1" applyAlignment="1">
      <alignment horizontal="left"/>
    </xf>
    <xf numFmtId="203" fontId="23" fillId="3" borderId="0" xfId="0" applyNumberFormat="1" applyFont="1" applyFill="1"/>
    <xf numFmtId="203" fontId="0" fillId="3" borderId="0" xfId="0" applyNumberFormat="1" applyFill="1"/>
    <xf numFmtId="204" fontId="23" fillId="3" borderId="0" xfId="0" applyNumberFormat="1" applyFont="1" applyFill="1" applyAlignment="1">
      <alignment horizontal="center"/>
    </xf>
    <xf numFmtId="170" fontId="23" fillId="3" borderId="0" xfId="0" applyNumberFormat="1" applyFont="1" applyFill="1" applyAlignment="1">
      <alignment horizontal="center"/>
    </xf>
    <xf numFmtId="170" fontId="24" fillId="3" borderId="0" xfId="10" applyNumberFormat="1" applyFont="1" applyFill="1" applyAlignment="1">
      <alignment horizontal="left"/>
    </xf>
    <xf numFmtId="170" fontId="24" fillId="3" borderId="7" xfId="10" applyNumberFormat="1" applyFont="1" applyFill="1" applyBorder="1" applyAlignment="1">
      <alignment horizontal="left"/>
    </xf>
    <xf numFmtId="168" fontId="24" fillId="3" borderId="7" xfId="10" applyNumberFormat="1" applyFont="1" applyFill="1" applyBorder="1"/>
    <xf numFmtId="170" fontId="21" fillId="3" borderId="0" xfId="10" applyNumberFormat="1" applyFont="1" applyFill="1" applyAlignment="1">
      <alignment horizontal="left" indent="1"/>
    </xf>
    <xf numFmtId="171" fontId="21" fillId="3" borderId="0" xfId="10" applyNumberFormat="1" applyFont="1" applyFill="1" applyAlignment="1">
      <alignment horizontal="left" indent="1"/>
    </xf>
    <xf numFmtId="171" fontId="0" fillId="3" borderId="0" xfId="0" applyNumberFormat="1" applyFill="1" applyAlignment="1">
      <alignment vertical="top"/>
    </xf>
    <xf numFmtId="171" fontId="25" fillId="3" borderId="0" xfId="0" applyNumberFormat="1" applyFont="1" applyFill="1" applyAlignment="1">
      <alignment horizontal="right" vertical="top"/>
    </xf>
    <xf numFmtId="171" fontId="21" fillId="3" borderId="0" xfId="10" applyNumberFormat="1" applyFont="1" applyFill="1" applyAlignment="1">
      <alignment horizontal="left" vertical="top" indent="1"/>
    </xf>
    <xf numFmtId="170" fontId="46" fillId="3" borderId="0" xfId="0" applyNumberFormat="1" applyFont="1" applyFill="1" applyAlignment="1">
      <alignment horizontal="left" indent="1"/>
    </xf>
    <xf numFmtId="171" fontId="26" fillId="3" borderId="2" xfId="0" applyNumberFormat="1" applyFont="1" applyFill="1" applyBorder="1" applyAlignment="1">
      <alignment horizontal="left" indent="3"/>
    </xf>
    <xf numFmtId="170" fontId="47" fillId="3" borderId="0" xfId="0" applyNumberFormat="1" applyFont="1" applyFill="1"/>
    <xf numFmtId="168" fontId="47" fillId="3" borderId="0" xfId="0" applyNumberFormat="1" applyFont="1" applyFill="1" applyAlignment="1">
      <alignment horizontal="left" indent="3"/>
    </xf>
    <xf numFmtId="170" fontId="26" fillId="3" borderId="0" xfId="0" applyNumberFormat="1" applyFont="1" applyFill="1" applyAlignment="1">
      <alignment horizontal="left" indent="2"/>
    </xf>
    <xf numFmtId="204" fontId="25" fillId="3" borderId="0" xfId="0" applyNumberFormat="1" applyFont="1" applyFill="1" applyAlignment="1">
      <alignment horizontal="center"/>
    </xf>
    <xf numFmtId="171" fontId="25" fillId="3" borderId="0" xfId="0" applyNumberFormat="1" applyFont="1" applyFill="1" applyAlignment="1">
      <alignment horizontal="left" indent="3"/>
    </xf>
    <xf numFmtId="171" fontId="41" fillId="3" borderId="0" xfId="0" applyNumberFormat="1" applyFont="1" applyFill="1" applyAlignment="1">
      <alignment horizontal="left" indent="1"/>
    </xf>
    <xf numFmtId="171" fontId="41" fillId="3" borderId="0" xfId="0" applyNumberFormat="1" applyFont="1" applyFill="1" applyAlignment="1">
      <alignment horizontal="right"/>
    </xf>
    <xf numFmtId="170" fontId="25" fillId="3" borderId="7" xfId="0" applyNumberFormat="1" applyFont="1" applyFill="1" applyBorder="1" applyAlignment="1">
      <alignment horizontal="right"/>
    </xf>
    <xf numFmtId="168" fontId="47" fillId="3" borderId="0" xfId="0" applyNumberFormat="1" applyFont="1" applyFill="1" applyAlignment="1">
      <alignment horizontal="left"/>
    </xf>
    <xf numFmtId="170" fontId="23" fillId="3" borderId="9" xfId="0" applyNumberFormat="1" applyFont="1" applyFill="1" applyBorder="1" applyAlignment="1">
      <alignment horizontal="left" indent="4"/>
    </xf>
    <xf numFmtId="170" fontId="23" fillId="3" borderId="9" xfId="0" applyNumberFormat="1" applyFont="1" applyFill="1" applyBorder="1" applyAlignment="1">
      <alignment horizontal="left" indent="1"/>
    </xf>
    <xf numFmtId="170" fontId="25" fillId="3" borderId="0" xfId="12" applyNumberFormat="1" applyFont="1" applyFill="1" applyAlignment="1">
      <alignment horizontal="left" indent="1"/>
    </xf>
    <xf numFmtId="170" fontId="25" fillId="3" borderId="0" xfId="12" applyNumberFormat="1" applyFont="1" applyFill="1" applyAlignment="1">
      <alignment horizontal="left" indent="3"/>
    </xf>
    <xf numFmtId="170" fontId="23" fillId="3" borderId="0" xfId="12" applyNumberFormat="1" applyFont="1" applyFill="1" applyAlignment="1">
      <alignment horizontal="left"/>
    </xf>
    <xf numFmtId="0" fontId="13" fillId="3" borderId="0" xfId="11" applyFont="1" applyFill="1" applyAlignment="1">
      <alignment vertical="center"/>
    </xf>
    <xf numFmtId="0" fontId="17" fillId="3" borderId="0" xfId="11" applyFont="1" applyFill="1" applyAlignment="1">
      <alignment vertical="center"/>
    </xf>
    <xf numFmtId="0" fontId="3" fillId="3" borderId="0" xfId="11" applyFill="1" applyAlignment="1">
      <alignment vertical="center"/>
    </xf>
    <xf numFmtId="0" fontId="17" fillId="3" borderId="0" xfId="11" applyFont="1" applyFill="1" applyAlignment="1">
      <alignment horizontal="center" vertical="center"/>
    </xf>
    <xf numFmtId="0" fontId="13" fillId="3" borderId="0" xfId="11" applyFont="1" applyFill="1"/>
    <xf numFmtId="14" fontId="13" fillId="3" borderId="0" xfId="11" applyNumberFormat="1" applyFont="1" applyFill="1" applyAlignment="1">
      <alignment horizontal="center" vertical="center"/>
    </xf>
    <xf numFmtId="0" fontId="13" fillId="3" borderId="0" xfId="11" applyFont="1" applyFill="1" applyAlignment="1">
      <alignment horizontal="center"/>
    </xf>
    <xf numFmtId="0" fontId="16" fillId="3" borderId="0" xfId="11" applyFont="1" applyFill="1"/>
    <xf numFmtId="0" fontId="28" fillId="3" borderId="0" xfId="11" applyFont="1" applyFill="1" applyAlignment="1">
      <alignment horizontal="center"/>
    </xf>
    <xf numFmtId="1" fontId="15" fillId="3" borderId="0" xfId="11" applyNumberFormat="1" applyFont="1" applyFill="1" applyAlignment="1">
      <alignment horizontal="center"/>
    </xf>
    <xf numFmtId="0" fontId="16" fillId="3" borderId="0" xfId="11" quotePrefix="1" applyFont="1" applyFill="1"/>
    <xf numFmtId="0" fontId="17" fillId="3" borderId="0" xfId="11" applyFont="1" applyFill="1"/>
    <xf numFmtId="193" fontId="15" fillId="3" borderId="0" xfId="11" applyNumberFormat="1" applyFont="1" applyFill="1"/>
    <xf numFmtId="191" fontId="17" fillId="3" borderId="0" xfId="11" applyNumberFormat="1" applyFont="1" applyFill="1" applyAlignment="1">
      <alignment horizontal="center" vertical="center"/>
    </xf>
    <xf numFmtId="184" fontId="4" fillId="3" borderId="0" xfId="11" applyNumberFormat="1" applyFont="1" applyFill="1" applyAlignment="1">
      <alignment horizontal="right"/>
    </xf>
    <xf numFmtId="185" fontId="4" fillId="3" borderId="0" xfId="11" applyNumberFormat="1" applyFont="1" applyFill="1" applyAlignment="1">
      <alignment horizontal="right"/>
    </xf>
    <xf numFmtId="14" fontId="9" fillId="3" borderId="21" xfId="11" applyNumberFormat="1" applyFont="1" applyFill="1" applyBorder="1" applyAlignment="1">
      <alignment horizontal="center"/>
    </xf>
    <xf numFmtId="0" fontId="9" fillId="3" borderId="21" xfId="11" applyFont="1" applyFill="1" applyBorder="1" applyAlignment="1">
      <alignment horizontal="center"/>
    </xf>
    <xf numFmtId="0" fontId="3" fillId="3" borderId="21" xfId="11" applyFill="1" applyBorder="1" applyAlignment="1">
      <alignment horizontal="center"/>
    </xf>
    <xf numFmtId="0" fontId="9" fillId="3" borderId="21" xfId="11" applyFont="1" applyFill="1" applyBorder="1" applyAlignment="1">
      <alignment horizontal="left"/>
    </xf>
    <xf numFmtId="0" fontId="5" fillId="3" borderId="22" xfId="8" applyFill="1" applyBorder="1"/>
    <xf numFmtId="0" fontId="5" fillId="3" borderId="21" xfId="8" applyFill="1" applyBorder="1"/>
    <xf numFmtId="14" fontId="9" fillId="3" borderId="23" xfId="11" applyNumberFormat="1" applyFont="1" applyFill="1" applyBorder="1" applyAlignment="1">
      <alignment horizontal="center"/>
    </xf>
    <xf numFmtId="0" fontId="9" fillId="3" borderId="24" xfId="11" applyFont="1" applyFill="1" applyBorder="1" applyAlignment="1">
      <alignment horizontal="center"/>
    </xf>
    <xf numFmtId="0" fontId="3" fillId="3" borderId="24" xfId="11" applyFill="1" applyBorder="1" applyAlignment="1">
      <alignment horizontal="center"/>
    </xf>
    <xf numFmtId="0" fontId="9" fillId="3" borderId="24" xfId="11" applyFont="1" applyFill="1" applyBorder="1" applyAlignment="1">
      <alignment horizontal="left"/>
    </xf>
    <xf numFmtId="0" fontId="5" fillId="3" borderId="25" xfId="8" applyFill="1" applyBorder="1"/>
    <xf numFmtId="14" fontId="9" fillId="3" borderId="26" xfId="11" applyNumberFormat="1" applyFont="1" applyFill="1" applyBorder="1" applyAlignment="1">
      <alignment horizontal="center"/>
    </xf>
    <xf numFmtId="0" fontId="9" fillId="3" borderId="27" xfId="11" applyFont="1" applyFill="1" applyBorder="1" applyAlignment="1">
      <alignment horizontal="center"/>
    </xf>
    <xf numFmtId="0" fontId="3" fillId="3" borderId="27" xfId="11" applyFill="1" applyBorder="1" applyAlignment="1">
      <alignment horizontal="center"/>
    </xf>
    <xf numFmtId="0" fontId="9" fillId="3" borderId="27" xfId="11" applyFont="1" applyFill="1" applyBorder="1" applyAlignment="1">
      <alignment horizontal="left"/>
    </xf>
    <xf numFmtId="0" fontId="5" fillId="3" borderId="28" xfId="8" applyFill="1" applyBorder="1" applyAlignment="1">
      <alignment horizontal="left"/>
    </xf>
    <xf numFmtId="14" fontId="9" fillId="3" borderId="17" xfId="11" applyNumberFormat="1" applyFont="1" applyFill="1" applyBorder="1" applyAlignment="1">
      <alignment horizontal="center"/>
    </xf>
    <xf numFmtId="0" fontId="9" fillId="3" borderId="17" xfId="11" applyFont="1" applyFill="1" applyBorder="1" applyAlignment="1">
      <alignment horizontal="center"/>
    </xf>
    <xf numFmtId="0" fontId="3" fillId="3" borderId="17" xfId="11" applyFill="1" applyBorder="1" applyAlignment="1">
      <alignment horizontal="center"/>
    </xf>
    <xf numFmtId="0" fontId="9" fillId="3" borderId="17" xfId="11" applyFont="1" applyFill="1" applyBorder="1" applyAlignment="1">
      <alignment horizontal="left"/>
    </xf>
    <xf numFmtId="0" fontId="5" fillId="3" borderId="17" xfId="8" applyFill="1" applyBorder="1" applyAlignment="1">
      <alignment horizontal="left"/>
    </xf>
    <xf numFmtId="0" fontId="5" fillId="3" borderId="21" xfId="8" applyFill="1" applyBorder="1" applyAlignment="1">
      <alignment horizontal="left"/>
    </xf>
    <xf numFmtId="14" fontId="13" fillId="6" borderId="0" xfId="11" applyNumberFormat="1" applyFont="1" applyFill="1" applyAlignment="1">
      <alignment horizontal="center" vertical="center"/>
    </xf>
    <xf numFmtId="0" fontId="18" fillId="6" borderId="0" xfId="11" applyFont="1" applyFill="1" applyAlignment="1">
      <alignment horizontal="center" vertical="center"/>
    </xf>
    <xf numFmtId="1" fontId="48" fillId="7" borderId="0" xfId="11" applyNumberFormat="1" applyFont="1" applyFill="1" applyAlignment="1">
      <alignment horizontal="center" vertical="center"/>
    </xf>
    <xf numFmtId="173" fontId="48" fillId="7" borderId="0" xfId="2" applyNumberFormat="1" applyFont="1" applyFill="1" applyAlignment="1">
      <alignment horizontal="center" vertical="center"/>
    </xf>
    <xf numFmtId="0" fontId="24" fillId="3" borderId="21" xfId="11" applyFont="1" applyFill="1" applyBorder="1" applyAlignment="1">
      <alignment horizontal="center"/>
    </xf>
    <xf numFmtId="0" fontId="24" fillId="3" borderId="14" xfId="11" applyFont="1" applyFill="1" applyBorder="1" applyAlignment="1">
      <alignment horizontal="center"/>
    </xf>
    <xf numFmtId="168" fontId="8" fillId="3" borderId="0" xfId="12" applyNumberFormat="1" applyFont="1" applyFill="1"/>
    <xf numFmtId="170" fontId="8" fillId="3" borderId="0" xfId="12" applyNumberFormat="1" applyFont="1" applyFill="1"/>
    <xf numFmtId="170" fontId="23" fillId="3" borderId="0" xfId="12" applyNumberFormat="1" applyFont="1" applyFill="1" applyAlignment="1">
      <alignment horizontal="left" indent="4"/>
    </xf>
    <xf numFmtId="170" fontId="25" fillId="3" borderId="0" xfId="12" applyNumberFormat="1" applyFont="1" applyFill="1" applyAlignment="1">
      <alignment horizontal="left"/>
    </xf>
    <xf numFmtId="168" fontId="25" fillId="3" borderId="7" xfId="12" applyNumberFormat="1" applyFont="1" applyFill="1" applyBorder="1" applyAlignment="1">
      <alignment horizontal="left"/>
    </xf>
    <xf numFmtId="168" fontId="25" fillId="3" borderId="0" xfId="12" applyNumberFormat="1" applyFont="1" applyFill="1" applyAlignment="1">
      <alignment horizontal="left" indent="2"/>
    </xf>
    <xf numFmtId="174" fontId="25" fillId="3" borderId="0" xfId="12" applyNumberFormat="1" applyFont="1" applyFill="1" applyAlignment="1">
      <alignment horizontal="left"/>
    </xf>
    <xf numFmtId="168" fontId="23" fillId="3" borderId="0" xfId="12" applyNumberFormat="1" applyFont="1" applyFill="1" applyAlignment="1">
      <alignment horizontal="left" indent="4"/>
    </xf>
    <xf numFmtId="168" fontId="23" fillId="3" borderId="7" xfId="12" applyNumberFormat="1" applyFont="1" applyFill="1" applyBorder="1" applyAlignment="1">
      <alignment horizontal="left" indent="4"/>
    </xf>
    <xf numFmtId="168" fontId="58" fillId="3" borderId="0" xfId="12" applyNumberFormat="1" applyFill="1"/>
    <xf numFmtId="170" fontId="25" fillId="3" borderId="0" xfId="12" applyNumberFormat="1" applyFont="1" applyFill="1" applyAlignment="1">
      <alignment horizontal="left" indent="4"/>
    </xf>
    <xf numFmtId="171" fontId="58" fillId="3" borderId="0" xfId="12" applyNumberFormat="1" applyFill="1"/>
    <xf numFmtId="168" fontId="25" fillId="3" borderId="7" xfId="12" applyNumberFormat="1" applyFont="1" applyFill="1" applyBorder="1" applyAlignment="1">
      <alignment horizontal="left" indent="4"/>
    </xf>
    <xf numFmtId="168" fontId="25" fillId="3" borderId="2" xfId="12" applyNumberFormat="1" applyFont="1" applyFill="1" applyBorder="1" applyAlignment="1">
      <alignment horizontal="left" indent="2"/>
    </xf>
    <xf numFmtId="168" fontId="25" fillId="3" borderId="2" xfId="12" applyNumberFormat="1" applyFont="1" applyFill="1" applyBorder="1" applyAlignment="1">
      <alignment horizontal="left" indent="4"/>
    </xf>
    <xf numFmtId="205" fontId="25" fillId="3" borderId="0" xfId="12" applyNumberFormat="1" applyFont="1" applyFill="1" applyAlignment="1">
      <alignment horizontal="left"/>
    </xf>
    <xf numFmtId="174" fontId="25" fillId="3" borderId="0" xfId="12" applyNumberFormat="1" applyFont="1" applyFill="1" applyAlignment="1">
      <alignment horizontal="left" indent="4"/>
    </xf>
    <xf numFmtId="174" fontId="58" fillId="3" borderId="0" xfId="12" applyNumberFormat="1" applyFill="1"/>
    <xf numFmtId="205" fontId="25" fillId="3" borderId="0" xfId="12" applyNumberFormat="1" applyFont="1" applyFill="1" applyAlignment="1">
      <alignment horizontal="left" indent="4"/>
    </xf>
    <xf numFmtId="205" fontId="25" fillId="3" borderId="0" xfId="12" applyNumberFormat="1" applyFont="1" applyFill="1"/>
    <xf numFmtId="205" fontId="58" fillId="3" borderId="0" xfId="12" applyNumberFormat="1" applyFill="1"/>
    <xf numFmtId="170" fontId="3" fillId="3" borderId="0" xfId="2" applyNumberFormat="1" applyFont="1" applyFill="1"/>
    <xf numFmtId="170" fontId="0" fillId="3" borderId="2" xfId="0" applyNumberFormat="1" applyFill="1" applyBorder="1" applyAlignment="1">
      <alignment horizontal="left" indent="2"/>
    </xf>
    <xf numFmtId="171" fontId="26" fillId="3" borderId="0" xfId="0" applyNumberFormat="1" applyFont="1" applyFill="1" applyAlignment="1">
      <alignment horizontal="right" indent="1"/>
    </xf>
    <xf numFmtId="0" fontId="13" fillId="0" borderId="0" xfId="11" applyFont="1"/>
    <xf numFmtId="0" fontId="49" fillId="3" borderId="0" xfId="8" applyFont="1" applyFill="1"/>
    <xf numFmtId="194" fontId="23" fillId="3" borderId="0" xfId="0" applyNumberFormat="1" applyFont="1" applyFill="1" applyAlignment="1">
      <alignment horizontal="left"/>
    </xf>
    <xf numFmtId="194" fontId="24" fillId="3" borderId="0" xfId="2" applyNumberFormat="1" applyFont="1" applyFill="1"/>
    <xf numFmtId="194" fontId="23" fillId="3" borderId="0" xfId="0" applyNumberFormat="1" applyFont="1" applyFill="1" applyAlignment="1">
      <alignment horizontal="right"/>
    </xf>
    <xf numFmtId="170" fontId="24" fillId="3" borderId="7" xfId="2" applyNumberFormat="1" applyFont="1" applyFill="1" applyBorder="1"/>
    <xf numFmtId="170" fontId="23" fillId="3" borderId="7" xfId="0" applyNumberFormat="1" applyFont="1" applyFill="1" applyBorder="1" applyAlignment="1">
      <alignment horizontal="right"/>
    </xf>
    <xf numFmtId="194" fontId="26" fillId="3" borderId="0" xfId="0" applyNumberFormat="1" applyFont="1" applyFill="1" applyAlignment="1">
      <alignment horizontal="left" indent="1"/>
    </xf>
    <xf numFmtId="194" fontId="27" fillId="3" borderId="0" xfId="2" applyNumberFormat="1" applyFont="1" applyFill="1"/>
    <xf numFmtId="194" fontId="23" fillId="3" borderId="0" xfId="0" applyNumberFormat="1" applyFont="1" applyFill="1" applyAlignment="1">
      <alignment horizontal="left" indent="4"/>
    </xf>
    <xf numFmtId="194" fontId="0" fillId="3" borderId="0" xfId="0" applyNumberFormat="1" applyFill="1"/>
    <xf numFmtId="194" fontId="0" fillId="3" borderId="0" xfId="0" applyNumberFormat="1" applyFill="1" applyAlignment="1">
      <alignment horizontal="left" indent="1"/>
    </xf>
    <xf numFmtId="194" fontId="25" fillId="3" borderId="0" xfId="1" applyNumberFormat="1" applyFont="1" applyFill="1" applyAlignment="1">
      <alignment horizontal="left" indent="4"/>
    </xf>
    <xf numFmtId="194" fontId="25" fillId="3" borderId="0" xfId="1" applyNumberFormat="1" applyFont="1" applyFill="1"/>
    <xf numFmtId="170" fontId="58" fillId="3" borderId="0" xfId="1" applyNumberFormat="1" applyFill="1"/>
    <xf numFmtId="194" fontId="58" fillId="3" borderId="0" xfId="1" applyNumberFormat="1" applyFill="1"/>
    <xf numFmtId="171" fontId="26" fillId="3" borderId="0" xfId="12" applyNumberFormat="1" applyFont="1" applyFill="1" applyAlignment="1">
      <alignment horizontal="left" indent="2"/>
    </xf>
    <xf numFmtId="171" fontId="26" fillId="3" borderId="0" xfId="12" applyNumberFormat="1" applyFont="1" applyFill="1" applyAlignment="1">
      <alignment horizontal="left" indent="4"/>
    </xf>
    <xf numFmtId="171" fontId="26" fillId="3" borderId="0" xfId="12" applyNumberFormat="1" applyFont="1" applyFill="1"/>
    <xf numFmtId="168" fontId="26" fillId="3" borderId="0" xfId="12" applyNumberFormat="1" applyFont="1" applyFill="1"/>
    <xf numFmtId="171" fontId="26" fillId="3" borderId="0" xfId="12" applyNumberFormat="1" applyFont="1" applyFill="1" applyAlignment="1">
      <alignment horizontal="left" indent="1"/>
    </xf>
    <xf numFmtId="171" fontId="41" fillId="3" borderId="7" xfId="12" applyNumberFormat="1" applyFont="1" applyFill="1" applyBorder="1" applyAlignment="1">
      <alignment horizontal="left"/>
    </xf>
    <xf numFmtId="171" fontId="41" fillId="3" borderId="7" xfId="12" applyNumberFormat="1" applyFont="1" applyFill="1" applyBorder="1" applyAlignment="1">
      <alignment horizontal="left" indent="4"/>
    </xf>
    <xf numFmtId="171" fontId="41" fillId="3" borderId="7" xfId="12" applyNumberFormat="1" applyFont="1" applyFill="1" applyBorder="1"/>
    <xf numFmtId="171" fontId="41" fillId="3" borderId="0" xfId="12" applyNumberFormat="1" applyFont="1" applyFill="1"/>
    <xf numFmtId="171" fontId="41" fillId="3" borderId="0" xfId="12" applyNumberFormat="1" applyFont="1" applyFill="1" applyAlignment="1">
      <alignment horizontal="left"/>
    </xf>
    <xf numFmtId="171" fontId="41" fillId="3" borderId="0" xfId="12" applyNumberFormat="1" applyFont="1" applyFill="1" applyAlignment="1">
      <alignment horizontal="left" indent="4"/>
    </xf>
    <xf numFmtId="171" fontId="26" fillId="3" borderId="7" xfId="12" applyNumberFormat="1" applyFont="1" applyFill="1" applyBorder="1" applyAlignment="1">
      <alignment horizontal="left" indent="1"/>
    </xf>
    <xf numFmtId="171" fontId="26" fillId="3" borderId="7" xfId="12" applyNumberFormat="1" applyFont="1" applyFill="1" applyBorder="1" applyAlignment="1">
      <alignment horizontal="left" indent="4"/>
    </xf>
    <xf numFmtId="171" fontId="26" fillId="3" borderId="7" xfId="12" applyNumberFormat="1" applyFont="1" applyFill="1" applyBorder="1"/>
    <xf numFmtId="194" fontId="23" fillId="3" borderId="0" xfId="12" applyNumberFormat="1" applyFont="1" applyFill="1" applyAlignment="1">
      <alignment horizontal="left"/>
    </xf>
    <xf numFmtId="194" fontId="23" fillId="3" borderId="0" xfId="12" applyNumberFormat="1" applyFont="1" applyFill="1" applyAlignment="1">
      <alignment horizontal="left" indent="4"/>
    </xf>
    <xf numFmtId="194" fontId="23" fillId="3" borderId="0" xfId="12" applyNumberFormat="1" applyFont="1" applyFill="1"/>
    <xf numFmtId="194" fontId="0" fillId="3" borderId="0" xfId="0" applyNumberFormat="1" applyFill="1" applyAlignment="1">
      <alignment horizontal="left"/>
    </xf>
    <xf numFmtId="170" fontId="25" fillId="3" borderId="7" xfId="0" applyNumberFormat="1" applyFont="1" applyFill="1" applyBorder="1" applyAlignment="1">
      <alignment horizontal="left"/>
    </xf>
    <xf numFmtId="170" fontId="25" fillId="3" borderId="7" xfId="0" applyNumberFormat="1" applyFont="1" applyFill="1" applyBorder="1" applyAlignment="1">
      <alignment horizontal="left" indent="1"/>
    </xf>
    <xf numFmtId="170" fontId="21" fillId="2" borderId="0" xfId="7" applyNumberFormat="1" applyFont="1"/>
    <xf numFmtId="170" fontId="21" fillId="2" borderId="0" xfId="7" applyNumberFormat="1" applyFont="1" applyAlignment="1">
      <alignment horizontal="right"/>
    </xf>
    <xf numFmtId="170" fontId="21" fillId="2" borderId="18" xfId="7" applyNumberFormat="1" applyFont="1" applyBorder="1" applyAlignment="1">
      <alignment horizontal="right"/>
    </xf>
    <xf numFmtId="168" fontId="21" fillId="2" borderId="0" xfId="7" applyNumberFormat="1" applyFont="1"/>
    <xf numFmtId="171" fontId="21" fillId="3" borderId="0" xfId="10" applyNumberFormat="1" applyFont="1" applyFill="1"/>
    <xf numFmtId="168" fontId="21" fillId="3" borderId="0" xfId="10" applyNumberFormat="1" applyFont="1" applyFill="1"/>
    <xf numFmtId="173" fontId="21" fillId="3" borderId="0" xfId="2" applyNumberFormat="1" applyFont="1" applyFill="1"/>
    <xf numFmtId="175" fontId="0" fillId="3" borderId="0" xfId="0" applyNumberFormat="1" applyFill="1"/>
    <xf numFmtId="1" fontId="8" fillId="3" borderId="0" xfId="0" applyNumberFormat="1" applyFont="1" applyFill="1" applyAlignment="1">
      <alignment horizontal="center"/>
    </xf>
    <xf numFmtId="17" fontId="9" fillId="3" borderId="0" xfId="0" applyNumberFormat="1" applyFont="1" applyFill="1" applyAlignment="1">
      <alignment horizontal="center"/>
    </xf>
    <xf numFmtId="0" fontId="7" fillId="3" borderId="0" xfId="0" applyFont="1" applyFill="1" applyAlignment="1">
      <alignment horizontal="center"/>
    </xf>
    <xf numFmtId="171" fontId="19" fillId="3" borderId="0" xfId="0" applyNumberFormat="1" applyFont="1" applyFill="1" applyAlignment="1">
      <alignment horizontal="right"/>
    </xf>
    <xf numFmtId="170" fontId="8" fillId="3" borderId="0" xfId="0" applyNumberFormat="1" applyFont="1" applyFill="1" applyAlignment="1">
      <alignment horizontal="right"/>
    </xf>
    <xf numFmtId="170" fontId="27" fillId="3" borderId="0" xfId="0" applyNumberFormat="1" applyFont="1" applyFill="1"/>
    <xf numFmtId="171" fontId="27" fillId="3" borderId="0" xfId="0" applyNumberFormat="1" applyFont="1" applyFill="1"/>
    <xf numFmtId="171" fontId="8" fillId="3" borderId="0" xfId="0" applyNumberFormat="1" applyFont="1" applyFill="1" applyAlignment="1">
      <alignment horizontal="right"/>
    </xf>
    <xf numFmtId="170" fontId="27" fillId="3" borderId="0" xfId="0" applyNumberFormat="1" applyFont="1" applyFill="1" applyAlignment="1">
      <alignment horizontal="right"/>
    </xf>
    <xf numFmtId="173" fontId="27" fillId="3" borderId="0" xfId="0" applyNumberFormat="1" applyFont="1" applyFill="1"/>
    <xf numFmtId="201" fontId="26" fillId="3" borderId="0" xfId="0" applyNumberFormat="1" applyFont="1" applyFill="1"/>
    <xf numFmtId="173" fontId="27" fillId="3" borderId="0" xfId="2" applyNumberFormat="1" applyFont="1" applyFill="1"/>
    <xf numFmtId="188" fontId="23" fillId="3" borderId="0" xfId="0" applyNumberFormat="1" applyFont="1" applyFill="1"/>
    <xf numFmtId="188" fontId="8" fillId="3" borderId="0" xfId="0" applyNumberFormat="1" applyFont="1" applyFill="1" applyAlignment="1">
      <alignment horizontal="right"/>
    </xf>
    <xf numFmtId="174" fontId="25" fillId="3" borderId="0" xfId="0" applyNumberFormat="1" applyFont="1" applyFill="1" applyAlignment="1">
      <alignment horizontal="right"/>
    </xf>
    <xf numFmtId="188" fontId="0" fillId="3" borderId="0" xfId="0" applyNumberFormat="1" applyFill="1" applyAlignment="1">
      <alignment horizontal="right"/>
    </xf>
    <xf numFmtId="198" fontId="0" fillId="3" borderId="0" xfId="0" applyNumberFormat="1" applyFill="1" applyAlignment="1">
      <alignment horizontal="right"/>
    </xf>
    <xf numFmtId="189" fontId="0" fillId="3" borderId="0" xfId="0" applyNumberFormat="1" applyFill="1" applyAlignment="1">
      <alignment horizontal="right"/>
    </xf>
    <xf numFmtId="171" fontId="33" fillId="3" borderId="0" xfId="0" applyNumberFormat="1" applyFont="1" applyFill="1"/>
    <xf numFmtId="170" fontId="0" fillId="3" borderId="0" xfId="0" applyNumberFormat="1" applyFill="1" applyAlignment="1">
      <alignment horizontal="right"/>
    </xf>
    <xf numFmtId="170" fontId="24" fillId="3" borderId="0" xfId="10" applyNumberFormat="1" applyFont="1" applyFill="1"/>
    <xf numFmtId="170" fontId="21" fillId="3" borderId="0" xfId="10" applyNumberFormat="1" applyFont="1" applyFill="1"/>
    <xf numFmtId="203" fontId="24" fillId="3" borderId="0" xfId="10" applyNumberFormat="1" applyFont="1" applyFill="1" applyAlignment="1">
      <alignment horizontal="right"/>
    </xf>
    <xf numFmtId="203" fontId="23" fillId="3" borderId="0" xfId="0" applyNumberFormat="1" applyFont="1" applyFill="1" applyAlignment="1">
      <alignment horizontal="right"/>
    </xf>
    <xf numFmtId="170" fontId="24" fillId="3" borderId="0" xfId="10" applyNumberFormat="1" applyFont="1" applyFill="1" applyAlignment="1">
      <alignment horizontal="center"/>
    </xf>
    <xf numFmtId="171" fontId="21" fillId="3" borderId="0" xfId="10" applyNumberFormat="1" applyFont="1" applyFill="1" applyAlignment="1">
      <alignment horizontal="right" vertical="top"/>
    </xf>
    <xf numFmtId="170" fontId="21" fillId="3" borderId="0" xfId="10" applyNumberFormat="1" applyFont="1" applyFill="1" applyAlignment="1">
      <alignment horizontal="right"/>
    </xf>
    <xf numFmtId="17" fontId="21" fillId="3" borderId="0" xfId="10" applyNumberFormat="1" applyFont="1" applyFill="1"/>
    <xf numFmtId="188" fontId="21" fillId="3" borderId="0" xfId="10" applyNumberFormat="1" applyFont="1" applyFill="1"/>
    <xf numFmtId="189" fontId="21" fillId="3" borderId="0" xfId="10" applyNumberFormat="1" applyFont="1" applyFill="1"/>
    <xf numFmtId="174" fontId="23" fillId="3" borderId="0" xfId="12" applyNumberFormat="1" applyFont="1" applyFill="1" applyAlignment="1">
      <alignment horizontal="right"/>
    </xf>
    <xf numFmtId="174" fontId="25" fillId="3" borderId="0" xfId="12" applyNumberFormat="1" applyFont="1" applyFill="1" applyAlignment="1">
      <alignment horizontal="right"/>
    </xf>
    <xf numFmtId="17" fontId="58" fillId="3" borderId="0" xfId="12" applyNumberFormat="1" applyFill="1" applyAlignment="1">
      <alignment horizontal="center"/>
    </xf>
    <xf numFmtId="174" fontId="25" fillId="3" borderId="2" xfId="0" applyNumberFormat="1" applyFont="1" applyFill="1" applyBorder="1" applyAlignment="1">
      <alignment horizontal="left" indent="2"/>
    </xf>
    <xf numFmtId="168" fontId="25" fillId="3" borderId="29" xfId="0" applyNumberFormat="1" applyFont="1" applyFill="1" applyBorder="1"/>
    <xf numFmtId="168" fontId="25" fillId="3" borderId="19" xfId="0" applyNumberFormat="1" applyFont="1" applyFill="1" applyBorder="1"/>
    <xf numFmtId="168" fontId="25" fillId="3" borderId="18" xfId="12" applyNumberFormat="1" applyFont="1" applyFill="1" applyBorder="1"/>
    <xf numFmtId="168" fontId="22" fillId="4" borderId="0" xfId="0" applyNumberFormat="1" applyFont="1" applyFill="1"/>
    <xf numFmtId="168" fontId="22" fillId="4" borderId="18" xfId="0" applyNumberFormat="1" applyFont="1" applyFill="1" applyBorder="1"/>
    <xf numFmtId="168" fontId="25" fillId="3" borderId="0" xfId="0" applyNumberFormat="1" applyFont="1" applyFill="1"/>
    <xf numFmtId="168" fontId="23" fillId="3" borderId="0" xfId="0" applyNumberFormat="1" applyFont="1" applyFill="1"/>
    <xf numFmtId="168" fontId="25" fillId="3" borderId="11" xfId="0" applyNumberFormat="1" applyFont="1" applyFill="1" applyBorder="1"/>
    <xf numFmtId="168" fontId="25" fillId="3" borderId="2" xfId="0" applyNumberFormat="1" applyFont="1" applyFill="1" applyBorder="1"/>
    <xf numFmtId="168" fontId="25" fillId="3" borderId="18" xfId="0" applyNumberFormat="1" applyFont="1" applyFill="1" applyBorder="1"/>
    <xf numFmtId="168" fontId="29" fillId="4" borderId="0" xfId="0" applyNumberFormat="1" applyFont="1" applyFill="1"/>
    <xf numFmtId="168" fontId="23" fillId="3" borderId="7" xfId="0" applyNumberFormat="1" applyFont="1" applyFill="1" applyBorder="1"/>
    <xf numFmtId="168" fontId="23" fillId="3" borderId="0" xfId="12" applyNumberFormat="1" applyFont="1" applyFill="1"/>
    <xf numFmtId="168" fontId="22" fillId="4" borderId="0" xfId="12" applyNumberFormat="1" applyFont="1" applyFill="1"/>
    <xf numFmtId="168" fontId="22" fillId="4" borderId="18" xfId="12" applyNumberFormat="1" applyFont="1" applyFill="1" applyBorder="1"/>
    <xf numFmtId="168" fontId="25" fillId="3" borderId="0" xfId="12" applyNumberFormat="1" applyFont="1" applyFill="1"/>
    <xf numFmtId="168" fontId="26" fillId="3" borderId="7" xfId="0" applyNumberFormat="1" applyFont="1" applyFill="1" applyBorder="1"/>
    <xf numFmtId="168" fontId="23" fillId="3" borderId="11" xfId="0" applyNumberFormat="1" applyFont="1" applyFill="1" applyBorder="1"/>
    <xf numFmtId="168" fontId="47" fillId="3" borderId="0" xfId="0" applyNumberFormat="1" applyFont="1" applyFill="1" applyAlignment="1">
      <alignment horizontal="center"/>
    </xf>
    <xf numFmtId="168" fontId="26" fillId="3" borderId="0" xfId="0" applyNumberFormat="1" applyFont="1" applyFill="1"/>
    <xf numFmtId="168" fontId="21" fillId="2" borderId="0" xfId="7" applyNumberFormat="1" applyFont="1" applyAlignment="1">
      <alignment horizontal="right"/>
    </xf>
    <xf numFmtId="168" fontId="21" fillId="2" borderId="18" xfId="7" applyNumberFormat="1" applyFont="1" applyBorder="1" applyAlignment="1">
      <alignment horizontal="right"/>
    </xf>
    <xf numFmtId="168" fontId="23" fillId="3" borderId="18" xfId="0" applyNumberFormat="1" applyFont="1" applyFill="1" applyBorder="1"/>
    <xf numFmtId="168" fontId="25" fillId="3" borderId="12" xfId="12" applyNumberFormat="1" applyFont="1" applyFill="1" applyBorder="1" applyAlignment="1">
      <alignment horizontal="right"/>
    </xf>
    <xf numFmtId="168" fontId="23" fillId="3" borderId="7" xfId="12" applyNumberFormat="1" applyFont="1" applyFill="1" applyBorder="1"/>
    <xf numFmtId="168" fontId="25" fillId="3" borderId="7" xfId="12" applyNumberFormat="1" applyFont="1" applyFill="1" applyBorder="1"/>
    <xf numFmtId="168" fontId="25" fillId="3" borderId="2" xfId="12" applyNumberFormat="1" applyFont="1" applyFill="1" applyBorder="1"/>
    <xf numFmtId="0" fontId="7" fillId="3" borderId="18" xfId="0" applyFont="1" applyFill="1" applyBorder="1" applyAlignment="1">
      <alignment horizontal="center"/>
    </xf>
    <xf numFmtId="171" fontId="26" fillId="3" borderId="18" xfId="0" applyNumberFormat="1" applyFont="1" applyFill="1" applyBorder="1"/>
    <xf numFmtId="171" fontId="26" fillId="3" borderId="18" xfId="0" applyNumberFormat="1" applyFont="1" applyFill="1" applyBorder="1" applyAlignment="1">
      <alignment horizontal="right"/>
    </xf>
    <xf numFmtId="170" fontId="25" fillId="3" borderId="18" xfId="1" applyNumberFormat="1" applyFont="1" applyFill="1" applyBorder="1"/>
    <xf numFmtId="194" fontId="25" fillId="3" borderId="18" xfId="1" applyNumberFormat="1" applyFont="1" applyFill="1" applyBorder="1"/>
    <xf numFmtId="170" fontId="26" fillId="3" borderId="18" xfId="0" applyNumberFormat="1" applyFont="1" applyFill="1" applyBorder="1"/>
    <xf numFmtId="170" fontId="25" fillId="3" borderId="19" xfId="0" applyNumberFormat="1" applyFont="1" applyFill="1" applyBorder="1" applyAlignment="1">
      <alignment horizontal="right"/>
    </xf>
    <xf numFmtId="170" fontId="23" fillId="3" borderId="18" xfId="0" applyNumberFormat="1" applyFont="1" applyFill="1" applyBorder="1" applyAlignment="1">
      <alignment horizontal="right"/>
    </xf>
    <xf numFmtId="170" fontId="26" fillId="3" borderId="18" xfId="0" applyNumberFormat="1" applyFont="1" applyFill="1" applyBorder="1" applyAlignment="1">
      <alignment horizontal="right"/>
    </xf>
    <xf numFmtId="194" fontId="23" fillId="3" borderId="18" xfId="0" applyNumberFormat="1" applyFont="1" applyFill="1" applyBorder="1" applyAlignment="1">
      <alignment horizontal="right"/>
    </xf>
    <xf numFmtId="194" fontId="23" fillId="3" borderId="18" xfId="0" applyNumberFormat="1" applyFont="1" applyFill="1" applyBorder="1"/>
    <xf numFmtId="171" fontId="25" fillId="3" borderId="19" xfId="0" applyNumberFormat="1" applyFont="1" applyFill="1" applyBorder="1"/>
    <xf numFmtId="171" fontId="23" fillId="3" borderId="18" xfId="0" applyNumberFormat="1" applyFont="1" applyFill="1" applyBorder="1"/>
    <xf numFmtId="170" fontId="25" fillId="3" borderId="20" xfId="0" applyNumberFormat="1" applyFont="1" applyFill="1" applyBorder="1"/>
    <xf numFmtId="171" fontId="25" fillId="3" borderId="20" xfId="0" applyNumberFormat="1" applyFont="1" applyFill="1" applyBorder="1"/>
    <xf numFmtId="171" fontId="23" fillId="3" borderId="20" xfId="0" applyNumberFormat="1" applyFont="1" applyFill="1" applyBorder="1"/>
    <xf numFmtId="194" fontId="25" fillId="3" borderId="18" xfId="0" applyNumberFormat="1" applyFont="1" applyFill="1" applyBorder="1"/>
    <xf numFmtId="194" fontId="23" fillId="3" borderId="20" xfId="0" applyNumberFormat="1" applyFont="1" applyFill="1" applyBorder="1"/>
    <xf numFmtId="170" fontId="23" fillId="3" borderId="30" xfId="0" applyNumberFormat="1" applyFont="1" applyFill="1" applyBorder="1"/>
    <xf numFmtId="171" fontId="23" fillId="3" borderId="20" xfId="0" applyNumberFormat="1" applyFont="1" applyFill="1" applyBorder="1" applyAlignment="1">
      <alignment horizontal="right"/>
    </xf>
    <xf numFmtId="171" fontId="23" fillId="3" borderId="18" xfId="0" applyNumberFormat="1" applyFont="1" applyFill="1" applyBorder="1" applyAlignment="1">
      <alignment horizontal="right"/>
    </xf>
    <xf numFmtId="171" fontId="26" fillId="3" borderId="18" xfId="0" applyNumberFormat="1" applyFont="1" applyFill="1" applyBorder="1" applyAlignment="1">
      <alignment horizontal="left" indent="1"/>
    </xf>
    <xf numFmtId="170" fontId="25" fillId="3" borderId="30" xfId="0" applyNumberFormat="1" applyFont="1" applyFill="1" applyBorder="1"/>
    <xf numFmtId="168" fontId="26" fillId="3" borderId="20" xfId="0" applyNumberFormat="1" applyFont="1" applyFill="1" applyBorder="1"/>
    <xf numFmtId="173" fontId="26" fillId="3" borderId="18" xfId="0" applyNumberFormat="1" applyFont="1" applyFill="1" applyBorder="1"/>
    <xf numFmtId="197" fontId="25" fillId="3" borderId="18" xfId="0" applyNumberFormat="1" applyFont="1" applyFill="1" applyBorder="1"/>
    <xf numFmtId="174" fontId="26" fillId="3" borderId="18" xfId="0" applyNumberFormat="1" applyFont="1" applyFill="1" applyBorder="1"/>
    <xf numFmtId="170" fontId="25" fillId="3" borderId="18" xfId="0" applyNumberFormat="1" applyFont="1" applyFill="1" applyBorder="1" applyAlignment="1">
      <alignment horizontal="left" indent="1"/>
    </xf>
    <xf numFmtId="170" fontId="25" fillId="3" borderId="19" xfId="0" applyNumberFormat="1" applyFont="1" applyFill="1" applyBorder="1" applyAlignment="1">
      <alignment horizontal="left" indent="1"/>
    </xf>
    <xf numFmtId="171" fontId="26" fillId="3" borderId="19" xfId="0" applyNumberFormat="1" applyFont="1" applyFill="1" applyBorder="1"/>
    <xf numFmtId="201" fontId="26" fillId="3" borderId="18" xfId="0" applyNumberFormat="1" applyFont="1" applyFill="1" applyBorder="1"/>
    <xf numFmtId="202" fontId="25" fillId="3" borderId="18" xfId="0" applyNumberFormat="1" applyFont="1" applyFill="1" applyBorder="1"/>
    <xf numFmtId="202" fontId="25" fillId="3" borderId="31" xfId="0" applyNumberFormat="1" applyFont="1" applyFill="1" applyBorder="1"/>
    <xf numFmtId="194" fontId="25" fillId="3" borderId="19" xfId="0" applyNumberFormat="1" applyFont="1" applyFill="1" applyBorder="1"/>
    <xf numFmtId="168" fontId="23" fillId="3" borderId="29" xfId="0" applyNumberFormat="1" applyFont="1" applyFill="1" applyBorder="1"/>
    <xf numFmtId="202" fontId="23" fillId="3" borderId="18" xfId="0" applyNumberFormat="1" applyFont="1" applyFill="1" applyBorder="1"/>
    <xf numFmtId="166" fontId="25" fillId="3" borderId="18" xfId="0" applyNumberFormat="1" applyFont="1" applyFill="1" applyBorder="1"/>
    <xf numFmtId="170" fontId="25" fillId="3" borderId="20" xfId="0" applyNumberFormat="1" applyFont="1" applyFill="1" applyBorder="1" applyAlignment="1">
      <alignment horizontal="right"/>
    </xf>
    <xf numFmtId="171" fontId="41" fillId="3" borderId="18" xfId="0" applyNumberFormat="1" applyFont="1" applyFill="1" applyBorder="1" applyAlignment="1">
      <alignment horizontal="right"/>
    </xf>
    <xf numFmtId="171" fontId="41" fillId="3" borderId="18" xfId="0" applyNumberFormat="1" applyFont="1" applyFill="1" applyBorder="1"/>
    <xf numFmtId="204" fontId="25" fillId="3" borderId="18" xfId="0" applyNumberFormat="1" applyFont="1" applyFill="1" applyBorder="1" applyAlignment="1">
      <alignment horizontal="center"/>
    </xf>
    <xf numFmtId="168" fontId="47" fillId="3" borderId="18" xfId="0" applyNumberFormat="1" applyFont="1" applyFill="1" applyBorder="1" applyAlignment="1">
      <alignment horizontal="center"/>
    </xf>
    <xf numFmtId="171" fontId="26" fillId="3" borderId="19" xfId="0" applyNumberFormat="1" applyFont="1" applyFill="1" applyBorder="1" applyAlignment="1">
      <alignment horizontal="right"/>
    </xf>
    <xf numFmtId="173" fontId="23" fillId="3" borderId="18" xfId="2" applyNumberFormat="1" applyFont="1" applyFill="1" applyBorder="1"/>
    <xf numFmtId="176" fontId="25" fillId="3" borderId="18" xfId="0" applyNumberFormat="1" applyFont="1" applyFill="1" applyBorder="1"/>
    <xf numFmtId="188" fontId="23" fillId="3" borderId="18" xfId="0" applyNumberFormat="1" applyFont="1" applyFill="1" applyBorder="1"/>
    <xf numFmtId="168" fontId="26" fillId="3" borderId="18" xfId="0" applyNumberFormat="1" applyFont="1" applyFill="1" applyBorder="1"/>
    <xf numFmtId="174" fontId="23" fillId="3" borderId="18" xfId="0" applyNumberFormat="1" applyFont="1" applyFill="1" applyBorder="1" applyAlignment="1">
      <alignment horizontal="right"/>
    </xf>
    <xf numFmtId="174" fontId="25" fillId="3" borderId="18" xfId="0" applyNumberFormat="1" applyFont="1" applyFill="1" applyBorder="1" applyAlignment="1">
      <alignment horizontal="right"/>
    </xf>
    <xf numFmtId="173" fontId="23" fillId="3" borderId="18" xfId="0" applyNumberFormat="1" applyFont="1" applyFill="1" applyBorder="1"/>
    <xf numFmtId="173" fontId="23" fillId="3" borderId="20" xfId="0" applyNumberFormat="1" applyFont="1" applyFill="1" applyBorder="1"/>
    <xf numFmtId="168" fontId="23" fillId="3" borderId="20" xfId="12" applyNumberFormat="1" applyFont="1" applyFill="1" applyBorder="1"/>
    <xf numFmtId="171" fontId="25" fillId="3" borderId="18" xfId="12" applyNumberFormat="1" applyFont="1" applyFill="1" applyBorder="1"/>
    <xf numFmtId="170" fontId="25" fillId="3" borderId="18" xfId="12" applyNumberFormat="1" applyFont="1" applyFill="1" applyBorder="1"/>
    <xf numFmtId="170" fontId="23" fillId="3" borderId="18" xfId="12" applyNumberFormat="1" applyFont="1" applyFill="1" applyBorder="1"/>
    <xf numFmtId="168" fontId="25" fillId="3" borderId="20" xfId="12" applyNumberFormat="1" applyFont="1" applyFill="1" applyBorder="1"/>
    <xf numFmtId="168" fontId="25" fillId="3" borderId="19" xfId="12" applyNumberFormat="1" applyFont="1" applyFill="1" applyBorder="1"/>
    <xf numFmtId="168" fontId="23" fillId="3" borderId="18" xfId="12" applyNumberFormat="1" applyFont="1" applyFill="1" applyBorder="1"/>
    <xf numFmtId="174" fontId="25" fillId="3" borderId="18" xfId="12" applyNumberFormat="1" applyFont="1" applyFill="1" applyBorder="1"/>
    <xf numFmtId="205" fontId="25" fillId="3" borderId="18" xfId="12" applyNumberFormat="1" applyFont="1" applyFill="1" applyBorder="1"/>
    <xf numFmtId="17" fontId="21" fillId="3" borderId="18" xfId="12" applyNumberFormat="1" applyFont="1" applyFill="1" applyBorder="1" applyAlignment="1">
      <alignment horizontal="center"/>
    </xf>
    <xf numFmtId="168" fontId="24" fillId="3" borderId="18" xfId="12" applyNumberFormat="1" applyFont="1" applyFill="1" applyBorder="1" applyAlignment="1">
      <alignment horizontal="center"/>
    </xf>
    <xf numFmtId="188" fontId="23" fillId="3" borderId="18" xfId="12" applyNumberFormat="1" applyFont="1" applyFill="1" applyBorder="1" applyAlignment="1">
      <alignment horizontal="right"/>
    </xf>
    <xf numFmtId="168" fontId="25" fillId="3" borderId="31" xfId="12" applyNumberFormat="1" applyFont="1" applyFill="1" applyBorder="1" applyAlignment="1">
      <alignment horizontal="right"/>
    </xf>
    <xf numFmtId="170" fontId="25" fillId="3" borderId="19" xfId="12" applyNumberFormat="1" applyFont="1" applyFill="1" applyBorder="1"/>
    <xf numFmtId="170" fontId="23" fillId="3" borderId="20" xfId="12" applyNumberFormat="1" applyFont="1" applyFill="1" applyBorder="1"/>
    <xf numFmtId="171" fontId="26" fillId="3" borderId="18" xfId="12" applyNumberFormat="1" applyFont="1" applyFill="1" applyBorder="1"/>
    <xf numFmtId="171" fontId="26" fillId="3" borderId="20" xfId="12" applyNumberFormat="1" applyFont="1" applyFill="1" applyBorder="1"/>
    <xf numFmtId="171" fontId="41" fillId="3" borderId="20" xfId="12" applyNumberFormat="1" applyFont="1" applyFill="1" applyBorder="1"/>
    <xf numFmtId="171" fontId="41" fillId="3" borderId="18" xfId="12" applyNumberFormat="1" applyFont="1" applyFill="1" applyBorder="1"/>
    <xf numFmtId="194" fontId="23" fillId="3" borderId="18" xfId="12" applyNumberFormat="1" applyFont="1" applyFill="1" applyBorder="1"/>
    <xf numFmtId="173" fontId="23" fillId="3" borderId="18" xfId="12" applyNumberFormat="1" applyFont="1" applyFill="1" applyBorder="1"/>
    <xf numFmtId="171" fontId="25" fillId="3" borderId="18" xfId="12" applyNumberFormat="1" applyFont="1" applyFill="1" applyBorder="1" applyAlignment="1">
      <alignment horizontal="center"/>
    </xf>
    <xf numFmtId="171" fontId="25" fillId="3" borderId="18" xfId="12" applyNumberFormat="1" applyFont="1" applyFill="1" applyBorder="1" applyAlignment="1">
      <alignment horizontal="right"/>
    </xf>
    <xf numFmtId="171" fontId="25" fillId="3" borderId="19" xfId="12" applyNumberFormat="1" applyFont="1" applyFill="1" applyBorder="1" applyAlignment="1">
      <alignment horizontal="right"/>
    </xf>
    <xf numFmtId="171" fontId="23" fillId="3" borderId="18" xfId="12" applyNumberFormat="1" applyFont="1" applyFill="1" applyBorder="1" applyAlignment="1">
      <alignment horizontal="right"/>
    </xf>
    <xf numFmtId="181" fontId="23" fillId="3" borderId="18" xfId="12" applyNumberFormat="1" applyFont="1" applyFill="1" applyBorder="1" applyAlignment="1">
      <alignment horizontal="right"/>
    </xf>
    <xf numFmtId="174" fontId="23" fillId="3" borderId="18" xfId="12" applyNumberFormat="1" applyFont="1" applyFill="1" applyBorder="1"/>
    <xf numFmtId="182" fontId="23" fillId="3" borderId="18" xfId="12" applyNumberFormat="1" applyFont="1" applyFill="1" applyBorder="1" applyAlignment="1">
      <alignment horizontal="right"/>
    </xf>
    <xf numFmtId="200" fontId="25" fillId="3" borderId="18" xfId="0" applyNumberFormat="1" applyFont="1" applyFill="1" applyBorder="1"/>
    <xf numFmtId="166" fontId="25" fillId="3" borderId="19" xfId="0" applyNumberFormat="1" applyFont="1" applyFill="1" applyBorder="1"/>
    <xf numFmtId="0" fontId="8" fillId="0" borderId="0" xfId="0" applyFont="1"/>
    <xf numFmtId="171" fontId="19" fillId="0" borderId="0" xfId="0" applyNumberFormat="1" applyFont="1"/>
    <xf numFmtId="0" fontId="19" fillId="0" borderId="0" xfId="0" applyFont="1"/>
    <xf numFmtId="170" fontId="0" fillId="0" borderId="0" xfId="0" applyNumberFormat="1"/>
    <xf numFmtId="194" fontId="0" fillId="0" borderId="0" xfId="0" applyNumberFormat="1"/>
    <xf numFmtId="170" fontId="8" fillId="0" borderId="0" xfId="0" applyNumberFormat="1" applyFont="1"/>
    <xf numFmtId="171" fontId="0" fillId="0" borderId="0" xfId="0" applyNumberFormat="1"/>
    <xf numFmtId="196" fontId="19" fillId="0" borderId="0" xfId="0" applyNumberFormat="1" applyFont="1"/>
    <xf numFmtId="170" fontId="19" fillId="0" borderId="0" xfId="0" applyNumberFormat="1" applyFont="1"/>
    <xf numFmtId="194" fontId="8" fillId="0" borderId="0" xfId="0" applyNumberFormat="1" applyFont="1"/>
    <xf numFmtId="171" fontId="8" fillId="0" borderId="0" xfId="0" applyNumberFormat="1" applyFont="1"/>
    <xf numFmtId="174" fontId="19" fillId="0" borderId="0" xfId="0" applyNumberFormat="1" applyFont="1"/>
    <xf numFmtId="170" fontId="0" fillId="0" borderId="0" xfId="0" applyNumberFormat="1" applyAlignment="1">
      <alignment horizontal="left" indent="1"/>
    </xf>
    <xf numFmtId="197" fontId="0" fillId="0" borderId="0" xfId="0" applyNumberFormat="1"/>
    <xf numFmtId="166" fontId="0" fillId="0" borderId="0" xfId="0" applyNumberFormat="1"/>
    <xf numFmtId="168" fontId="0" fillId="0" borderId="0" xfId="0" applyNumberFormat="1"/>
    <xf numFmtId="168" fontId="8" fillId="0" borderId="0" xfId="0" applyNumberFormat="1" applyFont="1"/>
    <xf numFmtId="203" fontId="0" fillId="0" borderId="0" xfId="0" applyNumberFormat="1"/>
    <xf numFmtId="171" fontId="0" fillId="0" borderId="0" xfId="0" applyNumberFormat="1" applyAlignment="1">
      <alignment vertical="top"/>
    </xf>
    <xf numFmtId="0" fontId="36" fillId="0" borderId="0" xfId="0" applyFont="1"/>
    <xf numFmtId="0" fontId="0" fillId="0" borderId="0" xfId="0" applyAlignment="1">
      <alignment horizontal="left"/>
    </xf>
    <xf numFmtId="0" fontId="10" fillId="0" borderId="0" xfId="0" applyFont="1"/>
    <xf numFmtId="0" fontId="37" fillId="0" borderId="0" xfId="0" applyFont="1" applyAlignment="1">
      <alignment horizontal="left"/>
    </xf>
    <xf numFmtId="0" fontId="37" fillId="0" borderId="0" xfId="0" applyFont="1" applyAlignment="1">
      <alignment horizontal="center"/>
    </xf>
    <xf numFmtId="0" fontId="58" fillId="0" borderId="0" xfId="12"/>
    <xf numFmtId="168" fontId="8" fillId="0" borderId="0" xfId="12" applyNumberFormat="1" applyFont="1"/>
    <xf numFmtId="0" fontId="8" fillId="0" borderId="0" xfId="12" applyFont="1"/>
    <xf numFmtId="173" fontId="8" fillId="0" borderId="0" xfId="12" applyNumberFormat="1" applyFont="1"/>
    <xf numFmtId="168" fontId="58" fillId="0" borderId="0" xfId="12" applyNumberFormat="1"/>
    <xf numFmtId="171" fontId="19" fillId="0" borderId="0" xfId="12" applyNumberFormat="1" applyFont="1"/>
    <xf numFmtId="171" fontId="33" fillId="0" borderId="0" xfId="12" applyNumberFormat="1" applyFont="1"/>
    <xf numFmtId="171" fontId="58" fillId="0" borderId="0" xfId="12" applyNumberFormat="1"/>
    <xf numFmtId="170" fontId="8" fillId="0" borderId="0" xfId="12" applyNumberFormat="1" applyFont="1"/>
    <xf numFmtId="194" fontId="8" fillId="0" borderId="0" xfId="12" applyNumberFormat="1" applyFont="1"/>
    <xf numFmtId="171" fontId="8" fillId="0" borderId="0" xfId="12" applyNumberFormat="1" applyFont="1"/>
    <xf numFmtId="181" fontId="8" fillId="0" borderId="0" xfId="12" applyNumberFormat="1" applyFont="1"/>
    <xf numFmtId="174" fontId="8" fillId="0" borderId="0" xfId="12" applyNumberFormat="1" applyFont="1"/>
    <xf numFmtId="182" fontId="8" fillId="0" borderId="0" xfId="12" applyNumberFormat="1" applyFont="1"/>
    <xf numFmtId="170" fontId="58" fillId="0" borderId="0" xfId="12" applyNumberFormat="1"/>
    <xf numFmtId="174" fontId="58" fillId="0" borderId="0" xfId="12" applyNumberFormat="1"/>
    <xf numFmtId="0" fontId="37" fillId="0" borderId="0" xfId="0" applyFont="1"/>
    <xf numFmtId="205" fontId="58" fillId="0" borderId="0" xfId="12" applyNumberFormat="1"/>
    <xf numFmtId="0" fontId="26" fillId="3" borderId="18" xfId="0" applyFont="1" applyFill="1" applyBorder="1"/>
    <xf numFmtId="0" fontId="31" fillId="4" borderId="18" xfId="0" applyFont="1" applyFill="1" applyBorder="1"/>
    <xf numFmtId="0" fontId="31" fillId="4" borderId="18" xfId="12" applyFont="1" applyFill="1" applyBorder="1"/>
    <xf numFmtId="188" fontId="23" fillId="3" borderId="0" xfId="12" applyNumberFormat="1" applyFont="1" applyFill="1" applyAlignment="1">
      <alignment horizontal="left"/>
    </xf>
    <xf numFmtId="171" fontId="56" fillId="3" borderId="0" xfId="0" applyNumberFormat="1" applyFont="1" applyFill="1" applyAlignment="1">
      <alignment horizontal="right"/>
    </xf>
    <xf numFmtId="171" fontId="56" fillId="3" borderId="18" xfId="0" applyNumberFormat="1" applyFont="1" applyFill="1" applyBorder="1" applyAlignment="1">
      <alignment horizontal="right"/>
    </xf>
    <xf numFmtId="170" fontId="50" fillId="3" borderId="0" xfId="0" applyNumberFormat="1" applyFont="1" applyFill="1" applyAlignment="1">
      <alignment horizontal="right"/>
    </xf>
    <xf numFmtId="170" fontId="53" fillId="3" borderId="7" xfId="0" applyNumberFormat="1" applyFont="1" applyFill="1" applyBorder="1" applyAlignment="1">
      <alignment horizontal="right"/>
    </xf>
    <xf numFmtId="170" fontId="53" fillId="3" borderId="7" xfId="0" applyNumberFormat="1" applyFont="1" applyFill="1" applyBorder="1"/>
    <xf numFmtId="170" fontId="53" fillId="3" borderId="20" xfId="0" applyNumberFormat="1" applyFont="1" applyFill="1" applyBorder="1" applyAlignment="1">
      <alignment horizontal="right"/>
    </xf>
    <xf numFmtId="194" fontId="53" fillId="3" borderId="0" xfId="0" applyNumberFormat="1" applyFont="1" applyFill="1" applyAlignment="1">
      <alignment horizontal="right"/>
    </xf>
    <xf numFmtId="194" fontId="53" fillId="3" borderId="0" xfId="0" applyNumberFormat="1" applyFont="1" applyFill="1"/>
    <xf numFmtId="194" fontId="53" fillId="3" borderId="18" xfId="0" applyNumberFormat="1" applyFont="1" applyFill="1" applyBorder="1" applyAlignment="1">
      <alignment horizontal="right"/>
    </xf>
    <xf numFmtId="171" fontId="55" fillId="3" borderId="0" xfId="0" applyNumberFormat="1" applyFont="1" applyFill="1" applyAlignment="1">
      <alignment horizontal="right"/>
    </xf>
    <xf numFmtId="170" fontId="50" fillId="3" borderId="0" xfId="0" applyNumberFormat="1" applyFont="1" applyFill="1"/>
    <xf numFmtId="171" fontId="55" fillId="3" borderId="0" xfId="0" applyNumberFormat="1" applyFont="1" applyFill="1"/>
    <xf numFmtId="171" fontId="50" fillId="3" borderId="0" xfId="0" applyNumberFormat="1" applyFont="1" applyFill="1"/>
    <xf numFmtId="170" fontId="50" fillId="3" borderId="18" xfId="0" applyNumberFormat="1" applyFont="1" applyFill="1" applyBorder="1"/>
    <xf numFmtId="170" fontId="50" fillId="3" borderId="2" xfId="0" applyNumberFormat="1" applyFont="1" applyFill="1" applyBorder="1"/>
    <xf numFmtId="170" fontId="50" fillId="3" borderId="19" xfId="0" applyNumberFormat="1" applyFont="1" applyFill="1" applyBorder="1"/>
    <xf numFmtId="170" fontId="50" fillId="3" borderId="7" xfId="0" applyNumberFormat="1" applyFont="1" applyFill="1" applyBorder="1"/>
    <xf numFmtId="194" fontId="50" fillId="3" borderId="0" xfId="0" applyNumberFormat="1" applyFont="1" applyFill="1"/>
    <xf numFmtId="171" fontId="50" fillId="3" borderId="18" xfId="0" applyNumberFormat="1" applyFont="1" applyFill="1" applyBorder="1"/>
    <xf numFmtId="171" fontId="50" fillId="3" borderId="2" xfId="0" applyNumberFormat="1" applyFont="1" applyFill="1" applyBorder="1"/>
    <xf numFmtId="171" fontId="50" fillId="3" borderId="19" xfId="0" applyNumberFormat="1" applyFont="1" applyFill="1" applyBorder="1"/>
    <xf numFmtId="171" fontId="50" fillId="3" borderId="7" xfId="0" applyNumberFormat="1" applyFont="1" applyFill="1" applyBorder="1"/>
    <xf numFmtId="170" fontId="53" fillId="3" borderId="0" xfId="0" applyNumberFormat="1" applyFont="1" applyFill="1"/>
    <xf numFmtId="170" fontId="53" fillId="3" borderId="18" xfId="0" applyNumberFormat="1" applyFont="1" applyFill="1" applyBorder="1"/>
    <xf numFmtId="171" fontId="53" fillId="3" borderId="0" xfId="0" applyNumberFormat="1" applyFont="1" applyFill="1"/>
    <xf numFmtId="174" fontId="55" fillId="3" borderId="0" xfId="0" applyNumberFormat="1" applyFont="1" applyFill="1"/>
    <xf numFmtId="174" fontId="55" fillId="3" borderId="18" xfId="0" applyNumberFormat="1" applyFont="1" applyFill="1" applyBorder="1"/>
    <xf numFmtId="170" fontId="50" fillId="3" borderId="0" xfId="0" applyNumberFormat="1" applyFont="1" applyFill="1" applyAlignment="1">
      <alignment horizontal="left" indent="1"/>
    </xf>
    <xf numFmtId="170" fontId="50" fillId="3" borderId="2" xfId="0" applyNumberFormat="1" applyFont="1" applyFill="1" applyBorder="1" applyAlignment="1">
      <alignment horizontal="left" indent="1"/>
    </xf>
    <xf numFmtId="201" fontId="55" fillId="3" borderId="0" xfId="0" applyNumberFormat="1" applyFont="1" applyFill="1"/>
    <xf numFmtId="168" fontId="50" fillId="3" borderId="0" xfId="0" applyNumberFormat="1" applyFont="1" applyFill="1"/>
    <xf numFmtId="168" fontId="50" fillId="3" borderId="11" xfId="0" applyNumberFormat="1" applyFont="1" applyFill="1" applyBorder="1"/>
    <xf numFmtId="202" fontId="50" fillId="3" borderId="0" xfId="0" applyNumberFormat="1" applyFont="1" applyFill="1"/>
    <xf numFmtId="202" fontId="50" fillId="3" borderId="12" xfId="0" applyNumberFormat="1" applyFont="1" applyFill="1" applyBorder="1"/>
    <xf numFmtId="168" fontId="53" fillId="3" borderId="0" xfId="0" applyNumberFormat="1" applyFont="1" applyFill="1"/>
    <xf numFmtId="202" fontId="53" fillId="3" borderId="0" xfId="0" applyNumberFormat="1" applyFont="1" applyFill="1"/>
    <xf numFmtId="170" fontId="53" fillId="3" borderId="29" xfId="0" applyNumberFormat="1" applyFont="1" applyFill="1" applyBorder="1"/>
    <xf numFmtId="200" fontId="50" fillId="3" borderId="0" xfId="0" applyNumberFormat="1" applyFont="1" applyFill="1"/>
    <xf numFmtId="166" fontId="50" fillId="3" borderId="0" xfId="0" applyNumberFormat="1" applyFont="1" applyFill="1"/>
    <xf numFmtId="166" fontId="50" fillId="3" borderId="2" xfId="0" applyNumberFormat="1" applyFont="1" applyFill="1" applyBorder="1"/>
    <xf numFmtId="176" fontId="50" fillId="3" borderId="0" xfId="0" applyNumberFormat="1" applyFont="1" applyFill="1"/>
    <xf numFmtId="176" fontId="50" fillId="3" borderId="18" xfId="0" applyNumberFormat="1" applyFont="1" applyFill="1" applyBorder="1"/>
    <xf numFmtId="188" fontId="53" fillId="3" borderId="0" xfId="0" applyNumberFormat="1" applyFont="1" applyFill="1"/>
    <xf numFmtId="171" fontId="53" fillId="3" borderId="0" xfId="0" applyNumberFormat="1" applyFont="1" applyFill="1" applyAlignment="1">
      <alignment horizontal="right"/>
    </xf>
    <xf numFmtId="188" fontId="53" fillId="3" borderId="0" xfId="0" applyNumberFormat="1" applyFont="1" applyFill="1" applyAlignment="1">
      <alignment horizontal="left"/>
    </xf>
    <xf numFmtId="171" fontId="54" fillId="3" borderId="0" xfId="0" applyNumberFormat="1" applyFont="1" applyFill="1"/>
    <xf numFmtId="204" fontId="53" fillId="3" borderId="0" xfId="0" applyNumberFormat="1" applyFont="1" applyFill="1" applyAlignment="1">
      <alignment horizontal="center"/>
    </xf>
    <xf numFmtId="171" fontId="50" fillId="3" borderId="0" xfId="0" applyNumberFormat="1" applyFont="1" applyFill="1" applyAlignment="1">
      <alignment vertical="top"/>
    </xf>
    <xf numFmtId="188" fontId="57" fillId="3" borderId="0" xfId="10" applyNumberFormat="1" applyFont="1" applyFill="1"/>
    <xf numFmtId="188" fontId="50" fillId="3" borderId="0" xfId="0" applyNumberFormat="1" applyFont="1" applyFill="1"/>
    <xf numFmtId="189" fontId="57" fillId="3" borderId="0" xfId="10" applyNumberFormat="1" applyFont="1" applyFill="1"/>
    <xf numFmtId="189" fontId="50" fillId="3" borderId="0" xfId="0" applyNumberFormat="1" applyFont="1" applyFill="1"/>
    <xf numFmtId="198" fontId="57" fillId="3" borderId="0" xfId="10" applyNumberFormat="1" applyFont="1" applyFill="1"/>
    <xf numFmtId="198" fontId="50" fillId="3" borderId="0" xfId="0" applyNumberFormat="1" applyFont="1" applyFill="1"/>
    <xf numFmtId="1" fontId="8" fillId="5" borderId="0" xfId="0" applyNumberFormat="1" applyFont="1" applyFill="1" applyAlignment="1">
      <alignment horizontal="center"/>
    </xf>
    <xf numFmtId="1" fontId="23" fillId="5" borderId="0" xfId="0" applyNumberFormat="1" applyFont="1" applyFill="1" applyAlignment="1">
      <alignment horizontal="center"/>
    </xf>
    <xf numFmtId="1" fontId="23" fillId="5" borderId="18" xfId="0" applyNumberFormat="1" applyFont="1" applyFill="1" applyBorder="1" applyAlignment="1">
      <alignment horizontal="center"/>
    </xf>
    <xf numFmtId="17" fontId="50" fillId="5" borderId="0" xfId="0" applyNumberFormat="1" applyFont="1" applyFill="1" applyAlignment="1">
      <alignment horizontal="center"/>
    </xf>
    <xf numFmtId="17" fontId="21" fillId="5" borderId="0" xfId="0" applyNumberFormat="1" applyFont="1" applyFill="1" applyAlignment="1">
      <alignment horizontal="center"/>
    </xf>
    <xf numFmtId="17" fontId="21" fillId="5" borderId="18" xfId="0" applyNumberFormat="1" applyFont="1" applyFill="1" applyBorder="1" applyAlignment="1">
      <alignment horizontal="center"/>
    </xf>
    <xf numFmtId="0" fontId="53" fillId="5" borderId="0" xfId="0" applyFont="1" applyFill="1" applyAlignment="1">
      <alignment horizontal="center"/>
    </xf>
    <xf numFmtId="0" fontId="24" fillId="5" borderId="0" xfId="0" applyFont="1" applyFill="1" applyAlignment="1">
      <alignment horizontal="center"/>
    </xf>
    <xf numFmtId="0" fontId="24" fillId="5" borderId="18" xfId="0" applyFont="1" applyFill="1" applyBorder="1" applyAlignment="1">
      <alignment horizontal="center"/>
    </xf>
    <xf numFmtId="170" fontId="23" fillId="5" borderId="0" xfId="0" applyNumberFormat="1" applyFont="1" applyFill="1"/>
    <xf numFmtId="170" fontId="8" fillId="5" borderId="0" xfId="0" applyNumberFormat="1" applyFont="1" applyFill="1"/>
    <xf numFmtId="170" fontId="23" fillId="5" borderId="18" xfId="0" applyNumberFormat="1" applyFont="1" applyFill="1" applyBorder="1"/>
    <xf numFmtId="171" fontId="26" fillId="5" borderId="0" xfId="0" applyNumberFormat="1" applyFont="1" applyFill="1"/>
    <xf numFmtId="171" fontId="26" fillId="5" borderId="18" xfId="0" applyNumberFormat="1" applyFont="1" applyFill="1" applyBorder="1"/>
    <xf numFmtId="171" fontId="26" fillId="5" borderId="0" xfId="0" applyNumberFormat="1" applyFont="1" applyFill="1" applyAlignment="1">
      <alignment horizontal="right"/>
    </xf>
    <xf numFmtId="171" fontId="19" fillId="5" borderId="0" xfId="0" applyNumberFormat="1" applyFont="1" applyFill="1" applyAlignment="1">
      <alignment horizontal="right"/>
    </xf>
    <xf numFmtId="171" fontId="26" fillId="5" borderId="18" xfId="0" applyNumberFormat="1" applyFont="1" applyFill="1" applyBorder="1" applyAlignment="1">
      <alignment horizontal="right"/>
    </xf>
    <xf numFmtId="170" fontId="25" fillId="5" borderId="0" xfId="1" applyNumberFormat="1" applyFont="1" applyFill="1"/>
    <xf numFmtId="170" fontId="58" fillId="5" borderId="0" xfId="1" applyNumberFormat="1" applyFill="1"/>
    <xf numFmtId="170" fontId="58" fillId="5" borderId="18" xfId="1" applyNumberFormat="1" applyFill="1" applyBorder="1"/>
    <xf numFmtId="194" fontId="25" fillId="5" borderId="0" xfId="1" applyNumberFormat="1" applyFont="1" applyFill="1"/>
    <xf numFmtId="194" fontId="58" fillId="5" borderId="0" xfId="1" applyNumberFormat="1" applyFill="1"/>
    <xf numFmtId="194" fontId="58" fillId="5" borderId="18" xfId="1" applyNumberFormat="1" applyFill="1" applyBorder="1"/>
    <xf numFmtId="194" fontId="25" fillId="5" borderId="18" xfId="1" applyNumberFormat="1" applyFont="1" applyFill="1" applyBorder="1"/>
    <xf numFmtId="170" fontId="23" fillId="5" borderId="0" xfId="0" applyNumberFormat="1" applyFont="1" applyFill="1" applyAlignment="1">
      <alignment horizontal="right"/>
    </xf>
    <xf numFmtId="170" fontId="8" fillId="5" borderId="0" xfId="0" applyNumberFormat="1" applyFont="1" applyFill="1" applyAlignment="1">
      <alignment horizontal="right"/>
    </xf>
    <xf numFmtId="170" fontId="8" fillId="5" borderId="18" xfId="0" applyNumberFormat="1" applyFont="1" applyFill="1" applyBorder="1" applyAlignment="1">
      <alignment horizontal="right"/>
    </xf>
    <xf numFmtId="171" fontId="19" fillId="5" borderId="18" xfId="0" applyNumberFormat="1" applyFont="1" applyFill="1" applyBorder="1" applyAlignment="1">
      <alignment horizontal="right"/>
    </xf>
    <xf numFmtId="171" fontId="25" fillId="5" borderId="0" xfId="0" applyNumberFormat="1" applyFont="1" applyFill="1" applyAlignment="1">
      <alignment horizontal="right"/>
    </xf>
    <xf numFmtId="171" fontId="25" fillId="5" borderId="18" xfId="0" applyNumberFormat="1" applyFont="1" applyFill="1" applyBorder="1" applyAlignment="1">
      <alignment horizontal="right"/>
    </xf>
    <xf numFmtId="170" fontId="23" fillId="5" borderId="7" xfId="0" applyNumberFormat="1" applyFont="1" applyFill="1" applyBorder="1"/>
    <xf numFmtId="170" fontId="8" fillId="5" borderId="7" xfId="0" applyNumberFormat="1" applyFont="1" applyFill="1" applyBorder="1"/>
    <xf numFmtId="170" fontId="23" fillId="5" borderId="20" xfId="0" applyNumberFormat="1" applyFont="1" applyFill="1" applyBorder="1"/>
    <xf numFmtId="170" fontId="26" fillId="5" borderId="0" xfId="0" applyNumberFormat="1" applyFont="1" applyFill="1"/>
    <xf numFmtId="170" fontId="26" fillId="5" borderId="0" xfId="0" applyNumberFormat="1" applyFont="1" applyFill="1" applyAlignment="1">
      <alignment horizontal="right"/>
    </xf>
    <xf numFmtId="170" fontId="26" fillId="5" borderId="18" xfId="0" applyNumberFormat="1" applyFont="1" applyFill="1" applyBorder="1" applyAlignment="1">
      <alignment horizontal="right"/>
    </xf>
    <xf numFmtId="171" fontId="56" fillId="5" borderId="0" xfId="0" applyNumberFormat="1" applyFont="1" applyFill="1" applyAlignment="1">
      <alignment horizontal="right"/>
    </xf>
    <xf numFmtId="171" fontId="56" fillId="5" borderId="18" xfId="0" applyNumberFormat="1" applyFont="1" applyFill="1" applyBorder="1" applyAlignment="1">
      <alignment horizontal="right"/>
    </xf>
    <xf numFmtId="170" fontId="25" fillId="5" borderId="0" xfId="0" applyNumberFormat="1" applyFont="1" applyFill="1" applyAlignment="1">
      <alignment horizontal="right"/>
    </xf>
    <xf numFmtId="170" fontId="25" fillId="5" borderId="18" xfId="0" applyNumberFormat="1" applyFont="1" applyFill="1" applyBorder="1" applyAlignment="1">
      <alignment horizontal="right"/>
    </xf>
    <xf numFmtId="170" fontId="25" fillId="5" borderId="2" xfId="0" applyNumberFormat="1" applyFont="1" applyFill="1" applyBorder="1" applyAlignment="1">
      <alignment horizontal="right"/>
    </xf>
    <xf numFmtId="170" fontId="25" fillId="5" borderId="19" xfId="0" applyNumberFormat="1" applyFont="1" applyFill="1" applyBorder="1" applyAlignment="1">
      <alignment horizontal="right"/>
    </xf>
    <xf numFmtId="170" fontId="23" fillId="5" borderId="18" xfId="0" applyNumberFormat="1" applyFont="1" applyFill="1" applyBorder="1" applyAlignment="1">
      <alignment horizontal="right"/>
    </xf>
    <xf numFmtId="170" fontId="25" fillId="5" borderId="18" xfId="0" applyNumberFormat="1" applyFont="1" applyFill="1" applyBorder="1"/>
    <xf numFmtId="170" fontId="50" fillId="5" borderId="0" xfId="0" applyNumberFormat="1" applyFont="1" applyFill="1" applyAlignment="1">
      <alignment horizontal="right"/>
    </xf>
    <xf numFmtId="170" fontId="23" fillId="5" borderId="7" xfId="0" applyNumberFormat="1" applyFont="1" applyFill="1" applyBorder="1" applyAlignment="1">
      <alignment horizontal="right"/>
    </xf>
    <xf numFmtId="170" fontId="53" fillId="5" borderId="7" xfId="0" applyNumberFormat="1" applyFont="1" applyFill="1" applyBorder="1" applyAlignment="1">
      <alignment horizontal="right"/>
    </xf>
    <xf numFmtId="170" fontId="53" fillId="5" borderId="20" xfId="0" applyNumberFormat="1" applyFont="1" applyFill="1" applyBorder="1" applyAlignment="1">
      <alignment horizontal="right"/>
    </xf>
    <xf numFmtId="194" fontId="23" fillId="5" borderId="0" xfId="0" applyNumberFormat="1" applyFont="1" applyFill="1" applyAlignment="1">
      <alignment horizontal="right"/>
    </xf>
    <xf numFmtId="194" fontId="23" fillId="5" borderId="18" xfId="0" applyNumberFormat="1" applyFont="1" applyFill="1" applyBorder="1" applyAlignment="1">
      <alignment horizontal="right"/>
    </xf>
    <xf numFmtId="171" fontId="55" fillId="5" borderId="0" xfId="0" applyNumberFormat="1" applyFont="1" applyFill="1" applyAlignment="1">
      <alignment horizontal="right"/>
    </xf>
    <xf numFmtId="170" fontId="25" fillId="5" borderId="2" xfId="0" applyNumberFormat="1" applyFont="1" applyFill="1" applyBorder="1"/>
    <xf numFmtId="170" fontId="25" fillId="5" borderId="19" xfId="0" applyNumberFormat="1" applyFont="1" applyFill="1" applyBorder="1"/>
    <xf numFmtId="171" fontId="25" fillId="5" borderId="18" xfId="0" applyNumberFormat="1" applyFont="1" applyFill="1" applyBorder="1"/>
    <xf numFmtId="170" fontId="50" fillId="5" borderId="0" xfId="0" applyNumberFormat="1" applyFont="1" applyFill="1"/>
    <xf numFmtId="171" fontId="55" fillId="5" borderId="0" xfId="0" applyNumberFormat="1" applyFont="1" applyFill="1"/>
    <xf numFmtId="171" fontId="50" fillId="5" borderId="0" xfId="0" applyNumberFormat="1" applyFont="1" applyFill="1"/>
    <xf numFmtId="194" fontId="23" fillId="5" borderId="0" xfId="0" applyNumberFormat="1" applyFont="1" applyFill="1"/>
    <xf numFmtId="194" fontId="23" fillId="5" borderId="18" xfId="0" applyNumberFormat="1" applyFont="1" applyFill="1" applyBorder="1"/>
    <xf numFmtId="170" fontId="50" fillId="5" borderId="18" xfId="0" applyNumberFormat="1" applyFont="1" applyFill="1" applyBorder="1"/>
    <xf numFmtId="170" fontId="50" fillId="5" borderId="2" xfId="0" applyNumberFormat="1" applyFont="1" applyFill="1" applyBorder="1"/>
    <xf numFmtId="170" fontId="50" fillId="5" borderId="19" xfId="0" applyNumberFormat="1" applyFont="1" applyFill="1" applyBorder="1"/>
    <xf numFmtId="171" fontId="25" fillId="5" borderId="2" xfId="0" applyNumberFormat="1" applyFont="1" applyFill="1" applyBorder="1"/>
    <xf numFmtId="171" fontId="25" fillId="5" borderId="19" xfId="0" applyNumberFormat="1" applyFont="1" applyFill="1" applyBorder="1"/>
    <xf numFmtId="171" fontId="23" fillId="5" borderId="0" xfId="0" applyNumberFormat="1" applyFont="1" applyFill="1"/>
    <xf numFmtId="171" fontId="23" fillId="5" borderId="18" xfId="0" applyNumberFormat="1" applyFont="1" applyFill="1" applyBorder="1"/>
    <xf numFmtId="170" fontId="53" fillId="5" borderId="0" xfId="0" applyNumberFormat="1" applyFont="1" applyFill="1"/>
    <xf numFmtId="170" fontId="8" fillId="5" borderId="18" xfId="0" applyNumberFormat="1" applyFont="1" applyFill="1" applyBorder="1"/>
    <xf numFmtId="171" fontId="0" fillId="5" borderId="0" xfId="0" applyNumberFormat="1" applyFill="1"/>
    <xf numFmtId="171" fontId="0" fillId="5" borderId="18" xfId="0" applyNumberFormat="1" applyFill="1" applyBorder="1"/>
    <xf numFmtId="171" fontId="23" fillId="5" borderId="7" xfId="0" applyNumberFormat="1" applyFont="1" applyFill="1" applyBorder="1"/>
    <xf numFmtId="171" fontId="8" fillId="5" borderId="7" xfId="0" applyNumberFormat="1" applyFont="1" applyFill="1" applyBorder="1"/>
    <xf numFmtId="171" fontId="8" fillId="5" borderId="20" xfId="0" applyNumberFormat="1" applyFont="1" applyFill="1" applyBorder="1"/>
    <xf numFmtId="170" fontId="0" fillId="5" borderId="0" xfId="0" applyNumberFormat="1" applyFill="1"/>
    <xf numFmtId="170" fontId="0" fillId="5" borderId="2" xfId="0" applyNumberFormat="1" applyFill="1" applyBorder="1"/>
    <xf numFmtId="170" fontId="25" fillId="5" borderId="7" xfId="0" applyNumberFormat="1" applyFont="1" applyFill="1" applyBorder="1"/>
    <xf numFmtId="170" fontId="50" fillId="5" borderId="7" xfId="0" applyNumberFormat="1" applyFont="1" applyFill="1" applyBorder="1"/>
    <xf numFmtId="170" fontId="50" fillId="5" borderId="20" xfId="0" applyNumberFormat="1" applyFont="1" applyFill="1" applyBorder="1"/>
    <xf numFmtId="171" fontId="25" fillId="5" borderId="7" xfId="0" applyNumberFormat="1" applyFont="1" applyFill="1" applyBorder="1"/>
    <xf numFmtId="171" fontId="0" fillId="5" borderId="7" xfId="0" applyNumberFormat="1" applyFill="1" applyBorder="1"/>
    <xf numFmtId="171" fontId="25" fillId="5" borderId="20" xfId="0" applyNumberFormat="1" applyFont="1" applyFill="1" applyBorder="1"/>
    <xf numFmtId="171" fontId="23" fillId="5" borderId="20" xfId="0" applyNumberFormat="1" applyFont="1" applyFill="1" applyBorder="1"/>
    <xf numFmtId="170" fontId="26" fillId="5" borderId="18" xfId="0" applyNumberFormat="1" applyFont="1" applyFill="1" applyBorder="1"/>
    <xf numFmtId="194" fontId="25" fillId="5" borderId="0" xfId="0" applyNumberFormat="1" applyFont="1" applyFill="1"/>
    <xf numFmtId="194" fontId="0" fillId="5" borderId="0" xfId="0" applyNumberFormat="1" applyFill="1"/>
    <xf numFmtId="194" fontId="25" fillId="5" borderId="18" xfId="0" applyNumberFormat="1" applyFont="1" applyFill="1" applyBorder="1"/>
    <xf numFmtId="194" fontId="23" fillId="5" borderId="7" xfId="0" applyNumberFormat="1" applyFont="1" applyFill="1" applyBorder="1"/>
    <xf numFmtId="194" fontId="8" fillId="5" borderId="7" xfId="0" applyNumberFormat="1" applyFont="1" applyFill="1" applyBorder="1"/>
    <xf numFmtId="194" fontId="23" fillId="5" borderId="20" xfId="0" applyNumberFormat="1" applyFont="1" applyFill="1" applyBorder="1"/>
    <xf numFmtId="171" fontId="50" fillId="5" borderId="18" xfId="0" applyNumberFormat="1" applyFont="1" applyFill="1" applyBorder="1"/>
    <xf numFmtId="171" fontId="50" fillId="5" borderId="20" xfId="0" applyNumberFormat="1" applyFont="1" applyFill="1" applyBorder="1"/>
    <xf numFmtId="170" fontId="23" fillId="5" borderId="9" xfId="0" applyNumberFormat="1" applyFont="1" applyFill="1" applyBorder="1"/>
    <xf numFmtId="170" fontId="23" fillId="5" borderId="30" xfId="0" applyNumberFormat="1" applyFont="1" applyFill="1" applyBorder="1"/>
    <xf numFmtId="171" fontId="8" fillId="5" borderId="0" xfId="0" applyNumberFormat="1" applyFont="1" applyFill="1" applyAlignment="1">
      <alignment horizontal="right"/>
    </xf>
    <xf numFmtId="171" fontId="8" fillId="5" borderId="18" xfId="0" applyNumberFormat="1" applyFont="1" applyFill="1" applyBorder="1" applyAlignment="1">
      <alignment horizontal="right"/>
    </xf>
    <xf numFmtId="171" fontId="23" fillId="5" borderId="0" xfId="0" applyNumberFormat="1" applyFont="1" applyFill="1" applyAlignment="1">
      <alignment horizontal="right"/>
    </xf>
    <xf numFmtId="171" fontId="23" fillId="5" borderId="7" xfId="0" applyNumberFormat="1" applyFont="1" applyFill="1" applyBorder="1" applyAlignment="1">
      <alignment horizontal="right"/>
    </xf>
    <xf numFmtId="171" fontId="23" fillId="5" borderId="20" xfId="0" applyNumberFormat="1" applyFont="1" applyFill="1" applyBorder="1" applyAlignment="1">
      <alignment horizontal="right"/>
    </xf>
    <xf numFmtId="171" fontId="23" fillId="5" borderId="18" xfId="0" applyNumberFormat="1" applyFont="1" applyFill="1" applyBorder="1" applyAlignment="1">
      <alignment horizontal="right"/>
    </xf>
    <xf numFmtId="171" fontId="8" fillId="5" borderId="7" xfId="0" applyNumberFormat="1" applyFont="1" applyFill="1" applyBorder="1" applyAlignment="1">
      <alignment horizontal="right"/>
    </xf>
    <xf numFmtId="171" fontId="8" fillId="5" borderId="20" xfId="0" applyNumberFormat="1" applyFont="1" applyFill="1" applyBorder="1" applyAlignment="1">
      <alignment horizontal="right"/>
    </xf>
    <xf numFmtId="171" fontId="26" fillId="5" borderId="0" xfId="0" applyNumberFormat="1" applyFont="1" applyFill="1" applyAlignment="1">
      <alignment horizontal="left" indent="1"/>
    </xf>
    <xf numFmtId="171" fontId="26" fillId="5" borderId="18" xfId="0" applyNumberFormat="1" applyFont="1" applyFill="1" applyBorder="1" applyAlignment="1">
      <alignment horizontal="left" indent="1"/>
    </xf>
    <xf numFmtId="171" fontId="26" fillId="5" borderId="0" xfId="0" applyNumberFormat="1" applyFont="1" applyFill="1" applyAlignment="1">
      <alignment horizontal="right" indent="1"/>
    </xf>
    <xf numFmtId="170" fontId="53" fillId="5" borderId="18" xfId="0" applyNumberFormat="1" applyFont="1" applyFill="1" applyBorder="1"/>
    <xf numFmtId="170" fontId="8" fillId="5" borderId="9" xfId="0" applyNumberFormat="1" applyFont="1" applyFill="1" applyBorder="1"/>
    <xf numFmtId="168" fontId="25" fillId="5" borderId="18" xfId="0" applyNumberFormat="1" applyFont="1" applyFill="1" applyBorder="1"/>
    <xf numFmtId="170" fontId="53" fillId="5" borderId="7" xfId="0" applyNumberFormat="1" applyFont="1" applyFill="1" applyBorder="1"/>
    <xf numFmtId="168" fontId="23" fillId="5" borderId="0" xfId="0" applyNumberFormat="1" applyFont="1" applyFill="1"/>
    <xf numFmtId="168" fontId="23" fillId="5" borderId="18" xfId="0" applyNumberFormat="1" applyFont="1" applyFill="1" applyBorder="1"/>
    <xf numFmtId="170" fontId="0" fillId="5" borderId="19" xfId="0" applyNumberFormat="1" applyFill="1" applyBorder="1"/>
    <xf numFmtId="170" fontId="8" fillId="5" borderId="20" xfId="0" applyNumberFormat="1" applyFont="1" applyFill="1" applyBorder="1"/>
    <xf numFmtId="170" fontId="0" fillId="5" borderId="18" xfId="0" applyNumberFormat="1" applyFill="1" applyBorder="1"/>
    <xf numFmtId="170" fontId="27" fillId="5" borderId="0" xfId="0" applyNumberFormat="1" applyFont="1" applyFill="1"/>
    <xf numFmtId="170" fontId="0" fillId="5" borderId="9" xfId="0" applyNumberFormat="1" applyFill="1" applyBorder="1"/>
    <xf numFmtId="170" fontId="25" fillId="5" borderId="9" xfId="0" applyNumberFormat="1" applyFont="1" applyFill="1" applyBorder="1"/>
    <xf numFmtId="170" fontId="25" fillId="5" borderId="30" xfId="0" applyNumberFormat="1" applyFont="1" applyFill="1" applyBorder="1"/>
    <xf numFmtId="170" fontId="0" fillId="5" borderId="7" xfId="0" applyNumberFormat="1" applyFill="1" applyBorder="1"/>
    <xf numFmtId="170" fontId="25" fillId="5" borderId="20" xfId="0" applyNumberFormat="1" applyFont="1" applyFill="1" applyBorder="1"/>
    <xf numFmtId="168" fontId="26" fillId="5" borderId="7" xfId="0" applyNumberFormat="1" applyFont="1" applyFill="1" applyBorder="1"/>
    <xf numFmtId="168" fontId="26" fillId="5" borderId="20" xfId="0" applyNumberFormat="1" applyFont="1" applyFill="1" applyBorder="1"/>
    <xf numFmtId="171" fontId="8" fillId="5" borderId="0" xfId="0" applyNumberFormat="1" applyFont="1" applyFill="1"/>
    <xf numFmtId="171" fontId="8" fillId="5" borderId="18" xfId="0" applyNumberFormat="1" applyFont="1" applyFill="1" applyBorder="1"/>
    <xf numFmtId="171" fontId="53" fillId="5" borderId="0" xfId="0" applyNumberFormat="1" applyFont="1" applyFill="1"/>
    <xf numFmtId="173" fontId="23" fillId="5" borderId="0" xfId="0" applyNumberFormat="1" applyFont="1" applyFill="1"/>
    <xf numFmtId="173" fontId="8" fillId="5" borderId="0" xfId="0" applyNumberFormat="1" applyFont="1" applyFill="1"/>
    <xf numFmtId="173" fontId="23" fillId="5" borderId="18" xfId="0" applyNumberFormat="1" applyFont="1" applyFill="1" applyBorder="1"/>
    <xf numFmtId="173" fontId="8" fillId="5" borderId="18" xfId="0" applyNumberFormat="1" applyFont="1" applyFill="1" applyBorder="1"/>
    <xf numFmtId="173" fontId="26" fillId="5" borderId="0" xfId="0" applyNumberFormat="1" applyFont="1" applyFill="1"/>
    <xf numFmtId="173" fontId="26" fillId="5" borderId="0" xfId="0" applyNumberFormat="1" applyFont="1" applyFill="1" applyAlignment="1">
      <alignment horizontal="right"/>
    </xf>
    <xf numFmtId="173" fontId="26" fillId="5" borderId="18" xfId="0" applyNumberFormat="1" applyFont="1" applyFill="1" applyBorder="1" applyAlignment="1">
      <alignment horizontal="right"/>
    </xf>
    <xf numFmtId="197" fontId="25" fillId="5" borderId="0" xfId="0" applyNumberFormat="1" applyFont="1" applyFill="1"/>
    <xf numFmtId="197" fontId="25" fillId="5" borderId="18" xfId="0" applyNumberFormat="1" applyFont="1" applyFill="1" applyBorder="1"/>
    <xf numFmtId="174" fontId="26" fillId="5" borderId="0" xfId="0" applyNumberFormat="1" applyFont="1" applyFill="1"/>
    <xf numFmtId="174" fontId="55" fillId="5" borderId="0" xfId="0" applyNumberFormat="1" applyFont="1" applyFill="1"/>
    <xf numFmtId="174" fontId="55" fillId="5" borderId="18" xfId="0" applyNumberFormat="1" applyFont="1" applyFill="1" applyBorder="1"/>
    <xf numFmtId="174" fontId="26" fillId="5" borderId="18" xfId="0" applyNumberFormat="1" applyFont="1" applyFill="1" applyBorder="1"/>
    <xf numFmtId="170" fontId="25" fillId="5" borderId="0" xfId="0" applyNumberFormat="1" applyFont="1" applyFill="1" applyAlignment="1">
      <alignment horizontal="left" indent="1"/>
    </xf>
    <xf numFmtId="170" fontId="50" fillId="5" borderId="0" xfId="0" applyNumberFormat="1" applyFont="1" applyFill="1" applyAlignment="1">
      <alignment horizontal="left" indent="1"/>
    </xf>
    <xf numFmtId="170" fontId="25" fillId="5" borderId="18" xfId="0" applyNumberFormat="1" applyFont="1" applyFill="1" applyBorder="1" applyAlignment="1">
      <alignment horizontal="left" indent="1"/>
    </xf>
    <xf numFmtId="170" fontId="25" fillId="5" borderId="2" xfId="0" applyNumberFormat="1" applyFont="1" applyFill="1" applyBorder="1" applyAlignment="1">
      <alignment horizontal="left" indent="1"/>
    </xf>
    <xf numFmtId="170" fontId="50" fillId="5" borderId="2" xfId="0" applyNumberFormat="1" applyFont="1" applyFill="1" applyBorder="1" applyAlignment="1">
      <alignment horizontal="left" indent="1"/>
    </xf>
    <xf numFmtId="170" fontId="25" fillId="5" borderId="19" xfId="0" applyNumberFormat="1" applyFont="1" applyFill="1" applyBorder="1" applyAlignment="1">
      <alignment horizontal="left" indent="1"/>
    </xf>
    <xf numFmtId="171" fontId="26" fillId="5" borderId="2" xfId="0" applyNumberFormat="1" applyFont="1" applyFill="1" applyBorder="1"/>
    <xf numFmtId="171" fontId="26" fillId="5" borderId="19" xfId="0" applyNumberFormat="1" applyFont="1" applyFill="1" applyBorder="1"/>
    <xf numFmtId="201" fontId="26" fillId="5" borderId="0" xfId="0" applyNumberFormat="1" applyFont="1" applyFill="1"/>
    <xf numFmtId="201" fontId="26" fillId="5" borderId="18" xfId="0" applyNumberFormat="1" applyFont="1" applyFill="1" applyBorder="1"/>
    <xf numFmtId="201" fontId="55" fillId="5" borderId="0" xfId="0" applyNumberFormat="1" applyFont="1" applyFill="1"/>
    <xf numFmtId="168" fontId="50" fillId="5" borderId="0" xfId="0" applyNumberFormat="1" applyFont="1" applyFill="1"/>
    <xf numFmtId="168" fontId="25" fillId="5" borderId="11" xfId="0" applyNumberFormat="1" applyFont="1" applyFill="1" applyBorder="1"/>
    <xf numFmtId="168" fontId="50" fillId="5" borderId="11" xfId="0" applyNumberFormat="1" applyFont="1" applyFill="1" applyBorder="1"/>
    <xf numFmtId="168" fontId="25" fillId="5" borderId="29" xfId="0" applyNumberFormat="1" applyFont="1" applyFill="1" applyBorder="1"/>
    <xf numFmtId="168" fontId="25" fillId="5" borderId="2" xfId="0" applyNumberFormat="1" applyFont="1" applyFill="1" applyBorder="1"/>
    <xf numFmtId="168" fontId="25" fillId="5" borderId="19" xfId="0" applyNumberFormat="1" applyFont="1" applyFill="1" applyBorder="1"/>
    <xf numFmtId="202" fontId="25" fillId="5" borderId="0" xfId="0" applyNumberFormat="1" applyFont="1" applyFill="1"/>
    <xf numFmtId="202" fontId="50" fillId="5" borderId="0" xfId="0" applyNumberFormat="1" applyFont="1" applyFill="1"/>
    <xf numFmtId="202" fontId="25" fillId="5" borderId="18" xfId="0" applyNumberFormat="1" applyFont="1" applyFill="1" applyBorder="1"/>
    <xf numFmtId="202" fontId="25" fillId="5" borderId="12" xfId="0" applyNumberFormat="1" applyFont="1" applyFill="1" applyBorder="1"/>
    <xf numFmtId="202" fontId="50" fillId="5" borderId="12" xfId="0" applyNumberFormat="1" applyFont="1" applyFill="1" applyBorder="1"/>
    <xf numFmtId="202" fontId="25" fillId="5" borderId="31" xfId="0" applyNumberFormat="1" applyFont="1" applyFill="1" applyBorder="1"/>
    <xf numFmtId="188" fontId="25" fillId="5" borderId="0" xfId="0" applyNumberFormat="1" applyFont="1" applyFill="1"/>
    <xf numFmtId="188" fontId="25" fillId="5" borderId="18" xfId="0" applyNumberFormat="1" applyFont="1" applyFill="1" applyBorder="1"/>
    <xf numFmtId="194" fontId="25" fillId="5" borderId="2" xfId="0" applyNumberFormat="1" applyFont="1" applyFill="1" applyBorder="1"/>
    <xf numFmtId="194" fontId="25" fillId="5" borderId="19" xfId="0" applyNumberFormat="1" applyFont="1" applyFill="1" applyBorder="1"/>
    <xf numFmtId="168" fontId="23" fillId="5" borderId="11" xfId="0" applyNumberFormat="1" applyFont="1" applyFill="1" applyBorder="1"/>
    <xf numFmtId="168" fontId="23" fillId="5" borderId="29" xfId="0" applyNumberFormat="1" applyFont="1" applyFill="1" applyBorder="1"/>
    <xf numFmtId="168" fontId="53" fillId="5" borderId="0" xfId="0" applyNumberFormat="1" applyFont="1" applyFill="1"/>
    <xf numFmtId="202" fontId="23" fillId="5" borderId="0" xfId="0" applyNumberFormat="1" applyFont="1" applyFill="1"/>
    <xf numFmtId="202" fontId="53" fillId="5" borderId="0" xfId="0" applyNumberFormat="1" applyFont="1" applyFill="1"/>
    <xf numFmtId="202" fontId="23" fillId="5" borderId="18" xfId="0" applyNumberFormat="1" applyFont="1" applyFill="1" applyBorder="1"/>
    <xf numFmtId="202" fontId="50" fillId="5" borderId="18" xfId="0" applyNumberFormat="1" applyFont="1" applyFill="1" applyBorder="1"/>
    <xf numFmtId="170" fontId="23" fillId="5" borderId="11" xfId="0" applyNumberFormat="1" applyFont="1" applyFill="1" applyBorder="1"/>
    <xf numFmtId="170" fontId="23" fillId="5" borderId="29" xfId="0" applyNumberFormat="1" applyFont="1" applyFill="1" applyBorder="1"/>
    <xf numFmtId="200" fontId="25" fillId="5" borderId="0" xfId="0" applyNumberFormat="1" applyFont="1" applyFill="1"/>
    <xf numFmtId="200" fontId="50" fillId="5" borderId="0" xfId="0" applyNumberFormat="1" applyFont="1" applyFill="1"/>
    <xf numFmtId="200" fontId="50" fillId="5" borderId="18" xfId="0" applyNumberFormat="1" applyFont="1" applyFill="1" applyBorder="1"/>
    <xf numFmtId="166" fontId="25" fillId="5" borderId="0" xfId="0" applyNumberFormat="1" applyFont="1" applyFill="1"/>
    <xf numFmtId="166" fontId="25" fillId="5" borderId="18" xfId="0" applyNumberFormat="1" applyFont="1" applyFill="1" applyBorder="1"/>
    <xf numFmtId="166" fontId="25" fillId="5" borderId="2" xfId="0" applyNumberFormat="1" applyFont="1" applyFill="1" applyBorder="1"/>
    <xf numFmtId="166" fontId="25" fillId="5" borderId="19" xfId="0" applyNumberFormat="1" applyFont="1" applyFill="1" applyBorder="1"/>
    <xf numFmtId="170" fontId="25" fillId="5" borderId="7" xfId="0" applyNumberFormat="1" applyFont="1" applyFill="1" applyBorder="1" applyAlignment="1">
      <alignment horizontal="right"/>
    </xf>
    <xf numFmtId="170" fontId="25" fillId="5" borderId="20" xfId="0" applyNumberFormat="1" applyFont="1" applyFill="1" applyBorder="1" applyAlignment="1">
      <alignment horizontal="right"/>
    </xf>
    <xf numFmtId="171" fontId="41" fillId="5" borderId="0" xfId="0" applyNumberFormat="1" applyFont="1" applyFill="1" applyAlignment="1">
      <alignment horizontal="right"/>
    </xf>
    <xf numFmtId="171" fontId="41" fillId="5" borderId="18" xfId="0" applyNumberFormat="1" applyFont="1" applyFill="1" applyBorder="1" applyAlignment="1">
      <alignment horizontal="right"/>
    </xf>
    <xf numFmtId="171" fontId="41" fillId="5" borderId="0" xfId="0" applyNumberFormat="1" applyFont="1" applyFill="1"/>
    <xf numFmtId="171" fontId="41" fillId="5" borderId="18" xfId="0" applyNumberFormat="1" applyFont="1" applyFill="1" applyBorder="1"/>
    <xf numFmtId="204" fontId="25" fillId="5" borderId="0" xfId="0" applyNumberFormat="1" applyFont="1" applyFill="1" applyAlignment="1">
      <alignment horizontal="center"/>
    </xf>
    <xf numFmtId="204" fontId="25" fillId="5" borderId="18" xfId="0" applyNumberFormat="1" applyFont="1" applyFill="1" applyBorder="1" applyAlignment="1">
      <alignment horizontal="center"/>
    </xf>
    <xf numFmtId="168" fontId="47" fillId="5" borderId="0" xfId="0" applyNumberFormat="1" applyFont="1" applyFill="1" applyAlignment="1">
      <alignment horizontal="center"/>
    </xf>
    <xf numFmtId="168" fontId="47" fillId="5" borderId="18" xfId="0" applyNumberFormat="1" applyFont="1" applyFill="1" applyBorder="1" applyAlignment="1">
      <alignment horizontal="center"/>
    </xf>
    <xf numFmtId="171" fontId="26" fillId="5" borderId="2" xfId="0" applyNumberFormat="1" applyFont="1" applyFill="1" applyBorder="1" applyAlignment="1">
      <alignment horizontal="right"/>
    </xf>
    <xf numFmtId="171" fontId="26" fillId="5" borderId="19" xfId="0" applyNumberFormat="1" applyFont="1" applyFill="1" applyBorder="1" applyAlignment="1">
      <alignment horizontal="right"/>
    </xf>
    <xf numFmtId="173" fontId="23" fillId="5" borderId="0" xfId="2" applyNumberFormat="1" applyFont="1" applyFill="1" applyAlignment="1">
      <alignment horizontal="right" indent="1"/>
    </xf>
    <xf numFmtId="173" fontId="23" fillId="5" borderId="0" xfId="2" applyNumberFormat="1" applyFont="1" applyFill="1"/>
    <xf numFmtId="173" fontId="23" fillId="5" borderId="18" xfId="2" applyNumberFormat="1" applyFont="1" applyFill="1" applyBorder="1"/>
    <xf numFmtId="173" fontId="27" fillId="5" borderId="0" xfId="2" applyNumberFormat="1" applyFont="1" applyFill="1" applyAlignment="1">
      <alignment horizontal="right"/>
    </xf>
    <xf numFmtId="170" fontId="27" fillId="5" borderId="0" xfId="0" applyNumberFormat="1" applyFont="1" applyFill="1" applyAlignment="1">
      <alignment horizontal="right"/>
    </xf>
    <xf numFmtId="176" fontId="50" fillId="5" borderId="0" xfId="0" applyNumberFormat="1" applyFont="1" applyFill="1"/>
    <xf numFmtId="176" fontId="0" fillId="5" borderId="0" xfId="0" applyNumberFormat="1" applyFill="1"/>
    <xf numFmtId="176" fontId="0" fillId="5" borderId="18" xfId="0" applyNumberFormat="1" applyFill="1" applyBorder="1"/>
    <xf numFmtId="176" fontId="25" fillId="5" borderId="0" xfId="0" applyNumberFormat="1" applyFont="1" applyFill="1"/>
    <xf numFmtId="176" fontId="25" fillId="5" borderId="18" xfId="0" applyNumberFormat="1" applyFont="1" applyFill="1" applyBorder="1"/>
    <xf numFmtId="188" fontId="23" fillId="5" borderId="0" xfId="0" applyNumberFormat="1" applyFont="1" applyFill="1"/>
    <xf numFmtId="188" fontId="23" fillId="5" borderId="18" xfId="0" applyNumberFormat="1" applyFont="1" applyFill="1" applyBorder="1"/>
    <xf numFmtId="188" fontId="53" fillId="5" borderId="0" xfId="0" applyNumberFormat="1" applyFont="1" applyFill="1"/>
    <xf numFmtId="168" fontId="26" fillId="5" borderId="0" xfId="0" applyNumberFormat="1" applyFont="1" applyFill="1"/>
    <xf numFmtId="168" fontId="26" fillId="5" borderId="18" xfId="0" applyNumberFormat="1" applyFont="1" applyFill="1" applyBorder="1"/>
    <xf numFmtId="170" fontId="0" fillId="5" borderId="12" xfId="0" applyNumberFormat="1" applyFill="1" applyBorder="1"/>
    <xf numFmtId="170" fontId="25" fillId="5" borderId="12" xfId="0" applyNumberFormat="1" applyFont="1" applyFill="1" applyBorder="1"/>
    <xf numFmtId="170" fontId="25" fillId="5" borderId="31" xfId="0" applyNumberFormat="1" applyFont="1" applyFill="1" applyBorder="1"/>
    <xf numFmtId="171" fontId="53" fillId="5" borderId="0" xfId="0" applyNumberFormat="1" applyFont="1" applyFill="1" applyAlignment="1">
      <alignment horizontal="right"/>
    </xf>
    <xf numFmtId="174" fontId="23" fillId="5" borderId="0" xfId="0" applyNumberFormat="1" applyFont="1" applyFill="1" applyAlignment="1">
      <alignment horizontal="right"/>
    </xf>
    <xf numFmtId="174" fontId="23" fillId="5" borderId="18" xfId="0" applyNumberFormat="1" applyFont="1" applyFill="1" applyBorder="1" applyAlignment="1">
      <alignment horizontal="right"/>
    </xf>
    <xf numFmtId="174" fontId="8" fillId="5" borderId="0" xfId="0" applyNumberFormat="1" applyFont="1" applyFill="1" applyAlignment="1">
      <alignment horizontal="right"/>
    </xf>
    <xf numFmtId="0" fontId="25" fillId="5" borderId="18" xfId="0" applyFont="1" applyFill="1" applyBorder="1"/>
    <xf numFmtId="188" fontId="23" fillId="5" borderId="0" xfId="0" applyNumberFormat="1" applyFont="1" applyFill="1" applyAlignment="1">
      <alignment horizontal="right"/>
    </xf>
    <xf numFmtId="188" fontId="8" fillId="5" borderId="0" xfId="0" applyNumberFormat="1" applyFont="1" applyFill="1" applyAlignment="1">
      <alignment horizontal="right"/>
    </xf>
    <xf numFmtId="174" fontId="25" fillId="5" borderId="0" xfId="0" applyNumberFormat="1" applyFont="1" applyFill="1" applyAlignment="1">
      <alignment horizontal="right"/>
    </xf>
    <xf numFmtId="174" fontId="25" fillId="5" borderId="18" xfId="0" applyNumberFormat="1" applyFont="1" applyFill="1" applyBorder="1" applyAlignment="1">
      <alignment horizontal="right"/>
    </xf>
    <xf numFmtId="174" fontId="0" fillId="5" borderId="0" xfId="0" applyNumberFormat="1" applyFill="1" applyAlignment="1">
      <alignment horizontal="right"/>
    </xf>
    <xf numFmtId="171" fontId="0" fillId="5" borderId="0" xfId="0" applyNumberFormat="1" applyFill="1" applyAlignment="1">
      <alignment horizontal="right"/>
    </xf>
    <xf numFmtId="188" fontId="0" fillId="5" borderId="0" xfId="0" applyNumberFormat="1" applyFill="1" applyAlignment="1">
      <alignment horizontal="right"/>
    </xf>
    <xf numFmtId="198" fontId="0" fillId="5" borderId="0" xfId="0" applyNumberFormat="1" applyFill="1" applyAlignment="1">
      <alignment horizontal="right"/>
    </xf>
    <xf numFmtId="198" fontId="25" fillId="5" borderId="0" xfId="0" applyNumberFormat="1" applyFont="1" applyFill="1"/>
    <xf numFmtId="198" fontId="25" fillId="5" borderId="18" xfId="0" applyNumberFormat="1" applyFont="1" applyFill="1" applyBorder="1"/>
    <xf numFmtId="189" fontId="0" fillId="5" borderId="0" xfId="0" applyNumberFormat="1" applyFill="1" applyAlignment="1">
      <alignment horizontal="right"/>
    </xf>
    <xf numFmtId="189" fontId="25" fillId="5" borderId="0" xfId="0" applyNumberFormat="1" applyFont="1" applyFill="1"/>
    <xf numFmtId="189" fontId="25" fillId="5" borderId="18" xfId="0" applyNumberFormat="1" applyFont="1" applyFill="1" applyBorder="1"/>
    <xf numFmtId="168" fontId="0" fillId="5" borderId="0" xfId="0" applyNumberFormat="1" applyFill="1"/>
    <xf numFmtId="171" fontId="33" fillId="5" borderId="0" xfId="0" applyNumberFormat="1" applyFont="1" applyFill="1"/>
    <xf numFmtId="171" fontId="33" fillId="5" borderId="18" xfId="0" applyNumberFormat="1" applyFont="1" applyFill="1" applyBorder="1"/>
    <xf numFmtId="171" fontId="54" fillId="5" borderId="0" xfId="0" applyNumberFormat="1" applyFont="1" applyFill="1"/>
    <xf numFmtId="170" fontId="0" fillId="5" borderId="0" xfId="0" applyNumberFormat="1" applyFill="1" applyAlignment="1">
      <alignment horizontal="right"/>
    </xf>
    <xf numFmtId="170" fontId="0" fillId="5" borderId="18" xfId="0" applyNumberFormat="1" applyFill="1" applyBorder="1" applyAlignment="1">
      <alignment horizontal="right"/>
    </xf>
    <xf numFmtId="170" fontId="23" fillId="5" borderId="11" xfId="0" applyNumberFormat="1" applyFont="1" applyFill="1" applyBorder="1" applyAlignment="1">
      <alignment horizontal="right"/>
    </xf>
    <xf numFmtId="170" fontId="8" fillId="5" borderId="11" xfId="0" applyNumberFormat="1" applyFont="1" applyFill="1" applyBorder="1" applyAlignment="1">
      <alignment horizontal="right"/>
    </xf>
    <xf numFmtId="170" fontId="8" fillId="5" borderId="29" xfId="0" applyNumberFormat="1" applyFont="1" applyFill="1" applyBorder="1" applyAlignment="1">
      <alignment horizontal="right"/>
    </xf>
    <xf numFmtId="17" fontId="25" fillId="5" borderId="0" xfId="12" applyNumberFormat="1" applyFont="1" applyFill="1" applyAlignment="1">
      <alignment horizontal="center"/>
    </xf>
    <xf numFmtId="17" fontId="21" fillId="5" borderId="0" xfId="12" applyNumberFormat="1" applyFont="1" applyFill="1" applyAlignment="1">
      <alignment horizontal="center"/>
    </xf>
    <xf numFmtId="17" fontId="21" fillId="5" borderId="18" xfId="12" applyNumberFormat="1" applyFont="1" applyFill="1" applyBorder="1" applyAlignment="1">
      <alignment horizontal="center"/>
    </xf>
    <xf numFmtId="168" fontId="23" fillId="5" borderId="0" xfId="12" applyNumberFormat="1" applyFont="1" applyFill="1" applyAlignment="1">
      <alignment horizontal="center"/>
    </xf>
    <xf numFmtId="168" fontId="24" fillId="5" borderId="0" xfId="12" applyNumberFormat="1" applyFont="1" applyFill="1" applyAlignment="1">
      <alignment horizontal="center"/>
    </xf>
    <xf numFmtId="168" fontId="24" fillId="5" borderId="18" xfId="12" applyNumberFormat="1" applyFont="1" applyFill="1" applyBorder="1" applyAlignment="1">
      <alignment horizontal="center"/>
    </xf>
    <xf numFmtId="188" fontId="23" fillId="5" borderId="0" xfId="12" applyNumberFormat="1" applyFont="1" applyFill="1" applyAlignment="1">
      <alignment horizontal="right"/>
    </xf>
    <xf numFmtId="188" fontId="23" fillId="5" borderId="0" xfId="12" applyNumberFormat="1" applyFont="1" applyFill="1"/>
    <xf numFmtId="188" fontId="23" fillId="5" borderId="18" xfId="12" applyNumberFormat="1" applyFont="1" applyFill="1" applyBorder="1"/>
    <xf numFmtId="168" fontId="25" fillId="5" borderId="12" xfId="12" applyNumberFormat="1" applyFont="1" applyFill="1" applyBorder="1" applyAlignment="1">
      <alignment horizontal="right"/>
    </xf>
    <xf numFmtId="168" fontId="25" fillId="5" borderId="12" xfId="12" applyNumberFormat="1" applyFont="1" applyFill="1" applyBorder="1"/>
    <xf numFmtId="168" fontId="25" fillId="5" borderId="31" xfId="12" applyNumberFormat="1" applyFont="1" applyFill="1" applyBorder="1"/>
    <xf numFmtId="170" fontId="23" fillId="5" borderId="0" xfId="12" applyNumberFormat="1" applyFont="1" applyFill="1"/>
    <xf numFmtId="170" fontId="23" fillId="5" borderId="18" xfId="12" applyNumberFormat="1" applyFont="1" applyFill="1" applyBorder="1"/>
    <xf numFmtId="170" fontId="25" fillId="5" borderId="0" xfId="12" applyNumberFormat="1" applyFont="1" applyFill="1"/>
    <xf numFmtId="170" fontId="25" fillId="5" borderId="18" xfId="12" applyNumberFormat="1" applyFont="1" applyFill="1" applyBorder="1"/>
    <xf numFmtId="170" fontId="25" fillId="5" borderId="2" xfId="12" applyNumberFormat="1" applyFont="1" applyFill="1" applyBorder="1"/>
    <xf numFmtId="170" fontId="25" fillId="5" borderId="19" xfId="12" applyNumberFormat="1" applyFont="1" applyFill="1" applyBorder="1"/>
    <xf numFmtId="170" fontId="23" fillId="5" borderId="7" xfId="12" applyNumberFormat="1" applyFont="1" applyFill="1" applyBorder="1"/>
    <xf numFmtId="170" fontId="23" fillId="5" borderId="20" xfId="12" applyNumberFormat="1" applyFont="1" applyFill="1" applyBorder="1"/>
    <xf numFmtId="168" fontId="23" fillId="5" borderId="0" xfId="12" applyNumberFormat="1" applyFont="1" applyFill="1"/>
    <xf numFmtId="168" fontId="23" fillId="5" borderId="18" xfId="12" applyNumberFormat="1" applyFont="1" applyFill="1" applyBorder="1"/>
    <xf numFmtId="171" fontId="26" fillId="5" borderId="0" xfId="12" applyNumberFormat="1" applyFont="1" applyFill="1"/>
    <xf numFmtId="171" fontId="26" fillId="5" borderId="18" xfId="12" applyNumberFormat="1" applyFont="1" applyFill="1" applyBorder="1"/>
    <xf numFmtId="171" fontId="26" fillId="5" borderId="7" xfId="12" applyNumberFormat="1" applyFont="1" applyFill="1" applyBorder="1"/>
    <xf numFmtId="171" fontId="26" fillId="5" borderId="20" xfId="12" applyNumberFormat="1" applyFont="1" applyFill="1" applyBorder="1"/>
    <xf numFmtId="171" fontId="41" fillId="5" borderId="7" xfId="12" applyNumberFormat="1" applyFont="1" applyFill="1" applyBorder="1"/>
    <xf numFmtId="171" fontId="41" fillId="5" borderId="20" xfId="12" applyNumberFormat="1" applyFont="1" applyFill="1" applyBorder="1"/>
    <xf numFmtId="171" fontId="41" fillId="5" borderId="0" xfId="12" applyNumberFormat="1" applyFont="1" applyFill="1"/>
    <xf numFmtId="171" fontId="41" fillId="5" borderId="18" xfId="12" applyNumberFormat="1" applyFont="1" applyFill="1" applyBorder="1"/>
    <xf numFmtId="171" fontId="25" fillId="5" borderId="0" xfId="12" applyNumberFormat="1" applyFont="1" applyFill="1"/>
    <xf numFmtId="171" fontId="25" fillId="5" borderId="18" xfId="12" applyNumberFormat="1" applyFont="1" applyFill="1" applyBorder="1"/>
    <xf numFmtId="194" fontId="23" fillId="5" borderId="0" xfId="12" applyNumberFormat="1" applyFont="1" applyFill="1"/>
    <xf numFmtId="194" fontId="23" fillId="5" borderId="18" xfId="12" applyNumberFormat="1" applyFont="1" applyFill="1" applyBorder="1"/>
    <xf numFmtId="168" fontId="25" fillId="5" borderId="0" xfId="12" applyNumberFormat="1" applyFont="1" applyFill="1"/>
    <xf numFmtId="168" fontId="25" fillId="5" borderId="18" xfId="12" applyNumberFormat="1" applyFont="1" applyFill="1" applyBorder="1"/>
    <xf numFmtId="173" fontId="23" fillId="5" borderId="0" xfId="12" applyNumberFormat="1" applyFont="1" applyFill="1"/>
    <xf numFmtId="173" fontId="23" fillId="5" borderId="18" xfId="12" applyNumberFormat="1" applyFont="1" applyFill="1" applyBorder="1"/>
    <xf numFmtId="171" fontId="25" fillId="5" borderId="0" xfId="12" applyNumberFormat="1" applyFont="1" applyFill="1" applyAlignment="1">
      <alignment horizontal="center"/>
    </xf>
    <xf numFmtId="171" fontId="25" fillId="5" borderId="0" xfId="12" applyNumberFormat="1" applyFont="1" applyFill="1" applyAlignment="1">
      <alignment horizontal="right"/>
    </xf>
    <xf numFmtId="171" fontId="25" fillId="5" borderId="18" xfId="12" applyNumberFormat="1" applyFont="1" applyFill="1" applyBorder="1" applyAlignment="1">
      <alignment horizontal="right"/>
    </xf>
    <xf numFmtId="171" fontId="25" fillId="5" borderId="2" xfId="12" applyNumberFormat="1" applyFont="1" applyFill="1" applyBorder="1" applyAlignment="1">
      <alignment horizontal="right"/>
    </xf>
    <xf numFmtId="171" fontId="25" fillId="5" borderId="19" xfId="12" applyNumberFormat="1" applyFont="1" applyFill="1" applyBorder="1" applyAlignment="1">
      <alignment horizontal="right"/>
    </xf>
    <xf numFmtId="171" fontId="25" fillId="5" borderId="2" xfId="12" applyNumberFormat="1" applyFont="1" applyFill="1" applyBorder="1"/>
    <xf numFmtId="171" fontId="23" fillId="5" borderId="0" xfId="12" applyNumberFormat="1" applyFont="1" applyFill="1" applyAlignment="1">
      <alignment horizontal="right"/>
    </xf>
    <xf numFmtId="171" fontId="23" fillId="5" borderId="18" xfId="12" applyNumberFormat="1" applyFont="1" applyFill="1" applyBorder="1" applyAlignment="1">
      <alignment horizontal="right"/>
    </xf>
    <xf numFmtId="181" fontId="23" fillId="5" borderId="0" xfId="12" applyNumberFormat="1" applyFont="1" applyFill="1" applyAlignment="1">
      <alignment horizontal="right"/>
    </xf>
    <xf numFmtId="181" fontId="23" fillId="5" borderId="18" xfId="12" applyNumberFormat="1" applyFont="1" applyFill="1" applyBorder="1" applyAlignment="1">
      <alignment horizontal="right"/>
    </xf>
    <xf numFmtId="174" fontId="23" fillId="5" borderId="0" xfId="12" applyNumberFormat="1" applyFont="1" applyFill="1" applyAlignment="1">
      <alignment horizontal="right"/>
    </xf>
    <xf numFmtId="174" fontId="23" fillId="5" borderId="18" xfId="12" applyNumberFormat="1" applyFont="1" applyFill="1" applyBorder="1" applyAlignment="1">
      <alignment horizontal="right"/>
    </xf>
    <xf numFmtId="182" fontId="23" fillId="5" borderId="0" xfId="12" applyNumberFormat="1" applyFont="1" applyFill="1" applyAlignment="1">
      <alignment horizontal="right"/>
    </xf>
    <xf numFmtId="182" fontId="23" fillId="5" borderId="18" xfId="12" applyNumberFormat="1" applyFont="1" applyFill="1" applyBorder="1" applyAlignment="1">
      <alignment horizontal="right"/>
    </xf>
    <xf numFmtId="174" fontId="25" fillId="5" borderId="0" xfId="12" applyNumberFormat="1" applyFont="1" applyFill="1" applyAlignment="1">
      <alignment horizontal="right"/>
    </xf>
    <xf numFmtId="174" fontId="25" fillId="5" borderId="18" xfId="12" applyNumberFormat="1" applyFont="1" applyFill="1" applyBorder="1" applyAlignment="1">
      <alignment horizontal="right"/>
    </xf>
    <xf numFmtId="0" fontId="52" fillId="3" borderId="0" xfId="12" applyFont="1" applyFill="1" applyAlignment="1">
      <alignment horizontal="center"/>
    </xf>
    <xf numFmtId="0" fontId="52" fillId="3" borderId="18" xfId="12" applyFont="1" applyFill="1" applyBorder="1" applyAlignment="1">
      <alignment horizontal="center"/>
    </xf>
    <xf numFmtId="170" fontId="52" fillId="3" borderId="0" xfId="0" applyNumberFormat="1" applyFont="1" applyFill="1"/>
    <xf numFmtId="170" fontId="52" fillId="3" borderId="18" xfId="0" applyNumberFormat="1" applyFont="1" applyFill="1" applyBorder="1"/>
    <xf numFmtId="170" fontId="51" fillId="3" borderId="0" xfId="0" applyNumberFormat="1" applyFont="1" applyFill="1" applyAlignment="1">
      <alignment horizontal="right"/>
    </xf>
    <xf numFmtId="170" fontId="50" fillId="3" borderId="2" xfId="0" applyNumberFormat="1" applyFont="1" applyFill="1" applyBorder="1" applyAlignment="1">
      <alignment horizontal="right"/>
    </xf>
    <xf numFmtId="170" fontId="51" fillId="3" borderId="2" xfId="0" applyNumberFormat="1" applyFont="1" applyFill="1" applyBorder="1" applyAlignment="1">
      <alignment horizontal="right"/>
    </xf>
    <xf numFmtId="170" fontId="51" fillId="3" borderId="0" xfId="0" applyNumberFormat="1" applyFont="1" applyFill="1"/>
    <xf numFmtId="170" fontId="51" fillId="3" borderId="18" xfId="0" applyNumberFormat="1" applyFont="1" applyFill="1" applyBorder="1"/>
    <xf numFmtId="173" fontId="50" fillId="3" borderId="0" xfId="0" applyNumberFormat="1" applyFont="1" applyFill="1"/>
    <xf numFmtId="173" fontId="53" fillId="3" borderId="7" xfId="0" applyNumberFormat="1" applyFont="1" applyFill="1" applyBorder="1"/>
    <xf numFmtId="0" fontId="8" fillId="5" borderId="0" xfId="12" applyFont="1" applyFill="1" applyAlignment="1">
      <alignment horizontal="center"/>
    </xf>
    <xf numFmtId="0" fontId="8" fillId="5" borderId="18" xfId="12" applyFont="1" applyFill="1" applyBorder="1" applyAlignment="1">
      <alignment horizontal="center"/>
    </xf>
    <xf numFmtId="0" fontId="23" fillId="5" borderId="0" xfId="12" applyFont="1" applyFill="1" applyAlignment="1">
      <alignment horizontal="center"/>
    </xf>
    <xf numFmtId="17" fontId="58" fillId="5" borderId="0" xfId="12" applyNumberFormat="1" applyFill="1" applyAlignment="1">
      <alignment horizontal="center"/>
    </xf>
    <xf numFmtId="17" fontId="58" fillId="5" borderId="18" xfId="12" applyNumberFormat="1" applyFill="1" applyBorder="1" applyAlignment="1">
      <alignment horizontal="center"/>
    </xf>
    <xf numFmtId="0" fontId="52" fillId="5" borderId="0" xfId="12" applyFont="1" applyFill="1" applyAlignment="1">
      <alignment horizontal="center"/>
    </xf>
    <xf numFmtId="0" fontId="52" fillId="5" borderId="18" xfId="12" applyFont="1" applyFill="1" applyBorder="1" applyAlignment="1">
      <alignment horizontal="center"/>
    </xf>
    <xf numFmtId="170" fontId="52" fillId="5" borderId="0" xfId="0" applyNumberFormat="1" applyFont="1" applyFill="1"/>
    <xf numFmtId="170" fontId="52" fillId="5" borderId="18" xfId="0" applyNumberFormat="1" applyFont="1" applyFill="1" applyBorder="1"/>
    <xf numFmtId="171" fontId="19" fillId="5" borderId="0" xfId="0" applyNumberFormat="1" applyFont="1" applyFill="1"/>
    <xf numFmtId="170" fontId="50" fillId="5" borderId="2" xfId="0" applyNumberFormat="1" applyFont="1" applyFill="1" applyBorder="1" applyAlignment="1">
      <alignment horizontal="right"/>
    </xf>
    <xf numFmtId="170" fontId="51" fillId="5" borderId="0" xfId="0" applyNumberFormat="1" applyFont="1" applyFill="1"/>
    <xf numFmtId="170" fontId="51" fillId="5" borderId="18" xfId="0" applyNumberFormat="1" applyFont="1" applyFill="1" applyBorder="1"/>
    <xf numFmtId="173" fontId="25" fillId="5" borderId="0" xfId="0" applyNumberFormat="1" applyFont="1" applyFill="1"/>
    <xf numFmtId="173" fontId="0" fillId="5" borderId="0" xfId="0" applyNumberFormat="1" applyFill="1"/>
    <xf numFmtId="173" fontId="25" fillId="5" borderId="18" xfId="0" applyNumberFormat="1" applyFont="1" applyFill="1" applyBorder="1"/>
    <xf numFmtId="173" fontId="23" fillId="5" borderId="7" xfId="0" applyNumberFormat="1" applyFont="1" applyFill="1" applyBorder="1"/>
    <xf numFmtId="173" fontId="8" fillId="5" borderId="7" xfId="0" applyNumberFormat="1" applyFont="1" applyFill="1" applyBorder="1"/>
    <xf numFmtId="173" fontId="23" fillId="5" borderId="20" xfId="0" applyNumberFormat="1" applyFont="1" applyFill="1" applyBorder="1"/>
    <xf numFmtId="170" fontId="51" fillId="3" borderId="0" xfId="12" applyNumberFormat="1" applyFont="1" applyFill="1"/>
    <xf numFmtId="170" fontId="51" fillId="3" borderId="18" xfId="12" applyNumberFormat="1" applyFont="1" applyFill="1" applyBorder="1"/>
    <xf numFmtId="168" fontId="50" fillId="5" borderId="0" xfId="12" applyNumberFormat="1" applyFont="1" applyFill="1"/>
    <xf numFmtId="168" fontId="23" fillId="5" borderId="7" xfId="12" applyNumberFormat="1" applyFont="1" applyFill="1" applyBorder="1"/>
    <xf numFmtId="168" fontId="23" fillId="5" borderId="20" xfId="12" applyNumberFormat="1" applyFont="1" applyFill="1" applyBorder="1"/>
    <xf numFmtId="170" fontId="51" fillId="5" borderId="0" xfId="12" applyNumberFormat="1" applyFont="1" applyFill="1"/>
    <xf numFmtId="170" fontId="51" fillId="5" borderId="18" xfId="12" applyNumberFormat="1" applyFont="1" applyFill="1" applyBorder="1"/>
    <xf numFmtId="168" fontId="25" fillId="5" borderId="7" xfId="12" applyNumberFormat="1" applyFont="1" applyFill="1" applyBorder="1"/>
    <xf numFmtId="168" fontId="25" fillId="5" borderId="20" xfId="12" applyNumberFormat="1" applyFont="1" applyFill="1" applyBorder="1"/>
    <xf numFmtId="170" fontId="50" fillId="5" borderId="0" xfId="12" applyNumberFormat="1" applyFont="1" applyFill="1"/>
    <xf numFmtId="168" fontId="25" fillId="5" borderId="2" xfId="12" applyNumberFormat="1" applyFont="1" applyFill="1" applyBorder="1"/>
    <xf numFmtId="168" fontId="50" fillId="5" borderId="2" xfId="12" applyNumberFormat="1" applyFont="1" applyFill="1" applyBorder="1"/>
    <xf numFmtId="168" fontId="25" fillId="5" borderId="19" xfId="12" applyNumberFormat="1" applyFont="1" applyFill="1" applyBorder="1"/>
    <xf numFmtId="174" fontId="25" fillId="5" borderId="0" xfId="12" applyNumberFormat="1" applyFont="1" applyFill="1"/>
    <xf numFmtId="174" fontId="50" fillId="5" borderId="0" xfId="12" applyNumberFormat="1" applyFont="1" applyFill="1"/>
    <xf numFmtId="174" fontId="25" fillId="5" borderId="18" xfId="12" applyNumberFormat="1" applyFont="1" applyFill="1" applyBorder="1"/>
    <xf numFmtId="205" fontId="25" fillId="5" borderId="0" xfId="12" applyNumberFormat="1" applyFont="1" applyFill="1"/>
    <xf numFmtId="205" fontId="50" fillId="5" borderId="0" xfId="12" applyNumberFormat="1" applyFont="1" applyFill="1"/>
    <xf numFmtId="205" fontId="25" fillId="5" borderId="18" xfId="12" applyNumberFormat="1" applyFont="1" applyFill="1" applyBorder="1"/>
    <xf numFmtId="206" fontId="21" fillId="3" borderId="0" xfId="10" applyNumberFormat="1" applyFont="1" applyFill="1" applyAlignment="1">
      <alignment horizontal="left" indent="1"/>
    </xf>
    <xf numFmtId="177" fontId="21" fillId="3" borderId="0" xfId="10" applyNumberFormat="1" applyFont="1" applyFill="1" applyAlignment="1">
      <alignment horizontal="left" indent="1"/>
    </xf>
    <xf numFmtId="178" fontId="21" fillId="3" borderId="0" xfId="10" applyNumberFormat="1" applyFont="1" applyFill="1" applyAlignment="1">
      <alignment horizontal="left" indent="1"/>
    </xf>
    <xf numFmtId="179" fontId="21" fillId="3" borderId="0" xfId="10" applyNumberFormat="1" applyFont="1" applyFill="1" applyAlignment="1">
      <alignment horizontal="left" indent="1"/>
    </xf>
    <xf numFmtId="192" fontId="21" fillId="3" borderId="2" xfId="10" applyNumberFormat="1" applyFont="1" applyFill="1" applyBorder="1" applyAlignment="1">
      <alignment horizontal="left" indent="1"/>
    </xf>
    <xf numFmtId="0" fontId="23" fillId="3" borderId="7" xfId="0" applyFont="1" applyFill="1" applyBorder="1"/>
    <xf numFmtId="170" fontId="57" fillId="3" borderId="0" xfId="10" applyNumberFormat="1" applyFont="1" applyFill="1"/>
    <xf numFmtId="170" fontId="57" fillId="3" borderId="2" xfId="10" applyNumberFormat="1" applyFont="1" applyFill="1" applyBorder="1"/>
    <xf numFmtId="168" fontId="4" fillId="3" borderId="7" xfId="10" applyNumberFormat="1" applyFont="1" applyFill="1" applyBorder="1" applyAlignment="1">
      <alignment horizontal="left"/>
    </xf>
    <xf numFmtId="168" fontId="3" fillId="3" borderId="0" xfId="10" applyNumberFormat="1" applyFill="1" applyAlignment="1">
      <alignment horizontal="left" indent="1"/>
    </xf>
    <xf numFmtId="173" fontId="21" fillId="3" borderId="0" xfId="10" applyNumberFormat="1" applyFont="1" applyFill="1" applyAlignment="1">
      <alignment horizontal="left" indent="1"/>
    </xf>
    <xf numFmtId="169" fontId="24" fillId="3" borderId="11" xfId="10" applyNumberFormat="1" applyFont="1" applyFill="1" applyBorder="1" applyAlignment="1">
      <alignment horizontal="left"/>
    </xf>
    <xf numFmtId="169" fontId="21" fillId="3" borderId="0" xfId="10" applyNumberFormat="1" applyFont="1" applyFill="1" applyAlignment="1">
      <alignment horizontal="left"/>
    </xf>
    <xf numFmtId="188" fontId="21" fillId="3" borderId="0" xfId="10" applyNumberFormat="1" applyFont="1" applyFill="1" applyAlignment="1">
      <alignment horizontal="left" indent="1"/>
    </xf>
    <xf numFmtId="188" fontId="21" fillId="3" borderId="0" xfId="10" applyNumberFormat="1" applyFont="1" applyFill="1" applyAlignment="1">
      <alignment horizontal="left" indent="2"/>
    </xf>
    <xf numFmtId="189" fontId="21" fillId="3" borderId="0" xfId="10" applyNumberFormat="1" applyFont="1" applyFill="1" applyAlignment="1">
      <alignment horizontal="left" indent="1"/>
    </xf>
    <xf numFmtId="189" fontId="21" fillId="3" borderId="0" xfId="10" applyNumberFormat="1" applyFont="1" applyFill="1" applyAlignment="1">
      <alignment horizontal="left" indent="2"/>
    </xf>
    <xf numFmtId="173" fontId="7" fillId="3" borderId="0" xfId="18" applyNumberFormat="1" applyFont="1" applyFill="1" applyBorder="1" applyAlignment="1">
      <alignment horizontal="center"/>
    </xf>
    <xf numFmtId="1" fontId="23" fillId="3" borderId="18" xfId="0" applyNumberFormat="1" applyFont="1" applyFill="1" applyBorder="1" applyAlignment="1">
      <alignment horizontal="center"/>
    </xf>
    <xf numFmtId="17" fontId="21" fillId="3" borderId="18" xfId="0" applyNumberFormat="1" applyFont="1" applyFill="1" applyBorder="1" applyAlignment="1">
      <alignment horizontal="center"/>
    </xf>
    <xf numFmtId="170" fontId="25" fillId="3" borderId="31" xfId="0" applyNumberFormat="1" applyFont="1" applyFill="1" applyBorder="1"/>
    <xf numFmtId="188" fontId="23" fillId="3" borderId="18" xfId="0" applyNumberFormat="1" applyFont="1" applyFill="1" applyBorder="1" applyAlignment="1">
      <alignment horizontal="right"/>
    </xf>
    <xf numFmtId="188" fontId="25" fillId="3" borderId="18" xfId="0" applyNumberFormat="1" applyFont="1" applyFill="1" applyBorder="1" applyAlignment="1">
      <alignment horizontal="right"/>
    </xf>
    <xf numFmtId="198" fontId="25" fillId="3" borderId="18" xfId="0" applyNumberFormat="1" applyFont="1" applyFill="1" applyBorder="1" applyAlignment="1">
      <alignment horizontal="right"/>
    </xf>
    <xf numFmtId="189" fontId="25" fillId="3" borderId="18" xfId="0" applyNumberFormat="1" applyFont="1" applyFill="1" applyBorder="1" applyAlignment="1">
      <alignment horizontal="right"/>
    </xf>
    <xf numFmtId="170" fontId="23" fillId="3" borderId="29" xfId="0" applyNumberFormat="1" applyFont="1" applyFill="1" applyBorder="1" applyAlignment="1">
      <alignment horizontal="right"/>
    </xf>
    <xf numFmtId="0" fontId="23" fillId="3" borderId="18" xfId="12" applyFont="1" applyFill="1" applyBorder="1" applyAlignment="1">
      <alignment horizontal="center"/>
    </xf>
    <xf numFmtId="17" fontId="25" fillId="3" borderId="18" xfId="12" applyNumberFormat="1" applyFont="1" applyFill="1" applyBorder="1" applyAlignment="1">
      <alignment horizontal="center"/>
    </xf>
    <xf numFmtId="0" fontId="61" fillId="0" borderId="0" xfId="19" applyFont="1"/>
    <xf numFmtId="0" fontId="62" fillId="0" borderId="0" xfId="19" applyFont="1"/>
    <xf numFmtId="0" fontId="62" fillId="0" borderId="32" xfId="19" applyFont="1" applyBorder="1"/>
    <xf numFmtId="207" fontId="62" fillId="0" borderId="0" xfId="19" applyNumberFormat="1" applyFont="1" applyAlignment="1">
      <alignment horizontal="center"/>
    </xf>
    <xf numFmtId="0" fontId="62" fillId="0" borderId="0" xfId="19" applyFont="1" applyAlignment="1">
      <alignment horizontal="left" indent="1"/>
    </xf>
    <xf numFmtId="207" fontId="61" fillId="0" borderId="0" xfId="19" applyNumberFormat="1" applyFont="1" applyAlignment="1">
      <alignment horizontal="center"/>
    </xf>
    <xf numFmtId="207" fontId="61" fillId="0" borderId="32" xfId="19" applyNumberFormat="1" applyFont="1" applyBorder="1" applyAlignment="1">
      <alignment horizontal="center"/>
    </xf>
    <xf numFmtId="208" fontId="63" fillId="0" borderId="0" xfId="19" applyNumberFormat="1" applyFont="1" applyAlignment="1">
      <alignment horizontal="center"/>
    </xf>
    <xf numFmtId="0" fontId="61" fillId="0" borderId="32" xfId="19" applyFont="1" applyBorder="1"/>
    <xf numFmtId="208" fontId="61" fillId="0" borderId="0" xfId="19" applyNumberFormat="1" applyFont="1" applyAlignment="1">
      <alignment horizontal="center"/>
    </xf>
    <xf numFmtId="14" fontId="61" fillId="0" borderId="0" xfId="19" applyNumberFormat="1" applyFont="1" applyAlignment="1">
      <alignment horizontal="center"/>
    </xf>
    <xf numFmtId="0" fontId="64" fillId="0" borderId="33" xfId="19" applyFont="1" applyBorder="1" applyAlignment="1">
      <alignment horizontal="center"/>
    </xf>
    <xf numFmtId="0" fontId="64" fillId="0" borderId="0" xfId="19" applyFont="1" applyAlignment="1">
      <alignment horizontal="center"/>
    </xf>
    <xf numFmtId="0" fontId="64" fillId="0" borderId="34" xfId="19" applyFont="1" applyBorder="1" applyAlignment="1">
      <alignment horizontal="center"/>
    </xf>
    <xf numFmtId="0" fontId="65" fillId="0" borderId="0" xfId="19" applyFont="1"/>
    <xf numFmtId="209" fontId="66" fillId="8" borderId="1" xfId="19" applyNumberFormat="1" applyFont="1" applyFill="1" applyBorder="1" applyAlignment="1">
      <alignment horizontal="right"/>
    </xf>
    <xf numFmtId="209" fontId="66" fillId="8" borderId="2" xfId="19" applyNumberFormat="1" applyFont="1" applyFill="1" applyBorder="1" applyAlignment="1">
      <alignment horizontal="right"/>
    </xf>
    <xf numFmtId="0" fontId="66" fillId="8" borderId="3" xfId="19" applyFont="1" applyFill="1" applyBorder="1"/>
    <xf numFmtId="207" fontId="66" fillId="8" borderId="6" xfId="19" applyNumberFormat="1" applyFont="1" applyFill="1" applyBorder="1" applyAlignment="1">
      <alignment horizontal="right"/>
    </xf>
    <xf numFmtId="207" fontId="66" fillId="8" borderId="7" xfId="19" applyNumberFormat="1" applyFont="1" applyFill="1" applyBorder="1" applyAlignment="1">
      <alignment horizontal="right"/>
    </xf>
    <xf numFmtId="0" fontId="66" fillId="8" borderId="8" xfId="19" applyFont="1" applyFill="1" applyBorder="1"/>
    <xf numFmtId="0" fontId="61" fillId="0" borderId="0" xfId="19" applyFont="1" applyAlignment="1">
      <alignment horizontal="right"/>
    </xf>
    <xf numFmtId="208" fontId="66" fillId="9" borderId="35" xfId="19" applyNumberFormat="1" applyFont="1" applyFill="1" applyBorder="1" applyAlignment="1">
      <alignment horizontal="right"/>
    </xf>
    <xf numFmtId="208" fontId="66" fillId="9" borderId="9" xfId="19" applyNumberFormat="1" applyFont="1" applyFill="1" applyBorder="1" applyAlignment="1">
      <alignment horizontal="right"/>
    </xf>
    <xf numFmtId="0" fontId="66" fillId="9" borderId="36" xfId="19" applyFont="1" applyFill="1" applyBorder="1"/>
    <xf numFmtId="208" fontId="63" fillId="0" borderId="0" xfId="19" applyNumberFormat="1" applyFont="1" applyAlignment="1">
      <alignment horizontal="right"/>
    </xf>
    <xf numFmtId="0" fontId="66" fillId="0" borderId="0" xfId="19" applyFont="1"/>
    <xf numFmtId="0" fontId="66" fillId="0" borderId="32" xfId="19" applyFont="1" applyBorder="1"/>
    <xf numFmtId="208" fontId="66" fillId="0" borderId="0" xfId="19" applyNumberFormat="1" applyFont="1" applyAlignment="1">
      <alignment horizontal="right"/>
    </xf>
    <xf numFmtId="208" fontId="63" fillId="0" borderId="2" xfId="19" applyNumberFormat="1" applyFont="1" applyBorder="1" applyAlignment="1">
      <alignment horizontal="right"/>
    </xf>
    <xf numFmtId="0" fontId="61" fillId="0" borderId="2" xfId="19" applyFont="1" applyBorder="1"/>
    <xf numFmtId="210" fontId="63" fillId="0" borderId="2" xfId="19" applyNumberFormat="1" applyFont="1" applyBorder="1" applyAlignment="1">
      <alignment horizontal="right"/>
    </xf>
    <xf numFmtId="208" fontId="61" fillId="0" borderId="0" xfId="19" applyNumberFormat="1" applyFont="1" applyAlignment="1">
      <alignment horizontal="right"/>
    </xf>
    <xf numFmtId="0" fontId="64" fillId="0" borderId="0" xfId="19" applyFont="1" applyAlignment="1">
      <alignment horizontal="left"/>
    </xf>
    <xf numFmtId="0" fontId="61" fillId="10" borderId="0" xfId="19" applyFont="1" applyFill="1"/>
    <xf numFmtId="0" fontId="61" fillId="10" borderId="32" xfId="19" applyFont="1" applyFill="1" applyBorder="1"/>
    <xf numFmtId="0" fontId="67" fillId="10" borderId="0" xfId="19" applyFont="1" applyFill="1" applyAlignment="1">
      <alignment horizontal="left"/>
    </xf>
    <xf numFmtId="208" fontId="63" fillId="0" borderId="0" xfId="19" applyNumberFormat="1" applyFont="1"/>
    <xf numFmtId="0" fontId="61" fillId="0" borderId="32" xfId="19" applyFont="1" applyBorder="1" applyAlignment="1">
      <alignment horizontal="right"/>
    </xf>
    <xf numFmtId="207" fontId="62" fillId="0" borderId="0" xfId="19" applyNumberFormat="1" applyFont="1" applyAlignment="1">
      <alignment horizontal="right"/>
    </xf>
    <xf numFmtId="207" fontId="62" fillId="11" borderId="0" xfId="19" applyNumberFormat="1" applyFont="1" applyFill="1" applyAlignment="1">
      <alignment horizontal="right"/>
    </xf>
    <xf numFmtId="207" fontId="63" fillId="0" borderId="0" xfId="19" applyNumberFormat="1" applyFont="1" applyAlignment="1">
      <alignment horizontal="center"/>
    </xf>
    <xf numFmtId="208" fontId="62" fillId="0" borderId="0" xfId="19" applyNumberFormat="1" applyFont="1" applyAlignment="1">
      <alignment horizontal="right"/>
    </xf>
    <xf numFmtId="0" fontId="61" fillId="0" borderId="0" xfId="19" quotePrefix="1" applyFont="1" applyAlignment="1">
      <alignment horizontal="right"/>
    </xf>
    <xf numFmtId="207" fontId="62" fillId="0" borderId="32" xfId="19" applyNumberFormat="1" applyFont="1" applyBorder="1" applyAlignment="1">
      <alignment horizontal="right"/>
    </xf>
    <xf numFmtId="207" fontId="66" fillId="12" borderId="37" xfId="19" applyNumberFormat="1" applyFont="1" applyFill="1" applyBorder="1" applyAlignment="1">
      <alignment horizontal="right"/>
    </xf>
    <xf numFmtId="207" fontId="66" fillId="12" borderId="38" xfId="19" applyNumberFormat="1" applyFont="1" applyFill="1" applyBorder="1" applyAlignment="1">
      <alignment horizontal="right"/>
    </xf>
    <xf numFmtId="207" fontId="66" fillId="12" borderId="39" xfId="19" applyNumberFormat="1" applyFont="1" applyFill="1" applyBorder="1" applyAlignment="1">
      <alignment horizontal="right"/>
    </xf>
    <xf numFmtId="0" fontId="66" fillId="12" borderId="37" xfId="19" applyFont="1" applyFill="1" applyBorder="1"/>
    <xf numFmtId="0" fontId="66" fillId="12" borderId="38" xfId="19" applyFont="1" applyFill="1" applyBorder="1" applyAlignment="1">
      <alignment horizontal="right"/>
    </xf>
    <xf numFmtId="208" fontId="66" fillId="12" borderId="38" xfId="19" applyNumberFormat="1" applyFont="1" applyFill="1" applyBorder="1" applyAlignment="1">
      <alignment horizontal="right"/>
    </xf>
    <xf numFmtId="0" fontId="66" fillId="12" borderId="39" xfId="19" applyFont="1" applyFill="1" applyBorder="1"/>
    <xf numFmtId="207" fontId="66" fillId="0" borderId="0" xfId="19" applyNumberFormat="1" applyFont="1" applyAlignment="1">
      <alignment horizontal="center"/>
    </xf>
    <xf numFmtId="207" fontId="66" fillId="0" borderId="32" xfId="19" applyNumberFormat="1" applyFont="1" applyBorder="1" applyAlignment="1">
      <alignment horizontal="center"/>
    </xf>
    <xf numFmtId="208" fontId="68" fillId="0" borderId="0" xfId="19" applyNumberFormat="1" applyFont="1" applyAlignment="1">
      <alignment horizontal="right"/>
    </xf>
    <xf numFmtId="0" fontId="66" fillId="0" borderId="0" xfId="19" applyFont="1" applyAlignment="1">
      <alignment horizontal="right"/>
    </xf>
    <xf numFmtId="0" fontId="66" fillId="0" borderId="32" xfId="19" applyFont="1" applyBorder="1" applyAlignment="1">
      <alignment horizontal="right"/>
    </xf>
    <xf numFmtId="211" fontId="61" fillId="0" borderId="0" xfId="19" applyNumberFormat="1" applyFont="1"/>
    <xf numFmtId="207" fontId="61" fillId="0" borderId="0" xfId="19" applyNumberFormat="1" applyFont="1"/>
    <xf numFmtId="208" fontId="61" fillId="0" borderId="0" xfId="19" applyNumberFormat="1" applyFont="1"/>
    <xf numFmtId="210" fontId="65" fillId="0" borderId="0" xfId="19" applyNumberFormat="1" applyFont="1"/>
    <xf numFmtId="208" fontId="61" fillId="0" borderId="32" xfId="19" applyNumberFormat="1" applyFont="1" applyBorder="1"/>
    <xf numFmtId="207" fontId="65" fillId="0" borderId="0" xfId="19" applyNumberFormat="1" applyFont="1"/>
    <xf numFmtId="17" fontId="66" fillId="0" borderId="0" xfId="19" applyNumberFormat="1" applyFont="1" applyAlignment="1">
      <alignment horizontal="right"/>
    </xf>
    <xf numFmtId="207" fontId="62" fillId="0" borderId="0" xfId="19" applyNumberFormat="1" applyFont="1"/>
    <xf numFmtId="0" fontId="62" fillId="1" borderId="0" xfId="19" applyFont="1" applyFill="1"/>
    <xf numFmtId="210" fontId="66" fillId="8" borderId="38" xfId="19" applyNumberFormat="1" applyFont="1" applyFill="1" applyBorder="1"/>
    <xf numFmtId="0" fontId="66" fillId="8" borderId="38" xfId="19" applyFont="1" applyFill="1" applyBorder="1"/>
    <xf numFmtId="0" fontId="66" fillId="8" borderId="39" xfId="19" applyFont="1" applyFill="1" applyBorder="1"/>
    <xf numFmtId="0" fontId="61" fillId="0" borderId="0" xfId="19" applyFont="1" applyAlignment="1">
      <alignment horizontal="left" indent="1"/>
    </xf>
    <xf numFmtId="208" fontId="66" fillId="0" borderId="0" xfId="19" applyNumberFormat="1" applyFont="1"/>
    <xf numFmtId="208" fontId="61" fillId="0" borderId="2" xfId="19" applyNumberFormat="1" applyFont="1" applyBorder="1"/>
    <xf numFmtId="0" fontId="69" fillId="0" borderId="0" xfId="19" applyFont="1"/>
    <xf numFmtId="207" fontId="62" fillId="0" borderId="32" xfId="19" applyNumberFormat="1" applyFont="1" applyBorder="1" applyAlignment="1">
      <alignment horizontal="center"/>
    </xf>
    <xf numFmtId="208" fontId="62" fillId="0" borderId="0" xfId="19" applyNumberFormat="1" applyFont="1" applyAlignment="1">
      <alignment horizontal="center"/>
    </xf>
    <xf numFmtId="207" fontId="62" fillId="0" borderId="34" xfId="19" applyNumberFormat="1" applyFont="1" applyBorder="1" applyAlignment="1">
      <alignment horizontal="right"/>
    </xf>
    <xf numFmtId="0" fontId="61" fillId="0" borderId="34" xfId="19" applyFont="1" applyBorder="1" applyAlignment="1">
      <alignment horizontal="right"/>
    </xf>
    <xf numFmtId="207" fontId="66" fillId="13" borderId="37" xfId="19" applyNumberFormat="1" applyFont="1" applyFill="1" applyBorder="1" applyAlignment="1">
      <alignment horizontal="right"/>
    </xf>
    <xf numFmtId="208" fontId="66" fillId="13" borderId="37" xfId="19" applyNumberFormat="1" applyFont="1" applyFill="1" applyBorder="1" applyAlignment="1">
      <alignment horizontal="right"/>
    </xf>
    <xf numFmtId="208" fontId="66" fillId="12" borderId="37" xfId="19" applyNumberFormat="1" applyFont="1" applyFill="1" applyBorder="1" applyAlignment="1">
      <alignment horizontal="right"/>
    </xf>
    <xf numFmtId="207" fontId="62" fillId="1" borderId="0" xfId="19" applyNumberFormat="1" applyFont="1" applyFill="1" applyAlignment="1">
      <alignment horizontal="right"/>
    </xf>
    <xf numFmtId="208" fontId="68" fillId="0" borderId="0" xfId="19" applyNumberFormat="1" applyFont="1" applyAlignment="1">
      <alignment horizontal="center"/>
    </xf>
    <xf numFmtId="208" fontId="68" fillId="0" borderId="34" xfId="19" applyNumberFormat="1" applyFont="1" applyBorder="1" applyAlignment="1">
      <alignment horizontal="right"/>
    </xf>
    <xf numFmtId="207" fontId="62" fillId="0" borderId="32" xfId="19" applyNumberFormat="1" applyFont="1" applyBorder="1"/>
    <xf numFmtId="207" fontId="62" fillId="0" borderId="0" xfId="19" applyNumberFormat="1" applyFont="1" applyAlignment="1">
      <alignment horizontal="left" indent="1"/>
    </xf>
    <xf numFmtId="207" fontId="66" fillId="0" borderId="0" xfId="19" applyNumberFormat="1" applyFont="1"/>
    <xf numFmtId="207" fontId="66" fillId="0" borderId="32" xfId="19" applyNumberFormat="1" applyFont="1" applyBorder="1"/>
    <xf numFmtId="208" fontId="62" fillId="0" borderId="34" xfId="19" applyNumberFormat="1" applyFont="1" applyBorder="1" applyAlignment="1">
      <alignment horizontal="right"/>
    </xf>
    <xf numFmtId="0" fontId="61" fillId="0" borderId="2" xfId="19" applyFont="1" applyBorder="1" applyAlignment="1">
      <alignment horizontal="right"/>
    </xf>
    <xf numFmtId="208" fontId="66" fillId="0" borderId="34" xfId="19" applyNumberFormat="1" applyFont="1" applyBorder="1" applyAlignment="1">
      <alignment horizontal="right"/>
    </xf>
    <xf numFmtId="208" fontId="61" fillId="0" borderId="34" xfId="19" applyNumberFormat="1" applyFont="1" applyBorder="1" applyAlignment="1">
      <alignment horizontal="right"/>
    </xf>
    <xf numFmtId="0" fontId="67" fillId="0" borderId="0" xfId="19" applyFont="1"/>
    <xf numFmtId="0" fontId="67" fillId="0" borderId="32" xfId="19" applyFont="1" applyBorder="1"/>
    <xf numFmtId="0" fontId="67" fillId="10" borderId="0" xfId="19" applyFont="1" applyFill="1" applyAlignment="1">
      <alignment horizontal="right"/>
    </xf>
    <xf numFmtId="0" fontId="67" fillId="10" borderId="34" xfId="19" applyFont="1" applyFill="1" applyBorder="1" applyAlignment="1">
      <alignment horizontal="right"/>
    </xf>
    <xf numFmtId="0" fontId="67" fillId="10" borderId="0" xfId="19" applyFont="1" applyFill="1"/>
    <xf numFmtId="208" fontId="69" fillId="0" borderId="0" xfId="19" applyNumberFormat="1" applyFont="1" applyAlignment="1">
      <alignment horizontal="right"/>
    </xf>
    <xf numFmtId="208" fontId="69" fillId="0" borderId="34" xfId="19" applyNumberFormat="1" applyFont="1" applyBorder="1" applyAlignment="1">
      <alignment horizontal="right"/>
    </xf>
    <xf numFmtId="0" fontId="66" fillId="0" borderId="34" xfId="19" applyFont="1" applyBorder="1" applyAlignment="1">
      <alignment horizontal="right"/>
    </xf>
    <xf numFmtId="0" fontId="62" fillId="0" borderId="0" xfId="19" applyFont="1" applyAlignment="1">
      <alignment horizontal="right"/>
    </xf>
    <xf numFmtId="207" fontId="61" fillId="0" borderId="0" xfId="19" applyNumberFormat="1" applyFont="1" applyAlignment="1">
      <alignment horizontal="right"/>
    </xf>
    <xf numFmtId="0" fontId="67" fillId="0" borderId="0" xfId="19" applyFont="1" applyAlignment="1">
      <alignment horizontal="right"/>
    </xf>
    <xf numFmtId="212" fontId="64" fillId="0" borderId="0" xfId="19" applyNumberFormat="1" applyFont="1" applyAlignment="1">
      <alignment horizontal="center"/>
    </xf>
    <xf numFmtId="212" fontId="64" fillId="0" borderId="32" xfId="19" applyNumberFormat="1" applyFont="1" applyBorder="1" applyAlignment="1">
      <alignment horizontal="center"/>
    </xf>
    <xf numFmtId="212" fontId="64" fillId="0" borderId="0" xfId="19" applyNumberFormat="1" applyFont="1" applyAlignment="1">
      <alignment horizontal="center" wrapText="1"/>
    </xf>
    <xf numFmtId="212" fontId="64" fillId="0" borderId="34" xfId="19" applyNumberFormat="1" applyFont="1" applyBorder="1" applyAlignment="1">
      <alignment horizontal="center" wrapText="1"/>
    </xf>
    <xf numFmtId="212" fontId="70" fillId="0" borderId="0" xfId="19" applyNumberFormat="1" applyFont="1" applyAlignment="1">
      <alignment horizontal="left" wrapText="1"/>
    </xf>
    <xf numFmtId="0" fontId="69" fillId="9" borderId="41" xfId="19" applyFont="1" applyFill="1" applyBorder="1" applyAlignment="1">
      <alignment horizontal="center"/>
    </xf>
    <xf numFmtId="0" fontId="61" fillId="10" borderId="0" xfId="19" applyFont="1" applyFill="1" applyAlignment="1">
      <alignment horizontal="centerContinuous"/>
    </xf>
    <xf numFmtId="0" fontId="67" fillId="10" borderId="0" xfId="19" applyFont="1" applyFill="1" applyAlignment="1">
      <alignment horizontal="centerContinuous"/>
    </xf>
    <xf numFmtId="0" fontId="61" fillId="0" borderId="0" xfId="19" applyFont="1" applyAlignment="1">
      <alignment horizontal="centerContinuous"/>
    </xf>
    <xf numFmtId="0" fontId="67" fillId="10" borderId="42" xfId="19" applyFont="1" applyFill="1" applyBorder="1" applyAlignment="1">
      <alignment horizontal="centerContinuous"/>
    </xf>
    <xf numFmtId="0" fontId="67" fillId="14" borderId="0" xfId="19" applyFont="1" applyFill="1" applyAlignment="1">
      <alignment horizontal="centerContinuous"/>
    </xf>
    <xf numFmtId="0" fontId="67" fillId="14" borderId="42" xfId="19" applyFont="1" applyFill="1" applyBorder="1" applyAlignment="1">
      <alignment horizontal="centerContinuous"/>
    </xf>
    <xf numFmtId="0" fontId="67" fillId="14" borderId="0" xfId="19" applyFont="1" applyFill="1"/>
    <xf numFmtId="0" fontId="63" fillId="0" borderId="0" xfId="19" applyFont="1" applyAlignment="1">
      <alignment horizontal="center"/>
    </xf>
    <xf numFmtId="208" fontId="61" fillId="0" borderId="0" xfId="19" applyNumberFormat="1" applyFont="1" applyAlignment="1">
      <alignment horizontal="left"/>
    </xf>
    <xf numFmtId="0" fontId="61" fillId="0" borderId="0" xfId="19" applyFont="1" applyAlignment="1">
      <alignment horizontal="left"/>
    </xf>
    <xf numFmtId="213" fontId="61" fillId="0" borderId="0" xfId="19" applyNumberFormat="1" applyFont="1" applyAlignment="1">
      <alignment horizontal="right"/>
    </xf>
    <xf numFmtId="0" fontId="66" fillId="0" borderId="0" xfId="19" applyFont="1" applyAlignment="1">
      <alignment horizontal="left"/>
    </xf>
    <xf numFmtId="208" fontId="66" fillId="0" borderId="0" xfId="19" applyNumberFormat="1" applyFont="1" applyAlignment="1">
      <alignment horizontal="left"/>
    </xf>
    <xf numFmtId="208" fontId="61" fillId="0" borderId="2" xfId="19" applyNumberFormat="1" applyFont="1" applyBorder="1" applyAlignment="1">
      <alignment horizontal="right"/>
    </xf>
    <xf numFmtId="208" fontId="61" fillId="0" borderId="2" xfId="19" applyNumberFormat="1" applyFont="1" applyBorder="1" applyAlignment="1">
      <alignment horizontal="left"/>
    </xf>
    <xf numFmtId="0" fontId="61" fillId="0" borderId="2" xfId="19" applyFont="1" applyBorder="1" applyAlignment="1">
      <alignment horizontal="left"/>
    </xf>
    <xf numFmtId="208" fontId="66" fillId="0" borderId="0" xfId="19" applyNumberFormat="1" applyFont="1" applyAlignment="1">
      <alignment horizontal="center"/>
    </xf>
    <xf numFmtId="208" fontId="64" fillId="0" borderId="0" xfId="19" applyNumberFormat="1" applyFont="1" applyAlignment="1">
      <alignment horizontal="right"/>
    </xf>
    <xf numFmtId="213" fontId="66" fillId="0" borderId="0" xfId="19" applyNumberFormat="1" applyFont="1" applyAlignment="1">
      <alignment horizontal="right"/>
    </xf>
    <xf numFmtId="213" fontId="66" fillId="0" borderId="5" xfId="19" applyNumberFormat="1" applyFont="1" applyBorder="1" applyAlignment="1">
      <alignment horizontal="right"/>
    </xf>
    <xf numFmtId="213" fontId="66" fillId="0" borderId="0" xfId="19" applyNumberFormat="1" applyFont="1" applyAlignment="1">
      <alignment horizontal="center"/>
    </xf>
    <xf numFmtId="213" fontId="61" fillId="0" borderId="2" xfId="19" applyNumberFormat="1" applyFont="1" applyBorder="1" applyAlignment="1">
      <alignment horizontal="right"/>
    </xf>
    <xf numFmtId="213" fontId="61" fillId="0" borderId="3" xfId="19" applyNumberFormat="1" applyFont="1" applyBorder="1" applyAlignment="1">
      <alignment horizontal="right"/>
    </xf>
    <xf numFmtId="213" fontId="61" fillId="0" borderId="2" xfId="19" applyNumberFormat="1" applyFont="1" applyBorder="1" applyAlignment="1">
      <alignment horizontal="center"/>
    </xf>
    <xf numFmtId="213" fontId="61" fillId="0" borderId="5" xfId="19" applyNumberFormat="1" applyFont="1" applyBorder="1" applyAlignment="1">
      <alignment horizontal="right"/>
    </xf>
    <xf numFmtId="213" fontId="61" fillId="0" borderId="0" xfId="19" applyNumberFormat="1" applyFont="1" applyAlignment="1">
      <alignment horizontal="center"/>
    </xf>
    <xf numFmtId="208" fontId="66" fillId="0" borderId="2" xfId="19" applyNumberFormat="1" applyFont="1" applyBorder="1" applyAlignment="1">
      <alignment horizontal="right"/>
    </xf>
    <xf numFmtId="208" fontId="66" fillId="0" borderId="3" xfId="19" applyNumberFormat="1" applyFont="1" applyBorder="1" applyAlignment="1">
      <alignment horizontal="right"/>
    </xf>
    <xf numFmtId="208" fontId="66" fillId="0" borderId="2" xfId="19" applyNumberFormat="1" applyFont="1" applyBorder="1" applyAlignment="1">
      <alignment horizontal="left"/>
    </xf>
    <xf numFmtId="0" fontId="66" fillId="0" borderId="2" xfId="19" applyFont="1" applyBorder="1" applyAlignment="1">
      <alignment horizontal="left"/>
    </xf>
    <xf numFmtId="208" fontId="61" fillId="0" borderId="5" xfId="19" applyNumberFormat="1" applyFont="1" applyBorder="1" applyAlignment="1">
      <alignment horizontal="right"/>
    </xf>
    <xf numFmtId="208" fontId="66" fillId="0" borderId="5" xfId="19" applyNumberFormat="1" applyFont="1" applyBorder="1" applyAlignment="1">
      <alignment horizontal="right"/>
    </xf>
    <xf numFmtId="208" fontId="61" fillId="0" borderId="3" xfId="19" applyNumberFormat="1" applyFont="1" applyBorder="1" applyAlignment="1">
      <alignment horizontal="right"/>
    </xf>
    <xf numFmtId="208" fontId="61" fillId="0" borderId="2" xfId="19" applyNumberFormat="1" applyFont="1" applyBorder="1" applyAlignment="1">
      <alignment horizontal="center"/>
    </xf>
    <xf numFmtId="208" fontId="68" fillId="0" borderId="2" xfId="19" applyNumberFormat="1" applyFont="1" applyBorder="1" applyAlignment="1">
      <alignment horizontal="center"/>
    </xf>
    <xf numFmtId="213" fontId="61" fillId="0" borderId="1" xfId="19" applyNumberFormat="1" applyFont="1" applyBorder="1" applyAlignment="1">
      <alignment horizontal="right"/>
    </xf>
    <xf numFmtId="208" fontId="63" fillId="0" borderId="2" xfId="19" applyNumberFormat="1" applyFont="1" applyBorder="1" applyAlignment="1">
      <alignment horizontal="center"/>
    </xf>
    <xf numFmtId="212" fontId="64" fillId="0" borderId="0" xfId="19" applyNumberFormat="1" applyFont="1" applyAlignment="1">
      <alignment horizontal="right" wrapText="1"/>
    </xf>
    <xf numFmtId="212" fontId="64" fillId="0" borderId="5" xfId="19" applyNumberFormat="1" applyFont="1" applyBorder="1" applyAlignment="1">
      <alignment horizontal="right" wrapText="1"/>
    </xf>
    <xf numFmtId="212" fontId="64" fillId="0" borderId="0" xfId="19" applyNumberFormat="1" applyFont="1" applyAlignment="1">
      <alignment horizontal="left" wrapText="1"/>
    </xf>
    <xf numFmtId="207" fontId="66" fillId="0" borderId="0" xfId="19" applyNumberFormat="1" applyFont="1" applyAlignment="1">
      <alignment horizontal="right"/>
    </xf>
    <xf numFmtId="208" fontId="73" fillId="0" borderId="0" xfId="19" applyNumberFormat="1" applyFont="1" applyAlignment="1">
      <alignment horizontal="right"/>
    </xf>
    <xf numFmtId="208" fontId="73" fillId="0" borderId="0" xfId="19" applyNumberFormat="1" applyFont="1" applyAlignment="1">
      <alignment horizontal="center"/>
    </xf>
    <xf numFmtId="208" fontId="73" fillId="0" borderId="0" xfId="19" applyNumberFormat="1" applyFont="1" applyAlignment="1">
      <alignment horizontal="left"/>
    </xf>
    <xf numFmtId="213" fontId="63" fillId="0" borderId="0" xfId="19" applyNumberFormat="1" applyFont="1" applyAlignment="1">
      <alignment horizontal="right"/>
    </xf>
    <xf numFmtId="213" fontId="63" fillId="0" borderId="0" xfId="19" applyNumberFormat="1" applyFont="1" applyAlignment="1">
      <alignment horizontal="center"/>
    </xf>
    <xf numFmtId="213" fontId="61" fillId="0" borderId="0" xfId="19" applyNumberFormat="1" applyFont="1" applyAlignment="1">
      <alignment horizontal="left"/>
    </xf>
    <xf numFmtId="213" fontId="66" fillId="0" borderId="0" xfId="19" applyNumberFormat="1" applyFont="1" applyAlignment="1">
      <alignment horizontal="left"/>
    </xf>
    <xf numFmtId="207" fontId="63" fillId="0" borderId="0" xfId="19" applyNumberFormat="1" applyFont="1" applyAlignment="1">
      <alignment horizontal="right"/>
    </xf>
    <xf numFmtId="208" fontId="67" fillId="0" borderId="0" xfId="19" applyNumberFormat="1" applyFont="1" applyAlignment="1">
      <alignment horizontal="center"/>
    </xf>
    <xf numFmtId="208" fontId="67" fillId="0" borderId="0" xfId="19" applyNumberFormat="1" applyFont="1" applyAlignment="1">
      <alignment horizontal="right"/>
    </xf>
    <xf numFmtId="207" fontId="67" fillId="14" borderId="0" xfId="19" applyNumberFormat="1" applyFont="1" applyFill="1" applyAlignment="1">
      <alignment horizontal="right"/>
    </xf>
    <xf numFmtId="208" fontId="67" fillId="14" borderId="0" xfId="19" applyNumberFormat="1" applyFont="1" applyFill="1" applyAlignment="1">
      <alignment horizontal="right"/>
    </xf>
    <xf numFmtId="208" fontId="67" fillId="14" borderId="0" xfId="19" applyNumberFormat="1" applyFont="1" applyFill="1" applyAlignment="1">
      <alignment horizontal="left"/>
    </xf>
    <xf numFmtId="208" fontId="62" fillId="0" borderId="0" xfId="19" applyNumberFormat="1" applyFont="1" applyAlignment="1">
      <alignment horizontal="left"/>
    </xf>
    <xf numFmtId="207" fontId="62" fillId="0" borderId="0" xfId="19" applyNumberFormat="1" applyFont="1" applyAlignment="1">
      <alignment horizontal="center" vertical="center"/>
    </xf>
    <xf numFmtId="208" fontId="62" fillId="1" borderId="0" xfId="19" applyNumberFormat="1" applyFont="1" applyFill="1" applyAlignment="1">
      <alignment horizontal="center"/>
    </xf>
    <xf numFmtId="208" fontId="74" fillId="0" borderId="0" xfId="19" applyNumberFormat="1" applyFont="1" applyAlignment="1">
      <alignment horizontal="left"/>
    </xf>
    <xf numFmtId="207" fontId="74" fillId="0" borderId="0" xfId="19" applyNumberFormat="1" applyFont="1" applyAlignment="1">
      <alignment horizontal="center"/>
    </xf>
    <xf numFmtId="0" fontId="75" fillId="0" borderId="0" xfId="19" applyFont="1" applyAlignment="1">
      <alignment horizontal="left"/>
    </xf>
    <xf numFmtId="207" fontId="65" fillId="9" borderId="41" xfId="19" applyNumberFormat="1" applyFont="1" applyFill="1" applyBorder="1" applyAlignment="1">
      <alignment horizontal="right"/>
    </xf>
    <xf numFmtId="207" fontId="61" fillId="0" borderId="0" xfId="19" applyNumberFormat="1" applyFont="1" applyAlignment="1">
      <alignment horizontal="center" vertical="center"/>
    </xf>
    <xf numFmtId="207" fontId="62" fillId="0" borderId="0" xfId="19" applyNumberFormat="1" applyFont="1" applyAlignment="1">
      <alignment horizontal="left"/>
    </xf>
    <xf numFmtId="208" fontId="66" fillId="12" borderId="37" xfId="19" applyNumberFormat="1" applyFont="1" applyFill="1" applyBorder="1" applyAlignment="1">
      <alignment horizontal="center"/>
    </xf>
    <xf numFmtId="208" fontId="66" fillId="12" borderId="38" xfId="19" applyNumberFormat="1" applyFont="1" applyFill="1" applyBorder="1" applyAlignment="1">
      <alignment horizontal="center"/>
    </xf>
    <xf numFmtId="208" fontId="66" fillId="12" borderId="38" xfId="19" applyNumberFormat="1" applyFont="1" applyFill="1" applyBorder="1" applyAlignment="1">
      <alignment horizontal="left"/>
    </xf>
    <xf numFmtId="0" fontId="66" fillId="12" borderId="39" xfId="19" applyFont="1" applyFill="1" applyBorder="1" applyAlignment="1">
      <alignment horizontal="left"/>
    </xf>
    <xf numFmtId="0" fontId="76" fillId="0" borderId="0" xfId="19" applyFont="1"/>
    <xf numFmtId="208" fontId="76" fillId="0" borderId="0" xfId="19" applyNumberFormat="1" applyFont="1" applyAlignment="1">
      <alignment horizontal="center"/>
    </xf>
    <xf numFmtId="208" fontId="76" fillId="0" borderId="0" xfId="19" applyNumberFormat="1" applyFont="1" applyAlignment="1">
      <alignment horizontal="right"/>
    </xf>
    <xf numFmtId="207" fontId="76" fillId="0" borderId="2" xfId="19" applyNumberFormat="1" applyFont="1" applyBorder="1" applyAlignment="1">
      <alignment horizontal="right"/>
    </xf>
    <xf numFmtId="208" fontId="76" fillId="0" borderId="2" xfId="19" applyNumberFormat="1" applyFont="1" applyBorder="1" applyAlignment="1">
      <alignment horizontal="right"/>
    </xf>
    <xf numFmtId="208" fontId="76" fillId="0" borderId="2" xfId="19" applyNumberFormat="1" applyFont="1" applyBorder="1" applyAlignment="1">
      <alignment horizontal="left"/>
    </xf>
    <xf numFmtId="0" fontId="66" fillId="0" borderId="2" xfId="19" applyFont="1" applyBorder="1"/>
    <xf numFmtId="207" fontId="66" fillId="0" borderId="0" xfId="19" applyNumberFormat="1" applyFont="1" applyAlignment="1">
      <alignment horizontal="left"/>
    </xf>
    <xf numFmtId="208" fontId="62" fillId="1" borderId="0" xfId="19" applyNumberFormat="1" applyFont="1" applyFill="1" applyAlignment="1">
      <alignment horizontal="right"/>
    </xf>
    <xf numFmtId="0" fontId="61" fillId="0" borderId="2" xfId="19" applyFont="1" applyBorder="1" applyAlignment="1">
      <alignment horizontal="left" indent="1"/>
    </xf>
    <xf numFmtId="214" fontId="66" fillId="0" borderId="0" xfId="19" applyNumberFormat="1" applyFont="1" applyAlignment="1">
      <alignment horizontal="right"/>
    </xf>
    <xf numFmtId="0" fontId="77" fillId="0" borderId="0" xfId="19" applyFont="1"/>
    <xf numFmtId="0" fontId="61" fillId="0" borderId="0" xfId="19" applyFont="1" applyAlignment="1">
      <alignment horizontal="center"/>
    </xf>
    <xf numFmtId="0" fontId="62" fillId="0" borderId="0" xfId="19" applyFont="1" applyAlignment="1">
      <alignment horizontal="center"/>
    </xf>
    <xf numFmtId="207" fontId="65" fillId="0" borderId="0" xfId="19" applyNumberFormat="1" applyFont="1" applyAlignment="1">
      <alignment horizontal="right"/>
    </xf>
    <xf numFmtId="0" fontId="78" fillId="0" borderId="0" xfId="19" applyFont="1"/>
    <xf numFmtId="0" fontId="66" fillId="0" borderId="0" xfId="19" applyFont="1" applyAlignment="1">
      <alignment horizontal="center"/>
    </xf>
    <xf numFmtId="207" fontId="68" fillId="0" borderId="0" xfId="19" applyNumberFormat="1" applyFont="1" applyAlignment="1">
      <alignment horizontal="right"/>
    </xf>
    <xf numFmtId="212" fontId="70" fillId="0" borderId="0" xfId="19" applyNumberFormat="1" applyFont="1" applyAlignment="1">
      <alignment horizontal="left"/>
    </xf>
    <xf numFmtId="0" fontId="61" fillId="0" borderId="0" xfId="19" applyFont="1" applyAlignment="1">
      <alignment vertical="center"/>
    </xf>
    <xf numFmtId="0" fontId="66" fillId="10" borderId="0" xfId="19" applyFont="1" applyFill="1" applyAlignment="1">
      <alignment horizontal="centerContinuous" vertical="center"/>
    </xf>
    <xf numFmtId="0" fontId="67" fillId="10" borderId="0" xfId="19" applyFont="1" applyFill="1" applyAlignment="1">
      <alignment horizontal="centerContinuous" vertical="center"/>
    </xf>
    <xf numFmtId="0" fontId="78" fillId="0" borderId="0" xfId="19" applyFont="1" applyAlignment="1">
      <alignment vertical="center"/>
    </xf>
    <xf numFmtId="0" fontId="67" fillId="10" borderId="42" xfId="19" applyFont="1" applyFill="1" applyBorder="1" applyAlignment="1">
      <alignment horizontal="centerContinuous" vertical="center"/>
    </xf>
    <xf numFmtId="0" fontId="79" fillId="14" borderId="0" xfId="19" applyFont="1" applyFill="1" applyAlignment="1">
      <alignment horizontal="centerContinuous" vertical="center"/>
    </xf>
    <xf numFmtId="0" fontId="67" fillId="14" borderId="42" xfId="19" applyFont="1" applyFill="1" applyBorder="1" applyAlignment="1">
      <alignment horizontal="centerContinuous" vertical="center"/>
    </xf>
    <xf numFmtId="0" fontId="67" fillId="14" borderId="42" xfId="19" applyFont="1" applyFill="1" applyBorder="1" applyAlignment="1">
      <alignment horizontal="left" vertical="center"/>
    </xf>
    <xf numFmtId="0" fontId="66" fillId="15" borderId="39" xfId="19" applyFont="1" applyFill="1" applyBorder="1" applyAlignment="1">
      <alignment horizontal="left"/>
    </xf>
    <xf numFmtId="208" fontId="66" fillId="15" borderId="38" xfId="19" applyNumberFormat="1" applyFont="1" applyFill="1" applyBorder="1" applyAlignment="1">
      <alignment horizontal="left"/>
    </xf>
    <xf numFmtId="208" fontId="66" fillId="15" borderId="38" xfId="19" applyNumberFormat="1" applyFont="1" applyFill="1" applyBorder="1" applyAlignment="1">
      <alignment horizontal="center"/>
    </xf>
    <xf numFmtId="208" fontId="66" fillId="15" borderId="38" xfId="19" applyNumberFormat="1" applyFont="1" applyFill="1" applyBorder="1" applyAlignment="1">
      <alignment horizontal="right"/>
    </xf>
    <xf numFmtId="208" fontId="66" fillId="15" borderId="37" xfId="19" applyNumberFormat="1" applyFont="1" applyFill="1" applyBorder="1" applyAlignment="1">
      <alignment horizontal="center"/>
    </xf>
    <xf numFmtId="215" fontId="61" fillId="0" borderId="0" xfId="19" applyNumberFormat="1" applyFont="1" applyAlignment="1">
      <alignment horizontal="center"/>
    </xf>
    <xf numFmtId="215" fontId="61" fillId="0" borderId="5" xfId="19" applyNumberFormat="1" applyFont="1" applyBorder="1" applyAlignment="1">
      <alignment horizontal="center"/>
    </xf>
    <xf numFmtId="207" fontId="61" fillId="0" borderId="5" xfId="19" applyNumberFormat="1" applyFont="1" applyBorder="1" applyAlignment="1">
      <alignment horizontal="center"/>
    </xf>
    <xf numFmtId="208" fontId="61" fillId="0" borderId="5" xfId="19" applyNumberFormat="1" applyFont="1" applyBorder="1" applyAlignment="1">
      <alignment horizontal="center"/>
    </xf>
    <xf numFmtId="207" fontId="62" fillId="0" borderId="5" xfId="19" applyNumberFormat="1" applyFont="1" applyBorder="1" applyAlignment="1">
      <alignment horizontal="center"/>
    </xf>
    <xf numFmtId="0" fontId="65" fillId="0" borderId="5" xfId="19" applyFont="1" applyBorder="1"/>
    <xf numFmtId="0" fontId="61" fillId="1" borderId="0" xfId="19" applyFont="1" applyFill="1"/>
    <xf numFmtId="0" fontId="61" fillId="0" borderId="5" xfId="19" applyFont="1" applyBorder="1"/>
    <xf numFmtId="207" fontId="66" fillId="0" borderId="5" xfId="19" applyNumberFormat="1" applyFont="1" applyBorder="1" applyAlignment="1">
      <alignment horizontal="center"/>
    </xf>
    <xf numFmtId="212" fontId="64" fillId="0" borderId="5" xfId="19" applyNumberFormat="1" applyFont="1" applyBorder="1" applyAlignment="1">
      <alignment horizontal="center"/>
    </xf>
    <xf numFmtId="212" fontId="64" fillId="0" borderId="5" xfId="19" applyNumberFormat="1" applyFont="1" applyBorder="1" applyAlignment="1">
      <alignment horizontal="center" wrapText="1"/>
    </xf>
    <xf numFmtId="207" fontId="63" fillId="0" borderId="1" xfId="19" applyNumberFormat="1" applyFont="1" applyBorder="1" applyAlignment="1">
      <alignment horizontal="center"/>
    </xf>
    <xf numFmtId="0" fontId="61" fillId="0" borderId="3" xfId="19" applyFont="1" applyBorder="1"/>
    <xf numFmtId="215" fontId="63" fillId="0" borderId="4" xfId="19" applyNumberFormat="1" applyFont="1" applyBorder="1" applyAlignment="1">
      <alignment horizontal="center"/>
    </xf>
    <xf numFmtId="208" fontId="63" fillId="0" borderId="4" xfId="19" applyNumberFormat="1" applyFont="1" applyBorder="1" applyAlignment="1">
      <alignment horizontal="center"/>
    </xf>
    <xf numFmtId="215" fontId="63" fillId="0" borderId="6" xfId="19" applyNumberFormat="1" applyFont="1" applyBorder="1" applyAlignment="1">
      <alignment horizontal="center"/>
    </xf>
    <xf numFmtId="0" fontId="61" fillId="0" borderId="8" xfId="19" applyFont="1" applyBorder="1"/>
    <xf numFmtId="208" fontId="78" fillId="0" borderId="0" xfId="10" applyNumberFormat="1" applyFont="1" applyAlignment="1">
      <alignment horizontal="center"/>
    </xf>
    <xf numFmtId="0" fontId="78" fillId="0" borderId="0" xfId="10" applyFont="1" applyAlignment="1">
      <alignment horizontal="left"/>
    </xf>
    <xf numFmtId="208" fontId="61" fillId="0" borderId="2" xfId="10" applyNumberFormat="1" applyFont="1" applyBorder="1" applyAlignment="1">
      <alignment horizontal="center"/>
    </xf>
    <xf numFmtId="0" fontId="77" fillId="0" borderId="2" xfId="10" applyFont="1" applyBorder="1" applyAlignment="1">
      <alignment horizontal="left" indent="1"/>
    </xf>
    <xf numFmtId="208" fontId="77" fillId="0" borderId="0" xfId="10" applyNumberFormat="1" applyFont="1" applyAlignment="1">
      <alignment horizontal="center"/>
    </xf>
    <xf numFmtId="0" fontId="77" fillId="0" borderId="0" xfId="10" applyFont="1" applyAlignment="1">
      <alignment horizontal="left" indent="1"/>
    </xf>
    <xf numFmtId="0" fontId="78" fillId="0" borderId="0" xfId="10" applyFont="1"/>
    <xf numFmtId="208" fontId="63" fillId="0" borderId="2" xfId="10" applyNumberFormat="1" applyFont="1" applyBorder="1" applyAlignment="1">
      <alignment horizontal="center"/>
    </xf>
    <xf numFmtId="207" fontId="78" fillId="0" borderId="2" xfId="10" applyNumberFormat="1" applyFont="1" applyBorder="1" applyAlignment="1">
      <alignment horizontal="centerContinuous"/>
    </xf>
    <xf numFmtId="0" fontId="78" fillId="0" borderId="2" xfId="10" applyFont="1" applyBorder="1" applyAlignment="1">
      <alignment horizontal="left"/>
    </xf>
    <xf numFmtId="0" fontId="80" fillId="0" borderId="0" xfId="19" applyFont="1"/>
    <xf numFmtId="207" fontId="80" fillId="0" borderId="0" xfId="19" applyNumberFormat="1" applyFont="1" applyAlignment="1">
      <alignment horizontal="center"/>
    </xf>
    <xf numFmtId="0" fontId="80" fillId="0" borderId="0" xfId="19" applyFont="1" applyAlignment="1">
      <alignment horizontal="center"/>
    </xf>
    <xf numFmtId="0" fontId="80" fillId="0" borderId="0" xfId="19" applyFont="1" applyAlignment="1">
      <alignment vertical="center"/>
    </xf>
    <xf numFmtId="207" fontId="81" fillId="0" borderId="43" xfId="19" applyNumberFormat="1" applyFont="1" applyBorder="1" applyAlignment="1">
      <alignment horizontal="left" vertical="center"/>
    </xf>
    <xf numFmtId="0" fontId="81" fillId="0" borderId="43" xfId="19" applyFont="1" applyBorder="1" applyAlignment="1">
      <alignment horizontal="center" vertical="center"/>
    </xf>
    <xf numFmtId="0" fontId="80" fillId="0" borderId="0" xfId="19" applyFont="1" applyAlignment="1">
      <alignment horizontal="center" vertical="center"/>
    </xf>
    <xf numFmtId="207" fontId="81" fillId="0" borderId="43" xfId="19" applyNumberFormat="1" applyFont="1" applyBorder="1" applyAlignment="1">
      <alignment horizontal="left" vertical="center" wrapText="1"/>
    </xf>
    <xf numFmtId="207" fontId="82" fillId="0" borderId="0" xfId="19" applyNumberFormat="1" applyFont="1" applyAlignment="1">
      <alignment horizontal="center"/>
    </xf>
    <xf numFmtId="0" fontId="82" fillId="0" borderId="0" xfId="19" applyFont="1" applyAlignment="1">
      <alignment horizontal="center"/>
    </xf>
    <xf numFmtId="207" fontId="80" fillId="0" borderId="0" xfId="19" applyNumberFormat="1" applyFont="1" applyAlignment="1">
      <alignment horizontal="center" vertical="center"/>
    </xf>
    <xf numFmtId="207" fontId="83" fillId="10" borderId="0" xfId="19" applyNumberFormat="1" applyFont="1" applyFill="1" applyAlignment="1">
      <alignment horizontal="center" vertical="center"/>
    </xf>
    <xf numFmtId="0" fontId="83" fillId="10" borderId="0" xfId="19" applyFont="1" applyFill="1" applyAlignment="1">
      <alignment horizontal="center" vertical="center"/>
    </xf>
    <xf numFmtId="0" fontId="83" fillId="10" borderId="0" xfId="19" applyFont="1" applyFill="1" applyAlignment="1">
      <alignment horizontal="left" vertical="center"/>
    </xf>
    <xf numFmtId="0" fontId="84" fillId="0" borderId="0" xfId="19" applyFont="1" applyAlignment="1">
      <alignment vertical="center"/>
    </xf>
    <xf numFmtId="0" fontId="81" fillId="0" borderId="44" xfId="19" applyFont="1" applyBorder="1" applyAlignment="1">
      <alignment horizontal="center" vertical="center"/>
    </xf>
    <xf numFmtId="0" fontId="80" fillId="0" borderId="44" xfId="19" applyFont="1" applyBorder="1" applyAlignment="1">
      <alignment horizontal="center" vertical="center"/>
    </xf>
    <xf numFmtId="0" fontId="80" fillId="0" borderId="43" xfId="19" applyFont="1" applyBorder="1" applyAlignment="1">
      <alignment horizontal="center" vertical="center"/>
    </xf>
    <xf numFmtId="0" fontId="81" fillId="0" borderId="44" xfId="19" applyFont="1" applyBorder="1" applyAlignment="1">
      <alignment horizontal="left" vertical="center" wrapText="1"/>
    </xf>
    <xf numFmtId="0" fontId="83" fillId="10" borderId="0" xfId="19" applyFont="1" applyFill="1" applyAlignment="1">
      <alignment horizontal="centerContinuous" vertical="center" wrapText="1"/>
    </xf>
    <xf numFmtId="0" fontId="81" fillId="0" borderId="44" xfId="19" applyFont="1" applyBorder="1" applyAlignment="1">
      <alignment horizontal="center" vertical="center" wrapText="1"/>
    </xf>
    <xf numFmtId="0" fontId="85" fillId="0" borderId="0" xfId="19" applyFont="1" applyAlignment="1">
      <alignment horizontal="center"/>
    </xf>
    <xf numFmtId="0" fontId="80" fillId="0" borderId="0" xfId="19" applyFont="1" applyAlignment="1">
      <alignment horizontal="left"/>
    </xf>
    <xf numFmtId="207" fontId="81" fillId="0" borderId="0" xfId="19" applyNumberFormat="1" applyFont="1" applyAlignment="1">
      <alignment horizontal="left" vertical="center"/>
    </xf>
    <xf numFmtId="20" fontId="81" fillId="0" borderId="0" xfId="19" applyNumberFormat="1" applyFont="1" applyAlignment="1">
      <alignment horizontal="center" vertical="center"/>
    </xf>
    <xf numFmtId="0" fontId="81" fillId="0" borderId="0" xfId="19" applyFont="1" applyAlignment="1">
      <alignment horizontal="center" vertical="center"/>
    </xf>
    <xf numFmtId="207" fontId="86" fillId="0" borderId="43" xfId="19" applyNumberFormat="1" applyFont="1" applyBorder="1" applyAlignment="1">
      <alignment horizontal="left" vertical="center"/>
    </xf>
    <xf numFmtId="0" fontId="86" fillId="0" borderId="43" xfId="19" applyFont="1" applyBorder="1" applyAlignment="1">
      <alignment horizontal="center" vertical="center"/>
    </xf>
    <xf numFmtId="0" fontId="81" fillId="0" borderId="43" xfId="19" applyFont="1" applyBorder="1" applyAlignment="1">
      <alignment horizontal="center" vertical="center" wrapText="1"/>
    </xf>
    <xf numFmtId="208" fontId="61" fillId="0" borderId="33" xfId="19" applyNumberFormat="1" applyFont="1" applyBorder="1" applyAlignment="1">
      <alignment horizontal="center"/>
    </xf>
    <xf numFmtId="0" fontId="61" fillId="0" borderId="34" xfId="19" applyFont="1" applyBorder="1" applyAlignment="1">
      <alignment horizontal="center"/>
    </xf>
    <xf numFmtId="4" fontId="61" fillId="0" borderId="0" xfId="19" applyNumberFormat="1" applyFont="1" applyAlignment="1">
      <alignment horizontal="center"/>
    </xf>
    <xf numFmtId="0" fontId="65" fillId="0" borderId="0" xfId="19" quotePrefix="1" applyFont="1" applyAlignment="1">
      <alignment horizontal="center"/>
    </xf>
    <xf numFmtId="208" fontId="66" fillId="0" borderId="45" xfId="19" applyNumberFormat="1" applyFont="1" applyBorder="1" applyAlignment="1">
      <alignment horizontal="center"/>
    </xf>
    <xf numFmtId="0" fontId="66" fillId="0" borderId="40" xfId="19" applyFont="1" applyBorder="1" applyAlignment="1">
      <alignment horizontal="center"/>
    </xf>
    <xf numFmtId="216" fontId="65" fillId="0" borderId="0" xfId="19" applyNumberFormat="1" applyFont="1" applyAlignment="1">
      <alignment horizontal="center"/>
    </xf>
    <xf numFmtId="0" fontId="65" fillId="0" borderId="0" xfId="19" applyFont="1" applyAlignment="1">
      <alignment horizontal="center"/>
    </xf>
    <xf numFmtId="208" fontId="66" fillId="10" borderId="33" xfId="19" applyNumberFormat="1" applyFont="1" applyFill="1" applyBorder="1" applyAlignment="1">
      <alignment horizontal="centerContinuous"/>
    </xf>
    <xf numFmtId="0" fontId="67" fillId="10" borderId="34" xfId="19" applyFont="1" applyFill="1" applyBorder="1" applyAlignment="1">
      <alignment horizontal="centerContinuous"/>
    </xf>
    <xf numFmtId="216" fontId="61" fillId="0" borderId="0" xfId="19" applyNumberFormat="1" applyFont="1" applyAlignment="1">
      <alignment horizontal="center"/>
    </xf>
    <xf numFmtId="0" fontId="61" fillId="0" borderId="46" xfId="19" applyFont="1" applyBorder="1"/>
    <xf numFmtId="0" fontId="61" fillId="0" borderId="44" xfId="19" applyFont="1" applyBorder="1"/>
    <xf numFmtId="0" fontId="87" fillId="0" borderId="47" xfId="19" applyFont="1" applyBorder="1" applyAlignment="1">
      <alignment vertical="center"/>
    </xf>
    <xf numFmtId="0" fontId="61" fillId="0" borderId="33" xfId="19" applyFont="1" applyBorder="1"/>
    <xf numFmtId="0" fontId="61" fillId="0" borderId="34" xfId="19" applyFont="1" applyBorder="1"/>
    <xf numFmtId="0" fontId="88" fillId="10" borderId="33" xfId="19" applyFont="1" applyFill="1" applyBorder="1" applyAlignment="1">
      <alignment horizontal="centerContinuous"/>
    </xf>
    <xf numFmtId="0" fontId="88" fillId="10" borderId="0" xfId="19" applyFont="1" applyFill="1" applyAlignment="1">
      <alignment horizontal="centerContinuous"/>
    </xf>
    <xf numFmtId="0" fontId="88" fillId="10" borderId="34" xfId="19" applyFont="1" applyFill="1" applyBorder="1" applyAlignment="1">
      <alignment horizontal="centerContinuous"/>
    </xf>
    <xf numFmtId="0" fontId="67" fillId="0" borderId="0" xfId="19" applyFont="1" applyAlignment="1">
      <alignment horizontal="centerContinuous"/>
    </xf>
    <xf numFmtId="0" fontId="67" fillId="10" borderId="34" xfId="19" applyFont="1" applyFill="1" applyBorder="1" applyAlignment="1">
      <alignment horizontal="left"/>
    </xf>
    <xf numFmtId="0" fontId="66" fillId="0" borderId="33" xfId="19" applyFont="1" applyBorder="1" applyAlignment="1">
      <alignment horizontal="center"/>
    </xf>
    <xf numFmtId="0" fontId="66" fillId="0" borderId="34" xfId="19" applyFont="1" applyBorder="1" applyAlignment="1">
      <alignment horizontal="center"/>
    </xf>
    <xf numFmtId="0" fontId="66" fillId="0" borderId="34" xfId="19" applyFont="1" applyBorder="1"/>
    <xf numFmtId="208" fontId="63" fillId="0" borderId="45" xfId="19" applyNumberFormat="1" applyFont="1" applyBorder="1" applyAlignment="1">
      <alignment horizontal="center"/>
    </xf>
    <xf numFmtId="0" fontId="61" fillId="0" borderId="40" xfId="19" applyFont="1" applyBorder="1"/>
    <xf numFmtId="208" fontId="61" fillId="0" borderId="34" xfId="19" applyNumberFormat="1" applyFont="1" applyBorder="1" applyAlignment="1">
      <alignment horizontal="center"/>
    </xf>
    <xf numFmtId="0" fontId="66" fillId="0" borderId="33" xfId="19" applyFont="1" applyBorder="1"/>
    <xf numFmtId="0" fontId="66" fillId="1" borderId="33" xfId="19" applyFont="1" applyFill="1" applyBorder="1"/>
    <xf numFmtId="0" fontId="66" fillId="1" borderId="34" xfId="19" applyFont="1" applyFill="1" applyBorder="1"/>
    <xf numFmtId="0" fontId="66" fillId="1" borderId="0" xfId="19" applyFont="1" applyFill="1"/>
    <xf numFmtId="0" fontId="61" fillId="1" borderId="45" xfId="19" applyFont="1" applyFill="1" applyBorder="1"/>
    <xf numFmtId="0" fontId="61" fillId="1" borderId="40" xfId="19" applyFont="1" applyFill="1" applyBorder="1"/>
    <xf numFmtId="0" fontId="61" fillId="1" borderId="2" xfId="19" applyFont="1" applyFill="1" applyBorder="1"/>
    <xf numFmtId="0" fontId="61" fillId="1" borderId="33" xfId="19" applyFont="1" applyFill="1" applyBorder="1"/>
    <xf numFmtId="0" fontId="61" fillId="1" borderId="34" xfId="19" applyFont="1" applyFill="1" applyBorder="1"/>
    <xf numFmtId="0" fontId="88" fillId="10" borderId="33" xfId="19" applyFont="1" applyFill="1" applyBorder="1" applyAlignment="1">
      <alignment horizontal="right"/>
    </xf>
    <xf numFmtId="0" fontId="88" fillId="10" borderId="0" xfId="19" applyFont="1" applyFill="1" applyAlignment="1">
      <alignment horizontal="right"/>
    </xf>
    <xf numFmtId="0" fontId="88" fillId="10" borderId="34" xfId="19" applyFont="1" applyFill="1" applyBorder="1" applyAlignment="1">
      <alignment horizontal="right"/>
    </xf>
    <xf numFmtId="0" fontId="67" fillId="10" borderId="33" xfId="19" applyFont="1" applyFill="1" applyBorder="1" applyAlignment="1">
      <alignment horizontal="right"/>
    </xf>
    <xf numFmtId="0" fontId="61" fillId="0" borderId="33" xfId="19" applyFont="1" applyBorder="1" applyAlignment="1">
      <alignment horizontal="right"/>
    </xf>
    <xf numFmtId="207" fontId="62" fillId="0" borderId="33" xfId="19" applyNumberFormat="1" applyFont="1" applyBorder="1" applyAlignment="1">
      <alignment horizontal="right"/>
    </xf>
    <xf numFmtId="0" fontId="62" fillId="0" borderId="34" xfId="19" applyFont="1" applyBorder="1" applyAlignment="1">
      <alignment horizontal="left" indent="1"/>
    </xf>
    <xf numFmtId="208" fontId="61" fillId="0" borderId="33" xfId="19" applyNumberFormat="1" applyFont="1" applyBorder="1" applyAlignment="1">
      <alignment horizontal="right"/>
    </xf>
    <xf numFmtId="213" fontId="61" fillId="0" borderId="45" xfId="19" applyNumberFormat="1" applyFont="1" applyBorder="1" applyAlignment="1">
      <alignment horizontal="right"/>
    </xf>
    <xf numFmtId="213" fontId="61" fillId="0" borderId="40" xfId="19" applyNumberFormat="1" applyFont="1" applyBorder="1" applyAlignment="1">
      <alignment horizontal="right"/>
    </xf>
    <xf numFmtId="0" fontId="61" fillId="1" borderId="33" xfId="19" applyFont="1" applyFill="1" applyBorder="1" applyAlignment="1">
      <alignment horizontal="right"/>
    </xf>
    <xf numFmtId="0" fontId="61" fillId="1" borderId="34" xfId="19" applyFont="1" applyFill="1" applyBorder="1" applyAlignment="1">
      <alignment horizontal="right"/>
    </xf>
    <xf numFmtId="217" fontId="65" fillId="0" borderId="34" xfId="19" applyNumberFormat="1" applyFont="1" applyBorder="1" applyAlignment="1">
      <alignment horizontal="left" indent="1"/>
    </xf>
    <xf numFmtId="213" fontId="61" fillId="0" borderId="33" xfId="19" applyNumberFormat="1" applyFont="1" applyBorder="1" applyAlignment="1">
      <alignment horizontal="right"/>
    </xf>
    <xf numFmtId="213" fontId="61" fillId="0" borderId="34" xfId="19" applyNumberFormat="1" applyFont="1" applyBorder="1" applyAlignment="1">
      <alignment horizontal="right"/>
    </xf>
    <xf numFmtId="213" fontId="61" fillId="0" borderId="48" xfId="19" applyNumberFormat="1" applyFont="1" applyBorder="1" applyAlignment="1">
      <alignment horizontal="right"/>
    </xf>
    <xf numFmtId="213" fontId="61" fillId="0" borderId="7" xfId="19" applyNumberFormat="1" applyFont="1" applyBorder="1" applyAlignment="1">
      <alignment horizontal="right"/>
    </xf>
    <xf numFmtId="213" fontId="61" fillId="0" borderId="49" xfId="19" applyNumberFormat="1" applyFont="1" applyBorder="1" applyAlignment="1">
      <alignment horizontal="right"/>
    </xf>
    <xf numFmtId="207" fontId="66" fillId="0" borderId="33" xfId="19" applyNumberFormat="1" applyFont="1" applyBorder="1" applyAlignment="1">
      <alignment horizontal="right"/>
    </xf>
    <xf numFmtId="207" fontId="66" fillId="8" borderId="50" xfId="19" applyNumberFormat="1" applyFont="1" applyFill="1" applyBorder="1" applyAlignment="1">
      <alignment horizontal="right"/>
    </xf>
    <xf numFmtId="0" fontId="66" fillId="0" borderId="38" xfId="19" applyFont="1" applyBorder="1" applyAlignment="1">
      <alignment horizontal="right"/>
    </xf>
    <xf numFmtId="0" fontId="66" fillId="8" borderId="51" xfId="19" applyFont="1" applyFill="1" applyBorder="1" applyAlignment="1">
      <alignment horizontal="right"/>
    </xf>
    <xf numFmtId="0" fontId="66" fillId="8" borderId="52" xfId="19" applyFont="1" applyFill="1" applyBorder="1" applyAlignment="1">
      <alignment horizontal="right"/>
    </xf>
    <xf numFmtId="0" fontId="66" fillId="8" borderId="52" xfId="19" applyFont="1" applyFill="1" applyBorder="1"/>
    <xf numFmtId="207" fontId="65" fillId="0" borderId="33" xfId="19" applyNumberFormat="1" applyFont="1" applyBorder="1" applyAlignment="1">
      <alignment horizontal="right"/>
    </xf>
    <xf numFmtId="207" fontId="65" fillId="0" borderId="34" xfId="19" applyNumberFormat="1" applyFont="1" applyBorder="1" applyAlignment="1">
      <alignment horizontal="right"/>
    </xf>
    <xf numFmtId="207" fontId="66" fillId="8" borderId="51" xfId="19" applyNumberFormat="1" applyFont="1" applyFill="1" applyBorder="1" applyAlignment="1">
      <alignment horizontal="right"/>
    </xf>
    <xf numFmtId="207" fontId="66" fillId="8" borderId="38" xfId="19" applyNumberFormat="1" applyFont="1" applyFill="1" applyBorder="1" applyAlignment="1">
      <alignment horizontal="right"/>
    </xf>
    <xf numFmtId="207" fontId="66" fillId="8" borderId="52" xfId="19" applyNumberFormat="1" applyFont="1" applyFill="1" applyBorder="1" applyAlignment="1">
      <alignment horizontal="right"/>
    </xf>
    <xf numFmtId="208" fontId="66" fillId="0" borderId="33" xfId="19" applyNumberFormat="1" applyFont="1" applyBorder="1" applyAlignment="1">
      <alignment horizontal="right"/>
    </xf>
    <xf numFmtId="208" fontId="66" fillId="1" borderId="33" xfId="19" applyNumberFormat="1" applyFont="1" applyFill="1" applyBorder="1" applyAlignment="1">
      <alignment horizontal="right"/>
    </xf>
    <xf numFmtId="208" fontId="66" fillId="1" borderId="34" xfId="19" applyNumberFormat="1" applyFont="1" applyFill="1" applyBorder="1" applyAlignment="1">
      <alignment horizontal="right"/>
    </xf>
    <xf numFmtId="208" fontId="66" fillId="1" borderId="0" xfId="19" applyNumberFormat="1" applyFont="1" applyFill="1" applyAlignment="1">
      <alignment horizontal="center"/>
    </xf>
    <xf numFmtId="217" fontId="65" fillId="0" borderId="45" xfId="19" applyNumberFormat="1" applyFont="1" applyBorder="1" applyAlignment="1">
      <alignment horizontal="right"/>
    </xf>
    <xf numFmtId="217" fontId="65" fillId="0" borderId="2" xfId="19" applyNumberFormat="1" applyFont="1" applyBorder="1" applyAlignment="1">
      <alignment horizontal="right"/>
    </xf>
    <xf numFmtId="217" fontId="65" fillId="0" borderId="40" xfId="19" applyNumberFormat="1" applyFont="1" applyBorder="1" applyAlignment="1">
      <alignment horizontal="right"/>
    </xf>
    <xf numFmtId="217" fontId="63" fillId="0" borderId="0" xfId="19" applyNumberFormat="1" applyFont="1" applyAlignment="1">
      <alignment horizontal="right"/>
    </xf>
    <xf numFmtId="217" fontId="63" fillId="1" borderId="33" xfId="19" applyNumberFormat="1" applyFont="1" applyFill="1" applyBorder="1" applyAlignment="1">
      <alignment horizontal="right"/>
    </xf>
    <xf numFmtId="217" fontId="63" fillId="1" borderId="34" xfId="19" applyNumberFormat="1" applyFont="1" applyFill="1" applyBorder="1" applyAlignment="1">
      <alignment horizontal="right"/>
    </xf>
    <xf numFmtId="217" fontId="63" fillId="1" borderId="0" xfId="19" applyNumberFormat="1" applyFont="1" applyFill="1" applyAlignment="1">
      <alignment horizontal="center"/>
    </xf>
    <xf numFmtId="208" fontId="61" fillId="1" borderId="33" xfId="19" applyNumberFormat="1" applyFont="1" applyFill="1" applyBorder="1" applyAlignment="1">
      <alignment horizontal="right"/>
    </xf>
    <xf numFmtId="208" fontId="61" fillId="1" borderId="34" xfId="19" applyNumberFormat="1" applyFont="1" applyFill="1" applyBorder="1" applyAlignment="1">
      <alignment horizontal="right"/>
    </xf>
    <xf numFmtId="208" fontId="61" fillId="1" borderId="0" xfId="19" applyNumberFormat="1" applyFont="1" applyFill="1" applyAlignment="1">
      <alignment horizontal="center"/>
    </xf>
    <xf numFmtId="0" fontId="62" fillId="0" borderId="33" xfId="19" applyFont="1" applyBorder="1" applyAlignment="1">
      <alignment horizontal="right"/>
    </xf>
    <xf numFmtId="0" fontId="62" fillId="0" borderId="34" xfId="19" applyFont="1" applyBorder="1" applyAlignment="1">
      <alignment horizontal="right"/>
    </xf>
    <xf numFmtId="208" fontId="62" fillId="0" borderId="33" xfId="19" applyNumberFormat="1" applyFont="1" applyBorder="1" applyAlignment="1">
      <alignment horizontal="right"/>
    </xf>
    <xf numFmtId="0" fontId="62" fillId="0" borderId="34" xfId="19" applyFont="1" applyBorder="1"/>
    <xf numFmtId="0" fontId="62" fillId="1" borderId="33" xfId="19" applyFont="1" applyFill="1" applyBorder="1" applyAlignment="1">
      <alignment horizontal="right"/>
    </xf>
    <xf numFmtId="0" fontId="62" fillId="1" borderId="0" xfId="19" applyFont="1" applyFill="1" applyAlignment="1">
      <alignment horizontal="right"/>
    </xf>
    <xf numFmtId="0" fontId="62" fillId="1" borderId="34" xfId="19" applyFont="1" applyFill="1" applyBorder="1" applyAlignment="1">
      <alignment horizontal="right"/>
    </xf>
    <xf numFmtId="208" fontId="66" fillId="12" borderId="39" xfId="19" applyNumberFormat="1" applyFont="1" applyFill="1" applyBorder="1" applyAlignment="1">
      <alignment horizontal="right"/>
    </xf>
    <xf numFmtId="207" fontId="62" fillId="1" borderId="33" xfId="19" applyNumberFormat="1" applyFont="1" applyFill="1" applyBorder="1" applyAlignment="1">
      <alignment horizontal="right"/>
    </xf>
    <xf numFmtId="207" fontId="62" fillId="1" borderId="34" xfId="19" applyNumberFormat="1" applyFont="1" applyFill="1" applyBorder="1" applyAlignment="1">
      <alignment horizontal="right"/>
    </xf>
    <xf numFmtId="208" fontId="62" fillId="1" borderId="33" xfId="19" applyNumberFormat="1" applyFont="1" applyFill="1" applyBorder="1" applyAlignment="1">
      <alignment horizontal="right"/>
    </xf>
    <xf numFmtId="208" fontId="62" fillId="1" borderId="34" xfId="19" applyNumberFormat="1" applyFont="1" applyFill="1" applyBorder="1" applyAlignment="1">
      <alignment horizontal="right"/>
    </xf>
    <xf numFmtId="0" fontId="61" fillId="0" borderId="45" xfId="19" applyFont="1" applyBorder="1" applyAlignment="1">
      <alignment horizontal="right"/>
    </xf>
    <xf numFmtId="0" fontId="61" fillId="0" borderId="40" xfId="19" applyFont="1" applyBorder="1" applyAlignment="1">
      <alignment horizontal="right"/>
    </xf>
    <xf numFmtId="208" fontId="68" fillId="0" borderId="33" xfId="19" applyNumberFormat="1" applyFont="1" applyBorder="1" applyAlignment="1">
      <alignment horizontal="right"/>
    </xf>
    <xf numFmtId="0" fontId="67" fillId="14" borderId="53" xfId="19" applyFont="1" applyFill="1" applyBorder="1" applyAlignment="1">
      <alignment horizontal="centerContinuous"/>
    </xf>
    <xf numFmtId="0" fontId="67" fillId="14" borderId="54" xfId="19" applyFont="1" applyFill="1" applyBorder="1" applyAlignment="1">
      <alignment horizontal="centerContinuous"/>
    </xf>
    <xf numFmtId="0" fontId="67" fillId="14" borderId="55" xfId="19" applyFont="1" applyFill="1" applyBorder="1" applyAlignment="1">
      <alignment horizontal="centerContinuous"/>
    </xf>
    <xf numFmtId="0" fontId="64" fillId="0" borderId="34" xfId="19" applyFont="1" applyBorder="1"/>
    <xf numFmtId="0" fontId="61" fillId="5" borderId="33" xfId="19" applyFont="1" applyFill="1" applyBorder="1"/>
    <xf numFmtId="0" fontId="61" fillId="5" borderId="34" xfId="19" applyFont="1" applyFill="1" applyBorder="1"/>
    <xf numFmtId="0" fontId="67" fillId="0" borderId="54" xfId="19" applyFont="1" applyBorder="1" applyAlignment="1">
      <alignment horizontal="centerContinuous"/>
    </xf>
    <xf numFmtId="0" fontId="67" fillId="14" borderId="56" xfId="19" applyFont="1" applyFill="1" applyBorder="1" applyAlignment="1">
      <alignment horizontal="centerContinuous"/>
    </xf>
    <xf numFmtId="0" fontId="67" fillId="14" borderId="56" xfId="19" applyFont="1" applyFill="1" applyBorder="1" applyAlignment="1">
      <alignment horizontal="left"/>
    </xf>
    <xf numFmtId="0" fontId="89" fillId="0" borderId="0" xfId="19" applyFont="1" applyAlignment="1">
      <alignment horizontal="center"/>
    </xf>
    <xf numFmtId="0" fontId="66" fillId="15" borderId="39" xfId="19" applyFont="1" applyFill="1" applyBorder="1"/>
    <xf numFmtId="208" fontId="66" fillId="15" borderId="37" xfId="19" applyNumberFormat="1" applyFont="1" applyFill="1" applyBorder="1" applyAlignment="1">
      <alignment horizontal="right"/>
    </xf>
    <xf numFmtId="207" fontId="66" fillId="15" borderId="39" xfId="19" applyNumberFormat="1" applyFont="1" applyFill="1" applyBorder="1" applyAlignment="1">
      <alignment horizontal="right"/>
    </xf>
    <xf numFmtId="207" fontId="66" fillId="15" borderId="38" xfId="19" applyNumberFormat="1" applyFont="1" applyFill="1" applyBorder="1" applyAlignment="1">
      <alignment horizontal="right"/>
    </xf>
    <xf numFmtId="207" fontId="66" fillId="15" borderId="37" xfId="19" applyNumberFormat="1" applyFont="1" applyFill="1" applyBorder="1" applyAlignment="1">
      <alignment horizontal="right"/>
    </xf>
    <xf numFmtId="0" fontId="87" fillId="0" borderId="44" xfId="19" applyFont="1" applyBorder="1" applyAlignment="1">
      <alignment horizontal="left" vertical="top"/>
    </xf>
    <xf numFmtId="0" fontId="87" fillId="0" borderId="46" xfId="19" applyFont="1" applyBorder="1" applyAlignment="1">
      <alignment horizontal="left" vertical="top"/>
    </xf>
    <xf numFmtId="0" fontId="11" fillId="3" borderId="0" xfId="11" applyFont="1" applyFill="1" applyAlignment="1">
      <alignment horizontal="center"/>
    </xf>
    <xf numFmtId="0" fontId="42" fillId="3" borderId="8" xfId="11" applyFont="1" applyFill="1" applyBorder="1" applyAlignment="1">
      <alignment vertical="top" wrapText="1"/>
    </xf>
    <xf numFmtId="0" fontId="3" fillId="3" borderId="7" xfId="11" applyFill="1" applyBorder="1" applyAlignment="1">
      <alignment vertical="top" wrapText="1"/>
    </xf>
    <xf numFmtId="0" fontId="3" fillId="3" borderId="6" xfId="11" applyFill="1" applyBorder="1" applyAlignment="1">
      <alignment vertical="top" wrapText="1"/>
    </xf>
    <xf numFmtId="0" fontId="3" fillId="3" borderId="5" xfId="11" applyFill="1" applyBorder="1" applyAlignment="1">
      <alignment vertical="top" wrapText="1"/>
    </xf>
    <xf numFmtId="0" fontId="3" fillId="3" borderId="0" xfId="11" applyFill="1" applyAlignment="1">
      <alignment vertical="top" wrapText="1"/>
    </xf>
    <xf numFmtId="0" fontId="3" fillId="3" borderId="4" xfId="11" applyFill="1" applyBorder="1" applyAlignment="1">
      <alignment vertical="top" wrapText="1"/>
    </xf>
    <xf numFmtId="0" fontId="3" fillId="3" borderId="3" xfId="11" applyFill="1" applyBorder="1" applyAlignment="1">
      <alignment vertical="top" wrapText="1"/>
    </xf>
    <xf numFmtId="0" fontId="3" fillId="3" borderId="2" xfId="11" applyFill="1" applyBorder="1" applyAlignment="1">
      <alignment vertical="top" wrapText="1"/>
    </xf>
    <xf numFmtId="0" fontId="3" fillId="3" borderId="1" xfId="11" applyFill="1" applyBorder="1" applyAlignment="1">
      <alignment vertical="top" wrapText="1"/>
    </xf>
    <xf numFmtId="0" fontId="3" fillId="3" borderId="0" xfId="11" quotePrefix="1" applyFill="1" applyAlignment="1">
      <alignment horizontal="left" vertical="top" wrapText="1"/>
    </xf>
    <xf numFmtId="0" fontId="3" fillId="3" borderId="0" xfId="11" applyFill="1"/>
    <xf numFmtId="0" fontId="3" fillId="0" borderId="0" xfId="11"/>
    <xf numFmtId="0" fontId="15" fillId="3" borderId="0" xfId="11" applyFont="1" applyFill="1"/>
    <xf numFmtId="0" fontId="15" fillId="3" borderId="0" xfId="11" applyFont="1" applyFill="1" applyAlignment="1">
      <alignment horizontal="left" wrapText="1" indent="1"/>
    </xf>
    <xf numFmtId="0" fontId="32" fillId="3" borderId="0" xfId="8" applyFont="1" applyFill="1"/>
    <xf numFmtId="0" fontId="61" fillId="16" borderId="0" xfId="19" applyFont="1" applyFill="1"/>
    <xf numFmtId="0" fontId="66" fillId="0" borderId="57" xfId="19" applyFont="1" applyBorder="1"/>
    <xf numFmtId="0" fontId="61" fillId="0" borderId="57" xfId="19" applyFont="1" applyBorder="1" applyAlignment="1">
      <alignment horizontal="right"/>
    </xf>
    <xf numFmtId="208" fontId="61" fillId="0" borderId="58" xfId="19" applyNumberFormat="1" applyFont="1" applyBorder="1" applyAlignment="1">
      <alignment horizontal="right"/>
    </xf>
    <xf numFmtId="0" fontId="61" fillId="0" borderId="57" xfId="19" applyFont="1" applyBorder="1"/>
    <xf numFmtId="0" fontId="61" fillId="0" borderId="59" xfId="19" applyFont="1" applyBorder="1"/>
    <xf numFmtId="0" fontId="66" fillId="0" borderId="0" xfId="19" applyFont="1" applyFill="1" applyBorder="1"/>
    <xf numFmtId="208" fontId="66" fillId="0" borderId="0" xfId="19" applyNumberFormat="1" applyFont="1" applyFill="1" applyBorder="1" applyAlignment="1">
      <alignment horizontal="right"/>
    </xf>
    <xf numFmtId="207" fontId="66" fillId="0" borderId="0" xfId="19" applyNumberFormat="1" applyFont="1" applyFill="1" applyBorder="1" applyAlignment="1">
      <alignment horizontal="right"/>
    </xf>
    <xf numFmtId="0" fontId="61" fillId="0" borderId="0" xfId="19" applyFont="1" applyFill="1" applyBorder="1"/>
    <xf numFmtId="208" fontId="61" fillId="0" borderId="0" xfId="19" applyNumberFormat="1" applyFont="1" applyFill="1" applyBorder="1" applyAlignment="1">
      <alignment horizontal="center"/>
    </xf>
    <xf numFmtId="17" fontId="62" fillId="0" borderId="0" xfId="19" applyNumberFormat="1" applyFont="1" applyAlignment="1">
      <alignment horizontal="right"/>
    </xf>
    <xf numFmtId="0" fontId="62" fillId="0" borderId="32" xfId="19" applyFont="1" applyBorder="1" applyAlignment="1">
      <alignment horizontal="left" indent="1"/>
    </xf>
    <xf numFmtId="208" fontId="62" fillId="0" borderId="0" xfId="19" applyNumberFormat="1" applyFont="1" applyAlignment="1">
      <alignment horizontal="right" indent="1"/>
    </xf>
    <xf numFmtId="0" fontId="62" fillId="0" borderId="0" xfId="19" applyFont="1" applyAlignment="1">
      <alignment horizontal="right" indent="1"/>
    </xf>
    <xf numFmtId="17" fontId="62" fillId="0" borderId="34" xfId="19" applyNumberFormat="1" applyFont="1" applyBorder="1" applyAlignment="1">
      <alignment horizontal="right"/>
    </xf>
    <xf numFmtId="0" fontId="62" fillId="0" borderId="34" xfId="19" applyFont="1" applyBorder="1" applyAlignment="1">
      <alignment horizontal="right" indent="1"/>
    </xf>
  </cellXfs>
  <cellStyles count="20">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Currency 2" xfId="6" xr:uid="{00000000-0005-0000-0000-000006000000}"/>
    <cellStyle name="Currency 2 2" xfId="17" xr:uid="{00000000-0005-0000-0000-000011000000}"/>
    <cellStyle name="Currency 3" xfId="18" xr:uid="{00000000-0005-0000-0000-000012000000}"/>
    <cellStyle name="Good" xfId="7" xr:uid="{00000000-0005-0000-0000-000007000000}"/>
    <cellStyle name="Hyperlink" xfId="8" xr:uid="{00000000-0005-0000-0000-000008000000}"/>
    <cellStyle name="Hyperlink 2" xfId="9" xr:uid="{00000000-0005-0000-0000-000009000000}"/>
    <cellStyle name="Hyperlink 3" xfId="14" xr:uid="{00000000-0005-0000-0000-00000E000000}"/>
    <cellStyle name="Normal" xfId="0" builtinId="0"/>
    <cellStyle name="Normal 2" xfId="10" xr:uid="{00000000-0005-0000-0000-00000A000000}"/>
    <cellStyle name="Normal 2 2" xfId="16" xr:uid="{00000000-0005-0000-0000-000010000000}"/>
    <cellStyle name="Normal 3" xfId="11" xr:uid="{00000000-0005-0000-0000-00000B000000}"/>
    <cellStyle name="Normal 4" xfId="12" xr:uid="{00000000-0005-0000-0000-00000C000000}"/>
    <cellStyle name="Normal 4 2" xfId="15" xr:uid="{00000000-0005-0000-0000-00000F000000}"/>
    <cellStyle name="Normal 5" xfId="19" xr:uid="{950EC7EE-DFC5-4CEA-8590-8D37E2E37353}"/>
    <cellStyle name="Percent" xfId="1" xr:uid="{00000000-0005-0000-0000-000001000000}"/>
    <cellStyle name="Percent 2" xfId="13" xr:uid="{00000000-0005-0000-0000-00000D000000}"/>
  </cellStyles>
  <dxfs count="11">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ont>
        <color rgb="FFF2F2F2"/>
      </font>
      <fill>
        <patternFill>
          <bgColor rgb="FFF2F2F2"/>
        </patternFill>
      </fill>
    </dxf>
  </dxfs>
  <tableStyles count="0" defaultTableStyle="TableStyleMedium2" defaultPivotStyle="PivotStyleLight16"/>
  <colors>
    <mruColors>
      <color rgb="FF0E2841"/>
      <color rgb="FF000000"/>
      <color rgb="FF66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haredStrings" Target="sharedStrings.xml"/><Relationship Id="rId21" Type="http://schemas.openxmlformats.org/officeDocument/2006/relationships/externalLink" Target="externalLinks/externalLink5.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tyles" Target="styles.xml"/><Relationship Id="rId33" Type="http://schemas.microsoft.com/office/2017/06/relationships/rdSupportingPropertyBag" Target="richData/rdsupportingpropertybag.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microsoft.com/office/2017/06/relationships/rdSupportingPropertyBagStructure" Target="richData/rdsupportingpropertybagstructure.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microsoft.com/office/2017/06/relationships/rdRichValue" Target="richData/rdrichvalue.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heetMetadata" Target="metadata.xml"/><Relationship Id="rId30" Type="http://schemas.microsoft.com/office/2017/06/relationships/rdArray" Target="richData/rdarray.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y/y impressions growth</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'Quarterly (2)'!$C$173</c:f>
              <c:strCache>
                <c:ptCount val="1"/>
                <c:pt idx="0">
                  <c:v>Total number of ad impressions growth rate, %</c:v>
                </c:pt>
              </c:strCache>
            </c:strRef>
          </c:tx>
          <c:spPr>
            <a:ln w="28575" cap="rnd">
              <a:solidFill>
                <a:srgbClr val="0E284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(2)'!$D$5:$AA$5</c:f>
              <c:strCache>
                <c:ptCount val="8"/>
                <c:pt idx="0">
                  <c:v>Q1-2023</c:v>
                </c:pt>
                <c:pt idx="1">
                  <c:v>Q2-2023</c:v>
                </c:pt>
                <c:pt idx="2">
                  <c:v>Q3-2023</c:v>
                </c:pt>
                <c:pt idx="3">
                  <c:v>Q4-2023</c:v>
                </c:pt>
                <c:pt idx="4">
                  <c:v>Q1-2024</c:v>
                </c:pt>
                <c:pt idx="5">
                  <c:v>Q2-2024</c:v>
                </c:pt>
                <c:pt idx="6">
                  <c:v>Q3-2024</c:v>
                </c:pt>
                <c:pt idx="7">
                  <c:v>Q4-2024</c:v>
                </c:pt>
              </c:strCache>
            </c:strRef>
          </c:cat>
          <c:val>
            <c:numRef>
              <c:f>'Quarterly (2)'!$D$173:$AA$173</c:f>
              <c:numCache>
                <c:formatCode>0%;\(0%\);"--"</c:formatCode>
                <c:ptCount val="8"/>
                <c:pt idx="0">
                  <c:v>0.26</c:v>
                </c:pt>
                <c:pt idx="1">
                  <c:v>0.34</c:v>
                </c:pt>
                <c:pt idx="2">
                  <c:v>0.31</c:v>
                </c:pt>
                <c:pt idx="3">
                  <c:v>0.21</c:v>
                </c:pt>
                <c:pt idx="4">
                  <c:v>0.2</c:v>
                </c:pt>
                <c:pt idx="5">
                  <c:v>0.1</c:v>
                </c:pt>
                <c:pt idx="6">
                  <c:v>7.0000000000000007E-2</c:v>
                </c:pt>
                <c:pt idx="7">
                  <c:v>0.06</c:v>
                </c:pt>
              </c:numCache>
            </c:numRef>
          </c:val>
          <c:smooth val="0"/>
          <c:extLst>
            <c:ext xmlns:c16="http://schemas.microsoft.com/office/drawing/2014/chart" uri="{C3380CC4-5D6E-409C-BE32-E72D297353CC}">
              <c16:uniqueId val="{00000000-1CCD-44D3-9989-CDDFB75F836D}"/>
            </c:ext>
          </c:extLst>
        </c:ser>
        <c:dLbls>
          <c:showLegendKey val="0"/>
          <c:showVal val="0"/>
          <c:showCatName val="0"/>
          <c:showSerName val="0"/>
          <c:showPercent val="0"/>
          <c:showBubbleSize val="0"/>
        </c:dLbls>
        <c:smooth val="0"/>
        <c:axId val="54582624"/>
        <c:axId val="54577824"/>
      </c:line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sz="105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CA"/>
              <a:t>y/y price per ad growth </a:t>
            </a:r>
          </a:p>
        </c:rich>
      </c:tx>
      <c:overlay val="0"/>
      <c:spPr>
        <a:noFill/>
        <a:ln>
          <a:noFill/>
        </a:ln>
        <a:effectLst/>
      </c:spPr>
    </c:title>
    <c:autoTitleDeleted val="0"/>
    <c:plotArea>
      <c:layout/>
      <c:lineChart>
        <c:grouping val="standard"/>
        <c:varyColors val="0"/>
        <c:ser>
          <c:idx val="0"/>
          <c:order val="0"/>
          <c:tx>
            <c:strRef>
              <c:f>'Quarterly (2)'!$C$174</c:f>
              <c:strCache>
                <c:ptCount val="1"/>
                <c:pt idx="0">
                  <c:v>Average price per ad growth rate, %</c:v>
                </c:pt>
              </c:strCache>
            </c:strRef>
          </c:tx>
          <c:spPr>
            <a:ln w="28575" cap="rnd">
              <a:solidFill>
                <a:srgbClr val="0E284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(2)'!$D$5:$AA$5</c:f>
              <c:strCache>
                <c:ptCount val="8"/>
                <c:pt idx="0">
                  <c:v>Q1-2023</c:v>
                </c:pt>
                <c:pt idx="1">
                  <c:v>Q2-2023</c:v>
                </c:pt>
                <c:pt idx="2">
                  <c:v>Q3-2023</c:v>
                </c:pt>
                <c:pt idx="3">
                  <c:v>Q4-2023</c:v>
                </c:pt>
                <c:pt idx="4">
                  <c:v>Q1-2024</c:v>
                </c:pt>
                <c:pt idx="5">
                  <c:v>Q2-2024</c:v>
                </c:pt>
                <c:pt idx="6">
                  <c:v>Q3-2024</c:v>
                </c:pt>
                <c:pt idx="7">
                  <c:v>Q4-2024</c:v>
                </c:pt>
              </c:strCache>
            </c:strRef>
          </c:cat>
          <c:val>
            <c:numRef>
              <c:f>'Quarterly (2)'!$D$174:$AA$174</c:f>
              <c:numCache>
                <c:formatCode>0%;\(0%\);"--"</c:formatCode>
                <c:ptCount val="8"/>
                <c:pt idx="0">
                  <c:v>-0.17</c:v>
                </c:pt>
                <c:pt idx="1">
                  <c:v>-0.16</c:v>
                </c:pt>
                <c:pt idx="2">
                  <c:v>-0.06</c:v>
                </c:pt>
                <c:pt idx="3">
                  <c:v>0.02</c:v>
                </c:pt>
                <c:pt idx="4">
                  <c:v>0.06</c:v>
                </c:pt>
                <c:pt idx="5">
                  <c:v>0.1</c:v>
                </c:pt>
                <c:pt idx="6">
                  <c:v>0.11</c:v>
                </c:pt>
                <c:pt idx="7">
                  <c:v>0.14000000000000001</c:v>
                </c:pt>
              </c:numCache>
            </c:numRef>
          </c:val>
          <c:smooth val="0"/>
          <c:extLst>
            <c:ext xmlns:c16="http://schemas.microsoft.com/office/drawing/2014/chart" uri="{C3380CC4-5D6E-409C-BE32-E72D297353CC}">
              <c16:uniqueId val="{00000000-2CBE-4BB9-999C-70B9BEEA3BCC}"/>
            </c:ext>
          </c:extLst>
        </c:ser>
        <c:dLbls>
          <c:showLegendKey val="0"/>
          <c:showVal val="0"/>
          <c:showCatName val="0"/>
          <c:showSerName val="0"/>
          <c:showPercent val="0"/>
          <c:showBubbleSize val="0"/>
        </c:dLbls>
        <c:smooth val="0"/>
        <c:axId val="54582624"/>
        <c:axId val="54577824"/>
      </c:line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ln>
      <a:solidFill>
        <a:schemeClr val="bg1">
          <a:lumMod val="95000"/>
        </a:schemeClr>
      </a:solidFill>
    </a:ln>
  </c:spPr>
  <c:txPr>
    <a:bodyPr/>
    <a:lstStyle/>
    <a:p>
      <a:pPr>
        <a:defRPr sz="105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y/y impressions growth</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'Quarterly (2)'!$C$173</c:f>
              <c:strCache>
                <c:ptCount val="1"/>
                <c:pt idx="0">
                  <c:v>Total number of ad impressions growth rate, %</c:v>
                </c:pt>
              </c:strCache>
            </c:strRef>
          </c:tx>
          <c:spPr>
            <a:solidFill>
              <a:srgbClr val="0E2841"/>
            </a:solidFill>
            <a:ln>
              <a:solidFill>
                <a:srgbClr val="0E284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(2)'!$D$5:$AA$5</c:f>
              <c:strCache>
                <c:ptCount val="8"/>
                <c:pt idx="0">
                  <c:v>Q1-2023</c:v>
                </c:pt>
                <c:pt idx="1">
                  <c:v>Q2-2023</c:v>
                </c:pt>
                <c:pt idx="2">
                  <c:v>Q3-2023</c:v>
                </c:pt>
                <c:pt idx="3">
                  <c:v>Q4-2023</c:v>
                </c:pt>
                <c:pt idx="4">
                  <c:v>Q1-2024</c:v>
                </c:pt>
                <c:pt idx="5">
                  <c:v>Q2-2024</c:v>
                </c:pt>
                <c:pt idx="6">
                  <c:v>Q3-2024</c:v>
                </c:pt>
                <c:pt idx="7">
                  <c:v>Q4-2024</c:v>
                </c:pt>
              </c:strCache>
            </c:strRef>
          </c:cat>
          <c:val>
            <c:numRef>
              <c:f>'Quarterly (2)'!$D$173:$AA$173</c:f>
              <c:numCache>
                <c:formatCode>0%;\(0%\);"--"</c:formatCode>
                <c:ptCount val="8"/>
                <c:pt idx="0">
                  <c:v>0.26</c:v>
                </c:pt>
                <c:pt idx="1">
                  <c:v>0.34</c:v>
                </c:pt>
                <c:pt idx="2">
                  <c:v>0.31</c:v>
                </c:pt>
                <c:pt idx="3">
                  <c:v>0.21</c:v>
                </c:pt>
                <c:pt idx="4">
                  <c:v>0.2</c:v>
                </c:pt>
                <c:pt idx="5">
                  <c:v>0.1</c:v>
                </c:pt>
                <c:pt idx="6">
                  <c:v>7.0000000000000007E-2</c:v>
                </c:pt>
                <c:pt idx="7">
                  <c:v>0.06</c:v>
                </c:pt>
              </c:numCache>
            </c:numRef>
          </c:val>
          <c:extLst>
            <c:ext xmlns:c16="http://schemas.microsoft.com/office/drawing/2014/chart" uri="{C3380CC4-5D6E-409C-BE32-E72D297353CC}">
              <c16:uniqueId val="{00000000-DA77-4BE8-87F8-8E4360CA1E03}"/>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sz="105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800"/>
              <a:t>y/y price per ad growth </a:t>
            </a:r>
          </a:p>
        </c:rich>
      </c:tx>
      <c:overlay val="0"/>
      <c:spPr>
        <a:noFill/>
        <a:ln>
          <a:noFill/>
        </a:ln>
        <a:effectLst/>
      </c:spPr>
    </c:title>
    <c:autoTitleDeleted val="0"/>
    <c:plotArea>
      <c:layout/>
      <c:barChart>
        <c:barDir val="col"/>
        <c:grouping val="clustered"/>
        <c:varyColors val="0"/>
        <c:ser>
          <c:idx val="0"/>
          <c:order val="0"/>
          <c:tx>
            <c:strRef>
              <c:f>'Quarterly (2)'!$C$174</c:f>
              <c:strCache>
                <c:ptCount val="1"/>
                <c:pt idx="0">
                  <c:v>Average price per ad growth rate, %</c:v>
                </c:pt>
              </c:strCache>
            </c:strRef>
          </c:tx>
          <c:spPr>
            <a:solidFill>
              <a:srgbClr val="0E2841"/>
            </a:solidFill>
            <a:ln>
              <a:solidFill>
                <a:srgbClr val="0E284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(2)'!$D$5:$AA$5</c:f>
              <c:strCache>
                <c:ptCount val="8"/>
                <c:pt idx="0">
                  <c:v>Q1-2023</c:v>
                </c:pt>
                <c:pt idx="1">
                  <c:v>Q2-2023</c:v>
                </c:pt>
                <c:pt idx="2">
                  <c:v>Q3-2023</c:v>
                </c:pt>
                <c:pt idx="3">
                  <c:v>Q4-2023</c:v>
                </c:pt>
                <c:pt idx="4">
                  <c:v>Q1-2024</c:v>
                </c:pt>
                <c:pt idx="5">
                  <c:v>Q2-2024</c:v>
                </c:pt>
                <c:pt idx="6">
                  <c:v>Q3-2024</c:v>
                </c:pt>
                <c:pt idx="7">
                  <c:v>Q4-2024</c:v>
                </c:pt>
              </c:strCache>
            </c:strRef>
          </c:cat>
          <c:val>
            <c:numRef>
              <c:f>'Quarterly (2)'!$D$174:$AA$174</c:f>
              <c:numCache>
                <c:formatCode>0%;\(0%\);"--"</c:formatCode>
                <c:ptCount val="8"/>
                <c:pt idx="0">
                  <c:v>-0.17</c:v>
                </c:pt>
                <c:pt idx="1">
                  <c:v>-0.16</c:v>
                </c:pt>
                <c:pt idx="2">
                  <c:v>-0.06</c:v>
                </c:pt>
                <c:pt idx="3">
                  <c:v>0.02</c:v>
                </c:pt>
                <c:pt idx="4">
                  <c:v>0.06</c:v>
                </c:pt>
                <c:pt idx="5">
                  <c:v>0.1</c:v>
                </c:pt>
                <c:pt idx="6">
                  <c:v>0.11</c:v>
                </c:pt>
                <c:pt idx="7">
                  <c:v>0.14000000000000001</c:v>
                </c:pt>
              </c:numCache>
            </c:numRef>
          </c:val>
          <c:extLst>
            <c:ext xmlns:c16="http://schemas.microsoft.com/office/drawing/2014/chart" uri="{C3380CC4-5D6E-409C-BE32-E72D297353CC}">
              <c16:uniqueId val="{00000000-79F1-4458-8C29-43F62AA48DDC}"/>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Garamond" panose="02020404030301010803" pitchFamily="18" charset="0"/>
                <a:ea typeface="+mn-ea"/>
                <a:cs typeface="+mn-cs"/>
              </a:defRPr>
            </a:pPr>
            <a:r>
              <a:rPr lang="en-CA"/>
              <a:t>y/y price per ad  growth, by region</a:t>
            </a:r>
          </a:p>
        </c:rich>
      </c:tx>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barChart>
        <c:barDir val="col"/>
        <c:grouping val="clustered"/>
        <c:varyColors val="0"/>
        <c:ser>
          <c:idx val="0"/>
          <c:order val="0"/>
          <c:tx>
            <c:strRef>
              <c:f>'Quarterly (2)'!$C$200</c:f>
              <c:strCache>
                <c:ptCount val="1"/>
                <c:pt idx="0">
                  <c:v>US &amp; Canada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(2)'!$T$5:$AA$5</c:f>
              <c:strCache>
                <c:ptCount val="8"/>
                <c:pt idx="0">
                  <c:v>Q1-2023</c:v>
                </c:pt>
                <c:pt idx="1">
                  <c:v>Q2-2023</c:v>
                </c:pt>
                <c:pt idx="2">
                  <c:v>Q3-2023</c:v>
                </c:pt>
                <c:pt idx="3">
                  <c:v>Q4-2023</c:v>
                </c:pt>
                <c:pt idx="4">
                  <c:v>Q1-2024</c:v>
                </c:pt>
                <c:pt idx="5">
                  <c:v>Q2-2024</c:v>
                </c:pt>
                <c:pt idx="6">
                  <c:v>Q3-2024</c:v>
                </c:pt>
                <c:pt idx="7">
                  <c:v>Q4-2024</c:v>
                </c:pt>
              </c:strCache>
            </c:strRef>
          </c:cat>
          <c:val>
            <c:numRef>
              <c:f>'Quarterly (2)'!$T$200:$AA$200</c:f>
              <c:numCache>
                <c:formatCode>0%;\(0%\);"--"</c:formatCode>
                <c:ptCount val="8"/>
                <c:pt idx="0">
                  <c:v>-0.13</c:v>
                </c:pt>
                <c:pt idx="1">
                  <c:v>-0.14000000000000001</c:v>
                </c:pt>
                <c:pt idx="2">
                  <c:v>-7.0000000000000007E-2</c:v>
                </c:pt>
                <c:pt idx="3">
                  <c:v>0.02</c:v>
                </c:pt>
                <c:pt idx="4">
                  <c:v>0.05</c:v>
                </c:pt>
                <c:pt idx="5">
                  <c:v>0.09</c:v>
                </c:pt>
                <c:pt idx="6">
                  <c:v>0.09</c:v>
                </c:pt>
                <c:pt idx="7">
                  <c:v>0.12</c:v>
                </c:pt>
              </c:numCache>
            </c:numRef>
          </c:val>
          <c:extLst>
            <c:ext xmlns:c16="http://schemas.microsoft.com/office/drawing/2014/chart" uri="{C3380CC4-5D6E-409C-BE32-E72D297353CC}">
              <c16:uniqueId val="{00000000-21B0-4E0B-B274-B4BD6D298357}"/>
            </c:ext>
          </c:extLst>
        </c:ser>
        <c:ser>
          <c:idx val="1"/>
          <c:order val="1"/>
          <c:tx>
            <c:strRef>
              <c:f>'Quarterly (2)'!$C$201</c:f>
              <c:strCache>
                <c:ptCount val="1"/>
                <c:pt idx="0">
                  <c:v>EU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(2)'!$T$5:$AA$5</c:f>
              <c:strCache>
                <c:ptCount val="8"/>
                <c:pt idx="0">
                  <c:v>Q1-2023</c:v>
                </c:pt>
                <c:pt idx="1">
                  <c:v>Q2-2023</c:v>
                </c:pt>
                <c:pt idx="2">
                  <c:v>Q3-2023</c:v>
                </c:pt>
                <c:pt idx="3">
                  <c:v>Q4-2023</c:v>
                </c:pt>
                <c:pt idx="4">
                  <c:v>Q1-2024</c:v>
                </c:pt>
                <c:pt idx="5">
                  <c:v>Q2-2024</c:v>
                </c:pt>
                <c:pt idx="6">
                  <c:v>Q3-2024</c:v>
                </c:pt>
                <c:pt idx="7">
                  <c:v>Q4-2024</c:v>
                </c:pt>
              </c:strCache>
            </c:strRef>
          </c:cat>
          <c:val>
            <c:numRef>
              <c:f>'Quarterly (2)'!$T$201:$AA$201</c:f>
              <c:numCache>
                <c:formatCode>0%;\(0%\);"--"</c:formatCode>
                <c:ptCount val="8"/>
                <c:pt idx="0">
                  <c:v>-0.11</c:v>
                </c:pt>
                <c:pt idx="1">
                  <c:v>-0.09</c:v>
                </c:pt>
                <c:pt idx="2">
                  <c:v>0.08</c:v>
                </c:pt>
                <c:pt idx="3">
                  <c:v>0.14000000000000001</c:v>
                </c:pt>
                <c:pt idx="4">
                  <c:v>0.18</c:v>
                </c:pt>
                <c:pt idx="5">
                  <c:v>0.18</c:v>
                </c:pt>
                <c:pt idx="6">
                  <c:v>0.16</c:v>
                </c:pt>
                <c:pt idx="7">
                  <c:v>0.16</c:v>
                </c:pt>
              </c:numCache>
            </c:numRef>
          </c:val>
          <c:extLst>
            <c:ext xmlns:c16="http://schemas.microsoft.com/office/drawing/2014/chart" uri="{C3380CC4-5D6E-409C-BE32-E72D297353CC}">
              <c16:uniqueId val="{00000001-21B0-4E0B-B274-B4BD6D298357}"/>
            </c:ext>
          </c:extLst>
        </c:ser>
        <c:ser>
          <c:idx val="2"/>
          <c:order val="2"/>
          <c:tx>
            <c:strRef>
              <c:f>'Quarterly (2)'!$C$202</c:f>
              <c:strCache>
                <c:ptCount val="1"/>
                <c:pt idx="0">
                  <c:v>APAC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(2)'!$T$5:$AA$5</c:f>
              <c:strCache>
                <c:ptCount val="8"/>
                <c:pt idx="0">
                  <c:v>Q1-2023</c:v>
                </c:pt>
                <c:pt idx="1">
                  <c:v>Q2-2023</c:v>
                </c:pt>
                <c:pt idx="2">
                  <c:v>Q3-2023</c:v>
                </c:pt>
                <c:pt idx="3">
                  <c:v>Q4-2023</c:v>
                </c:pt>
                <c:pt idx="4">
                  <c:v>Q1-2024</c:v>
                </c:pt>
                <c:pt idx="5">
                  <c:v>Q2-2024</c:v>
                </c:pt>
                <c:pt idx="6">
                  <c:v>Q3-2024</c:v>
                </c:pt>
                <c:pt idx="7">
                  <c:v>Q4-2024</c:v>
                </c:pt>
              </c:strCache>
            </c:strRef>
          </c:cat>
          <c:val>
            <c:numRef>
              <c:f>'Quarterly (2)'!$T$202:$AA$202</c:f>
              <c:numCache>
                <c:formatCode>0%;\(0%\);"--"</c:formatCode>
                <c:ptCount val="8"/>
                <c:pt idx="0">
                  <c:v>-0.22</c:v>
                </c:pt>
                <c:pt idx="1">
                  <c:v>-0.22</c:v>
                </c:pt>
                <c:pt idx="2">
                  <c:v>-0.14000000000000001</c:v>
                </c:pt>
                <c:pt idx="3">
                  <c:v>-0.06</c:v>
                </c:pt>
                <c:pt idx="4">
                  <c:v>-0.03</c:v>
                </c:pt>
                <c:pt idx="5">
                  <c:v>0.04</c:v>
                </c:pt>
                <c:pt idx="6">
                  <c:v>0.08</c:v>
                </c:pt>
                <c:pt idx="7">
                  <c:v>0.12</c:v>
                </c:pt>
              </c:numCache>
            </c:numRef>
          </c:val>
          <c:extLst>
            <c:ext xmlns:c16="http://schemas.microsoft.com/office/drawing/2014/chart" uri="{C3380CC4-5D6E-409C-BE32-E72D297353CC}">
              <c16:uniqueId val="{00000002-21B0-4E0B-B274-B4BD6D298357}"/>
            </c:ext>
          </c:extLst>
        </c:ser>
        <c:ser>
          <c:idx val="3"/>
          <c:order val="3"/>
          <c:tx>
            <c:strRef>
              <c:f>'Quarterly (2)'!$C$203</c:f>
              <c:strCache>
                <c:ptCount val="1"/>
                <c:pt idx="0">
                  <c:v>ROW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(2)'!$T$5:$AA$5</c:f>
              <c:strCache>
                <c:ptCount val="8"/>
                <c:pt idx="0">
                  <c:v>Q1-2023</c:v>
                </c:pt>
                <c:pt idx="1">
                  <c:v>Q2-2023</c:v>
                </c:pt>
                <c:pt idx="2">
                  <c:v>Q3-2023</c:v>
                </c:pt>
                <c:pt idx="3">
                  <c:v>Q4-2023</c:v>
                </c:pt>
                <c:pt idx="4">
                  <c:v>Q1-2024</c:v>
                </c:pt>
                <c:pt idx="5">
                  <c:v>Q2-2024</c:v>
                </c:pt>
                <c:pt idx="6">
                  <c:v>Q3-2024</c:v>
                </c:pt>
                <c:pt idx="7">
                  <c:v>Q4-2024</c:v>
                </c:pt>
              </c:strCache>
            </c:strRef>
          </c:cat>
          <c:val>
            <c:numRef>
              <c:f>'Quarterly (2)'!$T$203:$AA$203</c:f>
              <c:numCache>
                <c:formatCode>0%;\(0%\);"--"</c:formatCode>
                <c:ptCount val="8"/>
                <c:pt idx="0">
                  <c:v>-0.15</c:v>
                </c:pt>
                <c:pt idx="1">
                  <c:v>-0.12</c:v>
                </c:pt>
                <c:pt idx="2">
                  <c:v>7.0000000000000007E-2</c:v>
                </c:pt>
                <c:pt idx="3">
                  <c:v>0.13</c:v>
                </c:pt>
                <c:pt idx="4">
                  <c:v>0.2</c:v>
                </c:pt>
                <c:pt idx="5">
                  <c:v>0.24</c:v>
                </c:pt>
                <c:pt idx="6">
                  <c:v>0.17</c:v>
                </c:pt>
                <c:pt idx="7">
                  <c:v>0.23</c:v>
                </c:pt>
              </c:numCache>
            </c:numRef>
          </c:val>
          <c:extLst>
            <c:ext xmlns:c16="http://schemas.microsoft.com/office/drawing/2014/chart" uri="{C3380CC4-5D6E-409C-BE32-E72D297353CC}">
              <c16:uniqueId val="{00000003-21B0-4E0B-B274-B4BD6D298357}"/>
            </c:ext>
          </c:extLst>
        </c:ser>
        <c:dLbls>
          <c:dLblPos val="outEnd"/>
          <c:showLegendKey val="0"/>
          <c:showVal val="1"/>
          <c:showCatName val="0"/>
          <c:showSerName val="0"/>
          <c:showPercent val="0"/>
          <c:showBubbleSize val="0"/>
        </c:dLbls>
        <c:gapWidth val="75"/>
        <c:overlap val="-27"/>
        <c:axId val="1202051455"/>
        <c:axId val="1202045695"/>
      </c:barChart>
      <c:catAx>
        <c:axId val="120205145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202045695"/>
        <c:crosses val="autoZero"/>
        <c:auto val="1"/>
        <c:lblAlgn val="ctr"/>
        <c:lblOffset val="100"/>
        <c:noMultiLvlLbl val="0"/>
      </c:catAx>
      <c:valAx>
        <c:axId val="1202045695"/>
        <c:scaling>
          <c:orientation val="minMax"/>
        </c:scaling>
        <c:delete val="1"/>
        <c:axPos val="l"/>
        <c:numFmt formatCode="0%;\(0%\);&quot;--&quot;" sourceLinked="1"/>
        <c:majorTickMark val="none"/>
        <c:minorTickMark val="none"/>
        <c:tickLblPos val="nextTo"/>
        <c:crossAx val="1202051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95000"/>
        </a:schemeClr>
      </a:solidFill>
      <a:round/>
    </a:ln>
    <a:effectLst/>
  </c:spPr>
  <c:txPr>
    <a:bodyPr/>
    <a:lstStyle/>
    <a:p>
      <a:pPr>
        <a:defRPr sz="800">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CA"/>
              <a:t>y/y price per ad growth rate</a:t>
            </a:r>
          </a:p>
        </c:rich>
      </c:tx>
      <c:overlay val="0"/>
      <c:spPr>
        <a:noFill/>
        <a:ln>
          <a:noFill/>
        </a:ln>
        <a:effectLst/>
      </c:spPr>
    </c:title>
    <c:autoTitleDeleted val="0"/>
    <c:plotArea>
      <c:layout/>
      <c:barChart>
        <c:barDir val="col"/>
        <c:grouping val="clustered"/>
        <c:varyColors val="0"/>
        <c:ser>
          <c:idx val="0"/>
          <c:order val="0"/>
          <c:tx>
            <c:strRef>
              <c:f>'Quarterly (2)'!$T$5</c:f>
              <c:strCache>
                <c:ptCount val="1"/>
                <c:pt idx="0">
                  <c:v>Q1-2023</c:v>
                </c:pt>
              </c:strCache>
            </c:strRef>
          </c:tx>
          <c:spPr>
            <a:solidFill>
              <a:schemeClr val="accent1"/>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(2)'!$C$200:$C$203</c:f>
              <c:strCache>
                <c:ptCount val="4"/>
                <c:pt idx="0">
                  <c:v>US &amp; Canada</c:v>
                </c:pt>
                <c:pt idx="1">
                  <c:v>EU</c:v>
                </c:pt>
                <c:pt idx="2">
                  <c:v>APAC</c:v>
                </c:pt>
                <c:pt idx="3">
                  <c:v>ROW</c:v>
                </c:pt>
              </c:strCache>
            </c:strRef>
          </c:cat>
          <c:val>
            <c:numRef>
              <c:f>'Quarterly (2)'!$T$200:$T$203</c:f>
              <c:numCache>
                <c:formatCode>0%;\(0%\);"--"</c:formatCode>
                <c:ptCount val="4"/>
                <c:pt idx="0">
                  <c:v>-0.13</c:v>
                </c:pt>
                <c:pt idx="1">
                  <c:v>-0.11</c:v>
                </c:pt>
                <c:pt idx="2">
                  <c:v>-0.22</c:v>
                </c:pt>
                <c:pt idx="3">
                  <c:v>-0.15</c:v>
                </c:pt>
              </c:numCache>
            </c:numRef>
          </c:val>
          <c:extLst>
            <c:ext xmlns:c16="http://schemas.microsoft.com/office/drawing/2014/chart" uri="{C3380CC4-5D6E-409C-BE32-E72D297353CC}">
              <c16:uniqueId val="{00000000-4864-4DA1-A151-A379BA0326F9}"/>
            </c:ext>
          </c:extLst>
        </c:ser>
        <c:ser>
          <c:idx val="1"/>
          <c:order val="1"/>
          <c:tx>
            <c:strRef>
              <c:f>'Quarterly (2)'!$U$5</c:f>
              <c:strCache>
                <c:ptCount val="1"/>
                <c:pt idx="0">
                  <c:v>Q2-2023</c:v>
                </c:pt>
              </c:strCache>
            </c:strRef>
          </c:tx>
          <c:spPr>
            <a:solidFill>
              <a:schemeClr val="accent2"/>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(2)'!$C$200:$C$203</c:f>
              <c:strCache>
                <c:ptCount val="4"/>
                <c:pt idx="0">
                  <c:v>US &amp; Canada</c:v>
                </c:pt>
                <c:pt idx="1">
                  <c:v>EU</c:v>
                </c:pt>
                <c:pt idx="2">
                  <c:v>APAC</c:v>
                </c:pt>
                <c:pt idx="3">
                  <c:v>ROW</c:v>
                </c:pt>
              </c:strCache>
            </c:strRef>
          </c:cat>
          <c:val>
            <c:numRef>
              <c:f>'Quarterly (2)'!$U$200:$U$203</c:f>
              <c:numCache>
                <c:formatCode>0%;\(0%\);"--"</c:formatCode>
                <c:ptCount val="4"/>
                <c:pt idx="0">
                  <c:v>-0.14000000000000001</c:v>
                </c:pt>
                <c:pt idx="1">
                  <c:v>-0.09</c:v>
                </c:pt>
                <c:pt idx="2">
                  <c:v>-0.22</c:v>
                </c:pt>
                <c:pt idx="3">
                  <c:v>-0.12</c:v>
                </c:pt>
              </c:numCache>
            </c:numRef>
          </c:val>
          <c:extLst>
            <c:ext xmlns:c16="http://schemas.microsoft.com/office/drawing/2014/chart" uri="{C3380CC4-5D6E-409C-BE32-E72D297353CC}">
              <c16:uniqueId val="{00000001-4864-4DA1-A151-A379BA0326F9}"/>
            </c:ext>
          </c:extLst>
        </c:ser>
        <c:ser>
          <c:idx val="2"/>
          <c:order val="2"/>
          <c:tx>
            <c:strRef>
              <c:f>'Quarterly (2)'!$V$5</c:f>
              <c:strCache>
                <c:ptCount val="1"/>
                <c:pt idx="0">
                  <c:v>Q3-2023</c:v>
                </c:pt>
              </c:strCache>
            </c:strRef>
          </c:tx>
          <c:spPr>
            <a:solidFill>
              <a:schemeClr val="accent3"/>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(2)'!$C$200:$C$203</c:f>
              <c:strCache>
                <c:ptCount val="4"/>
                <c:pt idx="0">
                  <c:v>US &amp; Canada</c:v>
                </c:pt>
                <c:pt idx="1">
                  <c:v>EU</c:v>
                </c:pt>
                <c:pt idx="2">
                  <c:v>APAC</c:v>
                </c:pt>
                <c:pt idx="3">
                  <c:v>ROW</c:v>
                </c:pt>
              </c:strCache>
            </c:strRef>
          </c:cat>
          <c:val>
            <c:numRef>
              <c:f>'Quarterly (2)'!$V$200:$V$203</c:f>
              <c:numCache>
                <c:formatCode>0%;\(0%\);"--"</c:formatCode>
                <c:ptCount val="4"/>
                <c:pt idx="0">
                  <c:v>-7.0000000000000007E-2</c:v>
                </c:pt>
                <c:pt idx="1">
                  <c:v>0.08</c:v>
                </c:pt>
                <c:pt idx="2">
                  <c:v>-0.14000000000000001</c:v>
                </c:pt>
                <c:pt idx="3">
                  <c:v>7.0000000000000007E-2</c:v>
                </c:pt>
              </c:numCache>
            </c:numRef>
          </c:val>
          <c:extLst>
            <c:ext xmlns:c16="http://schemas.microsoft.com/office/drawing/2014/chart" uri="{C3380CC4-5D6E-409C-BE32-E72D297353CC}">
              <c16:uniqueId val="{00000002-4864-4DA1-A151-A379BA0326F9}"/>
            </c:ext>
          </c:extLst>
        </c:ser>
        <c:ser>
          <c:idx val="3"/>
          <c:order val="3"/>
          <c:tx>
            <c:strRef>
              <c:f>'Quarterly (2)'!$W$5</c:f>
              <c:strCache>
                <c:ptCount val="1"/>
                <c:pt idx="0">
                  <c:v>Q4-2023</c:v>
                </c:pt>
              </c:strCache>
            </c:strRef>
          </c:tx>
          <c:spPr>
            <a:solidFill>
              <a:schemeClr val="accent4"/>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(2)'!$C$200:$C$203</c:f>
              <c:strCache>
                <c:ptCount val="4"/>
                <c:pt idx="0">
                  <c:v>US &amp; Canada</c:v>
                </c:pt>
                <c:pt idx="1">
                  <c:v>EU</c:v>
                </c:pt>
                <c:pt idx="2">
                  <c:v>APAC</c:v>
                </c:pt>
                <c:pt idx="3">
                  <c:v>ROW</c:v>
                </c:pt>
              </c:strCache>
            </c:strRef>
          </c:cat>
          <c:val>
            <c:numRef>
              <c:f>'Quarterly (2)'!$W$200:$W$203</c:f>
              <c:numCache>
                <c:formatCode>0%;\(0%\);"--"</c:formatCode>
                <c:ptCount val="4"/>
                <c:pt idx="0">
                  <c:v>0.02</c:v>
                </c:pt>
                <c:pt idx="1">
                  <c:v>0.14000000000000001</c:v>
                </c:pt>
                <c:pt idx="2">
                  <c:v>-0.06</c:v>
                </c:pt>
                <c:pt idx="3">
                  <c:v>0.13</c:v>
                </c:pt>
              </c:numCache>
            </c:numRef>
          </c:val>
          <c:extLst>
            <c:ext xmlns:c16="http://schemas.microsoft.com/office/drawing/2014/chart" uri="{C3380CC4-5D6E-409C-BE32-E72D297353CC}">
              <c16:uniqueId val="{00000003-4864-4DA1-A151-A379BA0326F9}"/>
            </c:ext>
          </c:extLst>
        </c:ser>
        <c:ser>
          <c:idx val="4"/>
          <c:order val="4"/>
          <c:tx>
            <c:strRef>
              <c:f>'Quarterly (2)'!$X$5</c:f>
              <c:strCache>
                <c:ptCount val="1"/>
                <c:pt idx="0">
                  <c:v>Q1-2024</c:v>
                </c:pt>
              </c:strCache>
            </c:strRef>
          </c:tx>
          <c:spPr>
            <a:solidFill>
              <a:schemeClr val="accent1"/>
            </a:solidFill>
            <a:ln>
              <a:noFill/>
            </a:ln>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'Quarterly (2)'!$C$200:$C$203</c:f>
              <c:strCache>
                <c:ptCount val="4"/>
                <c:pt idx="0">
                  <c:v>US &amp; Canada</c:v>
                </c:pt>
                <c:pt idx="1">
                  <c:v>EU</c:v>
                </c:pt>
                <c:pt idx="2">
                  <c:v>APAC</c:v>
                </c:pt>
                <c:pt idx="3">
                  <c:v>ROW</c:v>
                </c:pt>
              </c:strCache>
            </c:strRef>
          </c:cat>
          <c:val>
            <c:numRef>
              <c:f>'Quarterly (2)'!$X$200:$X$203</c:f>
              <c:numCache>
                <c:formatCode>0%;\(0%\);"--"</c:formatCode>
                <c:ptCount val="4"/>
                <c:pt idx="0">
                  <c:v>0.05</c:v>
                </c:pt>
                <c:pt idx="1">
                  <c:v>0.18</c:v>
                </c:pt>
                <c:pt idx="2">
                  <c:v>-0.03</c:v>
                </c:pt>
                <c:pt idx="3">
                  <c:v>0.2</c:v>
                </c:pt>
              </c:numCache>
            </c:numRef>
          </c:val>
          <c:extLst>
            <c:ext xmlns:c16="http://schemas.microsoft.com/office/drawing/2014/chart" uri="{C3380CC4-5D6E-409C-BE32-E72D297353CC}">
              <c16:uniqueId val="{00000004-4864-4DA1-A151-A379BA0326F9}"/>
            </c:ext>
          </c:extLst>
        </c:ser>
        <c:ser>
          <c:idx val="5"/>
          <c:order val="5"/>
          <c:tx>
            <c:strRef>
              <c:f>'Quarterly (2)'!$Y$5</c:f>
              <c:strCache>
                <c:ptCount val="1"/>
                <c:pt idx="0">
                  <c:v>Q2-2024</c:v>
                </c:pt>
              </c:strCache>
            </c:strRef>
          </c:tx>
          <c:spPr>
            <a:solidFill>
              <a:schemeClr val="accent2"/>
            </a:solidFill>
            <a:ln>
              <a:noFill/>
            </a:ln>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'Quarterly (2)'!$C$200:$C$203</c:f>
              <c:strCache>
                <c:ptCount val="4"/>
                <c:pt idx="0">
                  <c:v>US &amp; Canada</c:v>
                </c:pt>
                <c:pt idx="1">
                  <c:v>EU</c:v>
                </c:pt>
                <c:pt idx="2">
                  <c:v>APAC</c:v>
                </c:pt>
                <c:pt idx="3">
                  <c:v>ROW</c:v>
                </c:pt>
              </c:strCache>
            </c:strRef>
          </c:cat>
          <c:val>
            <c:numRef>
              <c:f>'Quarterly (2)'!$Y$200:$Y$203</c:f>
              <c:numCache>
                <c:formatCode>0%;\(0%\);"--"</c:formatCode>
                <c:ptCount val="4"/>
                <c:pt idx="0">
                  <c:v>0.09</c:v>
                </c:pt>
                <c:pt idx="1">
                  <c:v>0.18</c:v>
                </c:pt>
                <c:pt idx="2">
                  <c:v>0.04</c:v>
                </c:pt>
                <c:pt idx="3">
                  <c:v>0.24</c:v>
                </c:pt>
              </c:numCache>
            </c:numRef>
          </c:val>
          <c:extLst>
            <c:ext xmlns:c16="http://schemas.microsoft.com/office/drawing/2014/chart" uri="{C3380CC4-5D6E-409C-BE32-E72D297353CC}">
              <c16:uniqueId val="{00000005-4864-4DA1-A151-A379BA0326F9}"/>
            </c:ext>
          </c:extLst>
        </c:ser>
        <c:ser>
          <c:idx val="6"/>
          <c:order val="6"/>
          <c:tx>
            <c:strRef>
              <c:f>'Quarterly (2)'!$Z$5</c:f>
              <c:strCache>
                <c:ptCount val="1"/>
                <c:pt idx="0">
                  <c:v>Q3-2024</c:v>
                </c:pt>
              </c:strCache>
            </c:strRef>
          </c:tx>
          <c:spPr>
            <a:solidFill>
              <a:schemeClr val="accent3"/>
            </a:solidFill>
            <a:ln>
              <a:noFill/>
            </a:ln>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'Quarterly (2)'!$C$200:$C$203</c:f>
              <c:strCache>
                <c:ptCount val="4"/>
                <c:pt idx="0">
                  <c:v>US &amp; Canada</c:v>
                </c:pt>
                <c:pt idx="1">
                  <c:v>EU</c:v>
                </c:pt>
                <c:pt idx="2">
                  <c:v>APAC</c:v>
                </c:pt>
                <c:pt idx="3">
                  <c:v>ROW</c:v>
                </c:pt>
              </c:strCache>
            </c:strRef>
          </c:cat>
          <c:val>
            <c:numRef>
              <c:f>'Quarterly (2)'!$Z$200:$Z$203</c:f>
              <c:numCache>
                <c:formatCode>0%;\(0%\);"--"</c:formatCode>
                <c:ptCount val="4"/>
                <c:pt idx="0">
                  <c:v>0.09</c:v>
                </c:pt>
                <c:pt idx="1">
                  <c:v>0.16</c:v>
                </c:pt>
                <c:pt idx="2">
                  <c:v>0.08</c:v>
                </c:pt>
                <c:pt idx="3">
                  <c:v>0.17</c:v>
                </c:pt>
              </c:numCache>
            </c:numRef>
          </c:val>
          <c:extLst>
            <c:ext xmlns:c16="http://schemas.microsoft.com/office/drawing/2014/chart" uri="{C3380CC4-5D6E-409C-BE32-E72D297353CC}">
              <c16:uniqueId val="{00000006-4864-4DA1-A151-A379BA0326F9}"/>
            </c:ext>
          </c:extLst>
        </c:ser>
        <c:ser>
          <c:idx val="7"/>
          <c:order val="7"/>
          <c:tx>
            <c:strRef>
              <c:f>'Quarterly (2)'!$AA$5</c:f>
              <c:strCache>
                <c:ptCount val="1"/>
                <c:pt idx="0">
                  <c:v>Q4-2024</c:v>
                </c:pt>
              </c:strCache>
            </c:strRef>
          </c:tx>
          <c:spPr>
            <a:solidFill>
              <a:schemeClr val="accent4"/>
            </a:solidFill>
            <a:ln>
              <a:noFill/>
            </a:ln>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'Quarterly (2)'!$C$200:$C$203</c:f>
              <c:strCache>
                <c:ptCount val="4"/>
                <c:pt idx="0">
                  <c:v>US &amp; Canada</c:v>
                </c:pt>
                <c:pt idx="1">
                  <c:v>EU</c:v>
                </c:pt>
                <c:pt idx="2">
                  <c:v>APAC</c:v>
                </c:pt>
                <c:pt idx="3">
                  <c:v>ROW</c:v>
                </c:pt>
              </c:strCache>
            </c:strRef>
          </c:cat>
          <c:val>
            <c:numRef>
              <c:f>'Quarterly (2)'!$AA$200:$AA$203</c:f>
              <c:numCache>
                <c:formatCode>0%;\(0%\);"--"</c:formatCode>
                <c:ptCount val="4"/>
                <c:pt idx="0">
                  <c:v>0.12</c:v>
                </c:pt>
                <c:pt idx="1">
                  <c:v>0.16</c:v>
                </c:pt>
                <c:pt idx="2">
                  <c:v>0.12</c:v>
                </c:pt>
                <c:pt idx="3">
                  <c:v>0.23</c:v>
                </c:pt>
              </c:numCache>
            </c:numRef>
          </c:val>
          <c:extLst>
            <c:ext xmlns:c16="http://schemas.microsoft.com/office/drawing/2014/chart" uri="{C3380CC4-5D6E-409C-BE32-E72D297353CC}">
              <c16:uniqueId val="{00000007-4864-4DA1-A151-A379BA0326F9}"/>
            </c:ext>
          </c:extLst>
        </c:ser>
        <c:dLbls>
          <c:dLblPos val="outEnd"/>
          <c:showLegendKey val="0"/>
          <c:showVal val="1"/>
          <c:showCatName val="0"/>
          <c:showSerName val="0"/>
          <c:showPercent val="0"/>
          <c:showBubbleSize val="0"/>
        </c:dLbls>
        <c:gapWidth val="75"/>
        <c:overlap val="-27"/>
        <c:axId val="1202051455"/>
        <c:axId val="1202045695"/>
      </c:barChart>
      <c:catAx>
        <c:axId val="120205145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a:pPr>
            <a:endParaRPr lang="en-US"/>
          </a:p>
        </c:txPr>
        <c:crossAx val="1202045695"/>
        <c:crosses val="autoZero"/>
        <c:auto val="1"/>
        <c:lblAlgn val="ctr"/>
        <c:lblOffset val="100"/>
        <c:noMultiLvlLbl val="0"/>
      </c:catAx>
      <c:valAx>
        <c:axId val="1202045695"/>
        <c:scaling>
          <c:orientation val="minMax"/>
        </c:scaling>
        <c:delete val="1"/>
        <c:axPos val="l"/>
        <c:numFmt formatCode="0%;\(0%\);&quot;--&quot;" sourceLinked="1"/>
        <c:majorTickMark val="none"/>
        <c:minorTickMark val="none"/>
        <c:tickLblPos val="nextTo"/>
        <c:crossAx val="1202051455"/>
        <c:crosses val="autoZero"/>
        <c:crossBetween val="between"/>
      </c:valAx>
    </c:plotArea>
    <c:legend>
      <c:legendPos val="b"/>
      <c:overlay val="0"/>
      <c:spPr>
        <a:noFill/>
        <a:ln>
          <a:noFill/>
        </a:ln>
        <a:effectLst/>
      </c:spPr>
      <c:txPr>
        <a:bodyPr rot="0" vert="horz"/>
        <a:lstStyle/>
        <a:p>
          <a:pPr>
            <a:defRPr sz="600"/>
          </a:pPr>
          <a:endParaRPr lang="en-US"/>
        </a:p>
      </c:txPr>
    </c:legend>
    <c:plotVisOnly val="1"/>
    <c:dispBlanksAs val="gap"/>
    <c:showDLblsOverMax val="0"/>
  </c:chart>
  <c:spPr>
    <a:solidFill>
      <a:schemeClr val="bg1"/>
    </a:solidFill>
    <a:ln w="9525" cap="flat" cmpd="sng" algn="ctr">
      <a:solidFill>
        <a:schemeClr val="bg1">
          <a:lumMod val="95000"/>
        </a:schemeClr>
      </a:solidFill>
      <a:round/>
    </a:ln>
    <a:effectLst/>
  </c:spPr>
  <c:txPr>
    <a:bodyPr/>
    <a:lstStyle/>
    <a:p>
      <a:pPr>
        <a:defRPr sz="700">
          <a:latin typeface="Garamond" panose="02020404030301010803" pitchFamily="18"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CA"/>
              <a:t>CapEx</a:t>
            </a:r>
          </a:p>
        </c:rich>
      </c:tx>
      <c:overlay val="0"/>
      <c:spPr>
        <a:noFill/>
        <a:ln>
          <a:noFill/>
        </a:ln>
        <a:effectLst/>
      </c:spPr>
    </c:title>
    <c:autoTitleDeleted val="0"/>
    <c:plotArea>
      <c:layout/>
      <c:barChart>
        <c:barDir val="col"/>
        <c:grouping val="clustered"/>
        <c:varyColors val="0"/>
        <c:ser>
          <c:idx val="0"/>
          <c:order val="0"/>
          <c:tx>
            <c:strRef>
              <c:f>'Quarterly (2)'!$C$63</c:f>
              <c:strCache>
                <c:ptCount val="1"/>
                <c:pt idx="0">
                  <c:v>CapEx</c:v>
                </c:pt>
              </c:strCache>
            </c:strRef>
          </c:tx>
          <c:spPr>
            <a:solidFill>
              <a:srgbClr val="0E28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(2)'!$D$5:$AA$5</c:f>
              <c:strCache>
                <c:ptCount val="8"/>
                <c:pt idx="0">
                  <c:v>Q1-2023</c:v>
                </c:pt>
                <c:pt idx="1">
                  <c:v>Q2-2023</c:v>
                </c:pt>
                <c:pt idx="2">
                  <c:v>Q3-2023</c:v>
                </c:pt>
                <c:pt idx="3">
                  <c:v>Q4-2023</c:v>
                </c:pt>
                <c:pt idx="4">
                  <c:v>Q1-2024</c:v>
                </c:pt>
                <c:pt idx="5">
                  <c:v>Q2-2024</c:v>
                </c:pt>
                <c:pt idx="6">
                  <c:v>Q3-2024</c:v>
                </c:pt>
                <c:pt idx="7">
                  <c:v>Q4-2024</c:v>
                </c:pt>
              </c:strCache>
            </c:strRef>
          </c:cat>
          <c:val>
            <c:numRef>
              <c:f>'Quarterly (2)'!$D$63:$AA$63</c:f>
              <c:numCache>
                <c:formatCode>#,##0;\(#,##0\);"--"</c:formatCode>
                <c:ptCount val="8"/>
                <c:pt idx="0">
                  <c:v>7106</c:v>
                </c:pt>
                <c:pt idx="1">
                  <c:v>6436</c:v>
                </c:pt>
                <c:pt idx="2">
                  <c:v>6810</c:v>
                </c:pt>
                <c:pt idx="3">
                  <c:v>7972</c:v>
                </c:pt>
                <c:pt idx="4">
                  <c:v>6715</c:v>
                </c:pt>
                <c:pt idx="5">
                  <c:v>8472</c:v>
                </c:pt>
                <c:pt idx="6">
                  <c:v>9202</c:v>
                </c:pt>
                <c:pt idx="7">
                  <c:v>14836</c:v>
                </c:pt>
              </c:numCache>
            </c:numRef>
          </c:val>
          <c:extLst>
            <c:ext xmlns:c16="http://schemas.microsoft.com/office/drawing/2014/chart" uri="{C3380CC4-5D6E-409C-BE32-E72D297353CC}">
              <c16:uniqueId val="{00000000-79D9-4885-8641-E440417BC220}"/>
            </c:ext>
          </c:extLst>
        </c:ser>
        <c:dLbls>
          <c:showLegendKey val="0"/>
          <c:showVal val="0"/>
          <c:showCatName val="0"/>
          <c:showSerName val="0"/>
          <c:showPercent val="0"/>
          <c:showBubbleSize val="0"/>
        </c:dLbls>
        <c:gapWidth val="75"/>
        <c:overlap val="-27"/>
        <c:axId val="1218702495"/>
        <c:axId val="1218709695"/>
      </c:barChart>
      <c:catAx>
        <c:axId val="121870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218709695"/>
        <c:crosses val="autoZero"/>
        <c:auto val="1"/>
        <c:lblAlgn val="ctr"/>
        <c:lblOffset val="100"/>
        <c:noMultiLvlLbl val="0"/>
      </c:catAx>
      <c:valAx>
        <c:axId val="1218709695"/>
        <c:scaling>
          <c:orientation val="minMax"/>
        </c:scaling>
        <c:delete val="1"/>
        <c:axPos val="l"/>
        <c:numFmt formatCode="#,##0;\(#,##0\);&quot;--&quot;" sourceLinked="1"/>
        <c:majorTickMark val="none"/>
        <c:minorTickMark val="none"/>
        <c:tickLblPos val="nextTo"/>
        <c:crossAx val="1218702495"/>
        <c:crosses val="autoZero"/>
        <c:crossBetween val="between"/>
      </c:valAx>
    </c:plotArea>
    <c:plotVisOnly val="1"/>
    <c:dispBlanksAs val="gap"/>
    <c:showDLblsOverMax val="0"/>
  </c:chart>
  <c:spPr>
    <a:solidFill>
      <a:schemeClr val="bg1"/>
    </a:solidFill>
    <a:ln w="9525" cap="flat" cmpd="sng" algn="ctr">
      <a:solidFill>
        <a:schemeClr val="bg1">
          <a:lumMod val="9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US &amp; Canada</a:t>
            </a:r>
          </a:p>
        </c:rich>
      </c:tx>
      <c:overlay val="0"/>
      <c:spPr>
        <a:noFill/>
        <a:ln>
          <a:noFill/>
        </a:ln>
        <a:effectLst/>
      </c:spPr>
    </c:title>
    <c:autoTitleDeleted val="0"/>
    <c:plotArea>
      <c:layout/>
      <c:barChart>
        <c:barDir val="col"/>
        <c:grouping val="clustered"/>
        <c:varyColors val="0"/>
        <c:ser>
          <c:idx val="0"/>
          <c:order val="0"/>
          <c:tx>
            <c:strRef>
              <c:f>'Quarterly (2)'!$C$244:$G$244</c:f>
              <c:strCache>
                <c:ptCount val="5"/>
                <c:pt idx="0">
                  <c:v>US &amp; Canada</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(2)'!$H$244:$AA$244</c:f>
              <c:numCache>
                <c:formatCode>0%;\(0%\);"--"</c:formatCode>
                <c:ptCount val="8"/>
                <c:pt idx="0">
                  <c:v>5.7052561543579516E-2</c:v>
                </c:pt>
                <c:pt idx="1">
                  <c:v>0.10502033156083823</c:v>
                </c:pt>
                <c:pt idx="2">
                  <c:v>0.17154942816857277</c:v>
                </c:pt>
                <c:pt idx="3">
                  <c:v>0.18520493168943686</c:v>
                </c:pt>
                <c:pt idx="4">
                  <c:v>0.21565696302124304</c:v>
                </c:pt>
                <c:pt idx="5">
                  <c:v>0.17422687707876294</c:v>
                </c:pt>
                <c:pt idx="6">
                  <c:v>0.1626771864134795</c:v>
                </c:pt>
                <c:pt idx="7">
                  <c:v>0.17982456140350878</c:v>
                </c:pt>
              </c:numCache>
            </c:numRef>
          </c:val>
          <c:extLst>
            <c:ext xmlns:c16="http://schemas.microsoft.com/office/drawing/2014/chart" uri="{C3380CC4-5D6E-409C-BE32-E72D297353CC}">
              <c16:uniqueId val="{00000000-BA07-42CC-ABEA-35B69F5D704C}"/>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EU</a:t>
            </a:r>
          </a:p>
        </c:rich>
      </c:tx>
      <c:overlay val="0"/>
      <c:spPr>
        <a:noFill/>
        <a:ln>
          <a:noFill/>
        </a:ln>
        <a:effectLst/>
      </c:spPr>
    </c:title>
    <c:autoTitleDeleted val="0"/>
    <c:plotArea>
      <c:layout/>
      <c:barChart>
        <c:barDir val="col"/>
        <c:grouping val="clustered"/>
        <c:varyColors val="0"/>
        <c:ser>
          <c:idx val="0"/>
          <c:order val="0"/>
          <c:tx>
            <c:strRef>
              <c:f>'Quarterly (2)'!$C$245:$G$245</c:f>
              <c:strCache>
                <c:ptCount val="5"/>
                <c:pt idx="0">
                  <c:v>EU</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(2)'!$H$245:$AA$245</c:f>
              <c:numCache>
                <c:formatCode>0%;\(0%\);"--"</c:formatCode>
                <c:ptCount val="8"/>
                <c:pt idx="0">
                  <c:v>-1.492771841609053E-2</c:v>
                </c:pt>
                <c:pt idx="1">
                  <c:v>0.14276729559748436</c:v>
                </c:pt>
                <c:pt idx="2">
                  <c:v>0.35289994743297703</c:v>
                </c:pt>
                <c:pt idx="3">
                  <c:v>0.32662224797219008</c:v>
                </c:pt>
                <c:pt idx="4">
                  <c:v>0.32828202265114048</c:v>
                </c:pt>
                <c:pt idx="5">
                  <c:v>0.25687947165657676</c:v>
                </c:pt>
                <c:pt idx="6">
                  <c:v>0.21201916850148939</c:v>
                </c:pt>
                <c:pt idx="7">
                  <c:v>0.21781853914182769</c:v>
                </c:pt>
              </c:numCache>
            </c:numRef>
          </c:val>
          <c:extLst>
            <c:ext xmlns:c16="http://schemas.microsoft.com/office/drawing/2014/chart" uri="{C3380CC4-5D6E-409C-BE32-E72D297353CC}">
              <c16:uniqueId val="{00000000-A5CB-46E1-BEEC-F2D14846FE3C}"/>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ROW</a:t>
            </a:r>
          </a:p>
        </c:rich>
      </c:tx>
      <c:overlay val="0"/>
      <c:spPr>
        <a:noFill/>
        <a:ln>
          <a:noFill/>
        </a:ln>
        <a:effectLst/>
      </c:spPr>
    </c:title>
    <c:autoTitleDeleted val="0"/>
    <c:plotArea>
      <c:layout/>
      <c:barChart>
        <c:barDir val="col"/>
        <c:grouping val="clustered"/>
        <c:varyColors val="0"/>
        <c:ser>
          <c:idx val="0"/>
          <c:order val="0"/>
          <c:tx>
            <c:strRef>
              <c:f>'Quarterly (2)'!$C$247:$G$247</c:f>
              <c:strCache>
                <c:ptCount val="5"/>
                <c:pt idx="0">
                  <c:v>ROW</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(2)'!$H$247:$AA$247</c:f>
              <c:numCache>
                <c:formatCode>0%;\(0%\);"--"</c:formatCode>
                <c:ptCount val="8"/>
                <c:pt idx="0">
                  <c:v>9.4947439810105116E-2</c:v>
                </c:pt>
                <c:pt idx="1">
                  <c:v>0.15620069422530758</c:v>
                </c:pt>
                <c:pt idx="2">
                  <c:v>0.35772891368559234</c:v>
                </c:pt>
                <c:pt idx="3">
                  <c:v>0.31684927450399769</c:v>
                </c:pt>
                <c:pt idx="4">
                  <c:v>0.39950449055435122</c:v>
                </c:pt>
                <c:pt idx="5">
                  <c:v>0.33187772925764203</c:v>
                </c:pt>
                <c:pt idx="6">
                  <c:v>0.2298767222625091</c:v>
                </c:pt>
                <c:pt idx="7">
                  <c:v>0.26714639082527536</c:v>
                </c:pt>
              </c:numCache>
            </c:numRef>
          </c:val>
          <c:extLst>
            <c:ext xmlns:c16="http://schemas.microsoft.com/office/drawing/2014/chart" uri="{C3380CC4-5D6E-409C-BE32-E72D297353CC}">
              <c16:uniqueId val="{00000000-7E9C-418A-99E0-CAB1AB838571}"/>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APAC</a:t>
            </a:r>
          </a:p>
        </c:rich>
      </c:tx>
      <c:overlay val="0"/>
      <c:spPr>
        <a:noFill/>
        <a:ln>
          <a:noFill/>
        </a:ln>
        <a:effectLst/>
      </c:spPr>
    </c:title>
    <c:autoTitleDeleted val="0"/>
    <c:plotArea>
      <c:layout/>
      <c:barChart>
        <c:barDir val="col"/>
        <c:grouping val="clustered"/>
        <c:varyColors val="0"/>
        <c:ser>
          <c:idx val="0"/>
          <c:order val="0"/>
          <c:tx>
            <c:strRef>
              <c:f>'Quarterly (2)'!$C$246:$G$246</c:f>
              <c:strCache>
                <c:ptCount val="5"/>
                <c:pt idx="0">
                  <c:v>APAC</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(2)'!$H$246:$AA$246</c:f>
              <c:numCache>
                <c:formatCode>0%;\(0%\);"--"</c:formatCode>
                <c:ptCount val="8"/>
                <c:pt idx="0">
                  <c:v>4.0982158629217391E-2</c:v>
                </c:pt>
                <c:pt idx="1">
                  <c:v>0.10282776349614386</c:v>
                </c:pt>
                <c:pt idx="2">
                  <c:v>0.19450760888577934</c:v>
                </c:pt>
                <c:pt idx="3">
                  <c:v>0.22587131367292224</c:v>
                </c:pt>
                <c:pt idx="4">
                  <c:v>0.24520617681995582</c:v>
                </c:pt>
                <c:pt idx="5">
                  <c:v>0.1998445998445999</c:v>
                </c:pt>
                <c:pt idx="6">
                  <c:v>0.17879630985503003</c:v>
                </c:pt>
                <c:pt idx="7">
                  <c:v>0.23182066703116466</c:v>
                </c:pt>
              </c:numCache>
            </c:numRef>
          </c:val>
          <c:extLst>
            <c:ext xmlns:c16="http://schemas.microsoft.com/office/drawing/2014/chart" uri="{C3380CC4-5D6E-409C-BE32-E72D297353CC}">
              <c16:uniqueId val="{00000000-700E-4331-A321-EF4386019F62}"/>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EU</a:t>
            </a:r>
          </a:p>
        </c:rich>
      </c:tx>
      <c:overlay val="0"/>
      <c:spPr>
        <a:noFill/>
        <a:ln>
          <a:noFill/>
        </a:ln>
        <a:effectLst/>
      </c:spPr>
    </c:title>
    <c:autoTitleDeleted val="0"/>
    <c:plotArea>
      <c:layout/>
      <c:barChart>
        <c:barDir val="col"/>
        <c:grouping val="clustered"/>
        <c:varyColors val="0"/>
        <c:ser>
          <c:idx val="0"/>
          <c:order val="0"/>
          <c:tx>
            <c:strRef>
              <c:f>'Quarterly (2)'!$C$245:$G$245</c:f>
              <c:strCache>
                <c:ptCount val="5"/>
                <c:pt idx="0">
                  <c:v>EU</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(2)'!$H$245:$AA$245</c:f>
              <c:numCache>
                <c:formatCode>0%;\(0%\);"--"</c:formatCode>
                <c:ptCount val="8"/>
                <c:pt idx="0">
                  <c:v>-1.492771841609053E-2</c:v>
                </c:pt>
                <c:pt idx="1">
                  <c:v>0.14276729559748436</c:v>
                </c:pt>
                <c:pt idx="2">
                  <c:v>0.35289994743297703</c:v>
                </c:pt>
                <c:pt idx="3">
                  <c:v>0.32662224797219008</c:v>
                </c:pt>
                <c:pt idx="4">
                  <c:v>0.32828202265114048</c:v>
                </c:pt>
                <c:pt idx="5">
                  <c:v>0.25687947165657676</c:v>
                </c:pt>
                <c:pt idx="6">
                  <c:v>0.21201916850148939</c:v>
                </c:pt>
                <c:pt idx="7">
                  <c:v>0.21781853914182769</c:v>
                </c:pt>
              </c:numCache>
            </c:numRef>
          </c:val>
          <c:extLst>
            <c:ext xmlns:c16="http://schemas.microsoft.com/office/drawing/2014/chart" uri="{C3380CC4-5D6E-409C-BE32-E72D297353CC}">
              <c16:uniqueId val="{00000000-B4BE-4000-9BF5-49A5AD8671F6}"/>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ROW</a:t>
            </a:r>
          </a:p>
        </c:rich>
      </c:tx>
      <c:overlay val="0"/>
      <c:spPr>
        <a:noFill/>
        <a:ln>
          <a:noFill/>
        </a:ln>
        <a:effectLst/>
      </c:spPr>
    </c:title>
    <c:autoTitleDeleted val="0"/>
    <c:plotArea>
      <c:layout/>
      <c:barChart>
        <c:barDir val="col"/>
        <c:grouping val="clustered"/>
        <c:varyColors val="0"/>
        <c:ser>
          <c:idx val="0"/>
          <c:order val="0"/>
          <c:tx>
            <c:strRef>
              <c:f>'Quarterly (2)'!$C$247:$G$247</c:f>
              <c:strCache>
                <c:ptCount val="5"/>
                <c:pt idx="0">
                  <c:v>ROW</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(2)'!$H$247:$AA$247</c:f>
              <c:numCache>
                <c:formatCode>0%;\(0%\);"--"</c:formatCode>
                <c:ptCount val="8"/>
                <c:pt idx="0">
                  <c:v>9.4947439810105116E-2</c:v>
                </c:pt>
                <c:pt idx="1">
                  <c:v>0.15620069422530758</c:v>
                </c:pt>
                <c:pt idx="2">
                  <c:v>0.35772891368559234</c:v>
                </c:pt>
                <c:pt idx="3">
                  <c:v>0.31684927450399769</c:v>
                </c:pt>
                <c:pt idx="4">
                  <c:v>0.39950449055435122</c:v>
                </c:pt>
                <c:pt idx="5">
                  <c:v>0.33187772925764203</c:v>
                </c:pt>
                <c:pt idx="6">
                  <c:v>0.2298767222625091</c:v>
                </c:pt>
                <c:pt idx="7">
                  <c:v>0.26714639082527536</c:v>
                </c:pt>
              </c:numCache>
            </c:numRef>
          </c:val>
          <c:extLst>
            <c:ext xmlns:c16="http://schemas.microsoft.com/office/drawing/2014/chart" uri="{C3380CC4-5D6E-409C-BE32-E72D297353CC}">
              <c16:uniqueId val="{00000000-8EAD-4F5D-B0A6-65977D815E68}"/>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APAC</a:t>
            </a:r>
          </a:p>
        </c:rich>
      </c:tx>
      <c:overlay val="0"/>
      <c:spPr>
        <a:noFill/>
        <a:ln>
          <a:noFill/>
        </a:ln>
        <a:effectLst/>
      </c:spPr>
    </c:title>
    <c:autoTitleDeleted val="0"/>
    <c:plotArea>
      <c:layout/>
      <c:barChart>
        <c:barDir val="col"/>
        <c:grouping val="clustered"/>
        <c:varyColors val="0"/>
        <c:ser>
          <c:idx val="0"/>
          <c:order val="0"/>
          <c:tx>
            <c:strRef>
              <c:f>'Quarterly (2)'!$C$246:$G$246</c:f>
              <c:strCache>
                <c:ptCount val="5"/>
                <c:pt idx="0">
                  <c:v>APAC</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(2)'!$H$246:$AA$246</c:f>
              <c:numCache>
                <c:formatCode>0%;\(0%\);"--"</c:formatCode>
                <c:ptCount val="8"/>
                <c:pt idx="0">
                  <c:v>4.0982158629217391E-2</c:v>
                </c:pt>
                <c:pt idx="1">
                  <c:v>0.10282776349614386</c:v>
                </c:pt>
                <c:pt idx="2">
                  <c:v>0.19450760888577934</c:v>
                </c:pt>
                <c:pt idx="3">
                  <c:v>0.22587131367292224</c:v>
                </c:pt>
                <c:pt idx="4">
                  <c:v>0.24520617681995582</c:v>
                </c:pt>
                <c:pt idx="5">
                  <c:v>0.1998445998445999</c:v>
                </c:pt>
                <c:pt idx="6">
                  <c:v>0.17879630985503003</c:v>
                </c:pt>
                <c:pt idx="7">
                  <c:v>0.23182066703116466</c:v>
                </c:pt>
              </c:numCache>
            </c:numRef>
          </c:val>
          <c:extLst>
            <c:ext xmlns:c16="http://schemas.microsoft.com/office/drawing/2014/chart" uri="{C3380CC4-5D6E-409C-BE32-E72D297353CC}">
              <c16:uniqueId val="{00000000-3617-40FF-8C59-A1B128C5CA29}"/>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b="0"/>
            </a:pPr>
            <a:r>
              <a:rPr lang="en-US" b="0"/>
              <a:t>US &amp; Canada</a:t>
            </a:r>
          </a:p>
        </c:rich>
      </c:tx>
      <c:overlay val="0"/>
      <c:spPr>
        <a:noFill/>
        <a:ln>
          <a:noFill/>
        </a:ln>
        <a:effectLst/>
      </c:spPr>
    </c:title>
    <c:autoTitleDeleted val="0"/>
    <c:plotArea>
      <c:layout/>
      <c:barChart>
        <c:barDir val="col"/>
        <c:grouping val="clustered"/>
        <c:varyColors val="0"/>
        <c:ser>
          <c:idx val="0"/>
          <c:order val="0"/>
          <c:tx>
            <c:strRef>
              <c:f>'Quarterly (2)'!$C$244:$G$244</c:f>
              <c:strCache>
                <c:ptCount val="5"/>
                <c:pt idx="0">
                  <c:v>US &amp; Canada</c:v>
                </c:pt>
              </c:strCache>
            </c:strRef>
          </c:tx>
          <c:spPr>
            <a:solidFill>
              <a:srgbClr val="0E2841"/>
            </a:solidFill>
            <a:ln>
              <a:solidFill>
                <a:srgbClr val="0E2841"/>
              </a:solid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(2)'!$H$243:$AA$243</c:f>
              <c:strCache>
                <c:ptCount val="8"/>
                <c:pt idx="0">
                  <c:v>Q1 '23</c:v>
                </c:pt>
                <c:pt idx="1">
                  <c:v>Q2 '23</c:v>
                </c:pt>
                <c:pt idx="2">
                  <c:v>Q3 '23</c:v>
                </c:pt>
                <c:pt idx="3">
                  <c:v>Q4 '23</c:v>
                </c:pt>
                <c:pt idx="4">
                  <c:v>Q1 '24</c:v>
                </c:pt>
                <c:pt idx="5">
                  <c:v>Q2 '24</c:v>
                </c:pt>
                <c:pt idx="6">
                  <c:v>Q3 '24</c:v>
                </c:pt>
                <c:pt idx="7">
                  <c:v>Q4 '24</c:v>
                </c:pt>
              </c:strCache>
            </c:strRef>
          </c:cat>
          <c:val>
            <c:numRef>
              <c:f>'Quarterly (2)'!$H$244:$AA$244</c:f>
              <c:numCache>
                <c:formatCode>0%;\(0%\);"--"</c:formatCode>
                <c:ptCount val="8"/>
                <c:pt idx="0">
                  <c:v>5.7052561543579516E-2</c:v>
                </c:pt>
                <c:pt idx="1">
                  <c:v>0.10502033156083823</c:v>
                </c:pt>
                <c:pt idx="2">
                  <c:v>0.17154942816857277</c:v>
                </c:pt>
                <c:pt idx="3">
                  <c:v>0.18520493168943686</c:v>
                </c:pt>
                <c:pt idx="4">
                  <c:v>0.21565696302124304</c:v>
                </c:pt>
                <c:pt idx="5">
                  <c:v>0.17422687707876294</c:v>
                </c:pt>
                <c:pt idx="6">
                  <c:v>0.1626771864134795</c:v>
                </c:pt>
                <c:pt idx="7">
                  <c:v>0.17982456140350878</c:v>
                </c:pt>
              </c:numCache>
            </c:numRef>
          </c:val>
          <c:extLst>
            <c:ext xmlns:c16="http://schemas.microsoft.com/office/drawing/2014/chart" uri="{C3380CC4-5D6E-409C-BE32-E72D297353CC}">
              <c16:uniqueId val="{00000000-2BD1-44AF-A713-895B27A9C98A}"/>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US &amp; Canada</a:t>
            </a:r>
          </a:p>
        </c:rich>
      </c:tx>
      <c:overlay val="0"/>
      <c:spPr>
        <a:noFill/>
        <a:ln>
          <a:noFill/>
        </a:ln>
        <a:effectLst/>
      </c:spPr>
    </c:title>
    <c:autoTitleDeleted val="0"/>
    <c:plotArea>
      <c:layout/>
      <c:barChart>
        <c:barDir val="col"/>
        <c:grouping val="clustered"/>
        <c:varyColors val="0"/>
        <c:ser>
          <c:idx val="0"/>
          <c:order val="0"/>
          <c:tx>
            <c:strRef>
              <c:f>'Quarterly (2)'!$C$200</c:f>
              <c:strCache>
                <c:ptCount val="1"/>
                <c:pt idx="0">
                  <c:v>US &amp; Canada</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(2)'!$D$200:$AA$200</c:f>
              <c:numCache>
                <c:formatCode>0%;\(0%\);"--"</c:formatCode>
                <c:ptCount val="8"/>
                <c:pt idx="0">
                  <c:v>-0.13</c:v>
                </c:pt>
                <c:pt idx="1">
                  <c:v>-0.14000000000000001</c:v>
                </c:pt>
                <c:pt idx="2">
                  <c:v>-7.0000000000000007E-2</c:v>
                </c:pt>
                <c:pt idx="3">
                  <c:v>0.02</c:v>
                </c:pt>
                <c:pt idx="4">
                  <c:v>0.05</c:v>
                </c:pt>
                <c:pt idx="5">
                  <c:v>0.09</c:v>
                </c:pt>
                <c:pt idx="6">
                  <c:v>0.09</c:v>
                </c:pt>
                <c:pt idx="7">
                  <c:v>0.12</c:v>
                </c:pt>
              </c:numCache>
            </c:numRef>
          </c:val>
          <c:extLst>
            <c:ext xmlns:c16="http://schemas.microsoft.com/office/drawing/2014/chart" uri="{C3380CC4-5D6E-409C-BE32-E72D297353CC}">
              <c16:uniqueId val="{00000000-691C-466A-A446-C7E8C7A8CC20}"/>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EU</a:t>
            </a:r>
          </a:p>
        </c:rich>
      </c:tx>
      <c:overlay val="0"/>
      <c:spPr>
        <a:noFill/>
        <a:ln>
          <a:noFill/>
        </a:ln>
        <a:effectLst/>
      </c:spPr>
    </c:title>
    <c:autoTitleDeleted val="0"/>
    <c:plotArea>
      <c:layout/>
      <c:barChart>
        <c:barDir val="col"/>
        <c:grouping val="clustered"/>
        <c:varyColors val="0"/>
        <c:ser>
          <c:idx val="0"/>
          <c:order val="0"/>
          <c:tx>
            <c:strRef>
              <c:f>'Quarterly (2)'!$C$201</c:f>
              <c:strCache>
                <c:ptCount val="1"/>
                <c:pt idx="0">
                  <c:v>EU</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(2)'!$D$201:$AA$201</c:f>
              <c:numCache>
                <c:formatCode>0%;\(0%\);"--"</c:formatCode>
                <c:ptCount val="8"/>
                <c:pt idx="0">
                  <c:v>-0.11</c:v>
                </c:pt>
                <c:pt idx="1">
                  <c:v>-0.09</c:v>
                </c:pt>
                <c:pt idx="2">
                  <c:v>0.08</c:v>
                </c:pt>
                <c:pt idx="3">
                  <c:v>0.14000000000000001</c:v>
                </c:pt>
                <c:pt idx="4">
                  <c:v>0.18</c:v>
                </c:pt>
                <c:pt idx="5">
                  <c:v>0.18</c:v>
                </c:pt>
                <c:pt idx="6">
                  <c:v>0.16</c:v>
                </c:pt>
                <c:pt idx="7">
                  <c:v>0.16</c:v>
                </c:pt>
              </c:numCache>
            </c:numRef>
          </c:val>
          <c:extLst>
            <c:ext xmlns:c16="http://schemas.microsoft.com/office/drawing/2014/chart" uri="{C3380CC4-5D6E-409C-BE32-E72D297353CC}">
              <c16:uniqueId val="{00000000-5B48-40AE-8545-ED933B9A1421}"/>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ROW</a:t>
            </a:r>
          </a:p>
        </c:rich>
      </c:tx>
      <c:overlay val="0"/>
      <c:spPr>
        <a:noFill/>
        <a:ln>
          <a:noFill/>
        </a:ln>
        <a:effectLst/>
      </c:spPr>
    </c:title>
    <c:autoTitleDeleted val="0"/>
    <c:plotArea>
      <c:layout/>
      <c:barChart>
        <c:barDir val="col"/>
        <c:grouping val="clustered"/>
        <c:varyColors val="0"/>
        <c:ser>
          <c:idx val="0"/>
          <c:order val="0"/>
          <c:tx>
            <c:strRef>
              <c:f>'Quarterly (2)'!$C$203</c:f>
              <c:strCache>
                <c:ptCount val="1"/>
                <c:pt idx="0">
                  <c:v>ROW</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(2)'!$D$203:$AA$203</c:f>
              <c:numCache>
                <c:formatCode>0%;\(0%\);"--"</c:formatCode>
                <c:ptCount val="8"/>
                <c:pt idx="0">
                  <c:v>-0.15</c:v>
                </c:pt>
                <c:pt idx="1">
                  <c:v>-0.12</c:v>
                </c:pt>
                <c:pt idx="2">
                  <c:v>7.0000000000000007E-2</c:v>
                </c:pt>
                <c:pt idx="3">
                  <c:v>0.13</c:v>
                </c:pt>
                <c:pt idx="4">
                  <c:v>0.2</c:v>
                </c:pt>
                <c:pt idx="5">
                  <c:v>0.24</c:v>
                </c:pt>
                <c:pt idx="6">
                  <c:v>0.17</c:v>
                </c:pt>
                <c:pt idx="7">
                  <c:v>0.23</c:v>
                </c:pt>
              </c:numCache>
            </c:numRef>
          </c:val>
          <c:extLst>
            <c:ext xmlns:c16="http://schemas.microsoft.com/office/drawing/2014/chart" uri="{C3380CC4-5D6E-409C-BE32-E72D297353CC}">
              <c16:uniqueId val="{00000000-789B-4537-987A-B4264DD22CF7}"/>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APAC</a:t>
            </a:r>
          </a:p>
        </c:rich>
      </c:tx>
      <c:overlay val="0"/>
      <c:spPr>
        <a:noFill/>
        <a:ln>
          <a:noFill/>
        </a:ln>
        <a:effectLst/>
      </c:spPr>
    </c:title>
    <c:autoTitleDeleted val="0"/>
    <c:plotArea>
      <c:layout/>
      <c:barChart>
        <c:barDir val="col"/>
        <c:grouping val="clustered"/>
        <c:varyColors val="0"/>
        <c:ser>
          <c:idx val="0"/>
          <c:order val="0"/>
          <c:tx>
            <c:strRef>
              <c:f>'Quarterly (2)'!$C$202</c:f>
              <c:strCache>
                <c:ptCount val="1"/>
                <c:pt idx="0">
                  <c:v>APAC</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(2)'!$D$202:$AA$202</c:f>
              <c:numCache>
                <c:formatCode>0%;\(0%\);"--"</c:formatCode>
                <c:ptCount val="8"/>
                <c:pt idx="0">
                  <c:v>-0.22</c:v>
                </c:pt>
                <c:pt idx="1">
                  <c:v>-0.22</c:v>
                </c:pt>
                <c:pt idx="2">
                  <c:v>-0.14000000000000001</c:v>
                </c:pt>
                <c:pt idx="3">
                  <c:v>-0.06</c:v>
                </c:pt>
                <c:pt idx="4">
                  <c:v>-0.03</c:v>
                </c:pt>
                <c:pt idx="5">
                  <c:v>0.04</c:v>
                </c:pt>
                <c:pt idx="6">
                  <c:v>0.08</c:v>
                </c:pt>
                <c:pt idx="7">
                  <c:v>0.12</c:v>
                </c:pt>
              </c:numCache>
            </c:numRef>
          </c:val>
          <c:extLst>
            <c:ext xmlns:c16="http://schemas.microsoft.com/office/drawing/2014/chart" uri="{C3380CC4-5D6E-409C-BE32-E72D297353CC}">
              <c16:uniqueId val="{00000000-34F6-441D-BD84-3CF025B3813B}"/>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Total</a:t>
            </a:r>
          </a:p>
        </c:rich>
      </c:tx>
      <c:overlay val="0"/>
      <c:spPr>
        <a:noFill/>
        <a:ln>
          <a:noFill/>
        </a:ln>
        <a:effectLst/>
      </c:spPr>
    </c:title>
    <c:autoTitleDeleted val="0"/>
    <c:plotArea>
      <c:layout/>
      <c:barChart>
        <c:barDir val="col"/>
        <c:grouping val="clustered"/>
        <c:varyColors val="0"/>
        <c:ser>
          <c:idx val="0"/>
          <c:order val="0"/>
          <c:tx>
            <c:strRef>
              <c:f>'Quarterly (2)'!$C$204</c:f>
              <c:strCache>
                <c:ptCount val="1"/>
                <c:pt idx="0">
                  <c:v>Total</c:v>
                </c:pt>
              </c:strCache>
            </c:strRef>
          </c:tx>
          <c:spPr>
            <a:solidFill>
              <a:srgbClr val="0E2841"/>
            </a:solidFill>
            <a:ln>
              <a:solidFill>
                <a:srgbClr val="0E2841"/>
              </a:solidFill>
            </a:ln>
            <a:effectLst/>
          </c:spPr>
          <c:invertIfNegative val="0"/>
          <c:dLbls>
            <c:dLbl>
              <c:idx val="4"/>
              <c:layout>
                <c:manualLayout>
                  <c:x val="2.5254358542605479E-2"/>
                  <c:y val="3.5025662098693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C33-44C3-90A8-62A7FB856352}"/>
                </c:ext>
              </c:extLst>
            </c:dLbl>
            <c:dLbl>
              <c:idx val="5"/>
              <c:layout>
                <c:manualLayout>
                  <c:x val="3.88445309367004E-2"/>
                  <c:y val="3.512660060618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33-44C3-90A8-62A7FB856352}"/>
                </c:ext>
              </c:extLst>
            </c:dLbl>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(2)'!$D$204:$AA$204</c:f>
              <c:numCache>
                <c:formatCode>0%;\(0%\);"--"</c:formatCode>
                <c:ptCount val="8"/>
                <c:pt idx="0">
                  <c:v>-0.17</c:v>
                </c:pt>
                <c:pt idx="1">
                  <c:v>-0.16</c:v>
                </c:pt>
                <c:pt idx="2">
                  <c:v>-0.06</c:v>
                </c:pt>
                <c:pt idx="3">
                  <c:v>0.02</c:v>
                </c:pt>
                <c:pt idx="4">
                  <c:v>0.06</c:v>
                </c:pt>
                <c:pt idx="5">
                  <c:v>0.1</c:v>
                </c:pt>
                <c:pt idx="6">
                  <c:v>0.11</c:v>
                </c:pt>
                <c:pt idx="7">
                  <c:v>0.14000000000000001</c:v>
                </c:pt>
              </c:numCache>
            </c:numRef>
          </c:val>
          <c:extLst>
            <c:ext xmlns:c16="http://schemas.microsoft.com/office/drawing/2014/chart" uri="{C3380CC4-5D6E-409C-BE32-E72D297353CC}">
              <c16:uniqueId val="{00000002-DC33-44C3-90A8-62A7FB856352}"/>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US &amp; Canada</a:t>
            </a:r>
          </a:p>
        </c:rich>
      </c:tx>
      <c:overlay val="0"/>
      <c:spPr>
        <a:noFill/>
        <a:ln>
          <a:noFill/>
        </a:ln>
        <a:effectLst/>
      </c:spPr>
    </c:title>
    <c:autoTitleDeleted val="0"/>
    <c:plotArea>
      <c:layout/>
      <c:barChart>
        <c:barDir val="col"/>
        <c:grouping val="clustered"/>
        <c:varyColors val="0"/>
        <c:ser>
          <c:idx val="0"/>
          <c:order val="0"/>
          <c:tx>
            <c:strRef>
              <c:f>'Quarterly (2)'!$C$200</c:f>
              <c:strCache>
                <c:ptCount val="1"/>
                <c:pt idx="0">
                  <c:v>US &amp; Canada</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(2)'!$D$193:$AA$193</c:f>
              <c:numCache>
                <c:formatCode>0%;\(0%\);"--"</c:formatCode>
                <c:ptCount val="8"/>
                <c:pt idx="0">
                  <c:v>0.22</c:v>
                </c:pt>
                <c:pt idx="1">
                  <c:v>0.28000000000000003</c:v>
                </c:pt>
                <c:pt idx="2">
                  <c:v>0.26</c:v>
                </c:pt>
                <c:pt idx="3">
                  <c:v>0.16</c:v>
                </c:pt>
                <c:pt idx="4">
                  <c:v>0.16</c:v>
                </c:pt>
                <c:pt idx="5">
                  <c:v>0.08</c:v>
                </c:pt>
                <c:pt idx="6">
                  <c:v>7.0000000000000007E-2</c:v>
                </c:pt>
                <c:pt idx="7">
                  <c:v>0.06</c:v>
                </c:pt>
              </c:numCache>
            </c:numRef>
          </c:val>
          <c:extLst>
            <c:ext xmlns:c16="http://schemas.microsoft.com/office/drawing/2014/chart" uri="{C3380CC4-5D6E-409C-BE32-E72D297353CC}">
              <c16:uniqueId val="{00000000-1C29-4B8C-9B72-D6289B97BEE7}"/>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EU</a:t>
            </a:r>
          </a:p>
        </c:rich>
      </c:tx>
      <c:overlay val="0"/>
      <c:spPr>
        <a:noFill/>
        <a:ln>
          <a:noFill/>
        </a:ln>
        <a:effectLst/>
      </c:spPr>
    </c:title>
    <c:autoTitleDeleted val="0"/>
    <c:plotArea>
      <c:layout/>
      <c:barChart>
        <c:barDir val="col"/>
        <c:grouping val="clustered"/>
        <c:varyColors val="0"/>
        <c:ser>
          <c:idx val="0"/>
          <c:order val="0"/>
          <c:tx>
            <c:strRef>
              <c:f>'Quarterly (2)'!$C$201</c:f>
              <c:strCache>
                <c:ptCount val="1"/>
                <c:pt idx="0">
                  <c:v>EU</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(2)'!$D$194:$AA$194</c:f>
              <c:numCache>
                <c:formatCode>0%;\(0%\);"--"</c:formatCode>
                <c:ptCount val="8"/>
                <c:pt idx="0">
                  <c:v>0.11</c:v>
                </c:pt>
                <c:pt idx="1">
                  <c:v>0.26</c:v>
                </c:pt>
                <c:pt idx="2">
                  <c:v>0.25</c:v>
                </c:pt>
                <c:pt idx="3">
                  <c:v>0.17</c:v>
                </c:pt>
                <c:pt idx="4">
                  <c:v>0.12</c:v>
                </c:pt>
                <c:pt idx="5">
                  <c:v>0.06</c:v>
                </c:pt>
                <c:pt idx="6">
                  <c:v>0.05</c:v>
                </c:pt>
                <c:pt idx="7">
                  <c:v>0.05</c:v>
                </c:pt>
              </c:numCache>
            </c:numRef>
          </c:val>
          <c:extLst>
            <c:ext xmlns:c16="http://schemas.microsoft.com/office/drawing/2014/chart" uri="{C3380CC4-5D6E-409C-BE32-E72D297353CC}">
              <c16:uniqueId val="{00000000-AB6F-4E09-98A2-E5B2DEB95196}"/>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ROW</a:t>
            </a:r>
          </a:p>
        </c:rich>
      </c:tx>
      <c:overlay val="0"/>
      <c:spPr>
        <a:noFill/>
        <a:ln>
          <a:noFill/>
        </a:ln>
        <a:effectLst/>
      </c:spPr>
    </c:title>
    <c:autoTitleDeleted val="0"/>
    <c:plotArea>
      <c:layout/>
      <c:barChart>
        <c:barDir val="col"/>
        <c:grouping val="clustered"/>
        <c:varyColors val="0"/>
        <c:ser>
          <c:idx val="0"/>
          <c:order val="0"/>
          <c:tx>
            <c:strRef>
              <c:f>'Quarterly (2)'!$C$203</c:f>
              <c:strCache>
                <c:ptCount val="1"/>
                <c:pt idx="0">
                  <c:v>ROW</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(2)'!$D$196:$AA$196</c:f>
              <c:numCache>
                <c:formatCode>0%;\(0%\);"--"</c:formatCode>
                <c:ptCount val="8"/>
                <c:pt idx="0">
                  <c:v>0.28000000000000003</c:v>
                </c:pt>
                <c:pt idx="1">
                  <c:v>0.31</c:v>
                </c:pt>
                <c:pt idx="2">
                  <c:v>0.27</c:v>
                </c:pt>
                <c:pt idx="3">
                  <c:v>0.17</c:v>
                </c:pt>
                <c:pt idx="4">
                  <c:v>0.17</c:v>
                </c:pt>
                <c:pt idx="5">
                  <c:v>0.08</c:v>
                </c:pt>
                <c:pt idx="6">
                  <c:v>0.05</c:v>
                </c:pt>
                <c:pt idx="7">
                  <c:v>0.03</c:v>
                </c:pt>
              </c:numCache>
            </c:numRef>
          </c:val>
          <c:extLst>
            <c:ext xmlns:c16="http://schemas.microsoft.com/office/drawing/2014/chart" uri="{C3380CC4-5D6E-409C-BE32-E72D297353CC}">
              <c16:uniqueId val="{00000000-917D-46E8-A97E-1B9B68FAE055}"/>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APAC</a:t>
            </a:r>
          </a:p>
        </c:rich>
      </c:tx>
      <c:overlay val="0"/>
      <c:spPr>
        <a:noFill/>
        <a:ln>
          <a:noFill/>
        </a:ln>
        <a:effectLst/>
      </c:spPr>
    </c:title>
    <c:autoTitleDeleted val="0"/>
    <c:plotArea>
      <c:layout/>
      <c:barChart>
        <c:barDir val="col"/>
        <c:grouping val="clustered"/>
        <c:varyColors val="0"/>
        <c:ser>
          <c:idx val="0"/>
          <c:order val="0"/>
          <c:tx>
            <c:strRef>
              <c:f>'Quarterly (2)'!$C$202</c:f>
              <c:strCache>
                <c:ptCount val="1"/>
                <c:pt idx="0">
                  <c:v>APAC</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(2)'!$D$195:$AA$195</c:f>
              <c:numCache>
                <c:formatCode>0%;\(0%\);"--"</c:formatCode>
                <c:ptCount val="8"/>
                <c:pt idx="0">
                  <c:v>0.34</c:v>
                </c:pt>
                <c:pt idx="1">
                  <c:v>0.42</c:v>
                </c:pt>
                <c:pt idx="2">
                  <c:v>0.39</c:v>
                </c:pt>
                <c:pt idx="3">
                  <c:v>0.3</c:v>
                </c:pt>
                <c:pt idx="4">
                  <c:v>0.28000000000000003</c:v>
                </c:pt>
                <c:pt idx="5">
                  <c:v>0.15</c:v>
                </c:pt>
                <c:pt idx="6">
                  <c:v>0.09</c:v>
                </c:pt>
                <c:pt idx="7">
                  <c:v>0.1</c:v>
                </c:pt>
              </c:numCache>
            </c:numRef>
          </c:val>
          <c:extLst>
            <c:ext xmlns:c16="http://schemas.microsoft.com/office/drawing/2014/chart" uri="{C3380CC4-5D6E-409C-BE32-E72D297353CC}">
              <c16:uniqueId val="{00000000-90C6-4EA1-8C5E-49BB4B82B8A2}"/>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Total</a:t>
            </a:r>
          </a:p>
        </c:rich>
      </c:tx>
      <c:overlay val="0"/>
      <c:spPr>
        <a:noFill/>
        <a:ln>
          <a:noFill/>
        </a:ln>
        <a:effectLst/>
      </c:spPr>
    </c:title>
    <c:autoTitleDeleted val="0"/>
    <c:plotArea>
      <c:layout/>
      <c:barChart>
        <c:barDir val="col"/>
        <c:grouping val="clustered"/>
        <c:varyColors val="0"/>
        <c:ser>
          <c:idx val="0"/>
          <c:order val="0"/>
          <c:tx>
            <c:strRef>
              <c:f>'Quarterly (2)'!$C$204</c:f>
              <c:strCache>
                <c:ptCount val="1"/>
                <c:pt idx="0">
                  <c:v>Total</c:v>
                </c:pt>
              </c:strCache>
            </c:strRef>
          </c:tx>
          <c:spPr>
            <a:solidFill>
              <a:srgbClr val="0E2841"/>
            </a:solidFill>
            <a:ln>
              <a:solidFill>
                <a:srgbClr val="0E2841"/>
              </a:solidFill>
            </a:ln>
            <a:effectLst/>
          </c:spPr>
          <c:invertIfNegative val="0"/>
          <c:dLbls>
            <c:spPr>
              <a:noFill/>
              <a:ln>
                <a:noFill/>
              </a:ln>
              <a:effectLst/>
            </c:spPr>
            <c:txPr>
              <a:bodyPr wrap="square" lIns="38100" tIns="19050" rIns="38100" bIns="19050" anchor="ctr">
                <a:spAutoFit/>
              </a:bodyPr>
              <a:lstStyle/>
              <a:p>
                <a:pPr>
                  <a:defRPr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(2)'!$D$199:$AA$199</c:f>
              <c:strCache>
                <c:ptCount val="8"/>
                <c:pt idx="0">
                  <c:v>Q1 '23</c:v>
                </c:pt>
                <c:pt idx="1">
                  <c:v>Q2 '23</c:v>
                </c:pt>
                <c:pt idx="2">
                  <c:v>Q3 '23</c:v>
                </c:pt>
                <c:pt idx="3">
                  <c:v>Q4 '23</c:v>
                </c:pt>
                <c:pt idx="4">
                  <c:v>Q1 '24</c:v>
                </c:pt>
                <c:pt idx="5">
                  <c:v>Q2 '24</c:v>
                </c:pt>
                <c:pt idx="6">
                  <c:v>Q3 '24</c:v>
                </c:pt>
                <c:pt idx="7">
                  <c:v>Q4 '24</c:v>
                </c:pt>
              </c:strCache>
            </c:strRef>
          </c:cat>
          <c:val>
            <c:numRef>
              <c:f>'Quarterly (2)'!$D$197:$AA$197</c:f>
              <c:numCache>
                <c:formatCode>0%;\(0%\);"--"</c:formatCode>
                <c:ptCount val="8"/>
                <c:pt idx="0">
                  <c:v>0.26</c:v>
                </c:pt>
                <c:pt idx="1">
                  <c:v>0.34</c:v>
                </c:pt>
                <c:pt idx="2">
                  <c:v>0.31</c:v>
                </c:pt>
                <c:pt idx="3">
                  <c:v>0.21</c:v>
                </c:pt>
                <c:pt idx="4">
                  <c:v>0.2</c:v>
                </c:pt>
                <c:pt idx="5">
                  <c:v>0.1</c:v>
                </c:pt>
                <c:pt idx="6">
                  <c:v>7.0000000000000007E-2</c:v>
                </c:pt>
                <c:pt idx="7">
                  <c:v>0.06</c:v>
                </c:pt>
              </c:numCache>
            </c:numRef>
          </c:val>
          <c:extLst>
            <c:ext xmlns:c16="http://schemas.microsoft.com/office/drawing/2014/chart" uri="{C3380CC4-5D6E-409C-BE32-E72D297353CC}">
              <c16:uniqueId val="{00000000-B68E-4885-85A9-E917946700DC}"/>
            </c:ext>
          </c:extLst>
        </c:ser>
        <c:dLbls>
          <c:dLblPos val="outEnd"/>
          <c:showLegendKey val="0"/>
          <c:showVal val="1"/>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DAP, EoP</a:t>
            </a:r>
          </a:p>
        </c:rich>
      </c:tx>
      <c:overlay val="0"/>
      <c:spPr>
        <a:noFill/>
        <a:ln>
          <a:noFill/>
        </a:ln>
        <a:effectLst/>
      </c:spPr>
    </c:title>
    <c:autoTitleDeleted val="0"/>
    <c:plotArea>
      <c:layout/>
      <c:barChart>
        <c:barDir val="col"/>
        <c:grouping val="clustered"/>
        <c:varyColors val="0"/>
        <c:ser>
          <c:idx val="0"/>
          <c:order val="0"/>
          <c:tx>
            <c:strRef>
              <c:f>'Quarterly (2)'!$C$18:$K$18</c:f>
              <c:strCache>
                <c:ptCount val="9"/>
                <c:pt idx="0">
                  <c:v>DAP, EoP</c:v>
                </c:pt>
                <c:pt idx="1">
                  <c:v>2,100</c:v>
                </c:pt>
                <c:pt idx="2">
                  <c:v>2,140</c:v>
                </c:pt>
                <c:pt idx="3">
                  <c:v>2,200</c:v>
                </c:pt>
                <c:pt idx="4">
                  <c:v>2,260</c:v>
                </c:pt>
                <c:pt idx="5">
                  <c:v>2,360</c:v>
                </c:pt>
                <c:pt idx="6">
                  <c:v>2,470</c:v>
                </c:pt>
                <c:pt idx="7">
                  <c:v>2,540</c:v>
                </c:pt>
                <c:pt idx="8">
                  <c:v>2,600</c:v>
                </c:pt>
              </c:strCache>
            </c:strRef>
          </c:tx>
          <c:spPr>
            <a:solidFill>
              <a:srgbClr val="0E2841"/>
            </a:solidFill>
            <a:ln>
              <a:solidFill>
                <a:srgbClr val="0E2841"/>
              </a:solidFill>
            </a:ln>
            <a:effectLst/>
          </c:spPr>
          <c:invertIfNegative val="0"/>
          <c:dLbls>
            <c:spPr>
              <a:noFill/>
              <a:ln>
                <a:noFill/>
              </a:ln>
              <a:effectLst/>
            </c:spPr>
            <c:txPr>
              <a:bodyPr wrap="square" lIns="38100" tIns="19050" rIns="38100" bIns="19050" anchor="ctr">
                <a:spAutoFit/>
              </a:bodyPr>
              <a:lstStyle/>
              <a:p>
                <a:pPr>
                  <a:defRPr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(2)'!$L$5:$AA$5</c:f>
              <c:strCache>
                <c:ptCount val="8"/>
                <c:pt idx="0">
                  <c:v>Q1-2023</c:v>
                </c:pt>
                <c:pt idx="1">
                  <c:v>Q2-2023</c:v>
                </c:pt>
                <c:pt idx="2">
                  <c:v>Q3-2023</c:v>
                </c:pt>
                <c:pt idx="3">
                  <c:v>Q4-2023</c:v>
                </c:pt>
                <c:pt idx="4">
                  <c:v>Q1-2024</c:v>
                </c:pt>
                <c:pt idx="5">
                  <c:v>Q2-2024</c:v>
                </c:pt>
                <c:pt idx="6">
                  <c:v>Q3-2024</c:v>
                </c:pt>
                <c:pt idx="7">
                  <c:v>Q4-2024</c:v>
                </c:pt>
              </c:strCache>
            </c:strRef>
          </c:cat>
          <c:val>
            <c:numRef>
              <c:f>'Quarterly (2)'!$L$18:$AA$18</c:f>
              <c:numCache>
                <c:formatCode>#,##0;\(#,##0\);"--"</c:formatCode>
                <c:ptCount val="8"/>
                <c:pt idx="0">
                  <c:v>3020</c:v>
                </c:pt>
                <c:pt idx="1">
                  <c:v>3070</c:v>
                </c:pt>
                <c:pt idx="2">
                  <c:v>3140</c:v>
                </c:pt>
                <c:pt idx="3">
                  <c:v>3190</c:v>
                </c:pt>
                <c:pt idx="4">
                  <c:v>3240</c:v>
                </c:pt>
                <c:pt idx="5">
                  <c:v>3270</c:v>
                </c:pt>
                <c:pt idx="6">
                  <c:v>3290</c:v>
                </c:pt>
                <c:pt idx="7">
                  <c:v>3350</c:v>
                </c:pt>
              </c:numCache>
            </c:numRef>
          </c:val>
          <c:extLst>
            <c:ext xmlns:c16="http://schemas.microsoft.com/office/drawing/2014/chart" uri="{C3380CC4-5D6E-409C-BE32-E72D297353CC}">
              <c16:uniqueId val="{00000000-156B-438B-A3DF-C23A8122E327}"/>
            </c:ext>
          </c:extLst>
        </c:ser>
        <c:dLbls>
          <c:dLblPos val="outEnd"/>
          <c:showLegendKey val="0"/>
          <c:showVal val="1"/>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CA"/>
              <a:t>DAU Mix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B-4012-9CA0-502D811C10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B-4012-9CA0-502D811C10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B-4012-9CA0-502D811C10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2B-4012-9CA0-502D811C10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'Quarterly (2)'!$C$273:$C$276</c:f>
              <c:strCache>
                <c:ptCount val="4"/>
                <c:pt idx="0">
                  <c:v>US &amp; Canada</c:v>
                </c:pt>
                <c:pt idx="1">
                  <c:v>EU</c:v>
                </c:pt>
                <c:pt idx="2">
                  <c:v>APAC</c:v>
                </c:pt>
                <c:pt idx="3">
                  <c:v>ROW</c:v>
                </c:pt>
              </c:strCache>
            </c:strRef>
          </c:cat>
          <c:val>
            <c:numRef>
              <c:f>'Quarterly (2)'!$W$273:$W$276</c:f>
              <c:numCache>
                <c:formatCode>0%;\(0%\);"--"</c:formatCode>
                <c:ptCount val="4"/>
                <c:pt idx="0">
                  <c:v>9.7156398104265407E-2</c:v>
                </c:pt>
                <c:pt idx="1">
                  <c:v>0.14597156398104266</c:v>
                </c:pt>
                <c:pt idx="2">
                  <c:v>0.43317535545023694</c:v>
                </c:pt>
                <c:pt idx="3">
                  <c:v>0.32369668246445499</c:v>
                </c:pt>
              </c:numCache>
            </c:numRef>
          </c:val>
          <c:extLst>
            <c:ext xmlns:c16="http://schemas.microsoft.com/office/drawing/2014/chart" uri="{C3380CC4-5D6E-409C-BE32-E72D297353CC}">
              <c16:uniqueId val="{00000008-B92B-4012-9CA0-502D811C107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Incremental operating margin (y/y)</a:t>
            </a:r>
          </a:p>
        </c:rich>
      </c:tx>
      <c:overlay val="0"/>
      <c:spPr>
        <a:noFill/>
        <a:ln>
          <a:noFill/>
        </a:ln>
        <a:effectLst/>
      </c:spPr>
    </c:title>
    <c:autoTitleDeleted val="0"/>
    <c:plotArea>
      <c:layout/>
      <c:barChart>
        <c:barDir val="col"/>
        <c:grouping val="clustered"/>
        <c:varyColors val="0"/>
        <c:ser>
          <c:idx val="0"/>
          <c:order val="0"/>
          <c:tx>
            <c:strRef>
              <c:f>'Quarterly (2)'!$C$231:$K$231</c:f>
              <c:strCache>
                <c:ptCount val="9"/>
                <c:pt idx="0">
                  <c:v>Incremental operating margin (y/y)</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(2)'!$L$231:$AA$231</c:f>
              <c:numCache>
                <c:formatCode>0.0%;\(0.0%\);"--"</c:formatCode>
                <c:ptCount val="8"/>
                <c:pt idx="0">
                  <c:v>-1.7598371777476256</c:v>
                </c:pt>
                <c:pt idx="1">
                  <c:v>0.32546427447277304</c:v>
                </c:pt>
                <c:pt idx="2">
                  <c:v>1.2568407960199004</c:v>
                </c:pt>
                <c:pt idx="3">
                  <c:v>1.2566070979108985</c:v>
                </c:pt>
                <c:pt idx="4">
                  <c:v>0.84391805377720874</c:v>
                </c:pt>
                <c:pt idx="5">
                  <c:v>0.77135180995475117</c:v>
                </c:pt>
                <c:pt idx="6">
                  <c:v>0.55905634021418593</c:v>
                </c:pt>
                <c:pt idx="7">
                  <c:v>0.84372733865119653</c:v>
                </c:pt>
              </c:numCache>
            </c:numRef>
          </c:val>
          <c:extLst>
            <c:ext xmlns:c16="http://schemas.microsoft.com/office/drawing/2014/chart" uri="{C3380CC4-5D6E-409C-BE32-E72D297353CC}">
              <c16:uniqueId val="{00000000-3181-444C-8F54-FF9A47703228}"/>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y/y revenue</a:t>
            </a:r>
          </a:p>
        </c:rich>
      </c:tx>
      <c:overlay val="0"/>
      <c:spPr>
        <a:noFill/>
        <a:ln>
          <a:noFill/>
        </a:ln>
        <a:effectLst/>
      </c:spPr>
    </c:title>
    <c:autoTitleDeleted val="0"/>
    <c:plotArea>
      <c:layout/>
      <c:barChart>
        <c:barDir val="col"/>
        <c:grouping val="clustered"/>
        <c:varyColors val="0"/>
        <c:ser>
          <c:idx val="0"/>
          <c:order val="0"/>
          <c:tx>
            <c:strRef>
              <c:f>'Quarterly (2)'!$C$222:$K$222</c:f>
              <c:strCache>
                <c:ptCount val="9"/>
                <c:pt idx="0">
                  <c:v>y/y revenue</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(2)'!$L$222:$AA$222</c:f>
              <c:numCache>
                <c:formatCode>#,##0;\(#,##0\);"--"</c:formatCode>
                <c:ptCount val="8"/>
                <c:pt idx="0">
                  <c:v>737</c:v>
                </c:pt>
                <c:pt idx="1">
                  <c:v>3177</c:v>
                </c:pt>
                <c:pt idx="2">
                  <c:v>6432</c:v>
                </c:pt>
                <c:pt idx="3">
                  <c:v>7946</c:v>
                </c:pt>
                <c:pt idx="4">
                  <c:v>7810</c:v>
                </c:pt>
                <c:pt idx="5">
                  <c:v>7072</c:v>
                </c:pt>
                <c:pt idx="6">
                  <c:v>6443</c:v>
                </c:pt>
                <c:pt idx="7">
                  <c:v>8274</c:v>
                </c:pt>
              </c:numCache>
            </c:numRef>
          </c:val>
          <c:extLst>
            <c:ext xmlns:c16="http://schemas.microsoft.com/office/drawing/2014/chart" uri="{C3380CC4-5D6E-409C-BE32-E72D297353CC}">
              <c16:uniqueId val="{00000000-0724-4EEA-9816-0060D6596900}"/>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y/y operating income</a:t>
            </a:r>
          </a:p>
        </c:rich>
      </c:tx>
      <c:overlay val="0"/>
      <c:spPr>
        <a:noFill/>
        <a:ln>
          <a:noFill/>
        </a:ln>
        <a:effectLst/>
      </c:spPr>
    </c:title>
    <c:autoTitleDeleted val="0"/>
    <c:plotArea>
      <c:layout/>
      <c:barChart>
        <c:barDir val="col"/>
        <c:grouping val="clustered"/>
        <c:varyColors val="0"/>
        <c:ser>
          <c:idx val="0"/>
          <c:order val="0"/>
          <c:tx>
            <c:strRef>
              <c:f>'Quarterly (2)'!$C$230:$K$230</c:f>
              <c:strCache>
                <c:ptCount val="9"/>
                <c:pt idx="0">
                  <c:v>y/y operating income</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(2)'!$L$230:$AA$230</c:f>
              <c:numCache>
                <c:formatCode>#,##0;\(#,##0\);"--"</c:formatCode>
                <c:ptCount val="8"/>
                <c:pt idx="0">
                  <c:v>-1297</c:v>
                </c:pt>
                <c:pt idx="1">
                  <c:v>1034</c:v>
                </c:pt>
                <c:pt idx="2">
                  <c:v>8084</c:v>
                </c:pt>
                <c:pt idx="3">
                  <c:v>9985</c:v>
                </c:pt>
                <c:pt idx="4">
                  <c:v>6591</c:v>
                </c:pt>
                <c:pt idx="5">
                  <c:v>5455</c:v>
                </c:pt>
                <c:pt idx="6">
                  <c:v>3602</c:v>
                </c:pt>
                <c:pt idx="7">
                  <c:v>6981</c:v>
                </c:pt>
              </c:numCache>
            </c:numRef>
          </c:val>
          <c:extLst>
            <c:ext xmlns:c16="http://schemas.microsoft.com/office/drawing/2014/chart" uri="{C3380CC4-5D6E-409C-BE32-E72D297353CC}">
              <c16:uniqueId val="{00000000-8387-4902-A8F4-1BD09EB7C2C7}"/>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Garamond" panose="02020404030301010803" pitchFamily="18" charset="0"/>
                <a:ea typeface="+mn-ea"/>
                <a:cs typeface="+mn-cs"/>
              </a:defRPr>
            </a:pPr>
            <a:r>
              <a:rPr lang="en-CA" b="1"/>
              <a:t>y/y</a:t>
            </a:r>
            <a:r>
              <a:rPr lang="en-CA" b="1" baseline="0"/>
              <a:t> expenses change</a:t>
            </a:r>
            <a:endParaRPr lang="en-CA"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Garamond" panose="02020404030301010803" pitchFamily="18" charset="0"/>
              <a:ea typeface="+mn-ea"/>
              <a:cs typeface="+mn-cs"/>
            </a:defRPr>
          </a:pPr>
          <a:endParaRPr lang="en-CA"/>
        </a:p>
      </c:txPr>
    </c:title>
    <c:autoTitleDeleted val="0"/>
    <c:plotArea>
      <c:layout/>
      <c:barChart>
        <c:barDir val="col"/>
        <c:grouping val="stacked"/>
        <c:varyColors val="0"/>
        <c:ser>
          <c:idx val="0"/>
          <c:order val="0"/>
          <c:tx>
            <c:strRef>
              <c:f>'Quarterly (2)'!$C$224:$K$224</c:f>
              <c:strCache>
                <c:ptCount val="9"/>
                <c:pt idx="0">
                  <c:v>COGS y/y</c:v>
                </c:pt>
              </c:strCache>
            </c:strRef>
          </c:tx>
          <c:spPr>
            <a:solidFill>
              <a:srgbClr val="0E2841"/>
            </a:solidFill>
            <a:ln>
              <a:solidFill>
                <a:srgbClr val="0E2841"/>
              </a:solid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(2)'!$L$224:$AA$224</c:f>
              <c:numCache>
                <c:formatCode>#,##0;\(#,##0\);"--"</c:formatCode>
                <c:ptCount val="8"/>
                <c:pt idx="0">
                  <c:v>103</c:v>
                </c:pt>
                <c:pt idx="1">
                  <c:v>753</c:v>
                </c:pt>
                <c:pt idx="2">
                  <c:v>494</c:v>
                </c:pt>
                <c:pt idx="3">
                  <c:v>-641</c:v>
                </c:pt>
                <c:pt idx="4">
                  <c:v>532</c:v>
                </c:pt>
                <c:pt idx="5">
                  <c:v>1363</c:v>
                </c:pt>
                <c:pt idx="6">
                  <c:v>1165</c:v>
                </c:pt>
                <c:pt idx="7">
                  <c:v>1144</c:v>
                </c:pt>
              </c:numCache>
            </c:numRef>
          </c:val>
          <c:extLst>
            <c:ext xmlns:c16="http://schemas.microsoft.com/office/drawing/2014/chart" uri="{C3380CC4-5D6E-409C-BE32-E72D297353CC}">
              <c16:uniqueId val="{00000000-8AE9-44C9-A8B5-9A57163AF6F9}"/>
            </c:ext>
          </c:extLst>
        </c:ser>
        <c:ser>
          <c:idx val="1"/>
          <c:order val="1"/>
          <c:tx>
            <c:strRef>
              <c:f>'Quarterly (2)'!$C$225:$K$225</c:f>
              <c:strCache>
                <c:ptCount val="9"/>
                <c:pt idx="0">
                  <c:v>R&amp;D, y/y</c:v>
                </c:pt>
              </c:strCache>
            </c:strRef>
          </c:tx>
          <c:spPr>
            <a:solidFill>
              <a:srgbClr val="0E2841"/>
            </a:solidFill>
            <a:ln>
              <a:solidFill>
                <a:srgbClr val="0E2841"/>
              </a:solidFill>
            </a:ln>
            <a:effectLst/>
          </c:spPr>
          <c:invertIfNegative val="0"/>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(2)'!$L$225:$AA$225</c:f>
              <c:numCache>
                <c:formatCode>#,##0;\(#,##0\);"--"</c:formatCode>
                <c:ptCount val="8"/>
                <c:pt idx="0">
                  <c:v>1674</c:v>
                </c:pt>
                <c:pt idx="1">
                  <c:v>654</c:v>
                </c:pt>
                <c:pt idx="2">
                  <c:v>71</c:v>
                </c:pt>
                <c:pt idx="3">
                  <c:v>746</c:v>
                </c:pt>
                <c:pt idx="4">
                  <c:v>597</c:v>
                </c:pt>
                <c:pt idx="5">
                  <c:v>1193</c:v>
                </c:pt>
                <c:pt idx="6">
                  <c:v>1936</c:v>
                </c:pt>
                <c:pt idx="7">
                  <c:v>1663</c:v>
                </c:pt>
              </c:numCache>
            </c:numRef>
          </c:val>
          <c:extLst>
            <c:ext xmlns:c16="http://schemas.microsoft.com/office/drawing/2014/chart" uri="{C3380CC4-5D6E-409C-BE32-E72D297353CC}">
              <c16:uniqueId val="{00000001-8AE9-44C9-A8B5-9A57163AF6F9}"/>
            </c:ext>
          </c:extLst>
        </c:ser>
        <c:ser>
          <c:idx val="2"/>
          <c:order val="2"/>
          <c:tx>
            <c:strRef>
              <c:f>'Quarterly (2)'!$C$226:$K$226</c:f>
              <c:strCache>
                <c:ptCount val="9"/>
                <c:pt idx="0">
                  <c:v>S&amp;M, y/y</c:v>
                </c:pt>
              </c:strCache>
            </c:strRef>
          </c:tx>
          <c:spPr>
            <a:solidFill>
              <a:schemeClr val="accent3"/>
            </a:solidFill>
            <a:ln>
              <a:noFill/>
            </a:ln>
            <a:effectLst/>
          </c:spPr>
          <c:invertIfNegative val="0"/>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(2)'!$L$226:$AA$226</c:f>
              <c:numCache>
                <c:formatCode>#,##0;\(#,##0\);"--"</c:formatCode>
                <c:ptCount val="8"/>
                <c:pt idx="0">
                  <c:v>-268</c:v>
                </c:pt>
                <c:pt idx="1">
                  <c:v>-441</c:v>
                </c:pt>
                <c:pt idx="2">
                  <c:v>-903</c:v>
                </c:pt>
                <c:pt idx="3">
                  <c:v>-1348</c:v>
                </c:pt>
                <c:pt idx="4">
                  <c:v>-480</c:v>
                </c:pt>
                <c:pt idx="5">
                  <c:v>-433</c:v>
                </c:pt>
                <c:pt idx="6">
                  <c:v>-55</c:v>
                </c:pt>
                <c:pt idx="7">
                  <c:v>14</c:v>
                </c:pt>
              </c:numCache>
            </c:numRef>
          </c:val>
          <c:extLst>
            <c:ext xmlns:c16="http://schemas.microsoft.com/office/drawing/2014/chart" uri="{C3380CC4-5D6E-409C-BE32-E72D297353CC}">
              <c16:uniqueId val="{00000002-8AE9-44C9-A8B5-9A57163AF6F9}"/>
            </c:ext>
          </c:extLst>
        </c:ser>
        <c:ser>
          <c:idx val="3"/>
          <c:order val="3"/>
          <c:tx>
            <c:strRef>
              <c:f>'Quarterly (2)'!$C$227:$K$227</c:f>
              <c:strCache>
                <c:ptCount val="9"/>
                <c:pt idx="0">
                  <c:v>G&amp;A, y/y</c:v>
                </c:pt>
              </c:strCache>
            </c:strRef>
          </c:tx>
          <c:spPr>
            <a:solidFill>
              <a:schemeClr val="accent4"/>
            </a:solidFill>
            <a:ln>
              <a:noFill/>
            </a:ln>
            <a:effectLst/>
          </c:spPr>
          <c:invertIfNegative val="0"/>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(2)'!$L$227:$AA$227</c:f>
              <c:numCache>
                <c:formatCode>#,##0;\(#,##0\);"--"</c:formatCode>
                <c:ptCount val="8"/>
                <c:pt idx="0">
                  <c:v>525</c:v>
                </c:pt>
                <c:pt idx="1">
                  <c:v>1177</c:v>
                </c:pt>
                <c:pt idx="2">
                  <c:v>-1314</c:v>
                </c:pt>
                <c:pt idx="3">
                  <c:v>-796</c:v>
                </c:pt>
                <c:pt idx="4">
                  <c:v>570</c:v>
                </c:pt>
                <c:pt idx="5">
                  <c:v>-506</c:v>
                </c:pt>
                <c:pt idx="6">
                  <c:v>-205</c:v>
                </c:pt>
                <c:pt idx="7">
                  <c:v>-1528</c:v>
                </c:pt>
              </c:numCache>
            </c:numRef>
          </c:val>
          <c:extLst>
            <c:ext xmlns:c16="http://schemas.microsoft.com/office/drawing/2014/chart" uri="{C3380CC4-5D6E-409C-BE32-E72D297353CC}">
              <c16:uniqueId val="{00000003-8AE9-44C9-A8B5-9A57163AF6F9}"/>
            </c:ext>
          </c:extLst>
        </c:ser>
        <c:dLbls>
          <c:showLegendKey val="0"/>
          <c:showVal val="0"/>
          <c:showCatName val="0"/>
          <c:showSerName val="0"/>
          <c:showPercent val="0"/>
          <c:showBubbleSize val="0"/>
        </c:dLbls>
        <c:gapWidth val="75"/>
        <c:overlap val="100"/>
        <c:axId val="1228310079"/>
        <c:axId val="1228310559"/>
      </c:barChart>
      <c:catAx>
        <c:axId val="122831007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228310559"/>
        <c:crosses val="autoZero"/>
        <c:auto val="1"/>
        <c:lblAlgn val="ctr"/>
        <c:lblOffset val="100"/>
        <c:noMultiLvlLbl val="0"/>
      </c:catAx>
      <c:valAx>
        <c:axId val="1228310559"/>
        <c:scaling>
          <c:orientation val="minMax"/>
        </c:scaling>
        <c:delete val="0"/>
        <c:axPos val="l"/>
        <c:numFmt formatCode="#,##0;\(#,##0\);&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228310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y/y expenses</a:t>
            </a:r>
          </a:p>
        </c:rich>
      </c:tx>
      <c:overlay val="0"/>
      <c:spPr>
        <a:noFill/>
        <a:ln>
          <a:noFill/>
        </a:ln>
        <a:effectLst/>
      </c:spPr>
    </c:title>
    <c:autoTitleDeleted val="0"/>
    <c:plotArea>
      <c:layout/>
      <c:barChart>
        <c:barDir val="col"/>
        <c:grouping val="clustered"/>
        <c:varyColors val="0"/>
        <c:ser>
          <c:idx val="0"/>
          <c:order val="0"/>
          <c:tx>
            <c:strRef>
              <c:f>'Quarterly (2)'!$C$222:$K$222</c:f>
              <c:strCache>
                <c:ptCount val="9"/>
                <c:pt idx="0">
                  <c:v>y/y revenue</c:v>
                </c:pt>
              </c:strCache>
            </c:strRef>
          </c:tx>
          <c:spPr>
            <a:solidFill>
              <a:srgbClr val="0E2841"/>
            </a:solidFill>
            <a:ln>
              <a:solidFill>
                <a:srgbClr val="0E2841"/>
              </a:solidFill>
            </a:ln>
            <a:effectLst/>
          </c:spPr>
          <c:invertIfNegative val="0"/>
          <c:dLbls>
            <c:spPr>
              <a:noFill/>
              <a:ln>
                <a:noFill/>
              </a:ln>
              <a:effectLst/>
            </c:spPr>
            <c:txPr>
              <a:bodyPr rot="0" vert="horz"/>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(2)'!$L$221:$AA$221</c:f>
              <c:strCache>
                <c:ptCount val="8"/>
                <c:pt idx="0">
                  <c:v>Q1 '23</c:v>
                </c:pt>
                <c:pt idx="1">
                  <c:v>Q2 '23</c:v>
                </c:pt>
                <c:pt idx="2">
                  <c:v>Q3 '23</c:v>
                </c:pt>
                <c:pt idx="3">
                  <c:v>Q4 '23</c:v>
                </c:pt>
                <c:pt idx="4">
                  <c:v>Q1 '24</c:v>
                </c:pt>
                <c:pt idx="5">
                  <c:v>Q2 '24</c:v>
                </c:pt>
                <c:pt idx="6">
                  <c:v>Q3 '24</c:v>
                </c:pt>
                <c:pt idx="7">
                  <c:v>Q4 '24</c:v>
                </c:pt>
              </c:strCache>
            </c:strRef>
          </c:cat>
          <c:val>
            <c:numRef>
              <c:f>'Quarterly (2)'!$L$228:$AA$228</c:f>
              <c:numCache>
                <c:formatCode>#,##0;\(#,##0\);"--"</c:formatCode>
                <c:ptCount val="8"/>
                <c:pt idx="0">
                  <c:v>2034</c:v>
                </c:pt>
                <c:pt idx="1">
                  <c:v>2143</c:v>
                </c:pt>
                <c:pt idx="2">
                  <c:v>-1652</c:v>
                </c:pt>
                <c:pt idx="3">
                  <c:v>-2039</c:v>
                </c:pt>
                <c:pt idx="4">
                  <c:v>1219</c:v>
                </c:pt>
                <c:pt idx="5">
                  <c:v>1617</c:v>
                </c:pt>
                <c:pt idx="6">
                  <c:v>2841</c:v>
                </c:pt>
                <c:pt idx="7">
                  <c:v>1293</c:v>
                </c:pt>
              </c:numCache>
            </c:numRef>
          </c:val>
          <c:extLst>
            <c:ext xmlns:c16="http://schemas.microsoft.com/office/drawing/2014/chart" uri="{C3380CC4-5D6E-409C-BE32-E72D297353CC}">
              <c16:uniqueId val="{00000000-4B55-4927-B963-DB1C2B464FAB}"/>
            </c:ext>
          </c:extLst>
        </c:ser>
        <c:dLbls>
          <c:showLegendKey val="0"/>
          <c:showVal val="0"/>
          <c:showCatName val="0"/>
          <c:showSerName val="0"/>
          <c:showPercent val="0"/>
          <c:showBubbleSize val="0"/>
        </c:dLbls>
        <c:gapWidth val="75"/>
        <c:axId val="54582624"/>
        <c:axId val="54577824"/>
      </c:barChart>
      <c:catAx>
        <c:axId val="54582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sz="900"/>
            </a:pPr>
            <a:endParaRPr lang="en-US"/>
          </a:p>
        </c:txPr>
        <c:crossAx val="54577824"/>
        <c:crosses val="autoZero"/>
        <c:auto val="1"/>
        <c:lblAlgn val="ctr"/>
        <c:lblOffset val="100"/>
        <c:noMultiLvlLbl val="0"/>
      </c:catAx>
      <c:valAx>
        <c:axId val="54577824"/>
        <c:scaling>
          <c:orientation val="minMax"/>
        </c:scaling>
        <c:delete val="1"/>
        <c:axPos val="l"/>
        <c:numFmt formatCode="#,##0;\(#,##0\);&quot;--&quot;" sourceLinked="1"/>
        <c:majorTickMark val="none"/>
        <c:minorTickMark val="none"/>
        <c:tickLblPos val="nextTo"/>
        <c:crossAx val="54582624"/>
        <c:crosses val="autoZero"/>
        <c:crossBetween val="between"/>
      </c:valAx>
    </c:plotArea>
    <c:plotVisOnly val="1"/>
    <c:dispBlanksAs val="gap"/>
    <c:showDLblsOverMax val="0"/>
    <c:extLst/>
  </c:chart>
  <c:spPr>
    <a:solidFill>
      <a:schemeClr val="bg1"/>
    </a:solidFill>
    <a:ln w="9525" cap="flat" cmpd="sng" algn="ctr">
      <a:solidFill>
        <a:schemeClr val="bg1">
          <a:lumMod val="95000"/>
        </a:schemeClr>
      </a:solidFill>
      <a:round/>
    </a:ln>
    <a:effectLst/>
  </c:spPr>
  <c:txPr>
    <a:bodyPr/>
    <a:lstStyle/>
    <a:p>
      <a:pPr>
        <a:defRPr sz="1050">
          <a:latin typeface="Garamond" panose="02020404030301010803" pitchFamily="18" charset="0"/>
          <a:cs typeface="Times New Roman" panose="02020603050405020304" pitchFamily="18" charset="0"/>
        </a:defRPr>
      </a:pPr>
      <a:endParaRPr lang="en-US"/>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'Quarterly (2)'!$C$7</c:f>
              <c:strCache>
                <c:ptCount val="1"/>
                <c:pt idx="0">
                  <c:v>Price per ad growth</c:v>
                </c:pt>
              </c:strCache>
            </c:strRef>
          </c:tx>
          <c:spPr>
            <a:solidFill>
              <a:schemeClr val="accent1"/>
            </a:solidFill>
            <a:ln>
              <a:noFill/>
            </a:ln>
            <a:effectLst/>
          </c:spPr>
          <c:invertIfNegative val="0"/>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(2)'!$D$7:$AB$7</c:f>
              <c:numCache>
                <c:formatCode>0.0%;\(0.0%\);"--"</c:formatCode>
                <c:ptCount val="9"/>
                <c:pt idx="0">
                  <c:v>-0.17</c:v>
                </c:pt>
                <c:pt idx="1">
                  <c:v>-0.16</c:v>
                </c:pt>
                <c:pt idx="2">
                  <c:v>-0.06</c:v>
                </c:pt>
                <c:pt idx="3">
                  <c:v>0.02</c:v>
                </c:pt>
                <c:pt idx="4">
                  <c:v>0.06</c:v>
                </c:pt>
                <c:pt idx="5">
                  <c:v>0.1</c:v>
                </c:pt>
                <c:pt idx="6">
                  <c:v>0.11</c:v>
                </c:pt>
                <c:pt idx="7">
                  <c:v>0.14000000000000001</c:v>
                </c:pt>
                <c:pt idx="8">
                  <c:v>0.1</c:v>
                </c:pt>
              </c:numCache>
            </c:numRef>
          </c:val>
          <c:extLst>
            <c:ext xmlns:c16="http://schemas.microsoft.com/office/drawing/2014/chart" uri="{C3380CC4-5D6E-409C-BE32-E72D297353CC}">
              <c16:uniqueId val="{00000000-E971-4AB2-B903-D92F69265D07}"/>
            </c:ext>
          </c:extLst>
        </c:ser>
        <c:ser>
          <c:idx val="1"/>
          <c:order val="1"/>
          <c:tx>
            <c:strRef>
              <c:f>'Quarterly (2)'!$C$8</c:f>
              <c:strCache>
                <c:ptCount val="1"/>
                <c:pt idx="0">
                  <c:v>US &amp; Canada</c:v>
                </c:pt>
              </c:strCache>
            </c:strRef>
          </c:tx>
          <c:spPr>
            <a:solidFill>
              <a:schemeClr val="accent2"/>
            </a:solidFill>
            <a:ln>
              <a:noFill/>
            </a:ln>
            <a:effectLst/>
          </c:spPr>
          <c:invertIfNegative val="0"/>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(2)'!$D$8:$AB$8</c:f>
              <c:numCache>
                <c:formatCode>0.0%;\(0.0%\);"--"</c:formatCode>
                <c:ptCount val="9"/>
                <c:pt idx="0">
                  <c:v>-0.13</c:v>
                </c:pt>
                <c:pt idx="1">
                  <c:v>-0.14000000000000001</c:v>
                </c:pt>
                <c:pt idx="2">
                  <c:v>-7.0000000000000007E-2</c:v>
                </c:pt>
                <c:pt idx="3">
                  <c:v>0.02</c:v>
                </c:pt>
                <c:pt idx="4">
                  <c:v>0.05</c:v>
                </c:pt>
                <c:pt idx="5">
                  <c:v>0.09</c:v>
                </c:pt>
                <c:pt idx="6">
                  <c:v>0.09</c:v>
                </c:pt>
                <c:pt idx="7">
                  <c:v>0.12</c:v>
                </c:pt>
                <c:pt idx="8">
                  <c:v>0.14000000000000001</c:v>
                </c:pt>
              </c:numCache>
            </c:numRef>
          </c:val>
          <c:extLst>
            <c:ext xmlns:c16="http://schemas.microsoft.com/office/drawing/2014/chart" uri="{C3380CC4-5D6E-409C-BE32-E72D297353CC}">
              <c16:uniqueId val="{00000001-E971-4AB2-B903-D92F69265D07}"/>
            </c:ext>
          </c:extLst>
        </c:ser>
        <c:ser>
          <c:idx val="2"/>
          <c:order val="2"/>
          <c:tx>
            <c:strRef>
              <c:f>'Quarterly (2)'!$C$9</c:f>
              <c:strCache>
                <c:ptCount val="1"/>
                <c:pt idx="0">
                  <c:v>Europe</c:v>
                </c:pt>
              </c:strCache>
            </c:strRef>
          </c:tx>
          <c:spPr>
            <a:solidFill>
              <a:schemeClr val="accent3"/>
            </a:solidFill>
            <a:ln>
              <a:noFill/>
            </a:ln>
            <a:effectLst/>
          </c:spPr>
          <c:invertIfNegative val="0"/>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(2)'!$D$9:$AB$9</c:f>
              <c:numCache>
                <c:formatCode>0.0%;\(0.0%\);"--"</c:formatCode>
                <c:ptCount val="9"/>
                <c:pt idx="0">
                  <c:v>-0.11</c:v>
                </c:pt>
                <c:pt idx="1">
                  <c:v>-0.09</c:v>
                </c:pt>
                <c:pt idx="2">
                  <c:v>0.08</c:v>
                </c:pt>
                <c:pt idx="3">
                  <c:v>0.14000000000000001</c:v>
                </c:pt>
                <c:pt idx="4">
                  <c:v>0.18</c:v>
                </c:pt>
                <c:pt idx="5">
                  <c:v>0.18</c:v>
                </c:pt>
                <c:pt idx="6">
                  <c:v>0.16</c:v>
                </c:pt>
                <c:pt idx="7">
                  <c:v>0.16</c:v>
                </c:pt>
                <c:pt idx="8">
                  <c:v>0.09</c:v>
                </c:pt>
              </c:numCache>
            </c:numRef>
          </c:val>
          <c:extLst>
            <c:ext xmlns:c16="http://schemas.microsoft.com/office/drawing/2014/chart" uri="{C3380CC4-5D6E-409C-BE32-E72D297353CC}">
              <c16:uniqueId val="{00000002-E971-4AB2-B903-D92F69265D07}"/>
            </c:ext>
          </c:extLst>
        </c:ser>
        <c:ser>
          <c:idx val="3"/>
          <c:order val="3"/>
          <c:tx>
            <c:strRef>
              <c:f>'Quarterly (2)'!$C$10</c:f>
              <c:strCache>
                <c:ptCount val="1"/>
                <c:pt idx="0">
                  <c:v>APAC</c:v>
                </c:pt>
              </c:strCache>
            </c:strRef>
          </c:tx>
          <c:spPr>
            <a:solidFill>
              <a:schemeClr val="accent4"/>
            </a:solidFill>
            <a:ln>
              <a:noFill/>
            </a:ln>
            <a:effectLst/>
          </c:spPr>
          <c:invertIfNegative val="0"/>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(2)'!$D$10:$AB$10</c:f>
              <c:numCache>
                <c:formatCode>0.0%;\(0.0%\);"--"</c:formatCode>
                <c:ptCount val="9"/>
                <c:pt idx="0">
                  <c:v>-0.22</c:v>
                </c:pt>
                <c:pt idx="1">
                  <c:v>-0.22</c:v>
                </c:pt>
                <c:pt idx="2">
                  <c:v>-0.14000000000000001</c:v>
                </c:pt>
                <c:pt idx="3">
                  <c:v>-0.06</c:v>
                </c:pt>
                <c:pt idx="4">
                  <c:v>-0.03</c:v>
                </c:pt>
                <c:pt idx="5">
                  <c:v>0.04</c:v>
                </c:pt>
                <c:pt idx="6">
                  <c:v>0.08</c:v>
                </c:pt>
                <c:pt idx="7">
                  <c:v>0.12</c:v>
                </c:pt>
                <c:pt idx="8">
                  <c:v>0.03</c:v>
                </c:pt>
              </c:numCache>
            </c:numRef>
          </c:val>
          <c:extLst>
            <c:ext xmlns:c16="http://schemas.microsoft.com/office/drawing/2014/chart" uri="{C3380CC4-5D6E-409C-BE32-E72D297353CC}">
              <c16:uniqueId val="{00000003-E971-4AB2-B903-D92F69265D07}"/>
            </c:ext>
          </c:extLst>
        </c:ser>
        <c:ser>
          <c:idx val="4"/>
          <c:order val="4"/>
          <c:tx>
            <c:strRef>
              <c:f>'Quarterly (2)'!$C$11</c:f>
              <c:strCache>
                <c:ptCount val="1"/>
                <c:pt idx="0">
                  <c:v>ROW</c:v>
                </c:pt>
              </c:strCache>
            </c:strRef>
          </c:tx>
          <c:spPr>
            <a:solidFill>
              <a:schemeClr val="accent5"/>
            </a:solidFill>
            <a:ln>
              <a:noFill/>
            </a:ln>
            <a:effectLst/>
          </c:spPr>
          <c:invertIfNegative val="0"/>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(2)'!$D$11:$AB$11</c:f>
              <c:numCache>
                <c:formatCode>0.0%;\(0.0%\);"--"</c:formatCode>
                <c:ptCount val="9"/>
                <c:pt idx="0">
                  <c:v>-0.15</c:v>
                </c:pt>
                <c:pt idx="1">
                  <c:v>-0.12</c:v>
                </c:pt>
                <c:pt idx="2">
                  <c:v>7.0000000000000007E-2</c:v>
                </c:pt>
                <c:pt idx="3">
                  <c:v>0.13</c:v>
                </c:pt>
                <c:pt idx="4">
                  <c:v>0.2</c:v>
                </c:pt>
                <c:pt idx="5">
                  <c:v>0.24</c:v>
                </c:pt>
                <c:pt idx="6">
                  <c:v>0.17</c:v>
                </c:pt>
                <c:pt idx="7">
                  <c:v>0.23</c:v>
                </c:pt>
                <c:pt idx="8">
                  <c:v>0.17</c:v>
                </c:pt>
              </c:numCache>
            </c:numRef>
          </c:val>
          <c:extLst>
            <c:ext xmlns:c16="http://schemas.microsoft.com/office/drawing/2014/chart" uri="{C3380CC4-5D6E-409C-BE32-E72D297353CC}">
              <c16:uniqueId val="{00000004-E971-4AB2-B903-D92F69265D07}"/>
            </c:ext>
          </c:extLst>
        </c:ser>
        <c:dLbls>
          <c:showLegendKey val="0"/>
          <c:showVal val="0"/>
          <c:showCatName val="0"/>
          <c:showSerName val="0"/>
          <c:showPercent val="0"/>
          <c:showBubbleSize val="0"/>
        </c:dLbls>
        <c:gapWidth val="219"/>
        <c:overlap val="-27"/>
        <c:axId val="907750815"/>
        <c:axId val="907752255"/>
      </c:barChart>
      <c:catAx>
        <c:axId val="90775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52255"/>
        <c:crosses val="autoZero"/>
        <c:auto val="1"/>
        <c:lblAlgn val="ctr"/>
        <c:lblOffset val="100"/>
        <c:noMultiLvlLbl val="0"/>
      </c:catAx>
      <c:valAx>
        <c:axId val="907752255"/>
        <c:scaling>
          <c:orientation val="minMax"/>
        </c:scaling>
        <c:delete val="0"/>
        <c:axPos val="l"/>
        <c:majorGridlines>
          <c:spPr>
            <a:ln w="9525" cap="flat" cmpd="sng" algn="ctr">
              <a:solidFill>
                <a:schemeClr val="tx1">
                  <a:lumMod val="15000"/>
                  <a:lumOff val="85000"/>
                </a:schemeClr>
              </a:solidFill>
              <a:round/>
            </a:ln>
            <a:effectLst/>
          </c:spPr>
        </c:majorGridlines>
        <c:numFmt formatCode="0.0%;\(0.0%\);&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50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CA"/>
              <a:t>y/y price per 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lineChart>
        <c:grouping val="standard"/>
        <c:varyColors val="0"/>
        <c:ser>
          <c:idx val="0"/>
          <c:order val="0"/>
          <c:tx>
            <c:strRef>
              <c:f>'Quarterly (2)'!$C$7</c:f>
              <c:strCache>
                <c:ptCount val="1"/>
                <c:pt idx="0">
                  <c:v>Price per ad growth</c:v>
                </c:pt>
              </c:strCache>
            </c:strRef>
          </c:tx>
          <c:spPr>
            <a:ln w="12700" cap="rnd">
              <a:solidFill>
                <a:schemeClr val="accent1"/>
              </a:solidFill>
              <a:round/>
            </a:ln>
            <a:effectLst/>
          </c:spPr>
          <c:marker>
            <c:symbol val="none"/>
          </c:marker>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(2)'!$D$7:$AB$7</c:f>
              <c:numCache>
                <c:formatCode>0.0%;\(0.0%\);"--"</c:formatCode>
                <c:ptCount val="9"/>
                <c:pt idx="0">
                  <c:v>-0.17</c:v>
                </c:pt>
                <c:pt idx="1">
                  <c:v>-0.16</c:v>
                </c:pt>
                <c:pt idx="2">
                  <c:v>-0.06</c:v>
                </c:pt>
                <c:pt idx="3">
                  <c:v>0.02</c:v>
                </c:pt>
                <c:pt idx="4">
                  <c:v>0.06</c:v>
                </c:pt>
                <c:pt idx="5">
                  <c:v>0.1</c:v>
                </c:pt>
                <c:pt idx="6">
                  <c:v>0.11</c:v>
                </c:pt>
                <c:pt idx="7">
                  <c:v>0.14000000000000001</c:v>
                </c:pt>
                <c:pt idx="8">
                  <c:v>0.1</c:v>
                </c:pt>
              </c:numCache>
            </c:numRef>
          </c:val>
          <c:smooth val="0"/>
          <c:extLst>
            <c:ext xmlns:c16="http://schemas.microsoft.com/office/drawing/2014/chart" uri="{C3380CC4-5D6E-409C-BE32-E72D297353CC}">
              <c16:uniqueId val="{00000000-26BD-45D1-885A-96188D9AEB5C}"/>
            </c:ext>
          </c:extLst>
        </c:ser>
        <c:ser>
          <c:idx val="1"/>
          <c:order val="1"/>
          <c:tx>
            <c:strRef>
              <c:f>'Quarterly (2)'!$C$8</c:f>
              <c:strCache>
                <c:ptCount val="1"/>
                <c:pt idx="0">
                  <c:v>US &amp; Canada</c:v>
                </c:pt>
              </c:strCache>
            </c:strRef>
          </c:tx>
          <c:spPr>
            <a:ln w="12700" cap="rnd">
              <a:solidFill>
                <a:schemeClr val="accent2"/>
              </a:solidFill>
              <a:round/>
            </a:ln>
            <a:effectLst/>
          </c:spPr>
          <c:marker>
            <c:symbol val="none"/>
          </c:marker>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(2)'!$D$8:$AB$8</c:f>
              <c:numCache>
                <c:formatCode>0.0%;\(0.0%\);"--"</c:formatCode>
                <c:ptCount val="9"/>
                <c:pt idx="0">
                  <c:v>-0.13</c:v>
                </c:pt>
                <c:pt idx="1">
                  <c:v>-0.14000000000000001</c:v>
                </c:pt>
                <c:pt idx="2">
                  <c:v>-7.0000000000000007E-2</c:v>
                </c:pt>
                <c:pt idx="3">
                  <c:v>0.02</c:v>
                </c:pt>
                <c:pt idx="4">
                  <c:v>0.05</c:v>
                </c:pt>
                <c:pt idx="5">
                  <c:v>0.09</c:v>
                </c:pt>
                <c:pt idx="6">
                  <c:v>0.09</c:v>
                </c:pt>
                <c:pt idx="7">
                  <c:v>0.12</c:v>
                </c:pt>
                <c:pt idx="8">
                  <c:v>0.14000000000000001</c:v>
                </c:pt>
              </c:numCache>
            </c:numRef>
          </c:val>
          <c:smooth val="0"/>
          <c:extLst>
            <c:ext xmlns:c16="http://schemas.microsoft.com/office/drawing/2014/chart" uri="{C3380CC4-5D6E-409C-BE32-E72D297353CC}">
              <c16:uniqueId val="{00000001-26BD-45D1-885A-96188D9AEB5C}"/>
            </c:ext>
          </c:extLst>
        </c:ser>
        <c:ser>
          <c:idx val="2"/>
          <c:order val="2"/>
          <c:tx>
            <c:strRef>
              <c:f>'Quarterly (2)'!$C$9</c:f>
              <c:strCache>
                <c:ptCount val="1"/>
                <c:pt idx="0">
                  <c:v>Europe</c:v>
                </c:pt>
              </c:strCache>
            </c:strRef>
          </c:tx>
          <c:spPr>
            <a:ln w="12700" cap="rnd">
              <a:solidFill>
                <a:schemeClr val="accent3"/>
              </a:solidFill>
              <a:round/>
            </a:ln>
            <a:effectLst/>
          </c:spPr>
          <c:marker>
            <c:symbol val="none"/>
          </c:marker>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(2)'!$D$9:$AB$9</c:f>
              <c:numCache>
                <c:formatCode>0.0%;\(0.0%\);"--"</c:formatCode>
                <c:ptCount val="9"/>
                <c:pt idx="0">
                  <c:v>-0.11</c:v>
                </c:pt>
                <c:pt idx="1">
                  <c:v>-0.09</c:v>
                </c:pt>
                <c:pt idx="2">
                  <c:v>0.08</c:v>
                </c:pt>
                <c:pt idx="3">
                  <c:v>0.14000000000000001</c:v>
                </c:pt>
                <c:pt idx="4">
                  <c:v>0.18</c:v>
                </c:pt>
                <c:pt idx="5">
                  <c:v>0.18</c:v>
                </c:pt>
                <c:pt idx="6">
                  <c:v>0.16</c:v>
                </c:pt>
                <c:pt idx="7">
                  <c:v>0.16</c:v>
                </c:pt>
                <c:pt idx="8">
                  <c:v>0.09</c:v>
                </c:pt>
              </c:numCache>
            </c:numRef>
          </c:val>
          <c:smooth val="0"/>
          <c:extLst>
            <c:ext xmlns:c16="http://schemas.microsoft.com/office/drawing/2014/chart" uri="{C3380CC4-5D6E-409C-BE32-E72D297353CC}">
              <c16:uniqueId val="{00000002-26BD-45D1-885A-96188D9AEB5C}"/>
            </c:ext>
          </c:extLst>
        </c:ser>
        <c:ser>
          <c:idx val="3"/>
          <c:order val="3"/>
          <c:tx>
            <c:strRef>
              <c:f>'Quarterly (2)'!$C$10</c:f>
              <c:strCache>
                <c:ptCount val="1"/>
                <c:pt idx="0">
                  <c:v>APAC</c:v>
                </c:pt>
              </c:strCache>
            </c:strRef>
          </c:tx>
          <c:spPr>
            <a:ln w="12700" cap="rnd">
              <a:solidFill>
                <a:schemeClr val="accent4"/>
              </a:solidFill>
              <a:round/>
            </a:ln>
            <a:effectLst/>
          </c:spPr>
          <c:marker>
            <c:symbol val="none"/>
          </c:marker>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(2)'!$D$10:$AB$10</c:f>
              <c:numCache>
                <c:formatCode>0.0%;\(0.0%\);"--"</c:formatCode>
                <c:ptCount val="9"/>
                <c:pt idx="0">
                  <c:v>-0.22</c:v>
                </c:pt>
                <c:pt idx="1">
                  <c:v>-0.22</c:v>
                </c:pt>
                <c:pt idx="2">
                  <c:v>-0.14000000000000001</c:v>
                </c:pt>
                <c:pt idx="3">
                  <c:v>-0.06</c:v>
                </c:pt>
                <c:pt idx="4">
                  <c:v>-0.03</c:v>
                </c:pt>
                <c:pt idx="5">
                  <c:v>0.04</c:v>
                </c:pt>
                <c:pt idx="6">
                  <c:v>0.08</c:v>
                </c:pt>
                <c:pt idx="7">
                  <c:v>0.12</c:v>
                </c:pt>
                <c:pt idx="8">
                  <c:v>0.03</c:v>
                </c:pt>
              </c:numCache>
            </c:numRef>
          </c:val>
          <c:smooth val="0"/>
          <c:extLst>
            <c:ext xmlns:c16="http://schemas.microsoft.com/office/drawing/2014/chart" uri="{C3380CC4-5D6E-409C-BE32-E72D297353CC}">
              <c16:uniqueId val="{00000003-26BD-45D1-885A-96188D9AEB5C}"/>
            </c:ext>
          </c:extLst>
        </c:ser>
        <c:ser>
          <c:idx val="4"/>
          <c:order val="4"/>
          <c:tx>
            <c:strRef>
              <c:f>'Quarterly (2)'!$C$11</c:f>
              <c:strCache>
                <c:ptCount val="1"/>
                <c:pt idx="0">
                  <c:v>ROW</c:v>
                </c:pt>
              </c:strCache>
            </c:strRef>
          </c:tx>
          <c:spPr>
            <a:ln w="12700" cap="rnd">
              <a:solidFill>
                <a:schemeClr val="accent5"/>
              </a:solidFill>
              <a:round/>
            </a:ln>
            <a:effectLst/>
          </c:spPr>
          <c:marker>
            <c:symbol val="none"/>
          </c:marker>
          <c:cat>
            <c:strRef>
              <c:f>'Quarterly (2)'!$D$5:$AB$5</c:f>
              <c:strCache>
                <c:ptCount val="9"/>
                <c:pt idx="0">
                  <c:v>Q1-2023</c:v>
                </c:pt>
                <c:pt idx="1">
                  <c:v>Q2-2023</c:v>
                </c:pt>
                <c:pt idx="2">
                  <c:v>Q3-2023</c:v>
                </c:pt>
                <c:pt idx="3">
                  <c:v>Q4-2023</c:v>
                </c:pt>
                <c:pt idx="4">
                  <c:v>Q1-2024</c:v>
                </c:pt>
                <c:pt idx="5">
                  <c:v>Q2-2024</c:v>
                </c:pt>
                <c:pt idx="6">
                  <c:v>Q3-2024</c:v>
                </c:pt>
                <c:pt idx="7">
                  <c:v>Q4-2024</c:v>
                </c:pt>
                <c:pt idx="8">
                  <c:v>Q1-2025</c:v>
                </c:pt>
              </c:strCache>
            </c:strRef>
          </c:cat>
          <c:val>
            <c:numRef>
              <c:f>'Quarterly (2)'!$D$11:$AB$11</c:f>
              <c:numCache>
                <c:formatCode>0.0%;\(0.0%\);"--"</c:formatCode>
                <c:ptCount val="9"/>
                <c:pt idx="0">
                  <c:v>-0.15</c:v>
                </c:pt>
                <c:pt idx="1">
                  <c:v>-0.12</c:v>
                </c:pt>
                <c:pt idx="2">
                  <c:v>7.0000000000000007E-2</c:v>
                </c:pt>
                <c:pt idx="3">
                  <c:v>0.13</c:v>
                </c:pt>
                <c:pt idx="4">
                  <c:v>0.2</c:v>
                </c:pt>
                <c:pt idx="5">
                  <c:v>0.24</c:v>
                </c:pt>
                <c:pt idx="6">
                  <c:v>0.17</c:v>
                </c:pt>
                <c:pt idx="7">
                  <c:v>0.23</c:v>
                </c:pt>
                <c:pt idx="8">
                  <c:v>0.17</c:v>
                </c:pt>
              </c:numCache>
            </c:numRef>
          </c:val>
          <c:smooth val="0"/>
          <c:extLst>
            <c:ext xmlns:c16="http://schemas.microsoft.com/office/drawing/2014/chart" uri="{C3380CC4-5D6E-409C-BE32-E72D297353CC}">
              <c16:uniqueId val="{00000004-26BD-45D1-885A-96188D9AEB5C}"/>
            </c:ext>
          </c:extLst>
        </c:ser>
        <c:dLbls>
          <c:showLegendKey val="0"/>
          <c:showVal val="0"/>
          <c:showCatName val="0"/>
          <c:showSerName val="0"/>
          <c:showPercent val="0"/>
          <c:showBubbleSize val="0"/>
        </c:dLbls>
        <c:smooth val="0"/>
        <c:axId val="1227835471"/>
        <c:axId val="1227822031"/>
      </c:lineChart>
      <c:catAx>
        <c:axId val="122783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227822031"/>
        <c:crosses val="autoZero"/>
        <c:auto val="1"/>
        <c:lblAlgn val="ctr"/>
        <c:lblOffset val="100"/>
        <c:noMultiLvlLbl val="0"/>
      </c:catAx>
      <c:valAx>
        <c:axId val="1227822031"/>
        <c:scaling>
          <c:orientation val="minMax"/>
        </c:scaling>
        <c:delete val="0"/>
        <c:axPos val="l"/>
        <c:majorGridlines>
          <c:spPr>
            <a:ln w="6350" cap="flat" cmpd="sng" algn="ctr">
              <a:solidFill>
                <a:schemeClr val="bg1">
                  <a:lumMod val="95000"/>
                </a:schemeClr>
              </a:solidFill>
              <a:round/>
            </a:ln>
            <a:effectLst/>
          </c:spPr>
        </c:majorGridlines>
        <c:numFmt formatCode="0.0%;\(0.0%\);&quot;--&quot;"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2278354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lumMod val="65000"/>
                    <a:lumOff val="35000"/>
                  </a:schemeClr>
                </a:solidFill>
                <a:latin typeface="Garamond" panose="02020404030301010803" pitchFamily="18" charset="0"/>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8"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41</xdr:row>
      <xdr:rowOff>0</xdr:rowOff>
    </xdr:from>
    <xdr:to>
      <xdr:col>6</xdr:col>
      <xdr:colOff>1055818</xdr:colOff>
      <xdr:row>67</xdr:row>
      <xdr:rowOff>123289</xdr:rowOff>
    </xdr:to>
    <xdr:pic>
      <xdr:nvPicPr>
        <xdr:cNvPr id="2" name="Picture 1">
          <a:extLst>
            <a:ext uri="{FF2B5EF4-FFF2-40B4-BE49-F238E27FC236}">
              <a16:creationId xmlns:a16="http://schemas.microsoft.com/office/drawing/2014/main" id="{394CDA12-BD2F-48E3-A9ED-5A478045A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8730" y="6446520"/>
          <a:ext cx="8706298" cy="4283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3</xdr:col>
      <xdr:colOff>885825</xdr:colOff>
      <xdr:row>7</xdr:row>
      <xdr:rowOff>76200</xdr:rowOff>
    </xdr:to>
    <xdr:pic>
      <xdr:nvPicPr>
        <xdr:cNvPr id="8" name="TegusBrandLogo">
          <a:extLst>
            <a:ext uri="{FF2B5EF4-FFF2-40B4-BE49-F238E27FC236}">
              <a16:creationId xmlns:a16="http://schemas.microsoft.com/office/drawing/2014/main" id="{3C185BE1-9FC9-40F7-B479-6F7A22A06C66}"/>
            </a:ext>
          </a:extLst>
        </xdr:cNvPr>
        <xdr:cNvPicPr>
          <a:picLocks noChangeAspect="1"/>
        </xdr:cNvPicPr>
      </xdr:nvPicPr>
      <xdr:blipFill>
        <a:blip xmlns:r="http://schemas.openxmlformats.org/officeDocument/2006/relationships" r:embed="rId1"/>
        <a:stretch>
          <a:fillRect/>
        </a:stretch>
      </xdr:blipFill>
      <xdr:spPr>
        <a:xfrm>
          <a:off x="922020" y="952500"/>
          <a:ext cx="1592580" cy="5486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305027</xdr:colOff>
      <xdr:row>316</xdr:row>
      <xdr:rowOff>139455</xdr:rowOff>
    </xdr:from>
    <xdr:to>
      <xdr:col>40</xdr:col>
      <xdr:colOff>283536</xdr:colOff>
      <xdr:row>334</xdr:row>
      <xdr:rowOff>78690</xdr:rowOff>
    </xdr:to>
    <xdr:graphicFrame macro="">
      <xdr:nvGraphicFramePr>
        <xdr:cNvPr id="2" name="Chart 1">
          <a:extLst>
            <a:ext uri="{FF2B5EF4-FFF2-40B4-BE49-F238E27FC236}">
              <a16:creationId xmlns:a16="http://schemas.microsoft.com/office/drawing/2014/main" id="{98C6DFA9-4F3E-4057-9A0F-EC7FED310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305026</xdr:colOff>
      <xdr:row>336</xdr:row>
      <xdr:rowOff>151161</xdr:rowOff>
    </xdr:from>
    <xdr:to>
      <xdr:col>40</xdr:col>
      <xdr:colOff>283535</xdr:colOff>
      <xdr:row>354</xdr:row>
      <xdr:rowOff>89048</xdr:rowOff>
    </xdr:to>
    <xdr:graphicFrame macro="">
      <xdr:nvGraphicFramePr>
        <xdr:cNvPr id="3" name="Chart 2">
          <a:extLst>
            <a:ext uri="{FF2B5EF4-FFF2-40B4-BE49-F238E27FC236}">
              <a16:creationId xmlns:a16="http://schemas.microsoft.com/office/drawing/2014/main" id="{29540B4C-ED23-4390-AAD7-D857921FB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51741</xdr:colOff>
      <xdr:row>201</xdr:row>
      <xdr:rowOff>159926</xdr:rowOff>
    </xdr:from>
    <xdr:to>
      <xdr:col>26</xdr:col>
      <xdr:colOff>672631</xdr:colOff>
      <xdr:row>203</xdr:row>
      <xdr:rowOff>23518</xdr:rowOff>
    </xdr:to>
    <xdr:sp macro="" textlink="">
      <xdr:nvSpPr>
        <xdr:cNvPr id="4" name="Rectangle 3">
          <a:extLst>
            <a:ext uri="{FF2B5EF4-FFF2-40B4-BE49-F238E27FC236}">
              <a16:creationId xmlns:a16="http://schemas.microsoft.com/office/drawing/2014/main" id="{F78CC1BA-3F34-4C83-9A01-C33342A21DC5}"/>
            </a:ext>
          </a:extLst>
        </xdr:cNvPr>
        <xdr:cNvSpPr/>
      </xdr:nvSpPr>
      <xdr:spPr>
        <a:xfrm>
          <a:off x="16876701" y="39216236"/>
          <a:ext cx="2022970" cy="252212"/>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24</xdr:col>
      <xdr:colOff>51741</xdr:colOff>
      <xdr:row>199</xdr:row>
      <xdr:rowOff>155222</xdr:rowOff>
    </xdr:from>
    <xdr:to>
      <xdr:col>26</xdr:col>
      <xdr:colOff>672631</xdr:colOff>
      <xdr:row>201</xdr:row>
      <xdr:rowOff>18814</xdr:rowOff>
    </xdr:to>
    <xdr:sp macro="" textlink="">
      <xdr:nvSpPr>
        <xdr:cNvPr id="5" name="Rectangle 4">
          <a:extLst>
            <a:ext uri="{FF2B5EF4-FFF2-40B4-BE49-F238E27FC236}">
              <a16:creationId xmlns:a16="http://schemas.microsoft.com/office/drawing/2014/main" id="{BE288772-F172-4DDE-BCAA-214944FBA94A}"/>
            </a:ext>
          </a:extLst>
        </xdr:cNvPr>
        <xdr:cNvSpPr/>
      </xdr:nvSpPr>
      <xdr:spPr>
        <a:xfrm>
          <a:off x="16876701" y="38822912"/>
          <a:ext cx="2022970" cy="252212"/>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19</xdr:col>
      <xdr:colOff>144036</xdr:colOff>
      <xdr:row>193</xdr:row>
      <xdr:rowOff>152999</xdr:rowOff>
    </xdr:from>
    <xdr:to>
      <xdr:col>26</xdr:col>
      <xdr:colOff>672631</xdr:colOff>
      <xdr:row>196</xdr:row>
      <xdr:rowOff>18585</xdr:rowOff>
    </xdr:to>
    <xdr:sp macro="" textlink="">
      <xdr:nvSpPr>
        <xdr:cNvPr id="6" name="Rectangle 5">
          <a:extLst>
            <a:ext uri="{FF2B5EF4-FFF2-40B4-BE49-F238E27FC236}">
              <a16:creationId xmlns:a16="http://schemas.microsoft.com/office/drawing/2014/main" id="{857A1292-7F97-43CF-9F92-1D10389F86E1}"/>
            </a:ext>
          </a:extLst>
        </xdr:cNvPr>
        <xdr:cNvSpPr/>
      </xdr:nvSpPr>
      <xdr:spPr>
        <a:xfrm>
          <a:off x="13463796" y="37654829"/>
          <a:ext cx="5435875" cy="448516"/>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41</xdr:col>
      <xdr:colOff>1</xdr:colOff>
      <xdr:row>318</xdr:row>
      <xdr:rowOff>0</xdr:rowOff>
    </xdr:from>
    <xdr:to>
      <xdr:col>59</xdr:col>
      <xdr:colOff>540485</xdr:colOff>
      <xdr:row>335</xdr:row>
      <xdr:rowOff>101160</xdr:rowOff>
    </xdr:to>
    <xdr:graphicFrame macro="">
      <xdr:nvGraphicFramePr>
        <xdr:cNvPr id="7" name="Chart 6">
          <a:extLst>
            <a:ext uri="{FF2B5EF4-FFF2-40B4-BE49-F238E27FC236}">
              <a16:creationId xmlns:a16="http://schemas.microsoft.com/office/drawing/2014/main" id="{7BA0D10C-392A-4A26-81EA-F2FCFE941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0</xdr:colOff>
      <xdr:row>338</xdr:row>
      <xdr:rowOff>11706</xdr:rowOff>
    </xdr:from>
    <xdr:to>
      <xdr:col>59</xdr:col>
      <xdr:colOff>540484</xdr:colOff>
      <xdr:row>355</xdr:row>
      <xdr:rowOff>111518</xdr:rowOff>
    </xdr:to>
    <xdr:graphicFrame macro="">
      <xdr:nvGraphicFramePr>
        <xdr:cNvPr id="8" name="Chart 7">
          <a:extLst>
            <a:ext uri="{FF2B5EF4-FFF2-40B4-BE49-F238E27FC236}">
              <a16:creationId xmlns:a16="http://schemas.microsoft.com/office/drawing/2014/main" id="{5E57AD05-16A3-43B3-BCB1-B4B209448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46971</xdr:colOff>
      <xdr:row>277</xdr:row>
      <xdr:rowOff>149774</xdr:rowOff>
    </xdr:from>
    <xdr:to>
      <xdr:col>18</xdr:col>
      <xdr:colOff>672012</xdr:colOff>
      <xdr:row>301</xdr:row>
      <xdr:rowOff>77154</xdr:rowOff>
    </xdr:to>
    <xdr:graphicFrame macro="">
      <xdr:nvGraphicFramePr>
        <xdr:cNvPr id="9" name="Chart 8">
          <a:extLst>
            <a:ext uri="{FF2B5EF4-FFF2-40B4-BE49-F238E27FC236}">
              <a16:creationId xmlns:a16="http://schemas.microsoft.com/office/drawing/2014/main" id="{6DAF50A1-0F5F-41A3-859E-47D43B327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527050</xdr:colOff>
      <xdr:row>303</xdr:row>
      <xdr:rowOff>82550</xdr:rowOff>
    </xdr:from>
    <xdr:to>
      <xdr:col>16</xdr:col>
      <xdr:colOff>685800</xdr:colOff>
      <xdr:row>320</xdr:row>
      <xdr:rowOff>19050</xdr:rowOff>
    </xdr:to>
    <xdr:graphicFrame macro="">
      <xdr:nvGraphicFramePr>
        <xdr:cNvPr id="10" name="Chart 9">
          <a:extLst>
            <a:ext uri="{FF2B5EF4-FFF2-40B4-BE49-F238E27FC236}">
              <a16:creationId xmlns:a16="http://schemas.microsoft.com/office/drawing/2014/main" id="{AF0913CC-7AE1-4E92-9E23-FE3F65FB3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46</xdr:col>
      <xdr:colOff>51741</xdr:colOff>
      <xdr:row>201</xdr:row>
      <xdr:rowOff>153576</xdr:rowOff>
    </xdr:from>
    <xdr:to>
      <xdr:col>48</xdr:col>
      <xdr:colOff>672631</xdr:colOff>
      <xdr:row>203</xdr:row>
      <xdr:rowOff>17168</xdr:rowOff>
    </xdr:to>
    <xdr:sp macro="" textlink="">
      <xdr:nvSpPr>
        <xdr:cNvPr id="11" name="Rectangle 10">
          <a:extLst>
            <a:ext uri="{FF2B5EF4-FFF2-40B4-BE49-F238E27FC236}">
              <a16:creationId xmlns:a16="http://schemas.microsoft.com/office/drawing/2014/main" id="{125CC8DA-F2ED-4A96-95B3-2BBE1AC26506}"/>
            </a:ext>
          </a:extLst>
        </xdr:cNvPr>
        <xdr:cNvSpPr/>
      </xdr:nvSpPr>
      <xdr:spPr>
        <a:xfrm>
          <a:off x="32299581" y="39209886"/>
          <a:ext cx="2022970" cy="252212"/>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46</xdr:col>
      <xdr:colOff>51741</xdr:colOff>
      <xdr:row>199</xdr:row>
      <xdr:rowOff>161572</xdr:rowOff>
    </xdr:from>
    <xdr:to>
      <xdr:col>48</xdr:col>
      <xdr:colOff>672631</xdr:colOff>
      <xdr:row>201</xdr:row>
      <xdr:rowOff>25164</xdr:rowOff>
    </xdr:to>
    <xdr:sp macro="" textlink="">
      <xdr:nvSpPr>
        <xdr:cNvPr id="12" name="Rectangle 11">
          <a:extLst>
            <a:ext uri="{FF2B5EF4-FFF2-40B4-BE49-F238E27FC236}">
              <a16:creationId xmlns:a16="http://schemas.microsoft.com/office/drawing/2014/main" id="{FF39EE02-6A8E-4B6F-AB50-8B4FF8172C39}"/>
            </a:ext>
          </a:extLst>
        </xdr:cNvPr>
        <xdr:cNvSpPr/>
      </xdr:nvSpPr>
      <xdr:spPr>
        <a:xfrm>
          <a:off x="32299581" y="38829262"/>
          <a:ext cx="2022970" cy="252212"/>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41</xdr:col>
      <xdr:colOff>132406</xdr:colOff>
      <xdr:row>193</xdr:row>
      <xdr:rowOff>153576</xdr:rowOff>
    </xdr:from>
    <xdr:to>
      <xdr:col>43</xdr:col>
      <xdr:colOff>578223</xdr:colOff>
      <xdr:row>197</xdr:row>
      <xdr:rowOff>0</xdr:rowOff>
    </xdr:to>
    <xdr:sp macro="" textlink="">
      <xdr:nvSpPr>
        <xdr:cNvPr id="13" name="Rectangle 12">
          <a:extLst>
            <a:ext uri="{FF2B5EF4-FFF2-40B4-BE49-F238E27FC236}">
              <a16:creationId xmlns:a16="http://schemas.microsoft.com/office/drawing/2014/main" id="{D6CF6871-D74D-4560-B0E0-4D03E17A35CC}"/>
            </a:ext>
          </a:extLst>
        </xdr:cNvPr>
        <xdr:cNvSpPr/>
      </xdr:nvSpPr>
      <xdr:spPr>
        <a:xfrm>
          <a:off x="28875046" y="37655406"/>
          <a:ext cx="1847897" cy="623664"/>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42</xdr:col>
      <xdr:colOff>319779</xdr:colOff>
      <xdr:row>51</xdr:row>
      <xdr:rowOff>0</xdr:rowOff>
    </xdr:from>
    <xdr:to>
      <xdr:col>55</xdr:col>
      <xdr:colOff>469447</xdr:colOff>
      <xdr:row>114</xdr:row>
      <xdr:rowOff>24493</xdr:rowOff>
    </xdr:to>
    <xdr:graphicFrame macro="">
      <xdr:nvGraphicFramePr>
        <xdr:cNvPr id="14" name="Chart 13">
          <a:extLst>
            <a:ext uri="{FF2B5EF4-FFF2-40B4-BE49-F238E27FC236}">
              <a16:creationId xmlns:a16="http://schemas.microsoft.com/office/drawing/2014/main" id="{A68787D2-CA47-4BD5-AF9C-A12D6713E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43544</xdr:colOff>
      <xdr:row>229</xdr:row>
      <xdr:rowOff>154482</xdr:rowOff>
    </xdr:from>
    <xdr:to>
      <xdr:col>26</xdr:col>
      <xdr:colOff>672632</xdr:colOff>
      <xdr:row>231</xdr:row>
      <xdr:rowOff>10886</xdr:rowOff>
    </xdr:to>
    <xdr:sp macro="" textlink="">
      <xdr:nvSpPr>
        <xdr:cNvPr id="15" name="Rectangle 14">
          <a:extLst>
            <a:ext uri="{FF2B5EF4-FFF2-40B4-BE49-F238E27FC236}">
              <a16:creationId xmlns:a16="http://schemas.microsoft.com/office/drawing/2014/main" id="{584BB8B0-98C3-44DD-97FF-1A87C23D1D1E}"/>
            </a:ext>
          </a:extLst>
        </xdr:cNvPr>
        <xdr:cNvSpPr/>
      </xdr:nvSpPr>
      <xdr:spPr>
        <a:xfrm>
          <a:off x="16167464" y="44651472"/>
          <a:ext cx="2732208" cy="245024"/>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23</xdr:col>
      <xdr:colOff>43544</xdr:colOff>
      <xdr:row>232</xdr:row>
      <xdr:rowOff>154485</xdr:rowOff>
    </xdr:from>
    <xdr:to>
      <xdr:col>26</xdr:col>
      <xdr:colOff>672632</xdr:colOff>
      <xdr:row>234</xdr:row>
      <xdr:rowOff>10889</xdr:rowOff>
    </xdr:to>
    <xdr:sp macro="" textlink="">
      <xdr:nvSpPr>
        <xdr:cNvPr id="16" name="Rectangle 15">
          <a:extLst>
            <a:ext uri="{FF2B5EF4-FFF2-40B4-BE49-F238E27FC236}">
              <a16:creationId xmlns:a16="http://schemas.microsoft.com/office/drawing/2014/main" id="{1CD23940-55EA-4143-B150-1424E8598312}"/>
            </a:ext>
          </a:extLst>
        </xdr:cNvPr>
        <xdr:cNvSpPr/>
      </xdr:nvSpPr>
      <xdr:spPr>
        <a:xfrm>
          <a:off x="16167464" y="45234405"/>
          <a:ext cx="2732208" cy="245024"/>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23</xdr:col>
      <xdr:colOff>43544</xdr:colOff>
      <xdr:row>256</xdr:row>
      <xdr:rowOff>159076</xdr:rowOff>
    </xdr:from>
    <xdr:to>
      <xdr:col>26</xdr:col>
      <xdr:colOff>672632</xdr:colOff>
      <xdr:row>258</xdr:row>
      <xdr:rowOff>15480</xdr:rowOff>
    </xdr:to>
    <xdr:sp macro="" textlink="">
      <xdr:nvSpPr>
        <xdr:cNvPr id="17" name="Rectangle 16">
          <a:extLst>
            <a:ext uri="{FF2B5EF4-FFF2-40B4-BE49-F238E27FC236}">
              <a16:creationId xmlns:a16="http://schemas.microsoft.com/office/drawing/2014/main" id="{386E8C3F-0976-45FF-B8C5-C5AB5BF97F69}"/>
            </a:ext>
          </a:extLst>
        </xdr:cNvPr>
        <xdr:cNvSpPr/>
      </xdr:nvSpPr>
      <xdr:spPr>
        <a:xfrm>
          <a:off x="16167464" y="49902436"/>
          <a:ext cx="2732208" cy="245024"/>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121580</xdr:colOff>
      <xdr:row>251</xdr:row>
      <xdr:rowOff>3004</xdr:rowOff>
    </xdr:from>
    <xdr:to>
      <xdr:col>19</xdr:col>
      <xdr:colOff>20800</xdr:colOff>
      <xdr:row>252</xdr:row>
      <xdr:rowOff>24661</xdr:rowOff>
    </xdr:to>
    <xdr:sp macro="" textlink="">
      <xdr:nvSpPr>
        <xdr:cNvPr id="18" name="Rectangle 17">
          <a:extLst>
            <a:ext uri="{FF2B5EF4-FFF2-40B4-BE49-F238E27FC236}">
              <a16:creationId xmlns:a16="http://schemas.microsoft.com/office/drawing/2014/main" id="{8FE0A346-C430-4BA3-84ED-EC0C1B0C6428}"/>
            </a:ext>
          </a:extLst>
        </xdr:cNvPr>
        <xdr:cNvSpPr/>
      </xdr:nvSpPr>
      <xdr:spPr>
        <a:xfrm>
          <a:off x="10637180" y="48774814"/>
          <a:ext cx="2703380" cy="215967"/>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27</xdr:col>
      <xdr:colOff>34362</xdr:colOff>
      <xdr:row>256</xdr:row>
      <xdr:rowOff>154483</xdr:rowOff>
    </xdr:from>
    <xdr:to>
      <xdr:col>28</xdr:col>
      <xdr:colOff>711505</xdr:colOff>
      <xdr:row>258</xdr:row>
      <xdr:rowOff>4591</xdr:rowOff>
    </xdr:to>
    <xdr:sp macro="" textlink="">
      <xdr:nvSpPr>
        <xdr:cNvPr id="19" name="Rectangle 18">
          <a:extLst>
            <a:ext uri="{FF2B5EF4-FFF2-40B4-BE49-F238E27FC236}">
              <a16:creationId xmlns:a16="http://schemas.microsoft.com/office/drawing/2014/main" id="{F55D34CB-F393-4687-9904-7FC1D3B753A3}"/>
            </a:ext>
          </a:extLst>
        </xdr:cNvPr>
        <xdr:cNvSpPr/>
      </xdr:nvSpPr>
      <xdr:spPr>
        <a:xfrm>
          <a:off x="18962442" y="49897843"/>
          <a:ext cx="1366753" cy="238728"/>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40</xdr:col>
      <xdr:colOff>769917</xdr:colOff>
      <xdr:row>256</xdr:row>
      <xdr:rowOff>6723</xdr:rowOff>
    </xdr:from>
    <xdr:to>
      <xdr:col>45</xdr:col>
      <xdr:colOff>546439</xdr:colOff>
      <xdr:row>262</xdr:row>
      <xdr:rowOff>142492</xdr:rowOff>
    </xdr:to>
    <xdr:graphicFrame macro="">
      <xdr:nvGraphicFramePr>
        <xdr:cNvPr id="20" name="Chart 19">
          <a:extLst>
            <a:ext uri="{FF2B5EF4-FFF2-40B4-BE49-F238E27FC236}">
              <a16:creationId xmlns:a16="http://schemas.microsoft.com/office/drawing/2014/main" id="{79A72109-018C-41A2-81D8-7853D4C07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677952</xdr:colOff>
      <xdr:row>256</xdr:row>
      <xdr:rowOff>6723</xdr:rowOff>
    </xdr:from>
    <xdr:to>
      <xdr:col>52</xdr:col>
      <xdr:colOff>181441</xdr:colOff>
      <xdr:row>262</xdr:row>
      <xdr:rowOff>142492</xdr:rowOff>
    </xdr:to>
    <xdr:graphicFrame macro="">
      <xdr:nvGraphicFramePr>
        <xdr:cNvPr id="21" name="Chart 20">
          <a:extLst>
            <a:ext uri="{FF2B5EF4-FFF2-40B4-BE49-F238E27FC236}">
              <a16:creationId xmlns:a16="http://schemas.microsoft.com/office/drawing/2014/main" id="{347BDFAE-D345-4460-8EC2-EA0E57DB2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677952</xdr:colOff>
      <xdr:row>264</xdr:row>
      <xdr:rowOff>19707</xdr:rowOff>
    </xdr:from>
    <xdr:to>
      <xdr:col>52</xdr:col>
      <xdr:colOff>180600</xdr:colOff>
      <xdr:row>270</xdr:row>
      <xdr:rowOff>155476</xdr:rowOff>
    </xdr:to>
    <xdr:graphicFrame macro="">
      <xdr:nvGraphicFramePr>
        <xdr:cNvPr id="22" name="Chart 21">
          <a:extLst>
            <a:ext uri="{FF2B5EF4-FFF2-40B4-BE49-F238E27FC236}">
              <a16:creationId xmlns:a16="http://schemas.microsoft.com/office/drawing/2014/main" id="{FD8D3513-0F4D-419C-B89B-D91CE985F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769917</xdr:colOff>
      <xdr:row>264</xdr:row>
      <xdr:rowOff>19707</xdr:rowOff>
    </xdr:from>
    <xdr:to>
      <xdr:col>45</xdr:col>
      <xdr:colOff>548461</xdr:colOff>
      <xdr:row>270</xdr:row>
      <xdr:rowOff>155476</xdr:rowOff>
    </xdr:to>
    <xdr:graphicFrame macro="">
      <xdr:nvGraphicFramePr>
        <xdr:cNvPr id="23" name="Chart 22">
          <a:extLst>
            <a:ext uri="{FF2B5EF4-FFF2-40B4-BE49-F238E27FC236}">
              <a16:creationId xmlns:a16="http://schemas.microsoft.com/office/drawing/2014/main" id="{FCA87691-2DD5-4E6A-9E84-10966B4CD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45</xdr:col>
      <xdr:colOff>677952</xdr:colOff>
      <xdr:row>276</xdr:row>
      <xdr:rowOff>36801</xdr:rowOff>
    </xdr:from>
    <xdr:to>
      <xdr:col>52</xdr:col>
      <xdr:colOff>181441</xdr:colOff>
      <xdr:row>283</xdr:row>
      <xdr:rowOff>7137</xdr:rowOff>
    </xdr:to>
    <xdr:graphicFrame macro="">
      <xdr:nvGraphicFramePr>
        <xdr:cNvPr id="24" name="Chart 23">
          <a:extLst>
            <a:ext uri="{FF2B5EF4-FFF2-40B4-BE49-F238E27FC236}">
              <a16:creationId xmlns:a16="http://schemas.microsoft.com/office/drawing/2014/main" id="{FD8E9892-D665-4631-A0A9-534FAB58B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45</xdr:col>
      <xdr:colOff>677952</xdr:colOff>
      <xdr:row>284</xdr:row>
      <xdr:rowOff>49786</xdr:rowOff>
    </xdr:from>
    <xdr:to>
      <xdr:col>52</xdr:col>
      <xdr:colOff>180600</xdr:colOff>
      <xdr:row>291</xdr:row>
      <xdr:rowOff>20120</xdr:rowOff>
    </xdr:to>
    <xdr:graphicFrame macro="">
      <xdr:nvGraphicFramePr>
        <xdr:cNvPr id="25" name="Chart 24">
          <a:extLst>
            <a:ext uri="{FF2B5EF4-FFF2-40B4-BE49-F238E27FC236}">
              <a16:creationId xmlns:a16="http://schemas.microsoft.com/office/drawing/2014/main" id="{AE5B8903-5D1A-4626-BE82-A4A1163C5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769917</xdr:colOff>
      <xdr:row>284</xdr:row>
      <xdr:rowOff>49786</xdr:rowOff>
    </xdr:from>
    <xdr:to>
      <xdr:col>45</xdr:col>
      <xdr:colOff>548461</xdr:colOff>
      <xdr:row>291</xdr:row>
      <xdr:rowOff>20120</xdr:rowOff>
    </xdr:to>
    <xdr:graphicFrame macro="">
      <xdr:nvGraphicFramePr>
        <xdr:cNvPr id="26" name="Chart 25">
          <a:extLst>
            <a:ext uri="{FF2B5EF4-FFF2-40B4-BE49-F238E27FC236}">
              <a16:creationId xmlns:a16="http://schemas.microsoft.com/office/drawing/2014/main" id="{46E9D8A3-1927-4BE5-8082-72316C055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40</xdr:col>
      <xdr:colOff>769917</xdr:colOff>
      <xdr:row>276</xdr:row>
      <xdr:rowOff>36801</xdr:rowOff>
    </xdr:from>
    <xdr:to>
      <xdr:col>45</xdr:col>
      <xdr:colOff>546439</xdr:colOff>
      <xdr:row>283</xdr:row>
      <xdr:rowOff>7137</xdr:rowOff>
    </xdr:to>
    <xdr:graphicFrame macro="">
      <xdr:nvGraphicFramePr>
        <xdr:cNvPr id="27" name="Chart 26">
          <a:extLst>
            <a:ext uri="{FF2B5EF4-FFF2-40B4-BE49-F238E27FC236}">
              <a16:creationId xmlns:a16="http://schemas.microsoft.com/office/drawing/2014/main" id="{3750180C-699B-44A5-982C-6F159260E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423488</xdr:colOff>
      <xdr:row>172</xdr:row>
      <xdr:rowOff>133842</xdr:rowOff>
    </xdr:from>
    <xdr:to>
      <xdr:col>32</xdr:col>
      <xdr:colOff>50512</xdr:colOff>
      <xdr:row>198</xdr:row>
      <xdr:rowOff>98306</xdr:rowOff>
    </xdr:to>
    <xdr:graphicFrame macro="">
      <xdr:nvGraphicFramePr>
        <xdr:cNvPr id="28" name="Chart 27">
          <a:extLst>
            <a:ext uri="{FF2B5EF4-FFF2-40B4-BE49-F238E27FC236}">
              <a16:creationId xmlns:a16="http://schemas.microsoft.com/office/drawing/2014/main" id="{078025D3-D2BB-413E-AE38-EC45F6859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32</xdr:col>
      <xdr:colOff>125993</xdr:colOff>
      <xdr:row>172</xdr:row>
      <xdr:rowOff>133842</xdr:rowOff>
    </xdr:from>
    <xdr:to>
      <xdr:col>36</xdr:col>
      <xdr:colOff>603744</xdr:colOff>
      <xdr:row>198</xdr:row>
      <xdr:rowOff>98306</xdr:rowOff>
    </xdr:to>
    <xdr:graphicFrame macro="">
      <xdr:nvGraphicFramePr>
        <xdr:cNvPr id="29" name="Chart 28">
          <a:extLst>
            <a:ext uri="{FF2B5EF4-FFF2-40B4-BE49-F238E27FC236}">
              <a16:creationId xmlns:a16="http://schemas.microsoft.com/office/drawing/2014/main" id="{BF96367E-0A90-4EB4-BC9E-38A30517B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32</xdr:col>
      <xdr:colOff>125993</xdr:colOff>
      <xdr:row>198</xdr:row>
      <xdr:rowOff>167239</xdr:rowOff>
    </xdr:from>
    <xdr:to>
      <xdr:col>36</xdr:col>
      <xdr:colOff>603744</xdr:colOff>
      <xdr:row>208</xdr:row>
      <xdr:rowOff>131703</xdr:rowOff>
    </xdr:to>
    <xdr:graphicFrame macro="">
      <xdr:nvGraphicFramePr>
        <xdr:cNvPr id="30" name="Chart 29">
          <a:extLst>
            <a:ext uri="{FF2B5EF4-FFF2-40B4-BE49-F238E27FC236}">
              <a16:creationId xmlns:a16="http://schemas.microsoft.com/office/drawing/2014/main" id="{A278CAC6-05C0-4F94-A3D6-1C46382A6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27</xdr:col>
      <xdr:colOff>423488</xdr:colOff>
      <xdr:row>198</xdr:row>
      <xdr:rowOff>167239</xdr:rowOff>
    </xdr:from>
    <xdr:to>
      <xdr:col>32</xdr:col>
      <xdr:colOff>50512</xdr:colOff>
      <xdr:row>208</xdr:row>
      <xdr:rowOff>131703</xdr:rowOff>
    </xdr:to>
    <xdr:graphicFrame macro="">
      <xdr:nvGraphicFramePr>
        <xdr:cNvPr id="31" name="Chart 30">
          <a:extLst>
            <a:ext uri="{FF2B5EF4-FFF2-40B4-BE49-F238E27FC236}">
              <a16:creationId xmlns:a16="http://schemas.microsoft.com/office/drawing/2014/main" id="{870AF4C8-39CC-4C6E-8BD8-D58297E11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27</xdr:col>
      <xdr:colOff>423488</xdr:colOff>
      <xdr:row>211</xdr:row>
      <xdr:rowOff>159944</xdr:rowOff>
    </xdr:from>
    <xdr:to>
      <xdr:col>36</xdr:col>
      <xdr:colOff>589767</xdr:colOff>
      <xdr:row>222</xdr:row>
      <xdr:rowOff>154108</xdr:rowOff>
    </xdr:to>
    <xdr:graphicFrame macro="">
      <xdr:nvGraphicFramePr>
        <xdr:cNvPr id="32" name="Chart 31">
          <a:extLst>
            <a:ext uri="{FF2B5EF4-FFF2-40B4-BE49-F238E27FC236}">
              <a16:creationId xmlns:a16="http://schemas.microsoft.com/office/drawing/2014/main" id="{4FD9C3A8-57B1-411E-80B1-2B002087F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28</xdr:col>
      <xdr:colOff>0</xdr:colOff>
      <xdr:row>135</xdr:row>
      <xdr:rowOff>0</xdr:rowOff>
    </xdr:from>
    <xdr:to>
      <xdr:col>32</xdr:col>
      <xdr:colOff>475202</xdr:colOff>
      <xdr:row>144</xdr:row>
      <xdr:rowOff>150428</xdr:rowOff>
    </xdr:to>
    <xdr:graphicFrame macro="">
      <xdr:nvGraphicFramePr>
        <xdr:cNvPr id="33" name="Chart 32">
          <a:extLst>
            <a:ext uri="{FF2B5EF4-FFF2-40B4-BE49-F238E27FC236}">
              <a16:creationId xmlns:a16="http://schemas.microsoft.com/office/drawing/2014/main" id="{5A611B2F-63F6-46FE-8AE6-0B824D170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32</xdr:col>
      <xdr:colOff>550683</xdr:colOff>
      <xdr:row>135</xdr:row>
      <xdr:rowOff>0</xdr:rowOff>
    </xdr:from>
    <xdr:to>
      <xdr:col>38</xdr:col>
      <xdr:colOff>116756</xdr:colOff>
      <xdr:row>144</xdr:row>
      <xdr:rowOff>150428</xdr:rowOff>
    </xdr:to>
    <xdr:graphicFrame macro="">
      <xdr:nvGraphicFramePr>
        <xdr:cNvPr id="34" name="Chart 33">
          <a:extLst>
            <a:ext uri="{FF2B5EF4-FFF2-40B4-BE49-F238E27FC236}">
              <a16:creationId xmlns:a16="http://schemas.microsoft.com/office/drawing/2014/main" id="{7ACE5B66-0DCF-4E7E-8C02-FA847FB42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32</xdr:col>
      <xdr:colOff>550683</xdr:colOff>
      <xdr:row>145</xdr:row>
      <xdr:rowOff>56076</xdr:rowOff>
    </xdr:from>
    <xdr:to>
      <xdr:col>38</xdr:col>
      <xdr:colOff>116756</xdr:colOff>
      <xdr:row>155</xdr:row>
      <xdr:rowOff>43218</xdr:rowOff>
    </xdr:to>
    <xdr:graphicFrame macro="">
      <xdr:nvGraphicFramePr>
        <xdr:cNvPr id="35" name="Chart 34">
          <a:extLst>
            <a:ext uri="{FF2B5EF4-FFF2-40B4-BE49-F238E27FC236}">
              <a16:creationId xmlns:a16="http://schemas.microsoft.com/office/drawing/2014/main" id="{96D182A9-C37F-4132-BBAC-11839886C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28</xdr:col>
      <xdr:colOff>0</xdr:colOff>
      <xdr:row>145</xdr:row>
      <xdr:rowOff>56076</xdr:rowOff>
    </xdr:from>
    <xdr:to>
      <xdr:col>32</xdr:col>
      <xdr:colOff>475202</xdr:colOff>
      <xdr:row>155</xdr:row>
      <xdr:rowOff>43218</xdr:rowOff>
    </xdr:to>
    <xdr:graphicFrame macro="">
      <xdr:nvGraphicFramePr>
        <xdr:cNvPr id="36" name="Chart 35">
          <a:extLst>
            <a:ext uri="{FF2B5EF4-FFF2-40B4-BE49-F238E27FC236}">
              <a16:creationId xmlns:a16="http://schemas.microsoft.com/office/drawing/2014/main" id="{FF1DBF69-A78B-46A1-BE8A-C25C20F93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28</xdr:col>
      <xdr:colOff>0</xdr:colOff>
      <xdr:row>123</xdr:row>
      <xdr:rowOff>13606</xdr:rowOff>
    </xdr:from>
    <xdr:to>
      <xdr:col>38</xdr:col>
      <xdr:colOff>102779</xdr:colOff>
      <xdr:row>134</xdr:row>
      <xdr:rowOff>31863</xdr:rowOff>
    </xdr:to>
    <xdr:graphicFrame macro="">
      <xdr:nvGraphicFramePr>
        <xdr:cNvPr id="37" name="Chart 36">
          <a:extLst>
            <a:ext uri="{FF2B5EF4-FFF2-40B4-BE49-F238E27FC236}">
              <a16:creationId xmlns:a16="http://schemas.microsoft.com/office/drawing/2014/main" id="{B7B6A27D-5E55-4AFA-8A48-75B406CE1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33</xdr:col>
      <xdr:colOff>811898</xdr:colOff>
      <xdr:row>56</xdr:row>
      <xdr:rowOff>48078</xdr:rowOff>
    </xdr:from>
    <xdr:to>
      <xdr:col>45</xdr:col>
      <xdr:colOff>437212</xdr:colOff>
      <xdr:row>114</xdr:row>
      <xdr:rowOff>51935</xdr:rowOff>
    </xdr:to>
    <xdr:graphicFrame macro="">
      <xdr:nvGraphicFramePr>
        <xdr:cNvPr id="38" name="Chart 37">
          <a:extLst>
            <a:ext uri="{FF2B5EF4-FFF2-40B4-BE49-F238E27FC236}">
              <a16:creationId xmlns:a16="http://schemas.microsoft.com/office/drawing/2014/main" id="{EF9792A6-5F51-4116-93C9-E7894D65F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25</xdr:col>
      <xdr:colOff>444500</xdr:colOff>
      <xdr:row>269</xdr:row>
      <xdr:rowOff>79828</xdr:rowOff>
    </xdr:from>
    <xdr:to>
      <xdr:col>32</xdr:col>
      <xdr:colOff>36286</xdr:colOff>
      <xdr:row>286</xdr:row>
      <xdr:rowOff>47171</xdr:rowOff>
    </xdr:to>
    <xdr:graphicFrame macro="">
      <xdr:nvGraphicFramePr>
        <xdr:cNvPr id="39" name="Chart 38">
          <a:extLst>
            <a:ext uri="{FF2B5EF4-FFF2-40B4-BE49-F238E27FC236}">
              <a16:creationId xmlns:a16="http://schemas.microsoft.com/office/drawing/2014/main" id="{C6557BCA-1A5B-4C53-A419-43C2D263C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22</xdr:col>
      <xdr:colOff>288473</xdr:colOff>
      <xdr:row>274</xdr:row>
      <xdr:rowOff>326</xdr:rowOff>
    </xdr:from>
    <xdr:to>
      <xdr:col>23</xdr:col>
      <xdr:colOff>0</xdr:colOff>
      <xdr:row>275</xdr:row>
      <xdr:rowOff>9072</xdr:rowOff>
    </xdr:to>
    <xdr:sp macro="" textlink="">
      <xdr:nvSpPr>
        <xdr:cNvPr id="40" name="Rectangle 39">
          <a:extLst>
            <a:ext uri="{FF2B5EF4-FFF2-40B4-BE49-F238E27FC236}">
              <a16:creationId xmlns:a16="http://schemas.microsoft.com/office/drawing/2014/main" id="{0310EA5C-3943-4846-AA9B-B14070E51C8F}"/>
            </a:ext>
          </a:extLst>
        </xdr:cNvPr>
        <xdr:cNvSpPr/>
      </xdr:nvSpPr>
      <xdr:spPr>
        <a:xfrm>
          <a:off x="15711353" y="53241266"/>
          <a:ext cx="412567" cy="203056"/>
        </a:xfrm>
        <a:prstGeom prst="rect">
          <a:avLst/>
        </a:prstGeom>
        <a:noFill/>
        <a:ln>
          <a:solidFill>
            <a:srgbClr val="C0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33</xdr:col>
      <xdr:colOff>798292</xdr:colOff>
      <xdr:row>237</xdr:row>
      <xdr:rowOff>120650</xdr:rowOff>
    </xdr:from>
    <xdr:to>
      <xdr:col>40</xdr:col>
      <xdr:colOff>793528</xdr:colOff>
      <xdr:row>247</xdr:row>
      <xdr:rowOff>85115</xdr:rowOff>
    </xdr:to>
    <xdr:graphicFrame macro="">
      <xdr:nvGraphicFramePr>
        <xdr:cNvPr id="41" name="Chart 40">
          <a:extLst>
            <a:ext uri="{FF2B5EF4-FFF2-40B4-BE49-F238E27FC236}">
              <a16:creationId xmlns:a16="http://schemas.microsoft.com/office/drawing/2014/main" id="{8245BCD6-0BF3-4432-B9EB-2D43A8999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29</xdr:col>
      <xdr:colOff>145150</xdr:colOff>
      <xdr:row>227</xdr:row>
      <xdr:rowOff>75292</xdr:rowOff>
    </xdr:from>
    <xdr:to>
      <xdr:col>33</xdr:col>
      <xdr:colOff>621171</xdr:colOff>
      <xdr:row>237</xdr:row>
      <xdr:rowOff>62435</xdr:rowOff>
    </xdr:to>
    <xdr:graphicFrame macro="">
      <xdr:nvGraphicFramePr>
        <xdr:cNvPr id="42" name="Chart 41">
          <a:extLst>
            <a:ext uri="{FF2B5EF4-FFF2-40B4-BE49-F238E27FC236}">
              <a16:creationId xmlns:a16="http://schemas.microsoft.com/office/drawing/2014/main" id="{5A1D82BB-AAF8-4F8A-9E86-400AB7699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29</xdr:col>
      <xdr:colOff>145150</xdr:colOff>
      <xdr:row>237</xdr:row>
      <xdr:rowOff>120650</xdr:rowOff>
    </xdr:from>
    <xdr:to>
      <xdr:col>33</xdr:col>
      <xdr:colOff>621171</xdr:colOff>
      <xdr:row>247</xdr:row>
      <xdr:rowOff>85115</xdr:rowOff>
    </xdr:to>
    <xdr:graphicFrame macro="">
      <xdr:nvGraphicFramePr>
        <xdr:cNvPr id="43" name="Chart 42">
          <a:extLst>
            <a:ext uri="{FF2B5EF4-FFF2-40B4-BE49-F238E27FC236}">
              <a16:creationId xmlns:a16="http://schemas.microsoft.com/office/drawing/2014/main" id="{14F77EB5-2B85-4602-9CF5-72C5E3DC7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29</xdr:col>
      <xdr:colOff>476257</xdr:colOff>
      <xdr:row>251</xdr:row>
      <xdr:rowOff>57149</xdr:rowOff>
    </xdr:from>
    <xdr:to>
      <xdr:col>36</xdr:col>
      <xdr:colOff>390078</xdr:colOff>
      <xdr:row>264</xdr:row>
      <xdr:rowOff>81641</xdr:rowOff>
    </xdr:to>
    <xdr:graphicFrame macro="">
      <xdr:nvGraphicFramePr>
        <xdr:cNvPr id="44" name="Chart 43">
          <a:extLst>
            <a:ext uri="{FF2B5EF4-FFF2-40B4-BE49-F238E27FC236}">
              <a16:creationId xmlns:a16="http://schemas.microsoft.com/office/drawing/2014/main" id="{D272748F-5252-4B5E-B8B4-E5CEF222F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33</xdr:col>
      <xdr:colOff>798292</xdr:colOff>
      <xdr:row>227</xdr:row>
      <xdr:rowOff>75292</xdr:rowOff>
    </xdr:from>
    <xdr:to>
      <xdr:col>40</xdr:col>
      <xdr:colOff>793528</xdr:colOff>
      <xdr:row>237</xdr:row>
      <xdr:rowOff>62435</xdr:rowOff>
    </xdr:to>
    <xdr:graphicFrame macro="">
      <xdr:nvGraphicFramePr>
        <xdr:cNvPr id="45" name="Chart 44">
          <a:extLst>
            <a:ext uri="{FF2B5EF4-FFF2-40B4-BE49-F238E27FC236}">
              <a16:creationId xmlns:a16="http://schemas.microsoft.com/office/drawing/2014/main" id="{96ED94A5-2F30-4AAF-AE11-7856A34D3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29</xdr:col>
      <xdr:colOff>57318</xdr:colOff>
      <xdr:row>7</xdr:row>
      <xdr:rowOff>161365</xdr:rowOff>
    </xdr:from>
    <xdr:to>
      <xdr:col>36</xdr:col>
      <xdr:colOff>121992</xdr:colOff>
      <xdr:row>24</xdr:row>
      <xdr:rowOff>85165</xdr:rowOff>
    </xdr:to>
    <xdr:graphicFrame macro="">
      <xdr:nvGraphicFramePr>
        <xdr:cNvPr id="46" name="Chart 45">
          <a:extLst>
            <a:ext uri="{FF2B5EF4-FFF2-40B4-BE49-F238E27FC236}">
              <a16:creationId xmlns:a16="http://schemas.microsoft.com/office/drawing/2014/main" id="{FC2E345A-2B5E-5997-762B-5F8317EC9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98618</xdr:colOff>
      <xdr:row>26</xdr:row>
      <xdr:rowOff>53789</xdr:rowOff>
    </xdr:from>
    <xdr:to>
      <xdr:col>40</xdr:col>
      <xdr:colOff>309217</xdr:colOff>
      <xdr:row>44</xdr:row>
      <xdr:rowOff>80683</xdr:rowOff>
    </xdr:to>
    <xdr:graphicFrame macro="">
      <xdr:nvGraphicFramePr>
        <xdr:cNvPr id="47" name="Chart 46">
          <a:extLst>
            <a:ext uri="{FF2B5EF4-FFF2-40B4-BE49-F238E27FC236}">
              <a16:creationId xmlns:a16="http://schemas.microsoft.com/office/drawing/2014/main" id="{4DE84AE1-ECAC-D786-4458-65017B7EA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3</xdr:col>
      <xdr:colOff>419100</xdr:colOff>
      <xdr:row>7</xdr:row>
      <xdr:rowOff>76200</xdr:rowOff>
    </xdr:to>
    <xdr:pic>
      <xdr:nvPicPr>
        <xdr:cNvPr id="8" name="TegusBrandLogo">
          <a:extLst>
            <a:ext uri="{FF2B5EF4-FFF2-40B4-BE49-F238E27FC236}">
              <a16:creationId xmlns:a16="http://schemas.microsoft.com/office/drawing/2014/main" id="{23BA7ACB-0101-4A24-BFBD-BA4CD3E5BF3D}"/>
            </a:ext>
          </a:extLst>
        </xdr:cNvPr>
        <xdr:cNvPicPr>
          <a:picLocks noChangeAspect="1"/>
        </xdr:cNvPicPr>
      </xdr:nvPicPr>
      <xdr:blipFill>
        <a:blip xmlns:r="http://schemas.openxmlformats.org/officeDocument/2006/relationships" r:embed="rId1"/>
        <a:stretch>
          <a:fillRect/>
        </a:stretch>
      </xdr:blipFill>
      <xdr:spPr>
        <a:xfrm>
          <a:off x="971550" y="952500"/>
          <a:ext cx="1497330" cy="5029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vid\Dropbox\Public%20Equities\Meta\Meta%20Equity%20Value%20(old).xlsm" TargetMode="External"/><Relationship Id="rId1" Type="http://schemas.openxmlformats.org/officeDocument/2006/relationships/externalLinkPath" Target="Meta%20Equity%20Value%20(old).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david\Team%20Dropbox\Few%20Thoughts\Public%20Equities\Restaurant%20Industry\Sweetgreen%20(SG)\Sweetgreen%20Equity%20Value%2001.03.2025.xlsx" TargetMode="External"/><Relationship Id="rId1" Type="http://schemas.openxmlformats.org/officeDocument/2006/relationships/externalLinkPath" Target="/Users/david/Dropbox/Public%20Equities/Restaurant%20Industry/Sweetgreen%20(SG)/Sweetgreen%20Equity%20Value%2001.03.2025.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david\Team%20Dropbox\Few%20Thoughts\Public%20Equities\Autos\Tesla%20(TSLA)\Tesla%20Equity%20Value%2002.16.2025%20-%20Result%202025-02-17%2006h30m07s.xlsx" TargetMode="External"/><Relationship Id="rId1" Type="http://schemas.openxmlformats.org/officeDocument/2006/relationships/externalLinkPath" Target="/Users/david/Dropbox/Public%20Equities/Autos/Tesla%20(TSLA)/Tesla%20Equity%20Value%2002.16.2025%20-%20Result%202025-02-17%2006h30m07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david\Dropbox\Public%20Equities\Revolve%20Group%20Equity%20Value.xlsm" TargetMode="External"/><Relationship Id="rId1" Type="http://schemas.openxmlformats.org/officeDocument/2006/relationships/externalLinkPath" Target="/Users/david/Dropbox/Public%20Equities/Revolve%20Group%20Equity%20Value.xlsm"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david\Downloads\Meta%20Platforms%20(f.k.a.%20Facebook)%20META%20US%20(5).xlsx" TargetMode="External"/><Relationship Id="rId1" Type="http://schemas.openxmlformats.org/officeDocument/2006/relationships/externalLinkPath" Target="/Users/david/Downloads/Meta%20Platforms%20(f.k.a.%20Facebook)%20META%20US%20(5).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david\Dropbox\Public%20Equities\Census%20Data.xlsm" TargetMode="External"/><Relationship Id="rId1" Type="http://schemas.openxmlformats.org/officeDocument/2006/relationships/externalLinkPath" Target="/Users/david/Dropbox/Public%20Equities/Census%20Data.xlsm"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david\Dropbox\Public%20Equities\Social%20Media\Meta%20(META)\META-SeparateAnnuals-Metadata.xlsx" TargetMode="External"/><Relationship Id="rId1" Type="http://schemas.openxmlformats.org/officeDocument/2006/relationships/externalLinkPath" Target="/Users/david/Dropbox/Public%20Equities/Social%20Media/Meta%20(META)/META-SeparateAnnuals-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pplemental Data"/>
      <sheetName val="Guidance (2)"/>
      <sheetName val="Assumptions"/>
      <sheetName val="Model"/>
      <sheetName val="Memo - A"/>
      <sheetName val="Models --&gt;"/>
      <sheetName val="KPI"/>
      <sheetName val="Quarterly"/>
      <sheetName val="Upside"/>
      <sheetName val="Down"/>
      <sheetName val="Historicals"/>
      <sheetName val="Advertising"/>
      <sheetName val="Reality labs"/>
      <sheetName val="Old Summary"/>
      <sheetName val="Supporting --&gt;"/>
      <sheetName val="KPI Build"/>
      <sheetName val="Comps"/>
      <sheetName val="Unit Economics"/>
      <sheetName val="Guidance"/>
      <sheetName val="Qualitative --&gt;"/>
    </sheetNames>
    <sheetDataSet>
      <sheetData sheetId="0"/>
      <sheetData sheetId="1"/>
      <sheetData sheetId="2">
        <row r="7">
          <cell r="AB7" t="str">
            <v>Base</v>
          </cell>
          <cell r="AC7">
            <v>1</v>
          </cell>
        </row>
        <row r="8">
          <cell r="AB8" t="str">
            <v>Upside</v>
          </cell>
          <cell r="AC8">
            <v>2</v>
          </cell>
        </row>
        <row r="9">
          <cell r="AB9" t="str">
            <v>Downside</v>
          </cell>
          <cell r="AC9">
            <v>3</v>
          </cell>
        </row>
        <row r="113">
          <cell r="H113">
            <v>22</v>
          </cell>
        </row>
        <row r="114">
          <cell r="H114">
            <v>24</v>
          </cell>
        </row>
        <row r="115">
          <cell r="H115">
            <v>18</v>
          </cell>
        </row>
      </sheetData>
      <sheetData sheetId="3">
        <row r="7">
          <cell r="E7">
            <v>2260</v>
          </cell>
          <cell r="F7">
            <v>2600</v>
          </cell>
          <cell r="G7">
            <v>2820</v>
          </cell>
          <cell r="H7">
            <v>2960</v>
          </cell>
          <cell r="I7">
            <v>3190</v>
          </cell>
          <cell r="J7">
            <v>3350</v>
          </cell>
          <cell r="K7">
            <v>3450.5</v>
          </cell>
          <cell r="L7">
            <v>3554.0149999999999</v>
          </cell>
          <cell r="M7">
            <v>3625.0953</v>
          </cell>
          <cell r="N7">
            <v>3697.5972059999999</v>
          </cell>
          <cell r="O7">
            <v>3771.5491501199999</v>
          </cell>
          <cell r="P7">
            <v>3884.6956246236</v>
          </cell>
        </row>
        <row r="8">
          <cell r="H8">
            <v>4.9645390070921946E-2</v>
          </cell>
        </row>
        <row r="10">
          <cell r="D10" t="str">
            <v>FOA revenue per DAP</v>
          </cell>
          <cell r="E10">
            <v>31.060176991150442</v>
          </cell>
          <cell r="F10">
            <v>34.907818930041152</v>
          </cell>
          <cell r="G10">
            <v>42.677121771217713</v>
          </cell>
          <cell r="H10">
            <v>39.602076124567475</v>
          </cell>
          <cell r="I10">
            <v>43.253983739837402</v>
          </cell>
          <cell r="J10">
            <v>49.649847094801224</v>
          </cell>
          <cell r="K10">
            <v>51.635840978593272</v>
          </cell>
          <cell r="L10">
            <v>55.250349847094803</v>
          </cell>
          <cell r="M10">
            <v>59.117874336391445</v>
          </cell>
          <cell r="N10">
            <v>62.073768053211019</v>
          </cell>
          <cell r="O10">
            <v>65.177456455871578</v>
          </cell>
          <cell r="P10">
            <v>68.436329278665156</v>
          </cell>
        </row>
        <row r="11">
          <cell r="H11">
            <v>-7.2053726189288403E-2</v>
          </cell>
        </row>
        <row r="14">
          <cell r="E14">
            <v>70196</v>
          </cell>
          <cell r="F14">
            <v>84826</v>
          </cell>
          <cell r="G14">
            <v>115655</v>
          </cell>
          <cell r="H14">
            <v>114450</v>
          </cell>
          <cell r="I14">
            <v>133006</v>
          </cell>
          <cell r="J14">
            <v>162355</v>
          </cell>
          <cell r="K14">
            <v>175574.76828746177</v>
          </cell>
          <cell r="Q14">
            <v>283334.22972523456</v>
          </cell>
          <cell r="R14">
            <v>306425.96944784117</v>
          </cell>
          <cell r="S14">
            <v>331399.68595784024</v>
          </cell>
          <cell r="T14">
            <v>358408.76036340423</v>
          </cell>
        </row>
        <row r="16">
          <cell r="H16">
            <v>-0.155</v>
          </cell>
        </row>
        <row r="18">
          <cell r="E18">
            <v>501</v>
          </cell>
          <cell r="F18">
            <v>1139</v>
          </cell>
          <cell r="G18">
            <v>2274</v>
          </cell>
          <cell r="H18">
            <v>2159</v>
          </cell>
          <cell r="I18">
            <v>1896</v>
          </cell>
          <cell r="J18">
            <v>2146</v>
          </cell>
          <cell r="K18">
            <v>2467.8999999999996</v>
          </cell>
          <cell r="L18">
            <v>2838.0849999999996</v>
          </cell>
          <cell r="M18">
            <v>3263.7977499999993</v>
          </cell>
          <cell r="N18">
            <v>3753.3674124999989</v>
          </cell>
          <cell r="O18">
            <v>4316.3725243749986</v>
          </cell>
          <cell r="P18">
            <v>4963.8284030312479</v>
          </cell>
          <cell r="Q18">
            <v>5708.4026634859347</v>
          </cell>
          <cell r="R18">
            <v>6564.6630630088248</v>
          </cell>
          <cell r="S18">
            <v>7549.3625224601483</v>
          </cell>
          <cell r="T18">
            <v>8681.7669008291705</v>
          </cell>
        </row>
        <row r="19">
          <cell r="H19">
            <v>-5.0571679859278795E-2</v>
          </cell>
        </row>
        <row r="22">
          <cell r="H22">
            <v>116609</v>
          </cell>
          <cell r="I22">
            <v>134902</v>
          </cell>
          <cell r="J22">
            <v>164501</v>
          </cell>
          <cell r="K22">
            <v>178042.66828746177</v>
          </cell>
          <cell r="L22">
            <v>196339.03712961159</v>
          </cell>
          <cell r="M22">
            <v>215470.66803124675</v>
          </cell>
        </row>
        <row r="23">
          <cell r="H23">
            <v>-1.1193175554782941E-2</v>
          </cell>
          <cell r="I23">
            <v>0.15687468377226454</v>
          </cell>
          <cell r="J23">
            <v>0.21941112807816054</v>
          </cell>
        </row>
        <row r="26">
          <cell r="E26">
            <v>57927</v>
          </cell>
          <cell r="F26">
            <v>69273</v>
          </cell>
          <cell r="G26">
            <v>95280</v>
          </cell>
          <cell r="H26">
            <v>91360</v>
          </cell>
          <cell r="I26">
            <v>108943</v>
          </cell>
          <cell r="J26">
            <v>134340</v>
          </cell>
          <cell r="K26">
            <v>144214.56131284405</v>
          </cell>
          <cell r="L26">
            <v>159034.6200749854</v>
          </cell>
          <cell r="M26">
            <v>174531.24110530989</v>
          </cell>
          <cell r="N26">
            <v>187131.80964180938</v>
          </cell>
          <cell r="O26">
            <v>200658.34610710375</v>
          </cell>
          <cell r="P26">
            <v>216226.64282563236</v>
          </cell>
          <cell r="Q26">
            <v>234124.53223486364</v>
          </cell>
          <cell r="R26">
            <v>253522.4123337885</v>
          </cell>
          <cell r="S26">
            <v>274548.72926904337</v>
          </cell>
          <cell r="T26">
            <v>297343.32708402904</v>
          </cell>
        </row>
        <row r="29">
          <cell r="D29" t="str">
            <v>R&amp;D</v>
          </cell>
          <cell r="E29">
            <v>13600</v>
          </cell>
          <cell r="F29">
            <v>18447</v>
          </cell>
          <cell r="G29">
            <v>24655</v>
          </cell>
          <cell r="H29">
            <v>35338</v>
          </cell>
          <cell r="I29">
            <v>38483</v>
          </cell>
          <cell r="J29">
            <v>43873</v>
          </cell>
          <cell r="K29">
            <v>55373</v>
          </cell>
          <cell r="L29">
            <v>63373</v>
          </cell>
          <cell r="M29">
            <v>71373</v>
          </cell>
          <cell r="N29">
            <v>77373</v>
          </cell>
          <cell r="O29">
            <v>83373</v>
          </cell>
          <cell r="P29">
            <v>89373</v>
          </cell>
          <cell r="Q29">
            <v>95373</v>
          </cell>
          <cell r="R29">
            <v>101373</v>
          </cell>
          <cell r="S29">
            <v>107373</v>
          </cell>
          <cell r="T29">
            <v>113373</v>
          </cell>
        </row>
        <row r="30">
          <cell r="D30" t="str">
            <v>y/y, #</v>
          </cell>
          <cell r="E30" t="str">
            <v>--</v>
          </cell>
          <cell r="F30">
            <v>4847</v>
          </cell>
          <cell r="G30">
            <v>6208</v>
          </cell>
          <cell r="H30">
            <v>10683</v>
          </cell>
          <cell r="I30">
            <v>3145</v>
          </cell>
          <cell r="J30">
            <v>5390</v>
          </cell>
          <cell r="K30">
            <v>11500</v>
          </cell>
          <cell r="L30">
            <v>8000</v>
          </cell>
          <cell r="M30">
            <v>8000</v>
          </cell>
          <cell r="N30">
            <v>6000</v>
          </cell>
          <cell r="O30">
            <v>6000</v>
          </cell>
          <cell r="P30">
            <v>6000</v>
          </cell>
          <cell r="Q30">
            <v>6000</v>
          </cell>
          <cell r="R30">
            <v>6000</v>
          </cell>
          <cell r="S30">
            <v>6000</v>
          </cell>
          <cell r="T30">
            <v>6000</v>
          </cell>
        </row>
        <row r="31">
          <cell r="D31" t="str">
            <v>% revenue</v>
          </cell>
          <cell r="H31">
            <v>0.30304693462768739</v>
          </cell>
          <cell r="I31">
            <v>0.28526634149234259</v>
          </cell>
          <cell r="J31">
            <v>0.26670354587510109</v>
          </cell>
        </row>
        <row r="33">
          <cell r="D33" t="str">
            <v>S&amp;M</v>
          </cell>
          <cell r="E33">
            <v>9876</v>
          </cell>
          <cell r="F33">
            <v>11591</v>
          </cell>
          <cell r="G33">
            <v>14043</v>
          </cell>
          <cell r="H33">
            <v>15262</v>
          </cell>
          <cell r="I33">
            <v>12301</v>
          </cell>
          <cell r="J33">
            <v>11347</v>
          </cell>
          <cell r="K33">
            <v>11947</v>
          </cell>
          <cell r="L33">
            <v>12247</v>
          </cell>
          <cell r="M33">
            <v>12547</v>
          </cell>
          <cell r="N33">
            <v>12647</v>
          </cell>
          <cell r="O33">
            <v>12747</v>
          </cell>
          <cell r="P33">
            <v>12847</v>
          </cell>
          <cell r="Q33">
            <v>12947</v>
          </cell>
          <cell r="R33">
            <v>13047</v>
          </cell>
          <cell r="S33">
            <v>13147</v>
          </cell>
          <cell r="T33">
            <v>13247</v>
          </cell>
        </row>
        <row r="34">
          <cell r="D34" t="str">
            <v>y/y, #</v>
          </cell>
          <cell r="E34" t="str">
            <v>--</v>
          </cell>
          <cell r="F34">
            <v>1715</v>
          </cell>
          <cell r="G34">
            <v>2452</v>
          </cell>
          <cell r="H34">
            <v>1219</v>
          </cell>
          <cell r="I34">
            <v>-2961</v>
          </cell>
          <cell r="J34">
            <v>-954</v>
          </cell>
          <cell r="K34">
            <v>600</v>
          </cell>
          <cell r="L34">
            <v>300</v>
          </cell>
          <cell r="M34">
            <v>300</v>
          </cell>
          <cell r="N34">
            <v>100</v>
          </cell>
          <cell r="O34">
            <v>100</v>
          </cell>
          <cell r="P34">
            <v>100</v>
          </cell>
          <cell r="Q34">
            <v>100</v>
          </cell>
          <cell r="R34">
            <v>100</v>
          </cell>
          <cell r="S34">
            <v>100</v>
          </cell>
          <cell r="T34">
            <v>100</v>
          </cell>
        </row>
        <row r="35">
          <cell r="D35" t="str">
            <v>% revenue</v>
          </cell>
          <cell r="F35">
            <v>0.13483394404699586</v>
          </cell>
          <cell r="G35">
            <v>0.11908012448167965</v>
          </cell>
          <cell r="H35">
            <v>0.13088183587887728</v>
          </cell>
          <cell r="I35">
            <v>9.118471186490934E-2</v>
          </cell>
          <cell r="J35">
            <v>6.8978304083257849E-2</v>
          </cell>
          <cell r="K35">
            <v>6.710189256830712E-2</v>
          </cell>
          <cell r="L35">
            <v>6.2376795664507836E-2</v>
          </cell>
          <cell r="M35">
            <v>5.8230663665926358E-2</v>
          </cell>
          <cell r="N35">
            <v>5.4742536929495121E-2</v>
          </cell>
          <cell r="O35">
            <v>5.1455970809651114E-2</v>
          </cell>
          <cell r="P35">
            <v>4.8125752978515117E-2</v>
          </cell>
          <cell r="Q35">
            <v>4.4792700277473806E-2</v>
          </cell>
          <cell r="R35">
            <v>4.1684953620928958E-2</v>
          </cell>
          <cell r="S35">
            <v>3.8787540661186129E-2</v>
          </cell>
          <cell r="T35">
            <v>3.6086466460260223E-2</v>
          </cell>
        </row>
        <row r="37">
          <cell r="D37" t="str">
            <v>G&amp;A</v>
          </cell>
          <cell r="E37">
            <v>10465</v>
          </cell>
          <cell r="F37">
            <v>6564</v>
          </cell>
          <cell r="G37">
            <v>9829</v>
          </cell>
          <cell r="H37">
            <v>11816</v>
          </cell>
          <cell r="I37">
            <v>11408</v>
          </cell>
          <cell r="J37">
            <v>9740</v>
          </cell>
          <cell r="K37">
            <v>10340</v>
          </cell>
          <cell r="L37">
            <v>10540</v>
          </cell>
          <cell r="M37">
            <v>10640</v>
          </cell>
          <cell r="N37">
            <v>10740</v>
          </cell>
          <cell r="O37">
            <v>10840</v>
          </cell>
          <cell r="P37">
            <v>10940</v>
          </cell>
          <cell r="Q37">
            <v>11040</v>
          </cell>
          <cell r="R37">
            <v>11140</v>
          </cell>
          <cell r="S37">
            <v>11240</v>
          </cell>
          <cell r="T37">
            <v>11340</v>
          </cell>
        </row>
        <row r="38">
          <cell r="D38" t="str">
            <v>y/y, #</v>
          </cell>
          <cell r="E38" t="str">
            <v>--</v>
          </cell>
          <cell r="F38">
            <v>-3901</v>
          </cell>
          <cell r="G38">
            <v>3265</v>
          </cell>
          <cell r="H38">
            <v>1987</v>
          </cell>
          <cell r="I38">
            <v>-408</v>
          </cell>
          <cell r="J38">
            <v>-1668</v>
          </cell>
          <cell r="K38">
            <v>600</v>
          </cell>
          <cell r="L38">
            <v>200</v>
          </cell>
          <cell r="M38">
            <v>100</v>
          </cell>
          <cell r="N38">
            <v>100</v>
          </cell>
          <cell r="O38">
            <v>100</v>
          </cell>
          <cell r="P38">
            <v>100</v>
          </cell>
          <cell r="Q38">
            <v>100</v>
          </cell>
          <cell r="R38">
            <v>100</v>
          </cell>
          <cell r="S38">
            <v>100</v>
          </cell>
          <cell r="T38">
            <v>100</v>
          </cell>
        </row>
        <row r="39">
          <cell r="D39" t="str">
            <v>% revenue</v>
          </cell>
          <cell r="F39">
            <v>7.6356656778921658E-2</v>
          </cell>
          <cell r="G39">
            <v>8.3346759490880107E-2</v>
          </cell>
          <cell r="H39">
            <v>0.10133008601394404</v>
          </cell>
          <cell r="I39">
            <v>8.4565091696194278E-2</v>
          </cell>
          <cell r="J39">
            <v>5.9209366508410285E-2</v>
          </cell>
          <cell r="K39">
            <v>5.8075966280764675E-2</v>
          </cell>
          <cell r="L39">
            <v>5.3682650959738107E-2</v>
          </cell>
          <cell r="M39">
            <v>4.9380271093126357E-2</v>
          </cell>
          <cell r="N39">
            <v>4.6488087817093196E-2</v>
          </cell>
          <cell r="O39">
            <v>4.3757960584970432E-2</v>
          </cell>
          <cell r="P39">
            <v>4.0981998722266315E-2</v>
          </cell>
          <cell r="Q39">
            <v>3.8195057624415753E-2</v>
          </cell>
          <cell r="R39">
            <v>3.5592119516911824E-2</v>
          </cell>
          <cell r="S39">
            <v>3.3161326312598466E-2</v>
          </cell>
          <cell r="T39">
            <v>3.0891562592236049E-2</v>
          </cell>
        </row>
        <row r="41">
          <cell r="D41" t="str">
            <v>Operating income</v>
          </cell>
          <cell r="E41">
            <v>23986</v>
          </cell>
          <cell r="F41">
            <v>32671</v>
          </cell>
          <cell r="G41">
            <v>46753</v>
          </cell>
          <cell r="H41">
            <v>28944</v>
          </cell>
          <cell r="I41">
            <v>46751</v>
          </cell>
          <cell r="J41">
            <v>69380</v>
          </cell>
          <cell r="K41">
            <v>66554.561312844045</v>
          </cell>
          <cell r="L41">
            <v>72874.620074985403</v>
          </cell>
          <cell r="M41">
            <v>79971.241105309891</v>
          </cell>
          <cell r="N41">
            <v>86371.809641809377</v>
          </cell>
          <cell r="O41">
            <v>93698.346107103745</v>
          </cell>
          <cell r="P41">
            <v>103066.64282563236</v>
          </cell>
          <cell r="Q41">
            <v>114764.53223486364</v>
          </cell>
          <cell r="R41">
            <v>127962.4123337885</v>
          </cell>
          <cell r="S41">
            <v>142788.72926904337</v>
          </cell>
          <cell r="T41">
            <v>159383.32708402904</v>
          </cell>
        </row>
        <row r="42">
          <cell r="D42" t="str">
            <v>operating margin</v>
          </cell>
          <cell r="E42">
            <v>0.33927889443682191</v>
          </cell>
          <cell r="F42">
            <v>0.3800500203571221</v>
          </cell>
          <cell r="G42">
            <v>0.39645040660058173</v>
          </cell>
          <cell r="H42">
            <v>0.24821411726367604</v>
          </cell>
          <cell r="I42">
            <v>0.34655527716416362</v>
          </cell>
          <cell r="J42">
            <v>0.42176035404040096</v>
          </cell>
          <cell r="K42">
            <v>0.37381242346574622</v>
          </cell>
          <cell r="L42">
            <v>0.37116724794202705</v>
          </cell>
          <cell r="M42">
            <v>0.37114676366860644</v>
          </cell>
          <cell r="N42">
            <v>0.37386036047948706</v>
          </cell>
          <cell r="O42">
            <v>0.37823325976305938</v>
          </cell>
          <cell r="P42">
            <v>0.38609479200990349</v>
          </cell>
          <cell r="Q42">
            <v>0.39705053640849058</v>
          </cell>
          <cell r="R42">
            <v>0.40883783424206033</v>
          </cell>
          <cell r="S42">
            <v>0.42126900756690633</v>
          </cell>
          <cell r="T42">
            <v>0.43417989636464854</v>
          </cell>
        </row>
        <row r="50">
          <cell r="E50">
            <v>904</v>
          </cell>
          <cell r="F50">
            <v>672</v>
          </cell>
          <cell r="G50">
            <v>461</v>
          </cell>
          <cell r="H50">
            <v>276</v>
          </cell>
          <cell r="I50">
            <v>1193</v>
          </cell>
          <cell r="J50">
            <v>1802</v>
          </cell>
          <cell r="K50">
            <v>1625.8333432714662</v>
          </cell>
          <cell r="L50">
            <v>2548.462222604634</v>
          </cell>
          <cell r="M50">
            <v>3722.7044118270528</v>
          </cell>
          <cell r="N50">
            <v>5183.2976910429297</v>
          </cell>
          <cell r="O50">
            <v>6938.0237730627268</v>
          </cell>
          <cell r="P50">
            <v>9020.9947683393402</v>
          </cell>
          <cell r="Q50">
            <v>11497.504849457622</v>
          </cell>
          <cell r="R50">
            <v>14406.571060248905</v>
          </cell>
          <cell r="S50">
            <v>17798.395292379977</v>
          </cell>
          <cell r="T50">
            <v>21727.771215374119</v>
          </cell>
        </row>
        <row r="52">
          <cell r="E52">
            <v>0</v>
          </cell>
          <cell r="F52">
            <v>0</v>
          </cell>
          <cell r="G52">
            <v>-140</v>
          </cell>
          <cell r="H52">
            <v>-81</v>
          </cell>
          <cell r="I52">
            <v>-366</v>
          </cell>
          <cell r="J52">
            <v>-690</v>
          </cell>
          <cell r="K52">
            <v>-500</v>
          </cell>
          <cell r="L52">
            <v>-500</v>
          </cell>
          <cell r="M52">
            <v>-500</v>
          </cell>
          <cell r="N52">
            <v>-500</v>
          </cell>
          <cell r="O52">
            <v>-500</v>
          </cell>
          <cell r="P52">
            <v>-500</v>
          </cell>
          <cell r="Q52">
            <v>-500</v>
          </cell>
          <cell r="R52">
            <v>-500</v>
          </cell>
          <cell r="S52">
            <v>-500</v>
          </cell>
          <cell r="T52">
            <v>-500</v>
          </cell>
        </row>
        <row r="53">
          <cell r="E53">
            <v>-78</v>
          </cell>
          <cell r="F53">
            <v>-163</v>
          </cell>
          <cell r="G53">
            <v>210</v>
          </cell>
          <cell r="H53">
            <v>-320</v>
          </cell>
          <cell r="I53">
            <v>-150</v>
          </cell>
          <cell r="J53">
            <v>171</v>
          </cell>
          <cell r="K53">
            <v>200</v>
          </cell>
          <cell r="L53">
            <v>200</v>
          </cell>
          <cell r="M53">
            <v>200</v>
          </cell>
          <cell r="N53">
            <v>200</v>
          </cell>
          <cell r="O53">
            <v>200</v>
          </cell>
          <cell r="P53">
            <v>200</v>
          </cell>
          <cell r="Q53">
            <v>200</v>
          </cell>
          <cell r="R53">
            <v>200</v>
          </cell>
          <cell r="S53">
            <v>200</v>
          </cell>
          <cell r="T53">
            <v>200</v>
          </cell>
        </row>
        <row r="56">
          <cell r="E56">
            <v>6327</v>
          </cell>
          <cell r="F56">
            <v>4034</v>
          </cell>
          <cell r="G56">
            <v>7914</v>
          </cell>
          <cell r="H56">
            <v>5619</v>
          </cell>
          <cell r="I56">
            <v>8330</v>
          </cell>
          <cell r="J56">
            <v>8303</v>
          </cell>
          <cell r="K56">
            <v>9163.8532785755961</v>
          </cell>
          <cell r="L56">
            <v>10141.616110174657</v>
          </cell>
          <cell r="M56">
            <v>11258.182644813489</v>
          </cell>
          <cell r="N56">
            <v>12319.439489935063</v>
          </cell>
          <cell r="O56">
            <v>13545.409933822475</v>
          </cell>
          <cell r="P56">
            <v>15091.331075186181</v>
          </cell>
          <cell r="Q56">
            <v>17004.875006383372</v>
          </cell>
          <cell r="R56">
            <v>19179.31275819505</v>
          </cell>
          <cell r="S56">
            <v>21638.761815792153</v>
          </cell>
          <cell r="T56">
            <v>24409.498270419426</v>
          </cell>
        </row>
        <row r="57">
          <cell r="E57">
            <v>0.25499758181525067</v>
          </cell>
          <cell r="F57">
            <v>0.12157926461723931</v>
          </cell>
          <cell r="G57">
            <v>0.16737162676592504</v>
          </cell>
          <cell r="H57">
            <v>0.19497553697213643</v>
          </cell>
          <cell r="I57">
            <v>0.17563464620055663</v>
          </cell>
          <cell r="J57">
            <v>0.11750137978857393</v>
          </cell>
          <cell r="K57">
            <v>0.13500000000000001</v>
          </cell>
          <cell r="L57">
            <v>0.13500000000000001</v>
          </cell>
          <cell r="M57">
            <v>0.13500000000000001</v>
          </cell>
          <cell r="N57">
            <v>0.13500000000000001</v>
          </cell>
          <cell r="O57">
            <v>0.13500000000000001</v>
          </cell>
          <cell r="P57">
            <v>0.13500000000000001</v>
          </cell>
          <cell r="Q57">
            <v>0.13500000000000001</v>
          </cell>
          <cell r="R57">
            <v>0.13500000000000001</v>
          </cell>
          <cell r="S57">
            <v>0.13500000000000001</v>
          </cell>
          <cell r="T57">
            <v>0.13500000000000001</v>
          </cell>
        </row>
        <row r="59">
          <cell r="H59">
            <v>23200</v>
          </cell>
          <cell r="I59">
            <v>39098</v>
          </cell>
          <cell r="J59">
            <v>62360</v>
          </cell>
          <cell r="K59">
            <v>58716.541377539921</v>
          </cell>
          <cell r="L59">
            <v>64981.466187415383</v>
          </cell>
          <cell r="M59">
            <v>72135.762872323452</v>
          </cell>
        </row>
        <row r="62">
          <cell r="E62">
            <v>5741</v>
          </cell>
          <cell r="F62">
            <v>6862</v>
          </cell>
          <cell r="G62">
            <v>7967</v>
          </cell>
          <cell r="H62">
            <v>8686</v>
          </cell>
          <cell r="I62">
            <v>11178</v>
          </cell>
          <cell r="J62">
            <v>15498</v>
          </cell>
          <cell r="K62">
            <v>17804.266828746178</v>
          </cell>
          <cell r="L62">
            <v>19633.903712961161</v>
          </cell>
          <cell r="M62">
            <v>21547.066803124675</v>
          </cell>
          <cell r="N62">
            <v>23102.692548371528</v>
          </cell>
          <cell r="O62">
            <v>24772.635321864658</v>
          </cell>
          <cell r="P62">
            <v>26694.64726242375</v>
          </cell>
          <cell r="Q62">
            <v>28904.263238872052</v>
          </cell>
          <cell r="R62">
            <v>31299.063251084997</v>
          </cell>
          <cell r="S62">
            <v>33894.904848030041</v>
          </cell>
          <cell r="T62">
            <v>36709.052726423339</v>
          </cell>
        </row>
        <row r="66">
          <cell r="E66">
            <v>4836</v>
          </cell>
          <cell r="F66">
            <v>6536</v>
          </cell>
          <cell r="G66">
            <v>9164</v>
          </cell>
          <cell r="H66">
            <v>11992</v>
          </cell>
          <cell r="I66">
            <v>14027</v>
          </cell>
          <cell r="J66">
            <v>16690</v>
          </cell>
          <cell r="K66">
            <v>20067.859255431191</v>
          </cell>
          <cell r="L66">
            <v>21606.272984559582</v>
          </cell>
          <cell r="M66">
            <v>23034.902577409266</v>
          </cell>
          <cell r="N66">
            <v>24591.369693124001</v>
          </cell>
          <cell r="O66">
            <v>26184.761208962282</v>
          </cell>
          <cell r="P66">
            <v>29498.36936374892</v>
          </cell>
          <cell r="Q66">
            <v>31370.058027694238</v>
          </cell>
          <cell r="R66">
            <v>33305.079631871064</v>
          </cell>
          <cell r="S66">
            <v>35308.857458026265</v>
          </cell>
          <cell r="T66">
            <v>37387.296032436781</v>
          </cell>
        </row>
        <row r="69">
          <cell r="D69" t="str">
            <v>Other</v>
          </cell>
          <cell r="E69">
            <v>2</v>
          </cell>
          <cell r="F69">
            <v>-1074</v>
          </cell>
          <cell r="G69">
            <v>482</v>
          </cell>
          <cell r="H69">
            <v>914</v>
          </cell>
          <cell r="I69">
            <v>2974</v>
          </cell>
          <cell r="J69">
            <v>-4268</v>
          </cell>
          <cell r="K69">
            <v>-1000</v>
          </cell>
          <cell r="L69">
            <v>-1000</v>
          </cell>
          <cell r="M69">
            <v>-1000</v>
          </cell>
          <cell r="N69">
            <v>-1000</v>
          </cell>
          <cell r="O69">
            <v>-1000</v>
          </cell>
          <cell r="P69">
            <v>-1000</v>
          </cell>
          <cell r="Q69">
            <v>-1000</v>
          </cell>
          <cell r="R69">
            <v>-1000</v>
          </cell>
          <cell r="S69">
            <v>-1000</v>
          </cell>
          <cell r="T69">
            <v>-1000</v>
          </cell>
        </row>
        <row r="70">
          <cell r="D70" t="str">
            <v>NWC</v>
          </cell>
          <cell r="E70">
            <v>7250</v>
          </cell>
          <cell r="F70">
            <v>-2723</v>
          </cell>
          <cell r="G70">
            <v>700</v>
          </cell>
          <cell r="H70">
            <v>5683</v>
          </cell>
          <cell r="I70">
            <v>3836</v>
          </cell>
          <cell r="J70">
            <v>1048</v>
          </cell>
          <cell r="K70">
            <v>1000</v>
          </cell>
          <cell r="L70">
            <v>1000</v>
          </cell>
          <cell r="M70">
            <v>1000</v>
          </cell>
          <cell r="N70">
            <v>1000</v>
          </cell>
          <cell r="O70">
            <v>1000</v>
          </cell>
          <cell r="P70">
            <v>1000</v>
          </cell>
          <cell r="Q70">
            <v>1000</v>
          </cell>
          <cell r="R70">
            <v>1000</v>
          </cell>
          <cell r="S70">
            <v>1000</v>
          </cell>
          <cell r="T70">
            <v>1000</v>
          </cell>
        </row>
        <row r="73">
          <cell r="E73">
            <v>15102</v>
          </cell>
          <cell r="F73">
            <v>15115</v>
          </cell>
          <cell r="G73">
            <v>18567</v>
          </cell>
          <cell r="H73">
            <v>31431</v>
          </cell>
          <cell r="I73">
            <v>27266</v>
          </cell>
          <cell r="J73">
            <v>37256</v>
          </cell>
          <cell r="K73">
            <v>62500</v>
          </cell>
          <cell r="L73">
            <v>62500</v>
          </cell>
          <cell r="M73">
            <v>62500</v>
          </cell>
          <cell r="N73">
            <v>60000</v>
          </cell>
          <cell r="O73">
            <v>60000</v>
          </cell>
          <cell r="P73">
            <v>60000</v>
          </cell>
          <cell r="Q73">
            <v>60000</v>
          </cell>
          <cell r="R73">
            <v>60000</v>
          </cell>
          <cell r="S73">
            <v>60000</v>
          </cell>
          <cell r="T73">
            <v>60000</v>
          </cell>
        </row>
        <row r="78">
          <cell r="E78">
            <v>552</v>
          </cell>
          <cell r="F78">
            <v>604</v>
          </cell>
          <cell r="G78">
            <v>677</v>
          </cell>
          <cell r="H78">
            <v>850</v>
          </cell>
          <cell r="I78">
            <v>1058</v>
          </cell>
          <cell r="J78">
            <v>1969</v>
          </cell>
          <cell r="K78">
            <v>2000</v>
          </cell>
          <cell r="L78">
            <v>2000</v>
          </cell>
          <cell r="M78">
            <v>2000</v>
          </cell>
          <cell r="N78">
            <v>2000</v>
          </cell>
          <cell r="O78">
            <v>2000</v>
          </cell>
          <cell r="P78">
            <v>2000</v>
          </cell>
          <cell r="Q78">
            <v>2000</v>
          </cell>
          <cell r="R78">
            <v>2000</v>
          </cell>
          <cell r="S78">
            <v>2000</v>
          </cell>
          <cell r="T78">
            <v>2000</v>
          </cell>
        </row>
        <row r="81">
          <cell r="H81">
            <v>18194</v>
          </cell>
          <cell r="I81">
            <v>42789</v>
          </cell>
          <cell r="J81">
            <v>52103</v>
          </cell>
        </row>
        <row r="93">
          <cell r="H93">
            <v>37630</v>
          </cell>
          <cell r="I93">
            <v>57929</v>
          </cell>
          <cell r="J93">
            <v>84878</v>
          </cell>
        </row>
        <row r="95">
          <cell r="H95">
            <v>49622</v>
          </cell>
          <cell r="I95">
            <v>71956</v>
          </cell>
          <cell r="J95">
            <v>101568</v>
          </cell>
        </row>
        <row r="141">
          <cell r="J141">
            <v>77815</v>
          </cell>
        </row>
        <row r="142">
          <cell r="J142">
            <v>22230</v>
          </cell>
        </row>
        <row r="152">
          <cell r="J152">
            <v>28826</v>
          </cell>
        </row>
      </sheetData>
      <sheetData sheetId="4">
        <row r="4">
          <cell r="AC4" t="str">
            <v>Base</v>
          </cell>
        </row>
      </sheetData>
      <sheetData sheetId="5"/>
      <sheetData sheetId="6"/>
      <sheetData sheetId="7"/>
      <sheetData sheetId="8"/>
      <sheetData sheetId="9"/>
      <sheetData sheetId="10">
        <row r="47">
          <cell r="AE47"/>
          <cell r="AF47"/>
          <cell r="AG47"/>
          <cell r="AH47">
            <v>27355</v>
          </cell>
          <cell r="AI47">
            <v>25637</v>
          </cell>
          <cell r="AJ47">
            <v>28772</v>
          </cell>
          <cell r="AK47">
            <v>28452</v>
          </cell>
          <cell r="AL47">
            <v>32794</v>
          </cell>
          <cell r="AM47">
            <v>27213</v>
          </cell>
          <cell r="AN47">
            <v>28370</v>
          </cell>
          <cell r="AO47">
            <v>27429</v>
          </cell>
          <cell r="AP47">
            <v>31438</v>
          </cell>
          <cell r="AQ47">
            <v>28306</v>
          </cell>
          <cell r="AR47">
            <v>31723</v>
          </cell>
          <cell r="AS47">
            <v>33936</v>
          </cell>
          <cell r="AT47">
            <v>39040</v>
          </cell>
          <cell r="AU47">
            <v>36015</v>
          </cell>
          <cell r="AV47">
            <v>38718</v>
          </cell>
          <cell r="AW47">
            <v>40319</v>
          </cell>
          <cell r="AX47">
            <v>47302</v>
          </cell>
        </row>
        <row r="53">
          <cell r="AA53">
            <v>2100</v>
          </cell>
          <cell r="AB53">
            <v>2140</v>
          </cell>
          <cell r="AC53">
            <v>2200</v>
          </cell>
          <cell r="AD53">
            <v>2260</v>
          </cell>
          <cell r="AE53">
            <v>2360</v>
          </cell>
          <cell r="AF53">
            <v>2470</v>
          </cell>
          <cell r="AG53">
            <v>2540</v>
          </cell>
          <cell r="AH53">
            <v>2600</v>
          </cell>
          <cell r="AI53">
            <v>2720</v>
          </cell>
          <cell r="AJ53">
            <v>2760</v>
          </cell>
          <cell r="AK53">
            <v>2810</v>
          </cell>
          <cell r="AL53">
            <v>2820</v>
          </cell>
          <cell r="AM53">
            <v>2870</v>
          </cell>
          <cell r="AN53">
            <v>2880</v>
          </cell>
          <cell r="AO53">
            <v>2930</v>
          </cell>
          <cell r="AP53">
            <v>2960</v>
          </cell>
          <cell r="AQ53">
            <v>3020</v>
          </cell>
          <cell r="AR53">
            <v>3070</v>
          </cell>
          <cell r="AS53">
            <v>3140</v>
          </cell>
          <cell r="AT53">
            <v>3190</v>
          </cell>
          <cell r="AU53">
            <v>3240</v>
          </cell>
          <cell r="AV53">
            <v>3270</v>
          </cell>
          <cell r="AW53">
            <v>3290</v>
          </cell>
          <cell r="AX53">
            <v>3350</v>
          </cell>
        </row>
        <row r="60">
          <cell r="AI60">
            <v>12432</v>
          </cell>
          <cell r="AJ60">
            <v>13973</v>
          </cell>
          <cell r="AK60">
            <v>15398</v>
          </cell>
          <cell r="AL60">
            <v>16905</v>
          </cell>
          <cell r="AM60">
            <v>15729</v>
          </cell>
          <cell r="AN60">
            <v>17206</v>
          </cell>
          <cell r="AO60">
            <v>18093</v>
          </cell>
          <cell r="AP60">
            <v>20760</v>
          </cell>
          <cell r="AQ60">
            <v>17087</v>
          </cell>
          <cell r="AR60">
            <v>18592</v>
          </cell>
          <cell r="AS60">
            <v>16446</v>
          </cell>
          <cell r="AT60">
            <v>18010</v>
          </cell>
          <cell r="AU60">
            <v>18351</v>
          </cell>
          <cell r="AV60">
            <v>19383</v>
          </cell>
          <cell r="AW60">
            <v>18541</v>
          </cell>
          <cell r="AX60">
            <v>18970</v>
          </cell>
          <cell r="AY60">
            <v>20137</v>
          </cell>
        </row>
        <row r="67">
          <cell r="AI67">
            <v>534</v>
          </cell>
          <cell r="AJ67">
            <v>305</v>
          </cell>
          <cell r="AK67">
            <v>558</v>
          </cell>
          <cell r="AL67">
            <v>877</v>
          </cell>
          <cell r="AM67">
            <v>695</v>
          </cell>
          <cell r="AN67">
            <v>452</v>
          </cell>
          <cell r="AO67">
            <v>285</v>
          </cell>
          <cell r="AP67">
            <v>727</v>
          </cell>
          <cell r="AQ67">
            <v>339</v>
          </cell>
          <cell r="AR67">
            <v>276</v>
          </cell>
          <cell r="AS67">
            <v>210</v>
          </cell>
          <cell r="AT67">
            <v>1071</v>
          </cell>
          <cell r="AU67">
            <v>440</v>
          </cell>
          <cell r="AV67">
            <v>353</v>
          </cell>
          <cell r="AW67">
            <v>270</v>
          </cell>
          <cell r="AX67">
            <v>1083</v>
          </cell>
        </row>
        <row r="71">
          <cell r="AI71">
            <v>2361</v>
          </cell>
          <cell r="AJ71">
            <v>2737</v>
          </cell>
          <cell r="AK71">
            <v>3189</v>
          </cell>
          <cell r="AL71">
            <v>4181</v>
          </cell>
          <cell r="AM71">
            <v>3655</v>
          </cell>
          <cell r="AN71">
            <v>3258</v>
          </cell>
          <cell r="AO71">
            <v>3957</v>
          </cell>
          <cell r="AP71">
            <v>5006</v>
          </cell>
          <cell r="AQ71">
            <v>4331</v>
          </cell>
          <cell r="AR71">
            <v>4015</v>
          </cell>
          <cell r="AS71">
            <v>3952</v>
          </cell>
          <cell r="AT71">
            <v>5717</v>
          </cell>
          <cell r="AU71">
            <v>4286</v>
          </cell>
          <cell r="AV71">
            <v>4841</v>
          </cell>
          <cell r="AW71">
            <v>4698</v>
          </cell>
          <cell r="AX71">
            <v>6050</v>
          </cell>
          <cell r="AY71">
            <v>4622</v>
          </cell>
        </row>
        <row r="105">
          <cell r="AA105">
            <v>7203</v>
          </cell>
          <cell r="AB105">
            <v>7952</v>
          </cell>
          <cell r="AC105">
            <v>8317</v>
          </cell>
          <cell r="AD105">
            <v>10021</v>
          </cell>
          <cell r="AE105">
            <v>8379</v>
          </cell>
          <cell r="AF105">
            <v>9059</v>
          </cell>
          <cell r="AG105">
            <v>9988</v>
          </cell>
          <cell r="AH105">
            <v>13150</v>
          </cell>
          <cell r="AI105">
            <v>11897</v>
          </cell>
          <cell r="AJ105">
            <v>13366</v>
          </cell>
          <cell r="AK105">
            <v>13094</v>
          </cell>
          <cell r="AL105">
            <v>15062</v>
          </cell>
          <cell r="AM105">
            <v>12024</v>
          </cell>
          <cell r="AN105">
            <v>12788</v>
          </cell>
          <cell r="AO105">
            <v>12766</v>
          </cell>
          <cell r="AP105">
            <v>15005</v>
          </cell>
          <cell r="AQ105">
            <v>12710</v>
          </cell>
          <cell r="AR105">
            <v>14131</v>
          </cell>
          <cell r="AS105">
            <v>14956</v>
          </cell>
          <cell r="AT105">
            <v>17784</v>
          </cell>
          <cell r="AU105">
            <v>15451</v>
          </cell>
          <cell r="AV105">
            <v>16593</v>
          </cell>
          <cell r="AW105">
            <v>17389</v>
          </cell>
          <cell r="AX105">
            <v>20982</v>
          </cell>
        </row>
        <row r="106">
          <cell r="AA106">
            <v>3609</v>
          </cell>
          <cell r="AB106">
            <v>4043</v>
          </cell>
          <cell r="AC106">
            <v>4057</v>
          </cell>
          <cell r="AD106">
            <v>5071</v>
          </cell>
          <cell r="AE106">
            <v>4171</v>
          </cell>
          <cell r="AF106">
            <v>4411</v>
          </cell>
          <cell r="AG106">
            <v>5051</v>
          </cell>
          <cell r="AH106">
            <v>6822</v>
          </cell>
          <cell r="AI106">
            <v>6373</v>
          </cell>
          <cell r="AJ106">
            <v>7205</v>
          </cell>
          <cell r="AK106">
            <v>6821</v>
          </cell>
          <cell r="AL106">
            <v>8174</v>
          </cell>
          <cell r="AM106">
            <v>6364</v>
          </cell>
          <cell r="AN106">
            <v>6360</v>
          </cell>
          <cell r="AO106">
            <v>5707</v>
          </cell>
          <cell r="AP106">
            <v>6904</v>
          </cell>
          <cell r="AQ106">
            <v>6269</v>
          </cell>
          <cell r="AR106">
            <v>7268</v>
          </cell>
          <cell r="AS106">
            <v>7721</v>
          </cell>
          <cell r="AT106">
            <v>9159</v>
          </cell>
          <cell r="AU106">
            <v>8327</v>
          </cell>
          <cell r="AV106">
            <v>9135</v>
          </cell>
          <cell r="AW106">
            <v>9358</v>
          </cell>
          <cell r="AX106">
            <v>11154</v>
          </cell>
        </row>
        <row r="107">
          <cell r="AA107">
            <v>2670</v>
          </cell>
          <cell r="AB107">
            <v>2985</v>
          </cell>
          <cell r="AC107">
            <v>3243</v>
          </cell>
          <cell r="AD107">
            <v>3642</v>
          </cell>
          <cell r="AE107">
            <v>3236</v>
          </cell>
          <cell r="AF107">
            <v>3312</v>
          </cell>
          <cell r="AG107">
            <v>4202</v>
          </cell>
          <cell r="AH107">
            <v>4703</v>
          </cell>
          <cell r="AI107">
            <v>4735</v>
          </cell>
          <cell r="AJ107">
            <v>5152</v>
          </cell>
          <cell r="AK107">
            <v>5398</v>
          </cell>
          <cell r="AL107">
            <v>6183</v>
          </cell>
          <cell r="AM107">
            <v>5661</v>
          </cell>
          <cell r="AN107">
            <v>5835</v>
          </cell>
          <cell r="AO107">
            <v>5717</v>
          </cell>
          <cell r="AP107">
            <v>5968</v>
          </cell>
          <cell r="AQ107">
            <v>5893</v>
          </cell>
          <cell r="AR107">
            <v>6435</v>
          </cell>
          <cell r="AS107">
            <v>6829</v>
          </cell>
          <cell r="AT107">
            <v>7316</v>
          </cell>
          <cell r="AU107">
            <v>7338</v>
          </cell>
          <cell r="AV107">
            <v>7721</v>
          </cell>
          <cell r="AW107">
            <v>8050</v>
          </cell>
          <cell r="AX107">
            <v>9012</v>
          </cell>
        </row>
        <row r="108">
          <cell r="AA108">
            <v>1430</v>
          </cell>
          <cell r="AB108">
            <v>1644</v>
          </cell>
          <cell r="AC108">
            <v>1766</v>
          </cell>
          <cell r="AD108">
            <v>2002</v>
          </cell>
          <cell r="AE108">
            <v>1654</v>
          </cell>
          <cell r="AF108">
            <v>1539</v>
          </cell>
          <cell r="AG108">
            <v>1980</v>
          </cell>
          <cell r="AH108">
            <v>2512</v>
          </cell>
          <cell r="AI108">
            <v>2434</v>
          </cell>
          <cell r="AJ108">
            <v>2857</v>
          </cell>
          <cell r="AK108">
            <v>2963</v>
          </cell>
          <cell r="AL108">
            <v>3220</v>
          </cell>
          <cell r="AM108">
            <v>2949</v>
          </cell>
          <cell r="AN108">
            <v>3169</v>
          </cell>
          <cell r="AO108">
            <v>3047</v>
          </cell>
          <cell r="AP108">
            <v>3377</v>
          </cell>
          <cell r="AQ108">
            <v>3229</v>
          </cell>
          <cell r="AR108">
            <v>3664</v>
          </cell>
          <cell r="AS108">
            <v>4137</v>
          </cell>
          <cell r="AT108">
            <v>4447</v>
          </cell>
          <cell r="AU108">
            <v>4519</v>
          </cell>
          <cell r="AV108">
            <v>4880</v>
          </cell>
          <cell r="AW108">
            <v>5088</v>
          </cell>
          <cell r="AX108">
            <v>5635</v>
          </cell>
        </row>
        <row r="123">
          <cell r="AI123">
            <v>12405</v>
          </cell>
          <cell r="AJ123">
            <v>13738</v>
          </cell>
          <cell r="AK123">
            <v>13613</v>
          </cell>
          <cell r="AL123">
            <v>15826</v>
          </cell>
          <cell r="AM123">
            <v>12671</v>
          </cell>
          <cell r="AN123">
            <v>13249</v>
          </cell>
          <cell r="AO123">
            <v>13035</v>
          </cell>
          <cell r="AP123">
            <v>15636</v>
          </cell>
          <cell r="AQ123">
            <v>13048</v>
          </cell>
          <cell r="AR123">
            <v>14422</v>
          </cell>
          <cell r="AS123">
            <v>15190</v>
          </cell>
          <cell r="AT123">
            <v>18585</v>
          </cell>
          <cell r="BU123">
            <v>54591</v>
          </cell>
          <cell r="BV123">
            <v>61245</v>
          </cell>
          <cell r="BW123">
            <v>72063</v>
          </cell>
        </row>
        <row r="124">
          <cell r="AI124">
            <v>6523</v>
          </cell>
          <cell r="AJ124">
            <v>7270</v>
          </cell>
          <cell r="AK124">
            <v>6955</v>
          </cell>
          <cell r="AL124">
            <v>8357</v>
          </cell>
          <cell r="AM124">
            <v>6486</v>
          </cell>
          <cell r="AN124">
            <v>6452</v>
          </cell>
          <cell r="AO124">
            <v>5797</v>
          </cell>
          <cell r="AP124">
            <v>7050</v>
          </cell>
          <cell r="AQ124">
            <v>6345</v>
          </cell>
          <cell r="AR124">
            <v>7323</v>
          </cell>
          <cell r="AS124">
            <v>7777</v>
          </cell>
          <cell r="AT124">
            <v>9441</v>
          </cell>
          <cell r="BU124">
            <v>25785</v>
          </cell>
          <cell r="BV124">
            <v>30886</v>
          </cell>
          <cell r="BW124">
            <v>38778</v>
          </cell>
        </row>
        <row r="125">
          <cell r="AI125">
            <v>4789</v>
          </cell>
          <cell r="AJ125">
            <v>5190</v>
          </cell>
          <cell r="AK125">
            <v>5461</v>
          </cell>
          <cell r="AL125">
            <v>6244</v>
          </cell>
          <cell r="AM125">
            <v>5759</v>
          </cell>
          <cell r="AN125">
            <v>5908</v>
          </cell>
          <cell r="AO125">
            <v>5782</v>
          </cell>
          <cell r="AP125">
            <v>6050</v>
          </cell>
          <cell r="AQ125">
            <v>5960</v>
          </cell>
          <cell r="AR125">
            <v>6515</v>
          </cell>
          <cell r="AS125">
            <v>6928</v>
          </cell>
          <cell r="AT125">
            <v>7512</v>
          </cell>
          <cell r="BU125">
            <v>23499</v>
          </cell>
          <cell r="BV125">
            <v>26915</v>
          </cell>
          <cell r="BW125">
            <v>32834</v>
          </cell>
        </row>
        <row r="126">
          <cell r="AI126">
            <v>2454</v>
          </cell>
          <cell r="AJ126">
            <v>2879</v>
          </cell>
          <cell r="AK126">
            <v>2981</v>
          </cell>
          <cell r="AL126">
            <v>3244</v>
          </cell>
          <cell r="AM126">
            <v>2992</v>
          </cell>
          <cell r="AN126">
            <v>3213</v>
          </cell>
          <cell r="AO126">
            <v>3100</v>
          </cell>
          <cell r="AP126">
            <v>3429</v>
          </cell>
          <cell r="AQ126">
            <v>3292</v>
          </cell>
          <cell r="AR126">
            <v>3739</v>
          </cell>
          <cell r="AS126">
            <v>4251</v>
          </cell>
          <cell r="AT126">
            <v>4573</v>
          </cell>
          <cell r="BU126">
            <v>12734</v>
          </cell>
          <cell r="BV126">
            <v>15855</v>
          </cell>
          <cell r="BW126">
            <v>20825</v>
          </cell>
        </row>
        <row r="135">
          <cell r="AA135">
            <v>6360</v>
          </cell>
          <cell r="AB135">
            <v>7140</v>
          </cell>
          <cell r="AC135">
            <v>7540</v>
          </cell>
          <cell r="AD135">
            <v>9190</v>
          </cell>
          <cell r="AE135">
            <v>7550</v>
          </cell>
          <cell r="AF135">
            <v>7830</v>
          </cell>
          <cell r="AG135">
            <v>8710</v>
          </cell>
          <cell r="AH135">
            <v>12160</v>
          </cell>
          <cell r="AI135">
            <v>10750</v>
          </cell>
          <cell r="AJ135">
            <v>11820</v>
          </cell>
          <cell r="AK135">
            <v>11880</v>
          </cell>
          <cell r="AL135">
            <v>13930</v>
          </cell>
          <cell r="AM135">
            <v>11100</v>
          </cell>
          <cell r="AN135">
            <v>11430</v>
          </cell>
          <cell r="AO135">
            <v>11290</v>
          </cell>
          <cell r="AP135">
            <v>13380</v>
          </cell>
          <cell r="AQ135">
            <v>10790</v>
          </cell>
          <cell r="AR135">
            <v>11660</v>
          </cell>
          <cell r="AS135">
            <v>12160</v>
          </cell>
          <cell r="AT135">
            <v>15170</v>
          </cell>
          <cell r="AU135"/>
          <cell r="AV135"/>
          <cell r="AW135"/>
          <cell r="AX135"/>
        </row>
        <row r="137">
          <cell r="AA137">
            <v>6777</v>
          </cell>
          <cell r="AB137">
            <v>7632</v>
          </cell>
          <cell r="AC137">
            <v>8026</v>
          </cell>
          <cell r="AD137">
            <v>9771</v>
          </cell>
          <cell r="AE137">
            <v>8012</v>
          </cell>
          <cell r="AF137">
            <v>8292</v>
          </cell>
          <cell r="AG137">
            <v>9229</v>
          </cell>
          <cell r="AH137">
            <v>12900</v>
          </cell>
          <cell r="AI137">
            <v>11436</v>
          </cell>
          <cell r="AJ137">
            <v>12612</v>
          </cell>
          <cell r="AK137">
            <v>12668</v>
          </cell>
          <cell r="AL137">
            <v>14825</v>
          </cell>
          <cell r="AM137">
            <v>11780</v>
          </cell>
          <cell r="AN137">
            <v>12186</v>
          </cell>
          <cell r="AO137">
            <v>11966</v>
          </cell>
          <cell r="AP137">
            <v>14218</v>
          </cell>
          <cell r="AQ137">
            <v>11449</v>
          </cell>
          <cell r="AR137">
            <v>12404</v>
          </cell>
          <cell r="AS137">
            <v>12908</v>
          </cell>
          <cell r="AT137">
            <v>16127</v>
          </cell>
          <cell r="AU137">
            <v>13646</v>
          </cell>
          <cell r="AV137">
            <v>14640</v>
          </cell>
          <cell r="AW137">
            <v>15619</v>
          </cell>
          <cell r="AX137">
            <v>19302</v>
          </cell>
          <cell r="BR137">
            <v>32206</v>
          </cell>
          <cell r="BS137">
            <v>38433</v>
          </cell>
          <cell r="BT137">
            <v>51541</v>
          </cell>
          <cell r="BU137">
            <v>50150</v>
          </cell>
          <cell r="BV137">
            <v>52888</v>
          </cell>
          <cell r="BW137">
            <v>63207</v>
          </cell>
        </row>
        <row r="138">
          <cell r="AA138">
            <v>3624</v>
          </cell>
          <cell r="AB138">
            <v>4097</v>
          </cell>
          <cell r="AC138">
            <v>4053</v>
          </cell>
          <cell r="AD138">
            <v>5052</v>
          </cell>
          <cell r="AE138">
            <v>4150</v>
          </cell>
          <cell r="AF138">
            <v>4249</v>
          </cell>
          <cell r="AG138">
            <v>5055</v>
          </cell>
          <cell r="AH138">
            <v>6895</v>
          </cell>
          <cell r="AI138">
            <v>6384</v>
          </cell>
          <cell r="AJ138">
            <v>7220</v>
          </cell>
          <cell r="AK138">
            <v>7018</v>
          </cell>
          <cell r="AL138">
            <v>8435</v>
          </cell>
          <cell r="AM138">
            <v>6638</v>
          </cell>
          <cell r="AN138">
            <v>6650</v>
          </cell>
          <cell r="AO138">
            <v>5996</v>
          </cell>
          <cell r="AP138">
            <v>7397</v>
          </cell>
          <cell r="AQ138">
            <v>6759</v>
          </cell>
          <cell r="AR138">
            <v>7515</v>
          </cell>
          <cell r="AS138">
            <v>7578</v>
          </cell>
          <cell r="AT138">
            <v>9358</v>
          </cell>
          <cell r="AU138">
            <v>8404</v>
          </cell>
          <cell r="AV138">
            <v>9153</v>
          </cell>
          <cell r="AW138">
            <v>9205</v>
          </cell>
          <cell r="AX138">
            <v>11599</v>
          </cell>
          <cell r="BR138">
            <v>16826</v>
          </cell>
          <cell r="BS138">
            <v>20349</v>
          </cell>
          <cell r="BT138">
            <v>29057</v>
          </cell>
          <cell r="BU138">
            <v>26681</v>
          </cell>
          <cell r="BV138">
            <v>31210</v>
          </cell>
          <cell r="BW138">
            <v>38361</v>
          </cell>
        </row>
        <row r="139">
          <cell r="AA139">
            <v>3337</v>
          </cell>
          <cell r="AB139">
            <v>3628</v>
          </cell>
          <cell r="AC139">
            <v>3958</v>
          </cell>
          <cell r="AD139">
            <v>4483</v>
          </cell>
          <cell r="AE139">
            <v>3971</v>
          </cell>
          <cell r="AF139">
            <v>4611</v>
          </cell>
          <cell r="AG139">
            <v>5311</v>
          </cell>
          <cell r="AH139">
            <v>5955</v>
          </cell>
          <cell r="AI139">
            <v>6101</v>
          </cell>
          <cell r="AJ139">
            <v>6677</v>
          </cell>
          <cell r="AK139">
            <v>6592</v>
          </cell>
          <cell r="AL139">
            <v>7369</v>
          </cell>
          <cell r="AM139">
            <v>6722</v>
          </cell>
          <cell r="AN139">
            <v>6960</v>
          </cell>
          <cell r="AO139">
            <v>6797</v>
          </cell>
          <cell r="AP139">
            <v>7281</v>
          </cell>
          <cell r="AQ139">
            <v>7292</v>
          </cell>
          <cell r="AR139">
            <v>8551</v>
          </cell>
          <cell r="AS139">
            <v>9790</v>
          </cell>
          <cell r="AT139">
            <v>10521</v>
          </cell>
          <cell r="AU139">
            <v>10312</v>
          </cell>
          <cell r="AV139">
            <v>10967</v>
          </cell>
          <cell r="AW139">
            <v>11243</v>
          </cell>
          <cell r="AX139">
            <v>12487</v>
          </cell>
          <cell r="BR139">
            <v>15406</v>
          </cell>
          <cell r="BS139">
            <v>19848</v>
          </cell>
          <cell r="BT139">
            <v>26739</v>
          </cell>
          <cell r="BU139">
            <v>27760</v>
          </cell>
          <cell r="BV139">
            <v>36154</v>
          </cell>
          <cell r="BW139">
            <v>45009</v>
          </cell>
        </row>
        <row r="140">
          <cell r="AA140">
            <v>1339</v>
          </cell>
          <cell r="AB140">
            <v>1529</v>
          </cell>
          <cell r="AC140">
            <v>1615</v>
          </cell>
          <cell r="AD140">
            <v>1776</v>
          </cell>
          <cell r="AE140">
            <v>1604</v>
          </cell>
          <cell r="AF140">
            <v>1535</v>
          </cell>
          <cell r="AG140">
            <v>1875</v>
          </cell>
          <cell r="AH140">
            <v>2321</v>
          </cell>
          <cell r="AI140">
            <v>2250</v>
          </cell>
          <cell r="AJ140">
            <v>2568</v>
          </cell>
          <cell r="AK140">
            <v>2732</v>
          </cell>
          <cell r="AL140">
            <v>3042</v>
          </cell>
          <cell r="AM140">
            <v>2768</v>
          </cell>
          <cell r="AN140">
            <v>3026</v>
          </cell>
          <cell r="AO140">
            <v>2955</v>
          </cell>
          <cell r="AP140">
            <v>3269</v>
          </cell>
          <cell r="AQ140">
            <v>3145</v>
          </cell>
          <cell r="AR140">
            <v>3529</v>
          </cell>
          <cell r="AS140">
            <v>3870</v>
          </cell>
          <cell r="AT140">
            <v>4106</v>
          </cell>
          <cell r="AU140">
            <v>4093</v>
          </cell>
          <cell r="AV140">
            <v>4311</v>
          </cell>
          <cell r="AW140">
            <v>4522</v>
          </cell>
          <cell r="AX140">
            <v>4998</v>
          </cell>
          <cell r="BR140">
            <v>6259</v>
          </cell>
          <cell r="BS140">
            <v>7335</v>
          </cell>
          <cell r="BT140">
            <v>10592</v>
          </cell>
          <cell r="BU140">
            <v>12018</v>
          </cell>
          <cell r="BV140">
            <v>14650</v>
          </cell>
          <cell r="BW140">
            <v>17924</v>
          </cell>
          <cell r="BX140"/>
          <cell r="BY140"/>
          <cell r="BZ140"/>
          <cell r="CA140"/>
          <cell r="CB140"/>
        </row>
        <row r="242">
          <cell r="AA242">
            <v>186</v>
          </cell>
          <cell r="AB242">
            <v>187</v>
          </cell>
          <cell r="AC242">
            <v>189</v>
          </cell>
          <cell r="AD242">
            <v>190</v>
          </cell>
          <cell r="AE242">
            <v>195</v>
          </cell>
          <cell r="AF242">
            <v>198</v>
          </cell>
          <cell r="AG242">
            <v>196</v>
          </cell>
          <cell r="AH242">
            <v>195</v>
          </cell>
          <cell r="AI242">
            <v>195</v>
          </cell>
          <cell r="AJ242">
            <v>195</v>
          </cell>
          <cell r="AK242">
            <v>196</v>
          </cell>
          <cell r="AL242">
            <v>195</v>
          </cell>
          <cell r="AM242">
            <v>196</v>
          </cell>
          <cell r="AN242">
            <v>197</v>
          </cell>
          <cell r="AO242">
            <v>197</v>
          </cell>
          <cell r="AP242">
            <v>199</v>
          </cell>
          <cell r="AQ242">
            <v>200</v>
          </cell>
          <cell r="AR242">
            <v>202</v>
          </cell>
          <cell r="AS242">
            <v>203</v>
          </cell>
          <cell r="AT242">
            <v>205</v>
          </cell>
        </row>
        <row r="243">
          <cell r="AA243">
            <v>286</v>
          </cell>
          <cell r="AB243">
            <v>286</v>
          </cell>
          <cell r="AC243">
            <v>288</v>
          </cell>
          <cell r="AD243">
            <v>294</v>
          </cell>
          <cell r="AE243">
            <v>305</v>
          </cell>
          <cell r="AF243">
            <v>305</v>
          </cell>
          <cell r="AG243">
            <v>305</v>
          </cell>
          <cell r="AH243">
            <v>308</v>
          </cell>
          <cell r="AI243">
            <v>309</v>
          </cell>
          <cell r="AJ243">
            <v>307</v>
          </cell>
          <cell r="AK243">
            <v>308</v>
          </cell>
          <cell r="AL243">
            <v>309</v>
          </cell>
          <cell r="AM243">
            <v>307</v>
          </cell>
          <cell r="AN243">
            <v>303</v>
          </cell>
          <cell r="AO243">
            <v>303</v>
          </cell>
          <cell r="AP243">
            <v>304</v>
          </cell>
          <cell r="AQ243">
            <v>307</v>
          </cell>
          <cell r="AR243">
            <v>307</v>
          </cell>
          <cell r="AS243">
            <v>307</v>
          </cell>
          <cell r="AT243">
            <v>308</v>
          </cell>
        </row>
        <row r="244">
          <cell r="AA244">
            <v>600</v>
          </cell>
          <cell r="AB244">
            <v>615</v>
          </cell>
          <cell r="AC244">
            <v>627</v>
          </cell>
          <cell r="AD244">
            <v>641</v>
          </cell>
          <cell r="AE244">
            <v>678</v>
          </cell>
          <cell r="AF244">
            <v>699</v>
          </cell>
          <cell r="AG244">
            <v>727</v>
          </cell>
          <cell r="AH244">
            <v>744</v>
          </cell>
          <cell r="AI244">
            <v>760</v>
          </cell>
          <cell r="AJ244">
            <v>788</v>
          </cell>
          <cell r="AK244">
            <v>805</v>
          </cell>
          <cell r="AL244">
            <v>806</v>
          </cell>
          <cell r="AM244">
            <v>827</v>
          </cell>
          <cell r="AN244">
            <v>836</v>
          </cell>
          <cell r="AO244">
            <v>845</v>
          </cell>
          <cell r="AP244">
            <v>854</v>
          </cell>
          <cell r="AQ244">
            <v>873</v>
          </cell>
          <cell r="AR244">
            <v>891</v>
          </cell>
          <cell r="AS244">
            <v>899</v>
          </cell>
          <cell r="AT244">
            <v>914</v>
          </cell>
        </row>
        <row r="245">
          <cell r="AA245">
            <v>490</v>
          </cell>
          <cell r="AB245">
            <v>499</v>
          </cell>
          <cell r="AC245">
            <v>519</v>
          </cell>
          <cell r="AD245">
            <v>532</v>
          </cell>
          <cell r="AE245">
            <v>556</v>
          </cell>
          <cell r="AF245">
            <v>583</v>
          </cell>
          <cell r="AG245">
            <v>593</v>
          </cell>
          <cell r="AH245">
            <v>598</v>
          </cell>
          <cell r="AI245">
            <v>613</v>
          </cell>
          <cell r="AJ245">
            <v>618</v>
          </cell>
          <cell r="AK245">
            <v>622</v>
          </cell>
          <cell r="AL245">
            <v>619</v>
          </cell>
          <cell r="AM245">
            <v>629</v>
          </cell>
          <cell r="AN245">
            <v>631</v>
          </cell>
          <cell r="AO245">
            <v>638</v>
          </cell>
          <cell r="AP245">
            <v>643</v>
          </cell>
          <cell r="AQ245">
            <v>657</v>
          </cell>
          <cell r="AR245">
            <v>665</v>
          </cell>
          <cell r="AS245">
            <v>676</v>
          </cell>
          <cell r="AT245">
            <v>683</v>
          </cell>
        </row>
        <row r="287">
          <cell r="AA287"/>
          <cell r="AB287"/>
          <cell r="AC287"/>
          <cell r="AD287"/>
          <cell r="AE287"/>
          <cell r="AF287"/>
          <cell r="AG287"/>
          <cell r="AH287"/>
          <cell r="AI287"/>
          <cell r="AJ287"/>
          <cell r="AK287"/>
          <cell r="AL287"/>
          <cell r="AM287"/>
          <cell r="AN287"/>
          <cell r="AO287"/>
          <cell r="AP287"/>
          <cell r="AQ287">
            <v>0.22</v>
          </cell>
          <cell r="AR287">
            <v>0.28000000000000003</v>
          </cell>
          <cell r="AS287">
            <v>0.26</v>
          </cell>
          <cell r="AT287">
            <v>0.16</v>
          </cell>
          <cell r="AU287">
            <v>0.16</v>
          </cell>
          <cell r="AV287">
            <v>0.08</v>
          </cell>
          <cell r="AW287">
            <v>7.0000000000000007E-2</v>
          </cell>
          <cell r="AX287">
            <v>0.06</v>
          </cell>
        </row>
        <row r="288">
          <cell r="AA288"/>
          <cell r="AB288"/>
          <cell r="AC288"/>
          <cell r="AD288"/>
          <cell r="AE288"/>
          <cell r="AF288"/>
          <cell r="AG288"/>
          <cell r="AH288"/>
          <cell r="AI288"/>
          <cell r="AJ288"/>
          <cell r="AK288"/>
          <cell r="AL288"/>
          <cell r="AM288"/>
          <cell r="AN288"/>
          <cell r="AO288"/>
          <cell r="AP288"/>
          <cell r="AQ288">
            <v>0.11</v>
          </cell>
          <cell r="AR288">
            <v>0.26</v>
          </cell>
          <cell r="AS288">
            <v>0.25</v>
          </cell>
          <cell r="AT288">
            <v>0.17</v>
          </cell>
          <cell r="AU288">
            <v>0.12</v>
          </cell>
          <cell r="AV288">
            <v>0.06</v>
          </cell>
          <cell r="AW288">
            <v>0.05</v>
          </cell>
          <cell r="AX288">
            <v>0.05</v>
          </cell>
        </row>
        <row r="289">
          <cell r="AA289"/>
          <cell r="AB289"/>
          <cell r="AC289"/>
          <cell r="AD289"/>
          <cell r="AE289"/>
          <cell r="AF289"/>
          <cell r="AG289"/>
          <cell r="AH289"/>
          <cell r="AI289"/>
          <cell r="AJ289"/>
          <cell r="AK289"/>
          <cell r="AL289"/>
          <cell r="AM289"/>
          <cell r="AN289"/>
          <cell r="AO289"/>
          <cell r="AP289"/>
          <cell r="AQ289">
            <v>0.34</v>
          </cell>
          <cell r="AR289">
            <v>0.42</v>
          </cell>
          <cell r="AS289">
            <v>0.39</v>
          </cell>
          <cell r="AT289">
            <v>0.3</v>
          </cell>
          <cell r="AU289">
            <v>0.28000000000000003</v>
          </cell>
          <cell r="AV289">
            <v>0.15</v>
          </cell>
          <cell r="AW289">
            <v>0.09</v>
          </cell>
          <cell r="AX289">
            <v>0.1</v>
          </cell>
        </row>
        <row r="290">
          <cell r="AA290"/>
          <cell r="AB290"/>
          <cell r="AC290"/>
          <cell r="AD290"/>
          <cell r="AE290"/>
          <cell r="AF290"/>
          <cell r="AG290"/>
          <cell r="AH290"/>
          <cell r="AI290"/>
          <cell r="AJ290"/>
          <cell r="AK290"/>
          <cell r="AL290"/>
          <cell r="AM290"/>
          <cell r="AN290"/>
          <cell r="AO290"/>
          <cell r="AP290"/>
          <cell r="AQ290">
            <v>0.28000000000000003</v>
          </cell>
          <cell r="AR290">
            <v>0.31</v>
          </cell>
          <cell r="AS290">
            <v>0.27</v>
          </cell>
          <cell r="AT290">
            <v>0.17</v>
          </cell>
          <cell r="AU290">
            <v>0.17</v>
          </cell>
          <cell r="AV290">
            <v>0.08</v>
          </cell>
          <cell r="AW290">
            <v>0.05</v>
          </cell>
          <cell r="AX290">
            <v>0.03</v>
          </cell>
        </row>
        <row r="291">
          <cell r="A291" t="str">
            <v>Total number of ad impressions growth rate, %</v>
          </cell>
          <cell r="B291"/>
          <cell r="C291">
            <v>0.39</v>
          </cell>
          <cell r="D291">
            <v>0.43</v>
          </cell>
          <cell r="E291">
            <v>0.16</v>
          </cell>
          <cell r="F291">
            <v>-0.08</v>
          </cell>
          <cell r="G291">
            <v>-0.17</v>
          </cell>
          <cell r="H291">
            <v>-0.25</v>
          </cell>
          <cell r="I291">
            <v>-0.56000000000000005</v>
          </cell>
          <cell r="J291">
            <v>-0.65</v>
          </cell>
          <cell r="K291">
            <v>-0.62</v>
          </cell>
          <cell r="L291">
            <v>-0.55000000000000004</v>
          </cell>
          <cell r="M291">
            <v>-0.1</v>
          </cell>
          <cell r="N291">
            <v>0.28999999999999998</v>
          </cell>
          <cell r="O291">
            <v>0.5</v>
          </cell>
          <cell r="P291">
            <v>0.49</v>
          </cell>
          <cell r="Q291">
            <v>0.5</v>
          </cell>
          <cell r="R291">
            <v>0.49</v>
          </cell>
          <cell r="S291">
            <v>0.32</v>
          </cell>
          <cell r="T291">
            <v>0.19</v>
          </cell>
          <cell r="U291">
            <v>0.1</v>
          </cell>
          <cell r="V291">
            <v>0.04</v>
          </cell>
          <cell r="W291">
            <v>0.08</v>
          </cell>
          <cell r="X291">
            <v>0.21</v>
          </cell>
          <cell r="Y291">
            <v>0.25</v>
          </cell>
          <cell r="Z291">
            <v>0.34</v>
          </cell>
          <cell r="AA291">
            <v>0.32</v>
          </cell>
          <cell r="AB291">
            <v>0.33</v>
          </cell>
          <cell r="AC291">
            <v>0.37</v>
          </cell>
          <cell r="AD291">
            <v>0.31</v>
          </cell>
          <cell r="AE291">
            <v>0.39</v>
          </cell>
          <cell r="AF291">
            <v>0.4</v>
          </cell>
          <cell r="AG291">
            <v>0.35</v>
          </cell>
          <cell r="AH291">
            <v>0.25</v>
          </cell>
          <cell r="AI291">
            <v>0.12</v>
          </cell>
          <cell r="AJ291">
            <v>0.06</v>
          </cell>
          <cell r="AK291">
            <v>0.09</v>
          </cell>
          <cell r="AL291">
            <v>0.13</v>
          </cell>
          <cell r="AM291">
            <v>0.15</v>
          </cell>
          <cell r="AN291">
            <v>0.15</v>
          </cell>
          <cell r="AO291">
            <v>0.17</v>
          </cell>
          <cell r="AP291">
            <v>0.23</v>
          </cell>
          <cell r="AQ291">
            <v>0.26</v>
          </cell>
          <cell r="AR291">
            <v>0.34</v>
          </cell>
          <cell r="AS291">
            <v>0.31</v>
          </cell>
          <cell r="AT291">
            <v>0.21</v>
          </cell>
          <cell r="AU291">
            <v>0.2</v>
          </cell>
          <cell r="AV291">
            <v>0.1</v>
          </cell>
          <cell r="AW291">
            <v>7.0000000000000007E-2</v>
          </cell>
          <cell r="AX291">
            <v>0.06</v>
          </cell>
          <cell r="AY291">
            <v>0</v>
          </cell>
          <cell r="AZ291"/>
          <cell r="BA291"/>
          <cell r="BB291"/>
          <cell r="BC291"/>
          <cell r="BD291"/>
          <cell r="BE291"/>
          <cell r="BF291"/>
          <cell r="BG291"/>
          <cell r="BH291"/>
          <cell r="BI291"/>
          <cell r="BJ291"/>
          <cell r="BK291"/>
          <cell r="BL291"/>
          <cell r="BM291"/>
          <cell r="BN291"/>
          <cell r="BO291"/>
          <cell r="BP291"/>
          <cell r="BQ291"/>
          <cell r="BR291"/>
          <cell r="BS291"/>
          <cell r="BT291">
            <v>0.1</v>
          </cell>
          <cell r="BU291"/>
          <cell r="BV291">
            <v>0.28000000000000003</v>
          </cell>
          <cell r="BW291">
            <v>0.11</v>
          </cell>
          <cell r="BX291"/>
          <cell r="BY291"/>
          <cell r="BZ291"/>
          <cell r="CA291"/>
          <cell r="CB291"/>
          <cell r="CC291"/>
        </row>
        <row r="293">
          <cell r="AA293"/>
          <cell r="AB293"/>
          <cell r="AC293"/>
          <cell r="AD293"/>
          <cell r="AE293"/>
          <cell r="AF293"/>
          <cell r="AG293"/>
          <cell r="AH293"/>
          <cell r="AI293"/>
          <cell r="AJ293"/>
          <cell r="AK293"/>
          <cell r="AL293"/>
          <cell r="AM293"/>
          <cell r="AN293"/>
          <cell r="AO293"/>
          <cell r="AP293"/>
          <cell r="AQ293">
            <v>-0.13</v>
          </cell>
          <cell r="AR293">
            <v>-0.14000000000000001</v>
          </cell>
          <cell r="AS293">
            <v>-7.0000000000000007E-2</v>
          </cell>
          <cell r="AT293">
            <v>0.02</v>
          </cell>
          <cell r="AU293">
            <v>0.05</v>
          </cell>
          <cell r="AV293">
            <v>0.09</v>
          </cell>
          <cell r="AW293">
            <v>0.09</v>
          </cell>
          <cell r="AX293">
            <v>0.12</v>
          </cell>
        </row>
        <row r="294">
          <cell r="AA294"/>
          <cell r="AB294"/>
          <cell r="AC294"/>
          <cell r="AD294"/>
          <cell r="AE294"/>
          <cell r="AF294"/>
          <cell r="AG294"/>
          <cell r="AH294"/>
          <cell r="AI294"/>
          <cell r="AJ294"/>
          <cell r="AK294"/>
          <cell r="AL294"/>
          <cell r="AM294"/>
          <cell r="AN294"/>
          <cell r="AO294"/>
          <cell r="AP294"/>
          <cell r="AQ294">
            <v>-0.11</v>
          </cell>
          <cell r="AR294">
            <v>-0.09</v>
          </cell>
          <cell r="AS294">
            <v>0.08</v>
          </cell>
          <cell r="AT294">
            <v>0.14000000000000001</v>
          </cell>
          <cell r="AU294">
            <v>0.18</v>
          </cell>
          <cell r="AV294">
            <v>0.18</v>
          </cell>
          <cell r="AW294">
            <v>0.16</v>
          </cell>
          <cell r="AX294">
            <v>0.16</v>
          </cell>
        </row>
        <row r="295">
          <cell r="AA295"/>
          <cell r="AB295"/>
          <cell r="AC295"/>
          <cell r="AD295"/>
          <cell r="AE295"/>
          <cell r="AF295"/>
          <cell r="AG295"/>
          <cell r="AH295"/>
          <cell r="AI295"/>
          <cell r="AJ295"/>
          <cell r="AK295"/>
          <cell r="AL295"/>
          <cell r="AM295"/>
          <cell r="AN295"/>
          <cell r="AO295"/>
          <cell r="AP295"/>
          <cell r="AQ295">
            <v>-0.22</v>
          </cell>
          <cell r="AR295">
            <v>-0.22</v>
          </cell>
          <cell r="AS295">
            <v>-0.14000000000000001</v>
          </cell>
          <cell r="AT295">
            <v>-0.06</v>
          </cell>
          <cell r="AU295">
            <v>-0.03</v>
          </cell>
          <cell r="AV295">
            <v>0.04</v>
          </cell>
          <cell r="AW295">
            <v>0.08</v>
          </cell>
          <cell r="AX295">
            <v>0.12</v>
          </cell>
        </row>
        <row r="296">
          <cell r="AA296"/>
          <cell r="AB296"/>
          <cell r="AC296"/>
          <cell r="AD296"/>
          <cell r="AE296"/>
          <cell r="AF296"/>
          <cell r="AG296"/>
          <cell r="AH296"/>
          <cell r="AI296"/>
          <cell r="AJ296"/>
          <cell r="AK296"/>
          <cell r="AL296"/>
          <cell r="AM296"/>
          <cell r="AN296"/>
          <cell r="AO296"/>
          <cell r="AP296"/>
          <cell r="AQ296">
            <v>-0.15</v>
          </cell>
          <cell r="AR296">
            <v>-0.12</v>
          </cell>
          <cell r="AS296">
            <v>7.0000000000000007E-2</v>
          </cell>
          <cell r="AT296">
            <v>0.13</v>
          </cell>
          <cell r="AU296">
            <v>0.2</v>
          </cell>
          <cell r="AV296">
            <v>0.24</v>
          </cell>
          <cell r="AW296">
            <v>0.17</v>
          </cell>
          <cell r="AX296">
            <v>0.23</v>
          </cell>
        </row>
        <row r="297">
          <cell r="A297" t="str">
            <v>Average price per ad growth rate, %</v>
          </cell>
          <cell r="B297"/>
          <cell r="C297">
            <v>0.03</v>
          </cell>
          <cell r="D297">
            <v>0.13</v>
          </cell>
          <cell r="E297">
            <v>0.42</v>
          </cell>
          <cell r="F297">
            <v>0.92</v>
          </cell>
          <cell r="G297">
            <v>1.18</v>
          </cell>
          <cell r="H297">
            <v>1.23</v>
          </cell>
          <cell r="I297">
            <v>2.74</v>
          </cell>
          <cell r="J297">
            <v>3.35</v>
          </cell>
          <cell r="K297">
            <v>2.85</v>
          </cell>
          <cell r="L297">
            <v>2.2000000000000002</v>
          </cell>
          <cell r="M297">
            <v>0.61</v>
          </cell>
          <cell r="N297">
            <v>0.21</v>
          </cell>
          <cell r="O297">
            <v>0.05</v>
          </cell>
          <cell r="P297">
            <v>0.09</v>
          </cell>
          <cell r="Q297">
            <v>0.06</v>
          </cell>
          <cell r="R297">
            <v>0.03</v>
          </cell>
          <cell r="S297">
            <v>0.14000000000000001</v>
          </cell>
          <cell r="T297">
            <v>0.24</v>
          </cell>
          <cell r="U297">
            <v>0.35</v>
          </cell>
          <cell r="V297">
            <v>0.43</v>
          </cell>
          <cell r="W297">
            <v>0.39</v>
          </cell>
          <cell r="X297">
            <v>0.17</v>
          </cell>
          <cell r="Y297">
            <v>7.0000000000000007E-2</v>
          </cell>
          <cell r="Z297">
            <v>-0.02</v>
          </cell>
          <cell r="AA297">
            <v>-0.04</v>
          </cell>
          <cell r="AB297">
            <v>-0.04</v>
          </cell>
          <cell r="AC297">
            <v>-0.06</v>
          </cell>
          <cell r="AD297">
            <v>-0.05</v>
          </cell>
          <cell r="AE297">
            <v>-0.16</v>
          </cell>
          <cell r="AF297">
            <v>-0.21</v>
          </cell>
          <cell r="AG297">
            <v>-0.09</v>
          </cell>
          <cell r="AH297">
            <v>0.05</v>
          </cell>
          <cell r="AI297">
            <v>0.3</v>
          </cell>
          <cell r="AJ297">
            <v>0.47</v>
          </cell>
          <cell r="AK297">
            <v>0.22</v>
          </cell>
          <cell r="AL297">
            <v>0.06</v>
          </cell>
          <cell r="AM297">
            <v>-0.08</v>
          </cell>
          <cell r="AN297">
            <v>-0.14000000000000001</v>
          </cell>
          <cell r="AO297">
            <v>-0.18</v>
          </cell>
          <cell r="AP297">
            <v>-0.22</v>
          </cell>
          <cell r="AQ297">
            <v>-0.17</v>
          </cell>
          <cell r="AR297">
            <v>-0.16</v>
          </cell>
          <cell r="AS297">
            <v>-0.06</v>
          </cell>
          <cell r="AT297">
            <v>0.02</v>
          </cell>
          <cell r="AU297">
            <v>0.06</v>
          </cell>
          <cell r="AV297">
            <v>0.1</v>
          </cell>
          <cell r="AW297">
            <v>0.11</v>
          </cell>
          <cell r="AX297">
            <v>0.14000000000000001</v>
          </cell>
          <cell r="AY297">
            <v>0</v>
          </cell>
          <cell r="AZ297"/>
          <cell r="BA297"/>
          <cell r="BB297"/>
          <cell r="BC297"/>
          <cell r="BD297"/>
          <cell r="BE297"/>
          <cell r="BF297"/>
          <cell r="BG297"/>
          <cell r="BH297"/>
          <cell r="BI297"/>
          <cell r="BJ297"/>
          <cell r="BK297"/>
          <cell r="BL297"/>
          <cell r="BM297"/>
          <cell r="BN297"/>
          <cell r="BO297"/>
          <cell r="BP297"/>
          <cell r="BQ297"/>
          <cell r="BR297"/>
          <cell r="BS297"/>
          <cell r="BT297">
            <v>0.24</v>
          </cell>
          <cell r="BU297"/>
          <cell r="BV297">
            <v>-0.09</v>
          </cell>
          <cell r="BW297">
            <v>0.1</v>
          </cell>
          <cell r="BX297"/>
          <cell r="BY297"/>
          <cell r="BZ297"/>
          <cell r="CA297"/>
          <cell r="CB297"/>
          <cell r="CC297"/>
        </row>
        <row r="377">
          <cell r="AE377">
            <v>3459</v>
          </cell>
          <cell r="AF377">
            <v>3829</v>
          </cell>
          <cell r="AG377">
            <v>4194</v>
          </cell>
          <cell r="AH377">
            <v>5210</v>
          </cell>
          <cell r="AI377">
            <v>5131</v>
          </cell>
          <cell r="AJ377">
            <v>5399</v>
          </cell>
          <cell r="AK377">
            <v>5771</v>
          </cell>
          <cell r="AL377">
            <v>6348</v>
          </cell>
          <cell r="AM377">
            <v>6005</v>
          </cell>
          <cell r="AN377">
            <v>5192</v>
          </cell>
          <cell r="AO377">
            <v>5716</v>
          </cell>
          <cell r="AP377">
            <v>8336</v>
          </cell>
          <cell r="AQ377">
            <v>6108</v>
          </cell>
          <cell r="AR377">
            <v>5945</v>
          </cell>
          <cell r="AS377">
            <v>6210</v>
          </cell>
          <cell r="AT377">
            <v>7695</v>
          </cell>
          <cell r="AU377">
            <v>6640</v>
          </cell>
          <cell r="AV377">
            <v>7308</v>
          </cell>
          <cell r="AW377">
            <v>7375</v>
          </cell>
          <cell r="AX377">
            <v>8839</v>
          </cell>
        </row>
        <row r="379">
          <cell r="AE379">
            <v>4015</v>
          </cell>
          <cell r="AF379">
            <v>4462</v>
          </cell>
          <cell r="AG379">
            <v>4763</v>
          </cell>
          <cell r="AH379">
            <v>5208</v>
          </cell>
          <cell r="AI379">
            <v>5197</v>
          </cell>
          <cell r="AJ379">
            <v>6096</v>
          </cell>
          <cell r="AK379">
            <v>6316</v>
          </cell>
          <cell r="AL379">
            <v>7046</v>
          </cell>
          <cell r="AM379">
            <v>7707</v>
          </cell>
          <cell r="AN379">
            <v>8690</v>
          </cell>
          <cell r="AO379">
            <v>9170</v>
          </cell>
          <cell r="AP379">
            <v>9771</v>
          </cell>
          <cell r="AQ379">
            <v>9381</v>
          </cell>
          <cell r="AR379">
            <v>9344</v>
          </cell>
          <cell r="AS379">
            <v>9241</v>
          </cell>
          <cell r="AT379">
            <v>10517</v>
          </cell>
          <cell r="AU379">
            <v>9978</v>
          </cell>
          <cell r="AV379">
            <v>10537</v>
          </cell>
          <cell r="AW379">
            <v>11177</v>
          </cell>
          <cell r="AX379">
            <v>12180</v>
          </cell>
        </row>
        <row r="380">
          <cell r="AE380">
            <v>2787</v>
          </cell>
          <cell r="AF380">
            <v>2840</v>
          </cell>
          <cell r="AG380">
            <v>2683</v>
          </cell>
          <cell r="AH380">
            <v>3280</v>
          </cell>
          <cell r="AI380">
            <v>2843</v>
          </cell>
          <cell r="AJ380">
            <v>3259</v>
          </cell>
          <cell r="AK380">
            <v>3554</v>
          </cell>
          <cell r="AL380">
            <v>4387</v>
          </cell>
          <cell r="AM380">
            <v>3312</v>
          </cell>
          <cell r="AN380">
            <v>3595</v>
          </cell>
          <cell r="AO380">
            <v>3780</v>
          </cell>
          <cell r="AP380">
            <v>4574</v>
          </cell>
          <cell r="AQ380">
            <v>3044</v>
          </cell>
          <cell r="AR380">
            <v>3154</v>
          </cell>
          <cell r="AS380">
            <v>2877</v>
          </cell>
          <cell r="AT380">
            <v>3226</v>
          </cell>
          <cell r="AU380">
            <v>2564</v>
          </cell>
          <cell r="AV380">
            <v>2721</v>
          </cell>
          <cell r="AW380">
            <v>2822</v>
          </cell>
          <cell r="AX380">
            <v>3240</v>
          </cell>
        </row>
        <row r="381">
          <cell r="AE381">
            <v>1583</v>
          </cell>
          <cell r="AF381">
            <v>1593</v>
          </cell>
          <cell r="AG381">
            <v>1790</v>
          </cell>
          <cell r="AH381">
            <v>1599</v>
          </cell>
          <cell r="AI381">
            <v>1622</v>
          </cell>
          <cell r="AJ381">
            <v>1956</v>
          </cell>
          <cell r="AK381">
            <v>2946</v>
          </cell>
          <cell r="AL381">
            <v>3305</v>
          </cell>
          <cell r="AM381">
            <v>2360</v>
          </cell>
          <cell r="AN381">
            <v>2987</v>
          </cell>
          <cell r="AO381">
            <v>3384</v>
          </cell>
          <cell r="AP381">
            <v>3085</v>
          </cell>
          <cell r="AQ381">
            <v>2885</v>
          </cell>
          <cell r="AR381">
            <v>4164</v>
          </cell>
          <cell r="AS381">
            <v>2070</v>
          </cell>
          <cell r="AT381">
            <v>2289</v>
          </cell>
          <cell r="AU381">
            <v>3455</v>
          </cell>
          <cell r="AV381">
            <v>3658</v>
          </cell>
          <cell r="AW381">
            <v>1865</v>
          </cell>
          <cell r="AX381">
            <v>761</v>
          </cell>
        </row>
        <row r="386">
          <cell r="AI386">
            <v>118</v>
          </cell>
          <cell r="AJ386">
            <v>121</v>
          </cell>
          <cell r="AK386">
            <v>120</v>
          </cell>
          <cell r="AL386">
            <v>102</v>
          </cell>
          <cell r="AM386">
            <v>76</v>
          </cell>
          <cell r="AN386">
            <v>91</v>
          </cell>
          <cell r="AO386">
            <v>77</v>
          </cell>
          <cell r="AP386">
            <v>32</v>
          </cell>
          <cell r="AQ386">
            <v>138</v>
          </cell>
          <cell r="AR386">
            <v>207</v>
          </cell>
          <cell r="AS386">
            <v>395</v>
          </cell>
          <cell r="AT386">
            <v>453</v>
          </cell>
          <cell r="AU386">
            <v>458</v>
          </cell>
          <cell r="AV386">
            <v>412</v>
          </cell>
          <cell r="AW386">
            <v>453</v>
          </cell>
          <cell r="AX386">
            <v>479</v>
          </cell>
        </row>
        <row r="387">
          <cell r="AI387">
            <v>-93</v>
          </cell>
          <cell r="AJ387"/>
          <cell r="AK387">
            <v>-48</v>
          </cell>
          <cell r="AL387">
            <v>1</v>
          </cell>
          <cell r="AM387">
            <v>54</v>
          </cell>
          <cell r="AN387">
            <v>-60</v>
          </cell>
          <cell r="AO387">
            <v>-131</v>
          </cell>
          <cell r="AP387">
            <v>56</v>
          </cell>
          <cell r="AQ387">
            <v>-63</v>
          </cell>
          <cell r="AR387">
            <v>-145</v>
          </cell>
          <cell r="AS387">
            <v>-98</v>
          </cell>
          <cell r="AT387">
            <v>-60</v>
          </cell>
          <cell r="AU387">
            <v>-148</v>
          </cell>
          <cell r="AV387">
            <v>-168</v>
          </cell>
          <cell r="AW387">
            <v>11</v>
          </cell>
          <cell r="AX387">
            <v>-385</v>
          </cell>
        </row>
        <row r="388">
          <cell r="AI388">
            <v>100</v>
          </cell>
          <cell r="AJ388">
            <v>25</v>
          </cell>
          <cell r="AK388">
            <v>70</v>
          </cell>
          <cell r="AL388">
            <v>15</v>
          </cell>
          <cell r="AM388">
            <v>254</v>
          </cell>
          <cell r="AN388">
            <v>-203</v>
          </cell>
          <cell r="AO388">
            <v>-34</v>
          </cell>
          <cell r="AP388">
            <v>-338</v>
          </cell>
          <cell r="AQ388">
            <v>5</v>
          </cell>
          <cell r="AR388">
            <v>-161</v>
          </cell>
          <cell r="AS388">
            <v>-25</v>
          </cell>
          <cell r="AT388">
            <v>31</v>
          </cell>
          <cell r="AU388">
            <v>55</v>
          </cell>
          <cell r="AV388">
            <v>15</v>
          </cell>
          <cell r="AW388">
            <v>8</v>
          </cell>
          <cell r="AX388">
            <v>94</v>
          </cell>
        </row>
        <row r="390">
          <cell r="AI390">
            <v>2006</v>
          </cell>
          <cell r="AJ390">
            <v>2119</v>
          </cell>
          <cell r="AK390">
            <v>1371</v>
          </cell>
          <cell r="AL390">
            <v>2417</v>
          </cell>
          <cell r="AM390">
            <v>1443</v>
          </cell>
          <cell r="AN390">
            <v>1499</v>
          </cell>
          <cell r="AO390">
            <v>1181</v>
          </cell>
          <cell r="AP390">
            <v>1497</v>
          </cell>
          <cell r="AQ390">
            <v>1598</v>
          </cell>
          <cell r="AR390">
            <v>1505</v>
          </cell>
          <cell r="AS390">
            <v>2437</v>
          </cell>
          <cell r="AT390">
            <v>2791</v>
          </cell>
          <cell r="AU390">
            <v>1814</v>
          </cell>
          <cell r="AV390">
            <v>1641</v>
          </cell>
          <cell r="AW390">
            <v>2134</v>
          </cell>
          <cell r="AX390">
            <v>2715</v>
          </cell>
        </row>
        <row r="424">
          <cell r="A424" t="str">
            <v>S&amp;M</v>
          </cell>
          <cell r="B424"/>
          <cell r="C424">
            <v>203</v>
          </cell>
          <cell r="D424">
            <v>269</v>
          </cell>
          <cell r="E424">
            <v>233</v>
          </cell>
          <cell r="F424">
            <v>292</v>
          </cell>
          <cell r="G424">
            <v>323</v>
          </cell>
          <cell r="H424">
            <v>358</v>
          </cell>
          <cell r="I424">
            <v>374</v>
          </cell>
          <cell r="J424">
            <v>624</v>
          </cell>
          <cell r="K424">
            <v>620</v>
          </cell>
          <cell r="L424">
            <v>626</v>
          </cell>
          <cell r="M424">
            <v>706</v>
          </cell>
          <cell r="N424">
            <v>772</v>
          </cell>
          <cell r="O424">
            <v>826</v>
          </cell>
          <cell r="P424">
            <v>901</v>
          </cell>
          <cell r="Q424">
            <v>926</v>
          </cell>
          <cell r="R424">
            <v>1118</v>
          </cell>
          <cell r="S424">
            <v>1057</v>
          </cell>
          <cell r="T424">
            <v>1124</v>
          </cell>
          <cell r="U424">
            <v>1170</v>
          </cell>
          <cell r="V424">
            <v>1374</v>
          </cell>
          <cell r="W424">
            <v>1595</v>
          </cell>
          <cell r="X424">
            <v>1855</v>
          </cell>
          <cell r="Y424">
            <v>1928</v>
          </cell>
          <cell r="Z424">
            <v>2468</v>
          </cell>
          <cell r="AA424">
            <v>2020</v>
          </cell>
          <cell r="AB424">
            <v>2414</v>
          </cell>
          <cell r="AC424">
            <v>2416</v>
          </cell>
          <cell r="AD424">
            <v>3026</v>
          </cell>
          <cell r="AE424">
            <v>2787</v>
          </cell>
          <cell r="AF424">
            <v>2840</v>
          </cell>
          <cell r="AG424">
            <v>2683</v>
          </cell>
          <cell r="AH424">
            <v>3280</v>
          </cell>
          <cell r="AI424">
            <v>2843</v>
          </cell>
          <cell r="AJ424">
            <v>3259</v>
          </cell>
          <cell r="AK424">
            <v>3554</v>
          </cell>
          <cell r="AL424">
            <v>4387</v>
          </cell>
          <cell r="AM424">
            <v>3312</v>
          </cell>
          <cell r="AN424">
            <v>3595</v>
          </cell>
          <cell r="AO424">
            <v>3780</v>
          </cell>
          <cell r="AP424">
            <v>4574</v>
          </cell>
          <cell r="AQ424">
            <v>3044</v>
          </cell>
          <cell r="AR424">
            <v>3154</v>
          </cell>
          <cell r="AS424">
            <v>2877</v>
          </cell>
          <cell r="AT424">
            <v>3226</v>
          </cell>
          <cell r="AU424">
            <v>2564</v>
          </cell>
          <cell r="AV424">
            <v>2721</v>
          </cell>
          <cell r="AW424">
            <v>2822</v>
          </cell>
          <cell r="AX424">
            <v>3240</v>
          </cell>
          <cell r="AY424">
            <v>0</v>
          </cell>
          <cell r="AZ424">
            <v>2984.4002213732692</v>
          </cell>
          <cell r="BA424">
            <v>3142.2538670721869</v>
          </cell>
          <cell r="BB424">
            <v>3712.6988366177534</v>
          </cell>
          <cell r="BC424">
            <v>-6433713.034208077</v>
          </cell>
          <cell r="BD424">
            <v>3259.1890106495102</v>
          </cell>
          <cell r="BE424">
            <v>3462.415839712954</v>
          </cell>
          <cell r="BF424">
            <v>4191.4001816070149</v>
          </cell>
          <cell r="BG424"/>
          <cell r="BH424">
            <v>87</v>
          </cell>
          <cell r="BI424">
            <v>167</v>
          </cell>
          <cell r="BJ424">
            <v>393</v>
          </cell>
          <cell r="BK424">
            <v>896</v>
          </cell>
          <cell r="BL424">
            <v>997</v>
          </cell>
          <cell r="BM424">
            <v>1680</v>
          </cell>
          <cell r="BN424">
            <v>2725</v>
          </cell>
          <cell r="BO424">
            <v>3772</v>
          </cell>
          <cell r="BP424">
            <v>4725</v>
          </cell>
          <cell r="BQ424">
            <v>7846</v>
          </cell>
          <cell r="BR424">
            <v>9876</v>
          </cell>
          <cell r="BS424">
            <v>11591</v>
          </cell>
          <cell r="BT424">
            <v>14043</v>
          </cell>
          <cell r="BU424">
            <v>15262</v>
          </cell>
          <cell r="BV424">
            <v>12301</v>
          </cell>
          <cell r="BW424">
            <v>11347</v>
          </cell>
          <cell r="BX424">
            <v>9839.3529250632091</v>
          </cell>
          <cell r="BY424">
            <v>-6422800.0291761067</v>
          </cell>
          <cell r="BZ424">
            <v>-7148317.7676203679</v>
          </cell>
          <cell r="CA424">
            <v>-7528864.4800076913</v>
          </cell>
          <cell r="CB424">
            <v>-7904179.5949086826</v>
          </cell>
          <cell r="CC424"/>
        </row>
        <row r="464">
          <cell r="AX464">
            <v>2599</v>
          </cell>
          <cell r="BW464">
            <v>2614</v>
          </cell>
        </row>
        <row r="465">
          <cell r="BW465">
            <v>2614</v>
          </cell>
        </row>
        <row r="489">
          <cell r="AX489">
            <v>2604</v>
          </cell>
        </row>
        <row r="585">
          <cell r="A585" t="str">
            <v>Forward quarterly revenue guidance - Mid, mm</v>
          </cell>
          <cell r="B585"/>
          <cell r="C585"/>
          <cell r="D585"/>
          <cell r="E585"/>
          <cell r="F585"/>
          <cell r="G585"/>
          <cell r="H585"/>
          <cell r="I585"/>
          <cell r="J585"/>
          <cell r="K585"/>
          <cell r="L585"/>
          <cell r="M585"/>
          <cell r="N585"/>
          <cell r="O585"/>
          <cell r="P585"/>
          <cell r="Q585"/>
          <cell r="R585"/>
          <cell r="S585"/>
          <cell r="T585"/>
          <cell r="U585"/>
          <cell r="V585"/>
          <cell r="W585"/>
          <cell r="X585"/>
          <cell r="Y585"/>
          <cell r="Z585"/>
          <cell r="AA585"/>
          <cell r="AB585">
            <v>16472.399999999998</v>
          </cell>
          <cell r="AC585">
            <v>21396.21</v>
          </cell>
          <cell r="AD585">
            <v>18243.169999999998</v>
          </cell>
          <cell r="AE585" t="str">
            <v>NR</v>
          </cell>
          <cell r="AF585" t="str">
            <v>NR</v>
          </cell>
          <cell r="AG585" t="str">
            <v>NR</v>
          </cell>
          <cell r="AH585" t="str">
            <v>NR</v>
          </cell>
          <cell r="AI585" t="str">
            <v>NR</v>
          </cell>
          <cell r="AJ585" t="str">
            <v>NR</v>
          </cell>
          <cell r="AK585">
            <v>32750</v>
          </cell>
          <cell r="AL585">
            <v>28000</v>
          </cell>
          <cell r="AM585">
            <v>29000</v>
          </cell>
          <cell r="AN585">
            <v>27250</v>
          </cell>
          <cell r="AO585">
            <v>31250</v>
          </cell>
          <cell r="AP585">
            <v>27250</v>
          </cell>
          <cell r="AQ585">
            <v>30750</v>
          </cell>
          <cell r="AR585">
            <v>33250</v>
          </cell>
          <cell r="AS585">
            <v>38250</v>
          </cell>
          <cell r="AT585">
            <v>35750</v>
          </cell>
          <cell r="AU585">
            <v>37750</v>
          </cell>
          <cell r="AV585">
            <v>39750</v>
          </cell>
          <cell r="AW585">
            <v>46500</v>
          </cell>
          <cell r="AX585">
            <v>40650</v>
          </cell>
          <cell r="AY585">
            <v>0</v>
          </cell>
          <cell r="AZ585"/>
          <cell r="BA585"/>
          <cell r="BB585"/>
          <cell r="BC585"/>
          <cell r="BD585"/>
          <cell r="BE585"/>
          <cell r="BF585"/>
          <cell r="BG585"/>
          <cell r="BH585"/>
          <cell r="BI585"/>
          <cell r="BJ585"/>
          <cell r="BK585"/>
          <cell r="BL585"/>
          <cell r="BM585"/>
          <cell r="BN585"/>
          <cell r="BO585"/>
          <cell r="BP585"/>
          <cell r="BQ585"/>
          <cell r="BR585">
            <v>18243.169999999998</v>
          </cell>
          <cell r="BS585" t="str">
            <v>NR</v>
          </cell>
          <cell r="BT585">
            <v>28000</v>
          </cell>
          <cell r="BU585">
            <v>27250</v>
          </cell>
          <cell r="BV585">
            <v>35750</v>
          </cell>
          <cell r="BW585">
            <v>40650</v>
          </cell>
          <cell r="BX585"/>
          <cell r="BY585"/>
          <cell r="BZ585"/>
          <cell r="CA585"/>
          <cell r="CB585"/>
          <cell r="CC585"/>
        </row>
        <row r="600">
          <cell r="A600" t="str">
            <v>Forward annual revenue guidance - Mid, mm</v>
          </cell>
          <cell r="B600"/>
          <cell r="C600"/>
          <cell r="D600"/>
          <cell r="E600"/>
          <cell r="F600"/>
          <cell r="G600"/>
          <cell r="H600"/>
          <cell r="I600"/>
          <cell r="J600"/>
          <cell r="K600"/>
          <cell r="L600"/>
          <cell r="M600"/>
          <cell r="N600"/>
          <cell r="O600"/>
          <cell r="P600"/>
          <cell r="Q600"/>
          <cell r="R600"/>
          <cell r="S600"/>
          <cell r="T600"/>
          <cell r="U600"/>
          <cell r="V600"/>
          <cell r="W600"/>
          <cell r="X600"/>
          <cell r="Y600"/>
          <cell r="Z600"/>
          <cell r="AA600"/>
          <cell r="AB600"/>
          <cell r="AC600">
            <v>71011.209999999992</v>
          </cell>
          <cell r="AD600" t="str">
            <v>NR</v>
          </cell>
          <cell r="AE600" t="str">
            <v>NR</v>
          </cell>
          <cell r="AF600" t="str">
            <v>NR</v>
          </cell>
          <cell r="AG600" t="str">
            <v>NR</v>
          </cell>
          <cell r="AH600" t="str">
            <v>NR</v>
          </cell>
          <cell r="AI600" t="str">
            <v>NR</v>
          </cell>
          <cell r="AJ600" t="str">
            <v>NR</v>
          </cell>
          <cell r="AK600">
            <v>117008</v>
          </cell>
          <cell r="AL600"/>
          <cell r="AM600"/>
          <cell r="AN600"/>
          <cell r="AO600">
            <v>115694</v>
          </cell>
          <cell r="AP600"/>
          <cell r="AQ600"/>
          <cell r="AR600"/>
          <cell r="AS600">
            <v>133040</v>
          </cell>
          <cell r="AT600"/>
          <cell r="AU600"/>
          <cell r="AV600"/>
          <cell r="AW600">
            <v>162615</v>
          </cell>
          <cell r="AX600"/>
          <cell r="AY600">
            <v>118000</v>
          </cell>
          <cell r="AZ600"/>
          <cell r="BA600"/>
          <cell r="BB600"/>
          <cell r="BC600"/>
          <cell r="BD600"/>
          <cell r="BE600"/>
          <cell r="BF600"/>
          <cell r="BG600"/>
          <cell r="BH600"/>
          <cell r="BI600"/>
          <cell r="BJ600"/>
          <cell r="BK600"/>
          <cell r="BL600"/>
          <cell r="BM600"/>
          <cell r="BN600"/>
          <cell r="BO600"/>
          <cell r="BP600"/>
          <cell r="BQ600"/>
          <cell r="BR600" t="str">
            <v>NR</v>
          </cell>
          <cell r="BS600" t="str">
            <v>NR</v>
          </cell>
          <cell r="BT600"/>
          <cell r="BU600"/>
          <cell r="BV600"/>
          <cell r="BW600"/>
          <cell r="BX600"/>
          <cell r="BY600"/>
          <cell r="BZ600"/>
          <cell r="CA600"/>
          <cell r="CB600"/>
          <cell r="CC600"/>
        </row>
        <row r="625">
          <cell r="A625" t="str">
            <v>Forward quarterly expenses guidance - Mid, mm</v>
          </cell>
          <cell r="B625"/>
          <cell r="C625"/>
          <cell r="D625"/>
          <cell r="E625"/>
          <cell r="F625"/>
          <cell r="G625"/>
          <cell r="H625"/>
          <cell r="I625"/>
          <cell r="J625"/>
          <cell r="K625"/>
          <cell r="L625"/>
          <cell r="M625"/>
          <cell r="N625"/>
          <cell r="O625"/>
          <cell r="P625"/>
          <cell r="Q625"/>
          <cell r="R625"/>
          <cell r="S625"/>
          <cell r="T625"/>
          <cell r="U625"/>
          <cell r="V625"/>
          <cell r="W625"/>
          <cell r="X625"/>
          <cell r="Y625"/>
          <cell r="Z625"/>
          <cell r="AA625"/>
          <cell r="AB625"/>
          <cell r="AC625">
            <v>12513</v>
          </cell>
          <cell r="AD625"/>
          <cell r="AE625"/>
          <cell r="AF625"/>
          <cell r="AG625">
            <v>15502</v>
          </cell>
          <cell r="AH625"/>
          <cell r="AI625"/>
          <cell r="AJ625"/>
          <cell r="AK625">
            <v>20410</v>
          </cell>
          <cell r="AL625"/>
          <cell r="AM625"/>
          <cell r="AN625"/>
          <cell r="AO625">
            <v>24102</v>
          </cell>
          <cell r="AP625"/>
          <cell r="AQ625"/>
          <cell r="AR625"/>
          <cell r="AS625">
            <v>23577</v>
          </cell>
          <cell r="AT625"/>
          <cell r="AU625"/>
          <cell r="AV625"/>
          <cell r="AW625">
            <v>26900</v>
          </cell>
          <cell r="AX625"/>
          <cell r="AY625">
            <v>1.039017125837677</v>
          </cell>
          <cell r="AZ625"/>
          <cell r="BA625"/>
          <cell r="BB625"/>
          <cell r="BC625"/>
          <cell r="BD625"/>
          <cell r="BE625"/>
          <cell r="BF625"/>
          <cell r="BG625"/>
          <cell r="BH625"/>
          <cell r="BI625"/>
          <cell r="BJ625"/>
          <cell r="BK625"/>
          <cell r="BL625"/>
          <cell r="BM625"/>
          <cell r="BN625"/>
          <cell r="BO625"/>
          <cell r="BP625"/>
          <cell r="BQ625"/>
          <cell r="BR625"/>
          <cell r="BS625"/>
          <cell r="BT625"/>
          <cell r="BU625"/>
          <cell r="BV625"/>
          <cell r="BW625"/>
          <cell r="BX625"/>
          <cell r="BY625"/>
          <cell r="BZ625"/>
          <cell r="CA625"/>
          <cell r="CB625"/>
          <cell r="CC625"/>
        </row>
        <row r="639">
          <cell r="A639" t="str">
            <v>Forward annual expenses guidance - Mid, mm</v>
          </cell>
          <cell r="B639"/>
          <cell r="C639"/>
          <cell r="D639"/>
          <cell r="E639"/>
          <cell r="F639"/>
          <cell r="G639"/>
          <cell r="H639"/>
          <cell r="I639"/>
          <cell r="J639"/>
          <cell r="K639"/>
          <cell r="L639"/>
          <cell r="M639"/>
          <cell r="N639"/>
          <cell r="O639"/>
          <cell r="P639"/>
          <cell r="Q639"/>
          <cell r="R639"/>
          <cell r="S639"/>
          <cell r="T639"/>
          <cell r="U639"/>
          <cell r="V639"/>
          <cell r="W639"/>
          <cell r="X639"/>
          <cell r="Y639"/>
          <cell r="Z639"/>
          <cell r="AA639"/>
          <cell r="AB639"/>
          <cell r="AC639">
            <v>47000</v>
          </cell>
          <cell r="AD639">
            <v>56500</v>
          </cell>
          <cell r="AE639">
            <v>54000</v>
          </cell>
          <cell r="AF639">
            <v>53500</v>
          </cell>
          <cell r="AG639">
            <v>53500</v>
          </cell>
          <cell r="AH639">
            <v>70500</v>
          </cell>
          <cell r="AI639">
            <v>71500</v>
          </cell>
          <cell r="AJ639">
            <v>71500</v>
          </cell>
          <cell r="AK639">
            <v>70500</v>
          </cell>
          <cell r="AL639">
            <v>92500</v>
          </cell>
          <cell r="AM639">
            <v>89500</v>
          </cell>
          <cell r="AN639">
            <v>86500</v>
          </cell>
          <cell r="AO639">
            <v>86000</v>
          </cell>
          <cell r="AP639">
            <v>92000</v>
          </cell>
          <cell r="AQ639">
            <v>88000</v>
          </cell>
          <cell r="AR639">
            <v>89500</v>
          </cell>
          <cell r="AS639">
            <v>88000</v>
          </cell>
          <cell r="AT639">
            <v>96500</v>
          </cell>
          <cell r="AU639">
            <v>97500</v>
          </cell>
          <cell r="AV639">
            <v>97500</v>
          </cell>
          <cell r="AW639">
            <v>97000</v>
          </cell>
          <cell r="AX639">
            <v>116500</v>
          </cell>
          <cell r="AY639" t="str">
            <v/>
          </cell>
          <cell r="AZ639"/>
          <cell r="BA639"/>
          <cell r="BB639"/>
          <cell r="BC639"/>
          <cell r="BD639"/>
          <cell r="BE639"/>
          <cell r="BF639"/>
          <cell r="BG639"/>
          <cell r="BH639"/>
          <cell r="BI639"/>
          <cell r="BJ639"/>
          <cell r="BK639"/>
          <cell r="BL639"/>
          <cell r="BM639"/>
          <cell r="BN639"/>
          <cell r="BO639"/>
          <cell r="BP639"/>
          <cell r="BQ639"/>
          <cell r="BR639">
            <v>56500</v>
          </cell>
          <cell r="BS639">
            <v>70500</v>
          </cell>
          <cell r="BT639">
            <v>92500</v>
          </cell>
          <cell r="BU639">
            <v>92000</v>
          </cell>
          <cell r="BV639">
            <v>96500</v>
          </cell>
          <cell r="BW639">
            <v>116500</v>
          </cell>
          <cell r="BX639"/>
          <cell r="BY639"/>
          <cell r="BZ639"/>
          <cell r="CA639"/>
          <cell r="CB639"/>
          <cell r="CC639"/>
        </row>
        <row r="669">
          <cell r="A669" t="str">
            <v>Forward quarterly capex guidance - Mid, mm</v>
          </cell>
          <cell r="B669"/>
          <cell r="C669"/>
          <cell r="D669"/>
          <cell r="E669"/>
          <cell r="F669"/>
          <cell r="G669"/>
          <cell r="H669"/>
          <cell r="I669"/>
          <cell r="J669"/>
          <cell r="K669"/>
          <cell r="L669"/>
          <cell r="M669"/>
          <cell r="N669"/>
          <cell r="O669"/>
          <cell r="P669"/>
          <cell r="Q669"/>
          <cell r="R669"/>
          <cell r="S669"/>
          <cell r="T669"/>
          <cell r="U669"/>
          <cell r="V669"/>
          <cell r="W669"/>
          <cell r="X669"/>
          <cell r="Y669"/>
          <cell r="Z669"/>
          <cell r="AA669"/>
          <cell r="AB669"/>
          <cell r="AC669">
            <v>4587</v>
          </cell>
          <cell r="AD669"/>
          <cell r="AE669"/>
          <cell r="AF669"/>
          <cell r="AG669">
            <v>5100</v>
          </cell>
          <cell r="AH669"/>
          <cell r="AI669"/>
          <cell r="AJ669"/>
          <cell r="AK669">
            <v>5297</v>
          </cell>
          <cell r="AL669"/>
          <cell r="AM669"/>
          <cell r="AN669"/>
          <cell r="AO669">
            <v>9497</v>
          </cell>
          <cell r="AP669"/>
          <cell r="AQ669"/>
          <cell r="AR669"/>
          <cell r="AS669">
            <v>7648</v>
          </cell>
          <cell r="AT669"/>
          <cell r="AU669"/>
          <cell r="AV669"/>
          <cell r="AW669">
            <v>14611</v>
          </cell>
          <cell r="AX669"/>
          <cell r="AY669">
            <v>0</v>
          </cell>
          <cell r="AZ669"/>
          <cell r="BA669"/>
          <cell r="BB669"/>
          <cell r="BC669"/>
          <cell r="BD669"/>
          <cell r="BE669"/>
          <cell r="BF669"/>
          <cell r="BG669"/>
          <cell r="BH669"/>
          <cell r="BI669"/>
          <cell r="BJ669"/>
          <cell r="BK669"/>
          <cell r="BL669"/>
          <cell r="BM669"/>
          <cell r="BN669"/>
          <cell r="BO669"/>
          <cell r="BP669"/>
          <cell r="BQ669"/>
          <cell r="BR669"/>
          <cell r="BS669"/>
          <cell r="BT669"/>
          <cell r="BU669"/>
          <cell r="BV669"/>
          <cell r="BW669"/>
          <cell r="BX669"/>
          <cell r="BY669"/>
          <cell r="BZ669"/>
          <cell r="CA669"/>
          <cell r="CB669"/>
          <cell r="CC669"/>
        </row>
        <row r="683">
          <cell r="A683" t="str">
            <v>Forward annual capex guidance - Mid, mm</v>
          </cell>
          <cell r="B683"/>
          <cell r="C683"/>
          <cell r="D683"/>
          <cell r="E683"/>
          <cell r="F683"/>
          <cell r="G683"/>
          <cell r="H683"/>
          <cell r="I683"/>
          <cell r="J683"/>
          <cell r="K683"/>
          <cell r="L683"/>
          <cell r="M683"/>
          <cell r="N683"/>
          <cell r="O683"/>
          <cell r="P683"/>
          <cell r="Q683"/>
          <cell r="R683"/>
          <cell r="S683"/>
          <cell r="T683"/>
          <cell r="U683"/>
          <cell r="V683"/>
          <cell r="W683"/>
          <cell r="X683"/>
          <cell r="Y683"/>
          <cell r="Z683"/>
          <cell r="AA683"/>
          <cell r="AB683">
            <v>17000</v>
          </cell>
          <cell r="AC683">
            <v>16000</v>
          </cell>
          <cell r="AD683">
            <v>18000</v>
          </cell>
          <cell r="AE683">
            <v>15000</v>
          </cell>
          <cell r="AF683">
            <v>16000</v>
          </cell>
          <cell r="AG683">
            <v>16000</v>
          </cell>
          <cell r="AH683">
            <v>22000</v>
          </cell>
          <cell r="AI683">
            <v>20000</v>
          </cell>
          <cell r="AJ683">
            <v>20000</v>
          </cell>
          <cell r="AK683">
            <v>19000</v>
          </cell>
          <cell r="AL683">
            <v>31500</v>
          </cell>
          <cell r="AM683">
            <v>31500</v>
          </cell>
          <cell r="AN683">
            <v>32000</v>
          </cell>
          <cell r="AO683">
            <v>32500</v>
          </cell>
          <cell r="AP683">
            <v>31500</v>
          </cell>
          <cell r="AQ683">
            <v>31500</v>
          </cell>
          <cell r="AR683">
            <v>28500</v>
          </cell>
          <cell r="AS683">
            <v>28000</v>
          </cell>
          <cell r="AT683">
            <v>33500</v>
          </cell>
          <cell r="AU683">
            <v>37500</v>
          </cell>
          <cell r="AV683">
            <v>38500</v>
          </cell>
          <cell r="AW683">
            <v>39000</v>
          </cell>
          <cell r="AX683">
            <v>62500</v>
          </cell>
          <cell r="AY683">
            <v>-4398</v>
          </cell>
          <cell r="AZ683"/>
          <cell r="BA683"/>
          <cell r="BB683"/>
          <cell r="BC683"/>
          <cell r="BD683"/>
          <cell r="BE683"/>
          <cell r="BF683"/>
          <cell r="BG683"/>
          <cell r="BH683"/>
          <cell r="BI683"/>
          <cell r="BJ683"/>
          <cell r="BK683"/>
          <cell r="BL683"/>
          <cell r="BM683"/>
          <cell r="BN683"/>
          <cell r="BO683"/>
          <cell r="BP683"/>
          <cell r="BQ683"/>
          <cell r="BR683">
            <v>18000</v>
          </cell>
          <cell r="BS683">
            <v>22000</v>
          </cell>
          <cell r="BT683">
            <v>31500</v>
          </cell>
          <cell r="BU683">
            <v>31500</v>
          </cell>
          <cell r="BV683">
            <v>33500</v>
          </cell>
          <cell r="BW683">
            <v>62500</v>
          </cell>
          <cell r="BX683"/>
          <cell r="BY683"/>
          <cell r="BZ683"/>
          <cell r="CA683"/>
          <cell r="CB683"/>
          <cell r="CC683"/>
        </row>
        <row r="749">
          <cell r="BT749">
            <v>921210</v>
          </cell>
          <cell r="BU749">
            <v>299747.44</v>
          </cell>
          <cell r="BV749">
            <v>900011</v>
          </cell>
          <cell r="BW749">
            <v>1509284.96</v>
          </cell>
        </row>
        <row r="774">
          <cell r="BT774"/>
          <cell r="BU774"/>
          <cell r="BV774"/>
          <cell r="BW774"/>
        </row>
        <row r="842">
          <cell r="AA842">
            <v>1355</v>
          </cell>
          <cell r="AB842">
            <v>1502</v>
          </cell>
          <cell r="AC842">
            <v>1416</v>
          </cell>
          <cell r="AD842">
            <v>1468</v>
          </cell>
          <cell r="AE842">
            <v>1597</v>
          </cell>
          <cell r="AF842">
            <v>1704</v>
          </cell>
          <cell r="AG842">
            <v>1698</v>
          </cell>
          <cell r="AH842">
            <v>1863</v>
          </cell>
          <cell r="AI842">
            <v>1972</v>
          </cell>
          <cell r="AJ842">
            <v>1986</v>
          </cell>
          <cell r="AK842">
            <v>1995</v>
          </cell>
          <cell r="AL842">
            <v>2014</v>
          </cell>
          <cell r="AM842">
            <v>2156</v>
          </cell>
          <cell r="AN842">
            <v>1979</v>
          </cell>
          <cell r="AO842">
            <v>2175</v>
          </cell>
          <cell r="AP842">
            <v>2376</v>
          </cell>
          <cell r="AQ842">
            <v>2524</v>
          </cell>
          <cell r="AR842">
            <v>2623</v>
          </cell>
          <cell r="AS842">
            <v>2859</v>
          </cell>
          <cell r="AT842">
            <v>3172</v>
          </cell>
          <cell r="AU842">
            <v>3374</v>
          </cell>
          <cell r="AV842">
            <v>3637</v>
          </cell>
          <cell r="AW842">
            <v>4027</v>
          </cell>
          <cell r="AX842">
            <v>4460</v>
          </cell>
        </row>
        <row r="843">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1341</v>
          </cell>
          <cell r="AQ844">
            <v>0</v>
          </cell>
          <cell r="AR844">
            <v>0</v>
          </cell>
          <cell r="AS844">
            <v>0</v>
          </cell>
          <cell r="AT844">
            <v>-224</v>
          </cell>
          <cell r="AU844">
            <v>0</v>
          </cell>
          <cell r="AV844">
            <v>0</v>
          </cell>
          <cell r="AW844">
            <v>0</v>
          </cell>
          <cell r="AX844">
            <v>0</v>
          </cell>
        </row>
        <row r="845">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AA846">
            <v>1010</v>
          </cell>
          <cell r="AB846">
            <v>1303</v>
          </cell>
          <cell r="AC846">
            <v>1249</v>
          </cell>
          <cell r="AD846">
            <v>1274</v>
          </cell>
          <cell r="AE846">
            <v>1335</v>
          </cell>
          <cell r="AF846">
            <v>1695</v>
          </cell>
          <cell r="AG846">
            <v>1722</v>
          </cell>
          <cell r="AH846">
            <v>1784</v>
          </cell>
          <cell r="AI846">
            <v>1830</v>
          </cell>
          <cell r="AJ846">
            <v>2549</v>
          </cell>
          <cell r="AK846">
            <v>2378</v>
          </cell>
          <cell r="AL846">
            <v>2407</v>
          </cell>
          <cell r="AM846">
            <v>2498</v>
          </cell>
          <cell r="AN846">
            <v>3352</v>
          </cell>
          <cell r="AO846">
            <v>3134</v>
          </cell>
          <cell r="AP846">
            <v>3008</v>
          </cell>
          <cell r="AQ846">
            <v>3051</v>
          </cell>
          <cell r="AR846">
            <v>4060</v>
          </cell>
          <cell r="AS846">
            <v>3492</v>
          </cell>
          <cell r="AT846">
            <v>3424</v>
          </cell>
          <cell r="AU846">
            <v>3562</v>
          </cell>
          <cell r="AV846">
            <v>4616</v>
          </cell>
          <cell r="AW846">
            <v>4250</v>
          </cell>
          <cell r="AX846">
            <v>4262</v>
          </cell>
        </row>
        <row r="847">
          <cell r="AA847">
            <v>183</v>
          </cell>
          <cell r="AB847">
            <v>1</v>
          </cell>
          <cell r="AC847">
            <v>174</v>
          </cell>
          <cell r="AD847">
            <v>-395</v>
          </cell>
          <cell r="AE847">
            <v>477</v>
          </cell>
          <cell r="AF847">
            <v>213</v>
          </cell>
          <cell r="AG847">
            <v>-1506</v>
          </cell>
          <cell r="AH847">
            <v>-376</v>
          </cell>
          <cell r="AI847">
            <v>418</v>
          </cell>
          <cell r="AJ847">
            <v>229</v>
          </cell>
          <cell r="AK847">
            <v>-786</v>
          </cell>
          <cell r="AL847">
            <v>748</v>
          </cell>
          <cell r="AM847">
            <v>-563</v>
          </cell>
          <cell r="AN847">
            <v>-453</v>
          </cell>
          <cell r="AO847">
            <v>-1097</v>
          </cell>
          <cell r="AP847">
            <v>-1173</v>
          </cell>
          <cell r="AQ847">
            <v>-620</v>
          </cell>
          <cell r="AR847">
            <v>-1137</v>
          </cell>
          <cell r="AS847">
            <v>3049</v>
          </cell>
          <cell r="AT847">
            <v>-1161</v>
          </cell>
          <cell r="AU847">
            <v>-456</v>
          </cell>
          <cell r="AV847">
            <v>-1642</v>
          </cell>
          <cell r="AW847">
            <v>-1308</v>
          </cell>
          <cell r="AX847">
            <v>-1332</v>
          </cell>
        </row>
        <row r="848">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463</v>
          </cell>
          <cell r="AQ849">
            <v>0</v>
          </cell>
          <cell r="AR849">
            <v>0</v>
          </cell>
          <cell r="AS849">
            <v>0</v>
          </cell>
          <cell r="AT849">
            <v>0</v>
          </cell>
          <cell r="AU849">
            <v>0</v>
          </cell>
          <cell r="AV849">
            <v>0</v>
          </cell>
          <cell r="AW849">
            <v>0</v>
          </cell>
          <cell r="AX849">
            <v>0</v>
          </cell>
        </row>
        <row r="850">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413</v>
          </cell>
          <cell r="AP851">
            <v>1805</v>
          </cell>
          <cell r="AQ851">
            <v>770</v>
          </cell>
          <cell r="AR851">
            <v>232</v>
          </cell>
          <cell r="AS851">
            <v>340</v>
          </cell>
          <cell r="AT851">
            <v>1090</v>
          </cell>
          <cell r="AU851">
            <v>240</v>
          </cell>
          <cell r="AV851">
            <v>40</v>
          </cell>
          <cell r="AW851">
            <v>8</v>
          </cell>
          <cell r="AX851">
            <v>95</v>
          </cell>
        </row>
        <row r="852">
          <cell r="AA852">
            <v>6</v>
          </cell>
          <cell r="AB852">
            <v>8</v>
          </cell>
          <cell r="AC852">
            <v>30</v>
          </cell>
          <cell r="AD852">
            <v>-5</v>
          </cell>
          <cell r="AE852">
            <v>6</v>
          </cell>
          <cell r="AF852">
            <v>43</v>
          </cell>
          <cell r="AG852">
            <v>7</v>
          </cell>
          <cell r="AH852">
            <v>62</v>
          </cell>
          <cell r="AI852">
            <v>-66</v>
          </cell>
          <cell r="AJ852">
            <v>-22</v>
          </cell>
          <cell r="AK852">
            <v>-73</v>
          </cell>
          <cell r="AL852">
            <v>34</v>
          </cell>
          <cell r="AM852">
            <v>-221</v>
          </cell>
          <cell r="AN852">
            <v>188</v>
          </cell>
          <cell r="AO852">
            <v>104</v>
          </cell>
          <cell r="AP852">
            <v>107</v>
          </cell>
          <cell r="AQ852">
            <v>-7</v>
          </cell>
          <cell r="AR852">
            <v>211</v>
          </cell>
          <cell r="AS852">
            <v>74</v>
          </cell>
          <cell r="AT852">
            <v>357</v>
          </cell>
          <cell r="AU852">
            <v>-66</v>
          </cell>
          <cell r="AV852">
            <v>-5</v>
          </cell>
          <cell r="AW852">
            <v>-11</v>
          </cell>
          <cell r="AX852">
            <v>169</v>
          </cell>
        </row>
        <row r="854">
          <cell r="AA854">
            <v>1070</v>
          </cell>
          <cell r="AB854">
            <v>-1006</v>
          </cell>
          <cell r="AC854">
            <v>-328</v>
          </cell>
          <cell r="AD854">
            <v>-1697</v>
          </cell>
          <cell r="AE854">
            <v>2046</v>
          </cell>
          <cell r="AF854">
            <v>-122</v>
          </cell>
          <cell r="AG854">
            <v>-377</v>
          </cell>
          <cell r="AH854">
            <v>-3059</v>
          </cell>
          <cell r="AI854">
            <v>849</v>
          </cell>
          <cell r="AJ854">
            <v>-1366</v>
          </cell>
          <cell r="AK854">
            <v>-555</v>
          </cell>
          <cell r="AL854">
            <v>-2038</v>
          </cell>
          <cell r="AM854">
            <v>2557</v>
          </cell>
          <cell r="AN854">
            <v>-522</v>
          </cell>
          <cell r="AO854">
            <v>-105</v>
          </cell>
          <cell r="AP854">
            <v>-1699</v>
          </cell>
          <cell r="AQ854">
            <v>2546</v>
          </cell>
          <cell r="AR854">
            <v>-1424</v>
          </cell>
          <cell r="AS854">
            <v>-678</v>
          </cell>
          <cell r="AT854">
            <v>-2843</v>
          </cell>
          <cell r="AU854">
            <v>2520</v>
          </cell>
          <cell r="AV854">
            <v>-1170</v>
          </cell>
          <cell r="AW854">
            <v>143</v>
          </cell>
          <cell r="AX854">
            <v>-2978</v>
          </cell>
        </row>
        <row r="855">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AA856">
            <v>84</v>
          </cell>
          <cell r="AB856">
            <v>-252</v>
          </cell>
          <cell r="AC856">
            <v>-359</v>
          </cell>
          <cell r="AD856">
            <v>574</v>
          </cell>
          <cell r="AE856">
            <v>-29</v>
          </cell>
          <cell r="AF856">
            <v>-324</v>
          </cell>
          <cell r="AG856">
            <v>264</v>
          </cell>
          <cell r="AH856">
            <v>224</v>
          </cell>
          <cell r="AI856">
            <v>-461</v>
          </cell>
          <cell r="AJ856">
            <v>-1852</v>
          </cell>
          <cell r="AK856">
            <v>-253</v>
          </cell>
          <cell r="AL856">
            <v>816</v>
          </cell>
          <cell r="AM856">
            <v>573</v>
          </cell>
          <cell r="AN856">
            <v>-435</v>
          </cell>
          <cell r="AO856">
            <v>-831</v>
          </cell>
          <cell r="AP856">
            <v>855</v>
          </cell>
          <cell r="AQ856">
            <v>821</v>
          </cell>
          <cell r="AR856">
            <v>-54</v>
          </cell>
          <cell r="AS856">
            <v>-908</v>
          </cell>
          <cell r="AT856">
            <v>700</v>
          </cell>
          <cell r="AU856">
            <v>100</v>
          </cell>
          <cell r="AV856">
            <v>-84</v>
          </cell>
          <cell r="AW856">
            <v>-184</v>
          </cell>
          <cell r="AX856">
            <v>-530</v>
          </cell>
        </row>
        <row r="857">
          <cell r="AA857">
            <v>41</v>
          </cell>
          <cell r="AB857">
            <v>24</v>
          </cell>
          <cell r="AC857">
            <v>1</v>
          </cell>
          <cell r="AD857">
            <v>-25</v>
          </cell>
          <cell r="AE857">
            <v>-16</v>
          </cell>
          <cell r="AF857">
            <v>1</v>
          </cell>
          <cell r="AG857">
            <v>7</v>
          </cell>
          <cell r="AH857">
            <v>-26</v>
          </cell>
          <cell r="AI857">
            <v>-10</v>
          </cell>
          <cell r="AJ857">
            <v>-185</v>
          </cell>
          <cell r="AK857">
            <v>11</v>
          </cell>
          <cell r="AL857">
            <v>-165</v>
          </cell>
          <cell r="AM857">
            <v>-108</v>
          </cell>
          <cell r="AN857">
            <v>-24</v>
          </cell>
          <cell r="AO857">
            <v>-28</v>
          </cell>
          <cell r="AP857">
            <v>54</v>
          </cell>
          <cell r="AQ857">
            <v>30</v>
          </cell>
          <cell r="AR857">
            <v>37</v>
          </cell>
          <cell r="AS857">
            <v>-36</v>
          </cell>
          <cell r="AT857">
            <v>-111</v>
          </cell>
          <cell r="AU857">
            <v>-94</v>
          </cell>
          <cell r="AV857">
            <v>53</v>
          </cell>
          <cell r="AW857">
            <v>-29</v>
          </cell>
          <cell r="AX857">
            <v>-200</v>
          </cell>
        </row>
        <row r="858">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AA859">
            <v>-96</v>
          </cell>
          <cell r="AB859">
            <v>9</v>
          </cell>
          <cell r="AC859">
            <v>89</v>
          </cell>
          <cell r="AD859">
            <v>111</v>
          </cell>
          <cell r="AE859">
            <v>-44</v>
          </cell>
          <cell r="AF859">
            <v>-56</v>
          </cell>
          <cell r="AG859">
            <v>139</v>
          </cell>
          <cell r="AH859">
            <v>-56</v>
          </cell>
          <cell r="AI859">
            <v>-250</v>
          </cell>
          <cell r="AJ859">
            <v>116</v>
          </cell>
          <cell r="AK859">
            <v>694</v>
          </cell>
          <cell r="AL859">
            <v>876</v>
          </cell>
          <cell r="AM859">
            <v>-882</v>
          </cell>
          <cell r="AN859">
            <v>237</v>
          </cell>
          <cell r="AO859">
            <v>-21</v>
          </cell>
          <cell r="AP859">
            <v>876</v>
          </cell>
          <cell r="AQ859">
            <v>-1104</v>
          </cell>
          <cell r="AR859">
            <v>-51</v>
          </cell>
          <cell r="AS859">
            <v>612</v>
          </cell>
          <cell r="AT859">
            <v>594</v>
          </cell>
          <cell r="AU859">
            <v>-1112</v>
          </cell>
          <cell r="AV859">
            <v>250</v>
          </cell>
          <cell r="AW859">
            <v>667</v>
          </cell>
          <cell r="AX859">
            <v>568</v>
          </cell>
        </row>
        <row r="860">
          <cell r="AA860">
            <v>-1</v>
          </cell>
          <cell r="AB860">
            <v>21</v>
          </cell>
          <cell r="AC860">
            <v>39</v>
          </cell>
          <cell r="AD860">
            <v>289</v>
          </cell>
          <cell r="AE860">
            <v>-169</v>
          </cell>
          <cell r="AF860">
            <v>11</v>
          </cell>
          <cell r="AG860">
            <v>58</v>
          </cell>
          <cell r="AH860">
            <v>278</v>
          </cell>
          <cell r="AI860">
            <v>-72</v>
          </cell>
          <cell r="AJ860">
            <v>-61</v>
          </cell>
          <cell r="AK860">
            <v>-30</v>
          </cell>
          <cell r="AL860">
            <v>151</v>
          </cell>
          <cell r="AM860">
            <v>-105</v>
          </cell>
          <cell r="AN860">
            <v>72</v>
          </cell>
          <cell r="AO860">
            <v>21</v>
          </cell>
          <cell r="AP860">
            <v>102</v>
          </cell>
          <cell r="AQ860">
            <v>-240</v>
          </cell>
          <cell r="AR860">
            <v>-116</v>
          </cell>
          <cell r="AS860">
            <v>9</v>
          </cell>
          <cell r="AT860">
            <v>76</v>
          </cell>
          <cell r="AU860">
            <v>0</v>
          </cell>
          <cell r="AV860">
            <v>0</v>
          </cell>
          <cell r="AW860">
            <v>0</v>
          </cell>
          <cell r="AX860">
            <v>0</v>
          </cell>
        </row>
        <row r="861">
          <cell r="AA861">
            <v>3154</v>
          </cell>
          <cell r="AB861">
            <v>2828</v>
          </cell>
          <cell r="AC861">
            <v>457</v>
          </cell>
          <cell r="AD861">
            <v>861</v>
          </cell>
          <cell r="AE861">
            <v>980</v>
          </cell>
          <cell r="AF861">
            <v>-3996</v>
          </cell>
          <cell r="AG861">
            <v>-257</v>
          </cell>
          <cell r="AH861">
            <v>2219</v>
          </cell>
          <cell r="AI861">
            <v>-1681</v>
          </cell>
          <cell r="AJ861">
            <v>1481</v>
          </cell>
          <cell r="AK861">
            <v>1095</v>
          </cell>
          <cell r="AL861">
            <v>2462</v>
          </cell>
          <cell r="AM861">
            <v>763</v>
          </cell>
          <cell r="AN861">
            <v>1180</v>
          </cell>
          <cell r="AO861">
            <v>999</v>
          </cell>
          <cell r="AP861">
            <v>1268</v>
          </cell>
          <cell r="AQ861">
            <v>334</v>
          </cell>
          <cell r="AR861">
            <v>5290</v>
          </cell>
          <cell r="AS861">
            <v>78</v>
          </cell>
          <cell r="AT861">
            <v>-350</v>
          </cell>
          <cell r="AU861">
            <v>-1274</v>
          </cell>
          <cell r="AV861">
            <v>-497</v>
          </cell>
          <cell r="AW861">
            <v>572</v>
          </cell>
          <cell r="AX861">
            <v>1522</v>
          </cell>
        </row>
        <row r="862">
          <cell r="AA862">
            <v>-4</v>
          </cell>
          <cell r="AB862">
            <v>55</v>
          </cell>
          <cell r="AC862">
            <v>31</v>
          </cell>
          <cell r="AD862">
            <v>41</v>
          </cell>
          <cell r="AE862">
            <v>-16</v>
          </cell>
          <cell r="AF862">
            <v>15</v>
          </cell>
          <cell r="AG862">
            <v>112</v>
          </cell>
          <cell r="AH862">
            <v>-3</v>
          </cell>
          <cell r="AI862">
            <v>6</v>
          </cell>
          <cell r="AJ862">
            <v>3</v>
          </cell>
          <cell r="AK862">
            <v>78</v>
          </cell>
          <cell r="AL862">
            <v>100</v>
          </cell>
          <cell r="AM862">
            <v>-52</v>
          </cell>
          <cell r="AN862">
            <v>24</v>
          </cell>
          <cell r="AO862">
            <v>-7</v>
          </cell>
          <cell r="AP862">
            <v>35</v>
          </cell>
          <cell r="AQ862">
            <v>0</v>
          </cell>
          <cell r="AR862">
            <v>0</v>
          </cell>
          <cell r="AS862">
            <v>0</v>
          </cell>
          <cell r="AT862">
            <v>0</v>
          </cell>
          <cell r="AU862">
            <v>0</v>
          </cell>
          <cell r="AV862">
            <v>0</v>
          </cell>
          <cell r="AW862">
            <v>0</v>
          </cell>
          <cell r="AX862">
            <v>0</v>
          </cell>
        </row>
        <row r="863">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AA864">
            <v>77</v>
          </cell>
          <cell r="AB864">
            <v>1507</v>
          </cell>
          <cell r="AC864">
            <v>417</v>
          </cell>
          <cell r="AD864">
            <v>-762</v>
          </cell>
          <cell r="AE864">
            <v>-68</v>
          </cell>
          <cell r="AF864">
            <v>-486</v>
          </cell>
          <cell r="AG864">
            <v>116</v>
          </cell>
          <cell r="AH864">
            <v>-89</v>
          </cell>
          <cell r="AI864">
            <v>210</v>
          </cell>
          <cell r="AJ864">
            <v>-26</v>
          </cell>
          <cell r="AK864">
            <v>343</v>
          </cell>
          <cell r="AL864">
            <v>414</v>
          </cell>
          <cell r="AM864">
            <v>-5</v>
          </cell>
          <cell r="AN864">
            <v>-89</v>
          </cell>
          <cell r="AO864">
            <v>540</v>
          </cell>
          <cell r="AP864">
            <v>440</v>
          </cell>
          <cell r="AQ864">
            <v>184</v>
          </cell>
          <cell r="AR864">
            <v>-151</v>
          </cell>
          <cell r="AS864">
            <v>-72</v>
          </cell>
          <cell r="AT864">
            <v>663</v>
          </cell>
          <cell r="AU864">
            <v>83</v>
          </cell>
          <cell r="AV864">
            <v>707</v>
          </cell>
          <cell r="AW864">
            <v>901</v>
          </cell>
          <cell r="AX864">
            <v>1114</v>
          </cell>
        </row>
        <row r="868">
          <cell r="AA868">
            <v>-3837</v>
          </cell>
          <cell r="AB868">
            <v>-3633</v>
          </cell>
          <cell r="AC868">
            <v>-3532</v>
          </cell>
          <cell r="AD868">
            <v>-4100</v>
          </cell>
          <cell r="AE868">
            <v>-3558</v>
          </cell>
          <cell r="AF868">
            <v>-3255</v>
          </cell>
          <cell r="AG868">
            <v>-3689</v>
          </cell>
          <cell r="AH868">
            <v>-4613</v>
          </cell>
          <cell r="AI868">
            <v>-4272</v>
          </cell>
          <cell r="AJ868">
            <v>-4612</v>
          </cell>
          <cell r="AK868">
            <v>-4314</v>
          </cell>
          <cell r="AL868">
            <v>-5369</v>
          </cell>
          <cell r="AM868">
            <v>-5441</v>
          </cell>
          <cell r="AN868">
            <v>-7572</v>
          </cell>
          <cell r="AO868">
            <v>-9375</v>
          </cell>
          <cell r="AP868">
            <v>-9043</v>
          </cell>
          <cell r="AQ868">
            <v>-6842</v>
          </cell>
          <cell r="AR868">
            <v>-6216</v>
          </cell>
          <cell r="AS868">
            <v>-6543</v>
          </cell>
          <cell r="AT868">
            <v>-7665</v>
          </cell>
          <cell r="AU868">
            <v>-6400</v>
          </cell>
          <cell r="AV868">
            <v>-8173</v>
          </cell>
          <cell r="AW868">
            <v>-8258</v>
          </cell>
          <cell r="AX868">
            <v>-14425</v>
          </cell>
        </row>
        <row r="889">
          <cell r="AA889">
            <v>-125</v>
          </cell>
          <cell r="AB889">
            <v>-142</v>
          </cell>
          <cell r="AC889">
            <v>-144</v>
          </cell>
          <cell r="AD889">
            <v>-141</v>
          </cell>
          <cell r="AE889">
            <v>-100</v>
          </cell>
          <cell r="AF889">
            <v>-109</v>
          </cell>
          <cell r="AG889">
            <v>-189</v>
          </cell>
          <cell r="AH889">
            <v>-206</v>
          </cell>
          <cell r="AI889">
            <v>-151</v>
          </cell>
          <cell r="AJ889">
            <v>-123</v>
          </cell>
          <cell r="AK889">
            <v>-231</v>
          </cell>
          <cell r="AL889">
            <v>-172</v>
          </cell>
          <cell r="AM889">
            <v>-233</v>
          </cell>
          <cell r="AN889">
            <v>-219</v>
          </cell>
          <cell r="AO889">
            <v>-163</v>
          </cell>
          <cell r="AP889">
            <v>-235</v>
          </cell>
          <cell r="AQ889">
            <v>-264</v>
          </cell>
          <cell r="AR889">
            <v>-220</v>
          </cell>
          <cell r="AS889">
            <v>-267</v>
          </cell>
          <cell r="AT889">
            <v>-307</v>
          </cell>
          <cell r="AU889">
            <v>-315</v>
          </cell>
          <cell r="AV889">
            <v>-299</v>
          </cell>
          <cell r="AW889">
            <v>-944</v>
          </cell>
          <cell r="AX889">
            <v>-411</v>
          </cell>
        </row>
        <row r="922">
          <cell r="BR922">
            <v>35323</v>
          </cell>
          <cell r="BS922">
            <v>45633</v>
          </cell>
          <cell r="BT922">
            <v>57809</v>
          </cell>
          <cell r="BU922">
            <v>79518</v>
          </cell>
          <cell r="BV922">
            <v>96587</v>
          </cell>
          <cell r="BW922">
            <v>121346</v>
          </cell>
        </row>
        <row r="946">
          <cell r="AX946">
            <v>43889</v>
          </cell>
          <cell r="BW946">
            <v>43889</v>
          </cell>
        </row>
        <row r="947">
          <cell r="AX947">
            <v>33926</v>
          </cell>
          <cell r="BW947">
            <v>33926</v>
          </cell>
        </row>
        <row r="950">
          <cell r="AX950">
            <v>353</v>
          </cell>
        </row>
        <row r="952">
          <cell r="AX952">
            <v>100045</v>
          </cell>
        </row>
        <row r="956">
          <cell r="AX956">
            <v>121346</v>
          </cell>
        </row>
        <row r="957">
          <cell r="AX957">
            <v>14922</v>
          </cell>
        </row>
        <row r="960">
          <cell r="AX960">
            <v>1196</v>
          </cell>
          <cell r="BW960">
            <v>1196</v>
          </cell>
        </row>
        <row r="962">
          <cell r="AX962">
            <v>176009</v>
          </cell>
        </row>
        <row r="963">
          <cell r="AX963">
            <v>276054</v>
          </cell>
        </row>
        <row r="978">
          <cell r="AX978">
            <v>33596</v>
          </cell>
        </row>
        <row r="982">
          <cell r="AX982">
            <v>18292</v>
          </cell>
        </row>
        <row r="983">
          <cell r="AX983">
            <v>28826</v>
          </cell>
          <cell r="BW983">
            <v>28826</v>
          </cell>
        </row>
        <row r="986">
          <cell r="AX986">
            <v>59821</v>
          </cell>
        </row>
        <row r="987">
          <cell r="AX987">
            <v>93417</v>
          </cell>
        </row>
        <row r="994">
          <cell r="AX994">
            <v>182637</v>
          </cell>
        </row>
        <row r="1086">
          <cell r="A1086" t="str">
            <v>Is Latest</v>
          </cell>
          <cell r="B1086"/>
          <cell r="C1086"/>
          <cell r="D1086"/>
          <cell r="E1086"/>
          <cell r="F1086"/>
          <cell r="G1086"/>
          <cell r="H1086"/>
          <cell r="I1086"/>
          <cell r="J1086"/>
          <cell r="K1086"/>
          <cell r="L1086"/>
          <cell r="M1086"/>
          <cell r="N1086"/>
          <cell r="O1086"/>
          <cell r="P1086"/>
          <cell r="Q1086"/>
          <cell r="R1086"/>
          <cell r="S1086"/>
          <cell r="T1086"/>
          <cell r="U1086"/>
          <cell r="V1086"/>
          <cell r="W1086"/>
          <cell r="X1086"/>
          <cell r="Y1086"/>
          <cell r="Z1086"/>
          <cell r="AA1086"/>
          <cell r="AB1086" t="str">
            <v/>
          </cell>
          <cell r="AC1086" t="str">
            <v>FY2019</v>
          </cell>
          <cell r="AD1086" t="str">
            <v/>
          </cell>
          <cell r="AE1086" t="str">
            <v/>
          </cell>
          <cell r="AF1086" t="str">
            <v/>
          </cell>
          <cell r="AG1086" t="str">
            <v>FY2020</v>
          </cell>
          <cell r="AH1086" t="str">
            <v/>
          </cell>
          <cell r="AI1086" t="str">
            <v/>
          </cell>
          <cell r="AJ1086" t="str">
            <v/>
          </cell>
          <cell r="AK1086" t="str">
            <v>FY2021</v>
          </cell>
          <cell r="AL1086" t="str">
            <v/>
          </cell>
          <cell r="AM1086" t="str">
            <v/>
          </cell>
          <cell r="AN1086" t="str">
            <v/>
          </cell>
          <cell r="AO1086" t="str">
            <v>FY2022</v>
          </cell>
          <cell r="AP1086" t="str">
            <v/>
          </cell>
          <cell r="AQ1086" t="str">
            <v/>
          </cell>
          <cell r="AR1086" t="str">
            <v/>
          </cell>
          <cell r="AS1086" t="str">
            <v>FY2023</v>
          </cell>
          <cell r="AT1086" t="str">
            <v/>
          </cell>
          <cell r="AU1086" t="str">
            <v/>
          </cell>
          <cell r="AV1086" t="str">
            <v/>
          </cell>
          <cell r="AW1086" t="str">
            <v>FY2024</v>
          </cell>
          <cell r="AX1086" t="str">
            <v/>
          </cell>
          <cell r="AY1086"/>
          <cell r="AZ1086"/>
          <cell r="BA1086"/>
          <cell r="BB1086"/>
          <cell r="BC1086"/>
          <cell r="BD1086"/>
          <cell r="BE1086"/>
          <cell r="BF1086"/>
          <cell r="BG1086"/>
          <cell r="BH1086"/>
          <cell r="BI1086"/>
          <cell r="BJ1086"/>
          <cell r="BK1086"/>
          <cell r="BL1086"/>
          <cell r="BM1086"/>
          <cell r="BN1086"/>
          <cell r="BO1086"/>
          <cell r="BP1086"/>
          <cell r="BQ1086"/>
          <cell r="BR1086" t="str">
            <v/>
          </cell>
          <cell r="BS1086" t="str">
            <v/>
          </cell>
          <cell r="BT1086" t="str">
            <v/>
          </cell>
          <cell r="BU1086" t="str">
            <v/>
          </cell>
          <cell r="BV1086" t="str">
            <v/>
          </cell>
          <cell r="BW1086" t="str">
            <v>FY2025</v>
          </cell>
          <cell r="BX1086"/>
          <cell r="BY1086"/>
          <cell r="BZ1086"/>
          <cell r="CA1086"/>
          <cell r="CB1086"/>
          <cell r="CC1086"/>
        </row>
      </sheetData>
      <sheetData sheetId="11"/>
      <sheetData sheetId="12"/>
      <sheetData sheetId="13">
        <row r="124">
          <cell r="G124" t="e">
            <v>#REF!</v>
          </cell>
          <cell r="L124" t="str">
            <v>FY2025</v>
          </cell>
          <cell r="M124" t="str">
            <v>FY2026</v>
          </cell>
          <cell r="N124" t="str">
            <v>FY2027</v>
          </cell>
        </row>
        <row r="130">
          <cell r="H130">
            <v>117929</v>
          </cell>
          <cell r="J130">
            <v>134902</v>
          </cell>
          <cell r="K130">
            <v>164501</v>
          </cell>
        </row>
        <row r="133">
          <cell r="H133">
            <v>46753</v>
          </cell>
          <cell r="I133">
            <v>28944</v>
          </cell>
          <cell r="J133">
            <v>46751</v>
          </cell>
          <cell r="K133">
            <v>69380</v>
          </cell>
          <cell r="L133" t="e">
            <v>#REF!</v>
          </cell>
          <cell r="M133" t="e">
            <v>#REF!</v>
          </cell>
          <cell r="N133" t="e">
            <v>#REF!</v>
          </cell>
        </row>
        <row r="137">
          <cell r="H137">
            <v>39370</v>
          </cell>
          <cell r="I137">
            <v>23200</v>
          </cell>
          <cell r="J137">
            <v>39098</v>
          </cell>
          <cell r="K137">
            <v>62360</v>
          </cell>
          <cell r="L137" t="e">
            <v>#REF!</v>
          </cell>
          <cell r="M137" t="e">
            <v>#REF!</v>
          </cell>
          <cell r="N137" t="e">
            <v>#REF!</v>
          </cell>
        </row>
        <row r="141">
          <cell r="K141">
            <v>52103</v>
          </cell>
        </row>
      </sheetData>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Model"/>
      <sheetName val="Stock"/>
      <sheetName val="Historicals"/>
      <sheetName val="Guidance"/>
      <sheetName val="IPO"/>
      <sheetName val="Summary Page"/>
      <sheetName val="Update Log"/>
    </sheetNames>
    <sheetDataSet>
      <sheetData sheetId="0">
        <row r="13">
          <cell r="H13" t="str">
            <v>Initial (Press Release)</v>
          </cell>
        </row>
        <row r="15">
          <cell r="H15" t="str">
            <v>Bloomberg</v>
          </cell>
        </row>
        <row r="18">
          <cell r="H18" t="str">
            <v>OFF</v>
          </cell>
        </row>
        <row r="20">
          <cell r="F20">
            <v>45714</v>
          </cell>
          <cell r="H20">
            <v>23.14</v>
          </cell>
        </row>
      </sheetData>
      <sheetData sheetId="1"/>
      <sheetData sheetId="2">
        <row r="98">
          <cell r="CB98" t="e">
            <v>#VALUE!</v>
          </cell>
        </row>
      </sheetData>
      <sheetData sheetId="3"/>
      <sheetData sheetId="4"/>
      <sheetData sheetId="5">
        <row r="4">
          <cell r="C4" t="str">
            <v>Q4-2021</v>
          </cell>
        </row>
        <row r="5">
          <cell r="C5">
            <v>44518</v>
          </cell>
        </row>
        <row r="14">
          <cell r="D14" t="str">
            <v>No</v>
          </cell>
        </row>
        <row r="42">
          <cell r="C42">
            <v>127.39711320964284</v>
          </cell>
        </row>
        <row r="113">
          <cell r="A113" t="str">
            <v>Valuation Multiples Toggle Table</v>
          </cell>
        </row>
        <row r="114">
          <cell r="A114" t="str">
            <v>Sales, mm</v>
          </cell>
        </row>
        <row r="115">
          <cell r="A115" t="str">
            <v>Gross Profit, mm</v>
          </cell>
        </row>
      </sheetData>
      <sheetData sheetId="6">
        <row r="4">
          <cell r="A4" t="str">
            <v>Stock Price - EoP</v>
          </cell>
          <cell r="B4" t="str">
            <v>EoP</v>
          </cell>
          <cell r="C4"/>
          <cell r="D4"/>
          <cell r="E4"/>
          <cell r="F4"/>
          <cell r="G4"/>
          <cell r="H4"/>
          <cell r="I4"/>
          <cell r="J4"/>
          <cell r="K4"/>
          <cell r="L4"/>
          <cell r="M4"/>
          <cell r="N4"/>
          <cell r="O4"/>
          <cell r="P4"/>
          <cell r="Q4"/>
          <cell r="R4"/>
          <cell r="S4"/>
          <cell r="T4"/>
          <cell r="U4"/>
          <cell r="V4">
            <v>31.36</v>
          </cell>
          <cell r="W4">
            <v>32.4</v>
          </cell>
          <cell r="X4">
            <v>13.33</v>
          </cell>
          <cell r="Y4">
            <v>16.8</v>
          </cell>
          <cell r="Z4">
            <v>8.83</v>
          </cell>
          <cell r="AA4">
            <v>6.49</v>
          </cell>
          <cell r="AB4">
            <v>10.88</v>
          </cell>
          <cell r="AC4">
            <v>11.48</v>
          </cell>
          <cell r="AD4">
            <v>11.3</v>
          </cell>
          <cell r="AE4">
            <v>25.26</v>
          </cell>
          <cell r="AF4">
            <v>30.14</v>
          </cell>
          <cell r="AG4">
            <v>35.950000000000003</v>
          </cell>
          <cell r="AH4">
            <v>32.369999999999997</v>
          </cell>
          <cell r="AI4">
            <v>23.14</v>
          </cell>
          <cell r="AJ4">
            <v>23.14</v>
          </cell>
          <cell r="AK4">
            <v>23.14</v>
          </cell>
          <cell r="AL4">
            <v>23.14</v>
          </cell>
          <cell r="AM4">
            <v>23.14</v>
          </cell>
          <cell r="AN4">
            <v>23.14</v>
          </cell>
          <cell r="AO4">
            <v>23.14</v>
          </cell>
          <cell r="AP4">
            <v>23.14</v>
          </cell>
          <cell r="AQ4"/>
          <cell r="AR4"/>
          <cell r="AS4"/>
          <cell r="AT4"/>
          <cell r="AU4"/>
          <cell r="AV4"/>
          <cell r="AW4"/>
          <cell r="AX4"/>
          <cell r="AY4"/>
          <cell r="AZ4"/>
          <cell r="BA4"/>
          <cell r="BB4"/>
          <cell r="BC4"/>
          <cell r="BD4">
            <v>31.36</v>
          </cell>
          <cell r="BE4">
            <v>8.83</v>
          </cell>
          <cell r="BF4">
            <v>11.3</v>
          </cell>
          <cell r="BG4">
            <v>32.369999999999997</v>
          </cell>
          <cell r="BH4">
            <v>23.14</v>
          </cell>
          <cell r="BI4">
            <v>23.14</v>
          </cell>
          <cell r="BJ4">
            <v>23.14</v>
          </cell>
          <cell r="BK4">
            <v>23.14</v>
          </cell>
          <cell r="BL4">
            <v>23.14</v>
          </cell>
          <cell r="BM4"/>
        </row>
        <row r="5">
          <cell r="A5" t="str">
            <v>Total diluted common stock outstanding - EoP</v>
          </cell>
          <cell r="B5"/>
          <cell r="C5"/>
          <cell r="D5"/>
          <cell r="E5"/>
          <cell r="F5"/>
          <cell r="G5"/>
          <cell r="H5"/>
          <cell r="I5"/>
          <cell r="J5"/>
          <cell r="K5"/>
          <cell r="L5"/>
          <cell r="M5"/>
          <cell r="N5"/>
          <cell r="O5"/>
          <cell r="P5"/>
          <cell r="Q5"/>
          <cell r="R5"/>
          <cell r="S5"/>
          <cell r="T5"/>
          <cell r="U5"/>
          <cell r="V5">
            <v>129.82992365497449</v>
          </cell>
          <cell r="W5">
            <v>130.15944754197531</v>
          </cell>
          <cell r="X5">
            <v>125.76739045311328</v>
          </cell>
          <cell r="Y5">
            <v>127.38429862857143</v>
          </cell>
          <cell r="Z5">
            <v>121.76688466024915</v>
          </cell>
          <cell r="AA5">
            <v>120.389618</v>
          </cell>
          <cell r="AB5">
            <v>124.5844460202206</v>
          </cell>
          <cell r="AC5">
            <v>125.30490346689896</v>
          </cell>
          <cell r="AD5">
            <v>125.05579242831858</v>
          </cell>
          <cell r="AE5">
            <v>130.78555288361045</v>
          </cell>
          <cell r="AF5">
            <v>131.69700005242203</v>
          </cell>
          <cell r="AG5">
            <v>132.52363482280944</v>
          </cell>
          <cell r="AH5">
            <v>134.68375764999999</v>
          </cell>
          <cell r="AI5">
            <v>134.24808027484568</v>
          </cell>
          <cell r="AJ5">
            <v>134.26150508287316</v>
          </cell>
          <cell r="AK5">
            <v>134.27493123338144</v>
          </cell>
          <cell r="AL5">
            <v>134.28835872650478</v>
          </cell>
          <cell r="AM5">
            <v>134.30178756237743</v>
          </cell>
          <cell r="AN5">
            <v>134.31521774113367</v>
          </cell>
          <cell r="AO5">
            <v>134.32864926290779</v>
          </cell>
          <cell r="AP5">
            <v>134.34208212783406</v>
          </cell>
          <cell r="AQ5"/>
          <cell r="AR5"/>
          <cell r="AS5"/>
          <cell r="AT5"/>
          <cell r="AU5"/>
          <cell r="AV5"/>
          <cell r="AW5"/>
          <cell r="AX5"/>
          <cell r="AY5"/>
          <cell r="AZ5"/>
          <cell r="BA5"/>
          <cell r="BB5"/>
          <cell r="BC5"/>
          <cell r="BD5">
            <v>129.82992365497449</v>
          </cell>
          <cell r="BE5">
            <v>121.76688466024915</v>
          </cell>
          <cell r="BF5">
            <v>125.05579242831858</v>
          </cell>
          <cell r="BG5">
            <v>134.68375764999999</v>
          </cell>
          <cell r="BH5">
            <v>134.28835872650478</v>
          </cell>
          <cell r="BI5">
            <v>134.34208212783406</v>
          </cell>
          <cell r="BJ5">
            <v>134.3958189606852</v>
          </cell>
          <cell r="BK5">
            <v>134.44957728826947</v>
          </cell>
          <cell r="BL5">
            <v>134.50335711918478</v>
          </cell>
          <cell r="BM5"/>
        </row>
        <row r="6">
          <cell r="A6" t="str">
            <v>Market Cap - EoP</v>
          </cell>
          <cell r="B6"/>
          <cell r="C6"/>
          <cell r="D6"/>
          <cell r="E6"/>
          <cell r="F6"/>
          <cell r="G6"/>
          <cell r="H6"/>
          <cell r="I6"/>
          <cell r="J6"/>
          <cell r="K6"/>
          <cell r="L6"/>
          <cell r="M6"/>
          <cell r="N6"/>
          <cell r="O6"/>
          <cell r="P6"/>
          <cell r="Q6"/>
          <cell r="R6"/>
          <cell r="S6"/>
          <cell r="T6"/>
          <cell r="U6"/>
          <cell r="V6">
            <v>4071.4664058200001</v>
          </cell>
          <cell r="W6">
            <v>4217.1661003600002</v>
          </cell>
          <cell r="X6">
            <v>1676.4793147400001</v>
          </cell>
          <cell r="Y6">
            <v>2140.0562169600003</v>
          </cell>
          <cell r="Z6">
            <v>1075.2015915499999</v>
          </cell>
          <cell r="AA6">
            <v>781.32862081999997</v>
          </cell>
          <cell r="AB6">
            <v>1355.4787727000003</v>
          </cell>
          <cell r="AC6">
            <v>1438.5002918000002</v>
          </cell>
          <cell r="AD6">
            <v>1413.13045444</v>
          </cell>
          <cell r="AE6">
            <v>3303.64306584</v>
          </cell>
          <cell r="AF6">
            <v>3969.3475815799998</v>
          </cell>
          <cell r="AG6">
            <v>4764.2246718799997</v>
          </cell>
          <cell r="AH6">
            <v>4359.713235130499</v>
          </cell>
          <cell r="AI6">
            <v>3106.5005775599288</v>
          </cell>
          <cell r="AJ6">
            <v>3106.8112276176848</v>
          </cell>
          <cell r="AK6">
            <v>3107.1219087404465</v>
          </cell>
          <cell r="AL6">
            <v>3107.4326209313208</v>
          </cell>
          <cell r="AM6">
            <v>3107.7433641934135</v>
          </cell>
          <cell r="AN6">
            <v>3108.0541385298329</v>
          </cell>
          <cell r="AO6">
            <v>3108.3649439436863</v>
          </cell>
          <cell r="AP6">
            <v>3108.6757804380804</v>
          </cell>
          <cell r="AQ6"/>
          <cell r="AR6"/>
          <cell r="AS6"/>
          <cell r="AT6"/>
          <cell r="AU6"/>
          <cell r="AV6"/>
          <cell r="AW6"/>
          <cell r="AX6"/>
          <cell r="AY6"/>
          <cell r="AZ6"/>
          <cell r="BA6"/>
          <cell r="BB6"/>
          <cell r="BC6"/>
          <cell r="BD6">
            <v>4071.4664058200001</v>
          </cell>
          <cell r="BE6">
            <v>1075.2015915499999</v>
          </cell>
          <cell r="BF6">
            <v>1413.13045444</v>
          </cell>
          <cell r="BG6">
            <v>4359.713235130499</v>
          </cell>
          <cell r="BH6">
            <v>3107.4326209313208</v>
          </cell>
          <cell r="BI6">
            <v>3108.6757804380804</v>
          </cell>
          <cell r="BJ6">
            <v>3109.9192507502557</v>
          </cell>
          <cell r="BK6">
            <v>3111.1632184505556</v>
          </cell>
          <cell r="BL6">
            <v>3112.4076837379362</v>
          </cell>
          <cell r="BM6"/>
        </row>
        <row r="7">
          <cell r="A7" t="str">
            <v>Cash</v>
          </cell>
          <cell r="B7"/>
          <cell r="C7"/>
          <cell r="D7"/>
          <cell r="E7"/>
          <cell r="F7"/>
          <cell r="G7"/>
          <cell r="H7"/>
          <cell r="I7"/>
          <cell r="J7"/>
          <cell r="K7"/>
          <cell r="L7"/>
          <cell r="M7"/>
          <cell r="N7"/>
          <cell r="O7"/>
          <cell r="P7"/>
          <cell r="Q7"/>
          <cell r="R7"/>
          <cell r="S7"/>
          <cell r="T7"/>
          <cell r="U7"/>
          <cell r="V7">
            <v>472.29899999999998</v>
          </cell>
          <cell r="W7">
            <v>436.79</v>
          </cell>
          <cell r="X7">
            <v>407.19499999999999</v>
          </cell>
          <cell r="Y7">
            <v>381.20100000000002</v>
          </cell>
          <cell r="Z7">
            <v>331.73899999999998</v>
          </cell>
          <cell r="AA7">
            <v>296.95299999999997</v>
          </cell>
          <cell r="AB7">
            <v>280.45800000000003</v>
          </cell>
          <cell r="AC7">
            <v>274.86799999999999</v>
          </cell>
          <cell r="AD7">
            <v>257.35500000000002</v>
          </cell>
          <cell r="AE7">
            <v>243.881</v>
          </cell>
          <cell r="AF7">
            <v>245.15799999999999</v>
          </cell>
          <cell r="AG7">
            <v>237.26299999999998</v>
          </cell>
          <cell r="AH7">
            <v>217.42899999999997</v>
          </cell>
          <cell r="AI7">
            <v>197.85286905538754</v>
          </cell>
          <cell r="AJ7">
            <v>187.59727171985099</v>
          </cell>
          <cell r="AK7">
            <v>175.61960279880134</v>
          </cell>
          <cell r="AL7">
            <v>159.22772634417538</v>
          </cell>
          <cell r="AM7">
            <v>146.44340226494805</v>
          </cell>
          <cell r="AN7">
            <v>145.5834018420351</v>
          </cell>
          <cell r="AO7">
            <v>141.54782107182359</v>
          </cell>
          <cell r="AP7">
            <v>131.41123178706678</v>
          </cell>
          <cell r="AQ7"/>
          <cell r="AR7"/>
          <cell r="AS7"/>
          <cell r="AT7"/>
          <cell r="AU7"/>
          <cell r="AV7"/>
          <cell r="AW7"/>
          <cell r="AX7"/>
          <cell r="AY7"/>
          <cell r="AZ7"/>
          <cell r="BA7"/>
          <cell r="BB7"/>
          <cell r="BC7"/>
          <cell r="BD7">
            <v>472.29899999999998</v>
          </cell>
          <cell r="BE7">
            <v>331.73899999999998</v>
          </cell>
          <cell r="BF7">
            <v>257.35500000000002</v>
          </cell>
          <cell r="BG7">
            <v>217.42899999999997</v>
          </cell>
          <cell r="BH7">
            <v>159.22772634417538</v>
          </cell>
          <cell r="BI7">
            <v>131.41123178706678</v>
          </cell>
          <cell r="BJ7">
            <v>129.05762305891781</v>
          </cell>
          <cell r="BK7">
            <v>163.02207343348815</v>
          </cell>
          <cell r="BL7">
            <v>231.9813242578937</v>
          </cell>
          <cell r="BM7"/>
        </row>
        <row r="8">
          <cell r="A8" t="str">
            <v>Debt</v>
          </cell>
          <cell r="B8"/>
          <cell r="C8"/>
          <cell r="D8"/>
          <cell r="E8"/>
          <cell r="F8"/>
          <cell r="G8"/>
          <cell r="H8"/>
          <cell r="I8"/>
          <cell r="J8"/>
          <cell r="K8"/>
          <cell r="L8"/>
          <cell r="M8"/>
          <cell r="N8"/>
          <cell r="O8"/>
          <cell r="P8"/>
          <cell r="Q8"/>
          <cell r="R8"/>
          <cell r="S8"/>
          <cell r="T8"/>
          <cell r="U8"/>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cell r="AR8"/>
          <cell r="AS8"/>
          <cell r="AT8"/>
          <cell r="AU8"/>
          <cell r="AV8"/>
          <cell r="AW8"/>
          <cell r="AX8"/>
          <cell r="AY8"/>
          <cell r="AZ8"/>
          <cell r="BA8"/>
          <cell r="BB8"/>
          <cell r="BC8"/>
          <cell r="BD8">
            <v>0</v>
          </cell>
          <cell r="BE8">
            <v>0</v>
          </cell>
          <cell r="BF8">
            <v>0</v>
          </cell>
          <cell r="BG8">
            <v>0</v>
          </cell>
          <cell r="BH8">
            <v>0</v>
          </cell>
          <cell r="BI8">
            <v>0</v>
          </cell>
          <cell r="BJ8">
            <v>0</v>
          </cell>
          <cell r="BK8">
            <v>0</v>
          </cell>
          <cell r="BL8">
            <v>0</v>
          </cell>
          <cell r="BM8"/>
        </row>
        <row r="9">
          <cell r="A9" t="str">
            <v>Operating Lease Liabilities</v>
          </cell>
          <cell r="B9"/>
          <cell r="C9"/>
          <cell r="D9"/>
          <cell r="E9"/>
          <cell r="F9"/>
          <cell r="G9"/>
          <cell r="H9"/>
          <cell r="I9"/>
          <cell r="J9"/>
          <cell r="K9"/>
          <cell r="L9"/>
          <cell r="M9"/>
          <cell r="N9"/>
          <cell r="O9"/>
          <cell r="P9"/>
          <cell r="Q9"/>
          <cell r="R9"/>
          <cell r="S9"/>
          <cell r="T9"/>
          <cell r="U9"/>
          <cell r="V9">
            <v>0</v>
          </cell>
          <cell r="W9">
            <v>0</v>
          </cell>
          <cell r="X9">
            <v>0</v>
          </cell>
          <cell r="Y9">
            <v>0</v>
          </cell>
          <cell r="Z9">
            <v>300.73899999999998</v>
          </cell>
          <cell r="AA9">
            <v>303.42100000000005</v>
          </cell>
          <cell r="AB9">
            <v>302.98199999999997</v>
          </cell>
          <cell r="AC9">
            <v>302.59100000000001</v>
          </cell>
          <cell r="AD9">
            <v>302.86500000000001</v>
          </cell>
          <cell r="AE9">
            <v>304.40100000000001</v>
          </cell>
          <cell r="AF9">
            <v>310.91300000000001</v>
          </cell>
          <cell r="AG9">
            <v>314.46499999999997</v>
          </cell>
          <cell r="AH9">
            <v>330.714</v>
          </cell>
          <cell r="AI9">
            <v>330.714</v>
          </cell>
          <cell r="AJ9">
            <v>330.714</v>
          </cell>
          <cell r="AK9">
            <v>330.714</v>
          </cell>
          <cell r="AL9">
            <v>330.714</v>
          </cell>
          <cell r="AM9">
            <v>330.714</v>
          </cell>
          <cell r="AN9">
            <v>330.714</v>
          </cell>
          <cell r="AO9">
            <v>330.714</v>
          </cell>
          <cell r="AP9">
            <v>330.714</v>
          </cell>
          <cell r="AQ9"/>
          <cell r="AR9"/>
          <cell r="AS9"/>
          <cell r="AT9"/>
          <cell r="AU9"/>
          <cell r="AV9"/>
          <cell r="AW9"/>
          <cell r="AX9"/>
          <cell r="AY9"/>
          <cell r="AZ9"/>
          <cell r="BA9"/>
          <cell r="BB9"/>
          <cell r="BC9"/>
          <cell r="BD9">
            <v>0</v>
          </cell>
          <cell r="BE9">
            <v>300.73899999999998</v>
          </cell>
          <cell r="BF9">
            <v>302.86500000000001</v>
          </cell>
          <cell r="BG9">
            <v>330.714</v>
          </cell>
          <cell r="BH9">
            <v>330.714</v>
          </cell>
          <cell r="BI9">
            <v>330.714</v>
          </cell>
          <cell r="BJ9">
            <v>330.714</v>
          </cell>
          <cell r="BK9">
            <v>330.714</v>
          </cell>
          <cell r="BL9">
            <v>330.714</v>
          </cell>
          <cell r="BM9"/>
        </row>
        <row r="10">
          <cell r="A10" t="str">
            <v>Other EV Components</v>
          </cell>
          <cell r="B10"/>
          <cell r="C10"/>
          <cell r="D10"/>
          <cell r="E10"/>
          <cell r="F10"/>
          <cell r="G10"/>
          <cell r="H10"/>
          <cell r="I10"/>
          <cell r="J10"/>
          <cell r="K10"/>
          <cell r="L10"/>
          <cell r="M10"/>
          <cell r="N10"/>
          <cell r="O10"/>
          <cell r="P10"/>
          <cell r="Q10"/>
          <cell r="R10"/>
          <cell r="S10"/>
          <cell r="T10"/>
          <cell r="U10"/>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cell r="AR10"/>
          <cell r="AS10"/>
          <cell r="AT10"/>
          <cell r="AU10"/>
          <cell r="AV10"/>
          <cell r="AW10"/>
          <cell r="AX10"/>
          <cell r="AY10"/>
          <cell r="AZ10"/>
          <cell r="BA10"/>
          <cell r="BB10"/>
          <cell r="BC10"/>
          <cell r="BD10">
            <v>0</v>
          </cell>
          <cell r="BE10">
            <v>0</v>
          </cell>
          <cell r="BF10">
            <v>0</v>
          </cell>
          <cell r="BG10">
            <v>0</v>
          </cell>
          <cell r="BH10">
            <v>0</v>
          </cell>
          <cell r="BI10">
            <v>0</v>
          </cell>
          <cell r="BJ10">
            <v>0</v>
          </cell>
          <cell r="BK10">
            <v>0</v>
          </cell>
          <cell r="BL10">
            <v>0</v>
          </cell>
          <cell r="BM10"/>
        </row>
        <row r="11">
          <cell r="A11" t="str">
            <v>Enterprise Value - EoP</v>
          </cell>
          <cell r="B11"/>
          <cell r="C11"/>
          <cell r="D11"/>
          <cell r="E11"/>
          <cell r="F11"/>
          <cell r="G11"/>
          <cell r="H11"/>
          <cell r="I11"/>
          <cell r="J11"/>
          <cell r="K11"/>
          <cell r="L11"/>
          <cell r="M11"/>
          <cell r="N11"/>
          <cell r="O11"/>
          <cell r="P11"/>
          <cell r="Q11"/>
          <cell r="R11"/>
          <cell r="S11"/>
          <cell r="T11"/>
          <cell r="U11"/>
          <cell r="V11">
            <v>3599.1674058200001</v>
          </cell>
          <cell r="W11">
            <v>3780.3761003600002</v>
          </cell>
          <cell r="X11">
            <v>1269.2843147400001</v>
          </cell>
          <cell r="Y11">
            <v>1758.8552169600002</v>
          </cell>
          <cell r="Z11">
            <v>1044.2015915499999</v>
          </cell>
          <cell r="AA11">
            <v>787.79662082000004</v>
          </cell>
          <cell r="AB11">
            <v>1378.0027727000002</v>
          </cell>
          <cell r="AC11">
            <v>1466.2232918000004</v>
          </cell>
          <cell r="AD11">
            <v>1458.64045444</v>
          </cell>
          <cell r="AE11">
            <v>3364.1630658399999</v>
          </cell>
          <cell r="AF11">
            <v>4035.1025815799999</v>
          </cell>
          <cell r="AG11">
            <v>4841.42667188</v>
          </cell>
          <cell r="AH11">
            <v>4472.9982351304989</v>
          </cell>
          <cell r="AI11">
            <v>3239.3617085045412</v>
          </cell>
          <cell r="AJ11">
            <v>3249.9279558978337</v>
          </cell>
          <cell r="AK11">
            <v>3262.2163059416453</v>
          </cell>
          <cell r="AL11">
            <v>3278.9188945871456</v>
          </cell>
          <cell r="AM11">
            <v>3292.0139619284655</v>
          </cell>
          <cell r="AN11">
            <v>3293.1847366877978</v>
          </cell>
          <cell r="AO11">
            <v>3297.5311228718629</v>
          </cell>
          <cell r="AP11">
            <v>3307.9785486510136</v>
          </cell>
          <cell r="AQ11"/>
          <cell r="AR11"/>
          <cell r="AS11"/>
          <cell r="AT11"/>
          <cell r="AU11"/>
          <cell r="AV11"/>
          <cell r="AW11"/>
          <cell r="AX11"/>
          <cell r="AY11"/>
          <cell r="AZ11"/>
          <cell r="BA11"/>
          <cell r="BB11"/>
          <cell r="BC11"/>
          <cell r="BD11">
            <v>3599.1674058200001</v>
          </cell>
          <cell r="BE11">
            <v>1044.2015915499999</v>
          </cell>
          <cell r="BF11">
            <v>1458.64045444</v>
          </cell>
          <cell r="BG11">
            <v>4472.9982351304989</v>
          </cell>
          <cell r="BH11">
            <v>3278.9188945871456</v>
          </cell>
          <cell r="BI11">
            <v>3307.9785486510136</v>
          </cell>
          <cell r="BJ11">
            <v>3311.575627691338</v>
          </cell>
          <cell r="BK11">
            <v>3278.8551450170676</v>
          </cell>
          <cell r="BL11">
            <v>3211.1403594800422</v>
          </cell>
          <cell r="BM11"/>
        </row>
        <row r="32">
          <cell r="A32" t="str">
            <v>Net Revenue</v>
          </cell>
          <cell r="B32"/>
          <cell r="C32"/>
          <cell r="D32"/>
          <cell r="E32"/>
          <cell r="F32"/>
          <cell r="G32"/>
          <cell r="H32"/>
          <cell r="I32"/>
          <cell r="J32"/>
          <cell r="K32">
            <v>59.228000000000002</v>
          </cell>
          <cell r="L32">
            <v>71.539000000000001</v>
          </cell>
          <cell r="M32">
            <v>74.064999999999998</v>
          </cell>
          <cell r="N32">
            <v>69.319000000000017</v>
          </cell>
          <cell r="O32">
            <v>72.968999999999994</v>
          </cell>
          <cell r="P32">
            <v>105.886</v>
          </cell>
          <cell r="Q32">
            <v>55.548999999999999</v>
          </cell>
          <cell r="R32">
            <v>59.180000000000007</v>
          </cell>
          <cell r="S32">
            <v>61.392000000000003</v>
          </cell>
          <cell r="T32">
            <v>86.212000000000003</v>
          </cell>
          <cell r="U32">
            <v>95.843999999999994</v>
          </cell>
          <cell r="V32">
            <v>96.426000000000016</v>
          </cell>
          <cell r="W32">
            <v>102.59099999999999</v>
          </cell>
          <cell r="X32">
            <v>124.91800000000001</v>
          </cell>
          <cell r="Y32">
            <v>124.026</v>
          </cell>
          <cell r="Z32">
            <v>118.57</v>
          </cell>
          <cell r="AA32">
            <v>125.062</v>
          </cell>
          <cell r="AB32">
            <v>152.52500000000001</v>
          </cell>
          <cell r="AC32">
            <v>153.428</v>
          </cell>
          <cell r="AD32">
            <v>153.02600000000007</v>
          </cell>
          <cell r="AE32">
            <v>157.85</v>
          </cell>
          <cell r="AF32">
            <v>184.64099999999999</v>
          </cell>
          <cell r="AG32">
            <v>173.43100000000001</v>
          </cell>
          <cell r="AH32">
            <v>160.904</v>
          </cell>
          <cell r="AI32">
            <v>165.62411249999997</v>
          </cell>
          <cell r="AJ32">
            <v>210.61017208788209</v>
          </cell>
          <cell r="AK32">
            <v>202.04442254871515</v>
          </cell>
          <cell r="AL32">
            <v>190.35811146887966</v>
          </cell>
          <cell r="AM32">
            <v>202.9803478138204</v>
          </cell>
          <cell r="AN32">
            <v>258.58474706724957</v>
          </cell>
          <cell r="AO32">
            <v>245.67131682580595</v>
          </cell>
          <cell r="AP32">
            <v>229.03446069176834</v>
          </cell>
          <cell r="AQ32"/>
          <cell r="AR32"/>
          <cell r="AS32"/>
          <cell r="AT32"/>
          <cell r="AU32"/>
          <cell r="AV32"/>
          <cell r="AW32">
            <v>42.106999999999999</v>
          </cell>
          <cell r="AX32">
            <v>62.283999999999999</v>
          </cell>
          <cell r="AY32">
            <v>113.208</v>
          </cell>
          <cell r="AZ32">
            <v>170.5</v>
          </cell>
          <cell r="BA32">
            <v>220.494</v>
          </cell>
          <cell r="BB32">
            <v>274.15100000000001</v>
          </cell>
          <cell r="BC32">
            <v>220.61500000000001</v>
          </cell>
          <cell r="BD32">
            <v>339.87400000000002</v>
          </cell>
          <cell r="BE32">
            <v>470.10500000000002</v>
          </cell>
          <cell r="BF32">
            <v>584.04100000000005</v>
          </cell>
          <cell r="BG32">
            <v>676.82600000000002</v>
          </cell>
          <cell r="BH32">
            <v>768.63681860547683</v>
          </cell>
          <cell r="BI32">
            <v>936.27087239864431</v>
          </cell>
          <cell r="BJ32">
            <v>1113.2018100359062</v>
          </cell>
          <cell r="BK32">
            <v>1333.4156629829786</v>
          </cell>
          <cell r="BL32">
            <v>1523.2247393796254</v>
          </cell>
          <cell r="BM32"/>
        </row>
        <row r="33">
          <cell r="A33" t="str">
            <v>Restaurant-level operating expenses</v>
          </cell>
          <cell r="B33"/>
          <cell r="C33"/>
          <cell r="D33"/>
          <cell r="E33"/>
          <cell r="F33"/>
          <cell r="G33"/>
          <cell r="H33"/>
          <cell r="I33"/>
          <cell r="J33"/>
          <cell r="K33"/>
          <cell r="L33"/>
          <cell r="M33"/>
          <cell r="N33"/>
          <cell r="O33"/>
          <cell r="P33">
            <v>107.52399999999999</v>
          </cell>
          <cell r="Q33">
            <v>60.254999999999995</v>
          </cell>
          <cell r="R33">
            <v>61.537999999999997</v>
          </cell>
          <cell r="S33">
            <v>59.29</v>
          </cell>
          <cell r="T33">
            <v>73.376999999999995</v>
          </cell>
          <cell r="U33">
            <v>82.71</v>
          </cell>
          <cell r="V33">
            <v>84.080999999999989</v>
          </cell>
          <cell r="W33">
            <v>89.199999999999989</v>
          </cell>
          <cell r="X33">
            <v>101.77500000000001</v>
          </cell>
          <cell r="Y33">
            <v>104.09699999999999</v>
          </cell>
          <cell r="Z33">
            <v>105.747</v>
          </cell>
          <cell r="AA33">
            <v>108.125</v>
          </cell>
          <cell r="AB33">
            <v>121.43599999999999</v>
          </cell>
          <cell r="AC33">
            <v>124.315</v>
          </cell>
          <cell r="AD33">
            <v>128.245</v>
          </cell>
          <cell r="AE33">
            <v>129.31300000000002</v>
          </cell>
          <cell r="AF33">
            <v>143.12200000000001</v>
          </cell>
          <cell r="AG33">
            <v>138.49</v>
          </cell>
          <cell r="AH33">
            <v>132.95199999999997</v>
          </cell>
          <cell r="AI33">
            <v>138.33165104999998</v>
          </cell>
          <cell r="AJ33">
            <v>160.72433411944323</v>
          </cell>
          <cell r="AK33">
            <v>158.91416692406204</v>
          </cell>
          <cell r="AL33">
            <v>155.00509034702071</v>
          </cell>
          <cell r="AM33">
            <v>165.47251140474444</v>
          </cell>
          <cell r="AN33">
            <v>192.16379400401365</v>
          </cell>
          <cell r="AO33">
            <v>188.3146378586097</v>
          </cell>
          <cell r="AP33">
            <v>181.91783715924547</v>
          </cell>
          <cell r="AQ33"/>
          <cell r="AR33"/>
          <cell r="AS33"/>
          <cell r="AT33"/>
          <cell r="AU33"/>
          <cell r="AV33"/>
          <cell r="AW33">
            <v>34.116</v>
          </cell>
          <cell r="AX33">
            <v>51.024000000000001</v>
          </cell>
          <cell r="AY33">
            <v>96.388000000000005</v>
          </cell>
          <cell r="AZ33">
            <v>146.339</v>
          </cell>
          <cell r="BA33">
            <v>180.41200000000001</v>
          </cell>
          <cell r="BB33">
            <v>230.17599999999999</v>
          </cell>
          <cell r="BC33">
            <v>229.31700000000001</v>
          </cell>
          <cell r="BD33">
            <v>299.46899999999999</v>
          </cell>
          <cell r="BE33">
            <v>400.81900000000002</v>
          </cell>
          <cell r="BF33">
            <v>482.12099999999998</v>
          </cell>
          <cell r="BG33">
            <v>543.87699999999995</v>
          </cell>
          <cell r="BH33">
            <v>612.97524244052602</v>
          </cell>
          <cell r="BI33">
            <v>727.86878042661317</v>
          </cell>
          <cell r="BJ33">
            <v>852.05870031788004</v>
          </cell>
          <cell r="BK33">
            <v>1004.6121717983507</v>
          </cell>
          <cell r="BL33">
            <v>1129.3380261392513</v>
          </cell>
          <cell r="BM33"/>
        </row>
        <row r="34">
          <cell r="A34" t="str">
            <v>G&amp;A</v>
          </cell>
          <cell r="B34"/>
          <cell r="C34"/>
          <cell r="D34"/>
          <cell r="E34"/>
          <cell r="F34"/>
          <cell r="G34"/>
          <cell r="H34"/>
          <cell r="I34"/>
          <cell r="J34"/>
          <cell r="K34"/>
          <cell r="L34"/>
          <cell r="M34"/>
          <cell r="N34"/>
          <cell r="O34"/>
          <cell r="P34">
            <v>48.833000000000006</v>
          </cell>
          <cell r="Q34">
            <v>23.335000000000001</v>
          </cell>
          <cell r="R34">
            <v>26.97399999999999</v>
          </cell>
          <cell r="S34">
            <v>23.38</v>
          </cell>
          <cell r="T34">
            <v>26.081</v>
          </cell>
          <cell r="U34">
            <v>28.943999999999999</v>
          </cell>
          <cell r="V34">
            <v>46.64500000000001</v>
          </cell>
          <cell r="W34">
            <v>50.198999999999998</v>
          </cell>
          <cell r="X34">
            <v>51.798000000000002</v>
          </cell>
          <cell r="Y34">
            <v>41.902999999999999</v>
          </cell>
          <cell r="Z34">
            <v>43.466999999999985</v>
          </cell>
          <cell r="AA34">
            <v>34.906999999999996</v>
          </cell>
          <cell r="AB34">
            <v>40.35</v>
          </cell>
          <cell r="AC34">
            <v>35.963000000000001</v>
          </cell>
          <cell r="AD34">
            <v>35.542000000000002</v>
          </cell>
          <cell r="AE34">
            <v>36.865000000000002</v>
          </cell>
          <cell r="AF34">
            <v>39.201999999999998</v>
          </cell>
          <cell r="AG34">
            <v>36.777000000000001</v>
          </cell>
          <cell r="AH34">
            <v>37.097999999999999</v>
          </cell>
          <cell r="AI34">
            <v>38.424794099999993</v>
          </cell>
          <cell r="AJ34">
            <v>43.175085278015828</v>
          </cell>
          <cell r="AK34">
            <v>41.419106622486602</v>
          </cell>
          <cell r="AL34">
            <v>39.023412851120327</v>
          </cell>
          <cell r="AM34">
            <v>46.888460344992517</v>
          </cell>
          <cell r="AN34">
            <v>53.009873148786156</v>
          </cell>
          <cell r="AO34">
            <v>50.362619949290213</v>
          </cell>
          <cell r="AP34">
            <v>46.95206444181251</v>
          </cell>
          <cell r="AQ34"/>
          <cell r="AR34"/>
          <cell r="AS34"/>
          <cell r="AT34"/>
          <cell r="AU34"/>
          <cell r="AV34"/>
          <cell r="AW34">
            <v>9.1790000000000003</v>
          </cell>
          <cell r="AX34">
            <v>17.616</v>
          </cell>
          <cell r="AY34">
            <v>24.978999999999999</v>
          </cell>
          <cell r="AZ34">
            <v>39.072000000000003</v>
          </cell>
          <cell r="BA34">
            <v>49.585000000000001</v>
          </cell>
          <cell r="BB34">
            <v>88.817999999999998</v>
          </cell>
          <cell r="BC34">
            <v>99.141999999999996</v>
          </cell>
          <cell r="BD34">
            <v>125.04</v>
          </cell>
          <cell r="BE34">
            <v>187.36699999999999</v>
          </cell>
          <cell r="BF34">
            <v>146.762</v>
          </cell>
          <cell r="BG34">
            <v>149.94200000000001</v>
          </cell>
          <cell r="BH34">
            <v>162.04239885162275</v>
          </cell>
          <cell r="BI34">
            <v>197.21301788488137</v>
          </cell>
          <cell r="BJ34">
            <v>233.7723801075403</v>
          </cell>
          <cell r="BK34">
            <v>280.01728922642548</v>
          </cell>
          <cell r="BL34">
            <v>319.87719526972131</v>
          </cell>
          <cell r="BM34"/>
        </row>
        <row r="35">
          <cell r="A35" t="str">
            <v>D&amp;A</v>
          </cell>
          <cell r="B35"/>
          <cell r="C35"/>
          <cell r="D35"/>
          <cell r="E35"/>
          <cell r="F35"/>
          <cell r="G35"/>
          <cell r="H35"/>
          <cell r="I35"/>
          <cell r="J35"/>
          <cell r="K35"/>
          <cell r="L35"/>
          <cell r="M35"/>
          <cell r="N35"/>
          <cell r="O35"/>
          <cell r="P35">
            <v>12.207000000000001</v>
          </cell>
          <cell r="Q35">
            <v>6.6239999999999997</v>
          </cell>
          <cell r="R35">
            <v>8.02</v>
          </cell>
          <cell r="S35">
            <v>7.8470000000000004</v>
          </cell>
          <cell r="T35">
            <v>8.4079999999999995</v>
          </cell>
          <cell r="U35">
            <v>9.3030000000000008</v>
          </cell>
          <cell r="V35">
            <v>9.9909999999999997</v>
          </cell>
          <cell r="W35">
            <v>10.677</v>
          </cell>
          <cell r="X35">
            <v>11.305</v>
          </cell>
          <cell r="Y35">
            <v>11.887</v>
          </cell>
          <cell r="Z35">
            <v>12.601999999999997</v>
          </cell>
          <cell r="AA35">
            <v>13.11</v>
          </cell>
          <cell r="AB35">
            <v>14.518000000000001</v>
          </cell>
          <cell r="AC35">
            <v>15.682</v>
          </cell>
          <cell r="AD35">
            <v>16.180999999999997</v>
          </cell>
          <cell r="AE35">
            <v>16.427</v>
          </cell>
          <cell r="AF35">
            <v>16.736999999999998</v>
          </cell>
          <cell r="AG35">
            <v>16.905000000000001</v>
          </cell>
          <cell r="AH35">
            <v>17.277000000000001</v>
          </cell>
          <cell r="AI35">
            <v>16.62725</v>
          </cell>
          <cell r="AJ35">
            <v>17.025812500000001</v>
          </cell>
          <cell r="AK35">
            <v>17.405952500000001</v>
          </cell>
          <cell r="AL35">
            <v>17.768478203125003</v>
          </cell>
          <cell r="AM35">
            <v>18.114165871484378</v>
          </cell>
          <cell r="AN35">
            <v>18.44376078803711</v>
          </cell>
          <cell r="AO35">
            <v>18.757978218002687</v>
          </cell>
          <cell r="AP35">
            <v>19.057504366267427</v>
          </cell>
          <cell r="AQ35"/>
          <cell r="AR35"/>
          <cell r="AS35"/>
          <cell r="AT35"/>
          <cell r="AU35"/>
          <cell r="AV35"/>
          <cell r="AW35">
            <v>2.5</v>
          </cell>
          <cell r="AX35">
            <v>4.1230000000000002</v>
          </cell>
          <cell r="AY35">
            <v>6.6349999999999998</v>
          </cell>
          <cell r="AZ35">
            <v>12.194000000000001</v>
          </cell>
          <cell r="BA35">
            <v>16.774999999999999</v>
          </cell>
          <cell r="BB35">
            <v>19.416</v>
          </cell>
          <cell r="BC35">
            <v>26.850999999999999</v>
          </cell>
          <cell r="BD35">
            <v>35.548999999999999</v>
          </cell>
          <cell r="BE35">
            <v>46.470999999999997</v>
          </cell>
          <cell r="BF35">
            <v>59.491</v>
          </cell>
          <cell r="BG35">
            <v>67.346000000000004</v>
          </cell>
          <cell r="BH35">
            <v>68.827493203125002</v>
          </cell>
          <cell r="BI35">
            <v>74.373409243791599</v>
          </cell>
          <cell r="BJ35">
            <v>77.371989310726264</v>
          </cell>
          <cell r="BK35">
            <v>81.725440508548118</v>
          </cell>
          <cell r="BL35">
            <v>85.259846748815505</v>
          </cell>
          <cell r="BM35"/>
        </row>
        <row r="36">
          <cell r="A36" t="str">
            <v>Other</v>
          </cell>
          <cell r="B36"/>
          <cell r="C36"/>
          <cell r="D36"/>
          <cell r="E36"/>
          <cell r="F36"/>
          <cell r="G36"/>
          <cell r="H36"/>
          <cell r="I36"/>
          <cell r="J36"/>
          <cell r="K36"/>
          <cell r="L36"/>
          <cell r="M36"/>
          <cell r="N36"/>
          <cell r="O36"/>
          <cell r="P36">
            <v>1.996</v>
          </cell>
          <cell r="Q36">
            <v>2.1819999999999999</v>
          </cell>
          <cell r="R36">
            <v>2.72</v>
          </cell>
          <cell r="S36">
            <v>1.012</v>
          </cell>
          <cell r="T36">
            <v>2.5109999999999997</v>
          </cell>
          <cell r="U36">
            <v>7.2040000000000006</v>
          </cell>
          <cell r="V36">
            <v>3.4879999999999995</v>
          </cell>
          <cell r="W36">
            <v>2.5369999999999999</v>
          </cell>
          <cell r="X36">
            <v>2.7130000000000001</v>
          </cell>
          <cell r="Y36">
            <v>19.07</v>
          </cell>
          <cell r="Z36">
            <v>4.4649999999999999</v>
          </cell>
          <cell r="AA36">
            <v>4.242</v>
          </cell>
          <cell r="AB36">
            <v>7.4670000000000005</v>
          </cell>
          <cell r="AC36">
            <v>3.9550000000000001</v>
          </cell>
          <cell r="AD36">
            <v>2.3470000000000004</v>
          </cell>
          <cell r="AE36">
            <v>2.16</v>
          </cell>
          <cell r="AF36">
            <v>1.764</v>
          </cell>
          <cell r="AG36">
            <v>2.4340000000000002</v>
          </cell>
          <cell r="AH36">
            <v>5.0069999999999997</v>
          </cell>
          <cell r="AI36">
            <v>2</v>
          </cell>
          <cell r="AJ36">
            <v>2</v>
          </cell>
          <cell r="AK36">
            <v>2</v>
          </cell>
          <cell r="AL36">
            <v>2</v>
          </cell>
          <cell r="AM36">
            <v>2</v>
          </cell>
          <cell r="AN36">
            <v>2</v>
          </cell>
          <cell r="AO36">
            <v>2</v>
          </cell>
          <cell r="AP36">
            <v>2</v>
          </cell>
          <cell r="AQ36"/>
          <cell r="AR36"/>
          <cell r="AS36"/>
          <cell r="AT36"/>
          <cell r="AU36"/>
          <cell r="AV36"/>
          <cell r="AW36">
            <v>1.0169999999999999</v>
          </cell>
          <cell r="AX36">
            <v>2.8110000000000004</v>
          </cell>
          <cell r="AY36">
            <v>6.4850000000000003</v>
          </cell>
          <cell r="AZ36">
            <v>4.9990000000000006</v>
          </cell>
          <cell r="BA36">
            <v>2.1520000000000001</v>
          </cell>
          <cell r="BB36">
            <v>5.8140000000000001</v>
          </cell>
          <cell r="BC36">
            <v>6.8979999999999997</v>
          </cell>
          <cell r="BD36">
            <v>14.215</v>
          </cell>
          <cell r="BE36">
            <v>28.785</v>
          </cell>
          <cell r="BF36">
            <v>18.010999999999999</v>
          </cell>
          <cell r="BG36">
            <v>11.365</v>
          </cell>
          <cell r="BH36">
            <v>8</v>
          </cell>
          <cell r="BI36">
            <v>8</v>
          </cell>
          <cell r="BJ36">
            <v>8</v>
          </cell>
          <cell r="BK36">
            <v>8</v>
          </cell>
          <cell r="BL36">
            <v>8</v>
          </cell>
          <cell r="BM36"/>
        </row>
        <row r="37">
          <cell r="A37" t="str">
            <v>EBIT</v>
          </cell>
          <cell r="B37"/>
          <cell r="C37"/>
          <cell r="D37"/>
          <cell r="E37"/>
          <cell r="F37"/>
          <cell r="G37"/>
          <cell r="H37"/>
          <cell r="I37"/>
          <cell r="J37"/>
          <cell r="K37"/>
          <cell r="L37"/>
          <cell r="M37"/>
          <cell r="N37"/>
          <cell r="O37"/>
          <cell r="P37">
            <v>-1251.579</v>
          </cell>
          <cell r="Q37">
            <v>-1912.85</v>
          </cell>
          <cell r="R37">
            <v>-2135.3849999999998</v>
          </cell>
          <cell r="S37">
            <v>-2380.5010000000002</v>
          </cell>
          <cell r="T37">
            <v>-2516.8809999999999</v>
          </cell>
          <cell r="U37">
            <v>-2899.4739999999997</v>
          </cell>
          <cell r="V37">
            <v>-3251.8790000000004</v>
          </cell>
          <cell r="W37">
            <v>-3369.3429999999998</v>
          </cell>
          <cell r="X37">
            <v>-3812.1030000000005</v>
          </cell>
          <cell r="Y37">
            <v>-5704.527</v>
          </cell>
          <cell r="Z37">
            <v>-6186.9809999999998</v>
          </cell>
          <cell r="AA37">
            <v>-4351.2169999999996</v>
          </cell>
          <cell r="AB37">
            <v>-5783.7740000000003</v>
          </cell>
          <cell r="AC37">
            <v>-5472.4869999999992</v>
          </cell>
          <cell r="AD37">
            <v>-6366.866</v>
          </cell>
          <cell r="AE37">
            <v>-5101.9149999999991</v>
          </cell>
          <cell r="AF37">
            <v>-5064.1840000000011</v>
          </cell>
          <cell r="AG37">
            <v>-7095.1750000000002</v>
          </cell>
          <cell r="AH37">
            <v>-9231.4299999999985</v>
          </cell>
          <cell r="AI37">
            <v>-8869.7595826500001</v>
          </cell>
          <cell r="AJ37">
            <v>-9662.3150598095763</v>
          </cell>
          <cell r="AK37">
            <v>-10725.694803497832</v>
          </cell>
          <cell r="AL37">
            <v>-13635.438869932384</v>
          </cell>
          <cell r="AM37">
            <v>-14190.494789807402</v>
          </cell>
          <cell r="AN37">
            <v>-13374.03268087359</v>
          </cell>
          <cell r="AO37">
            <v>-16818.763919200097</v>
          </cell>
          <cell r="AP37">
            <v>-19371.892945275558</v>
          </cell>
          <cell r="AQ37"/>
          <cell r="AR37"/>
          <cell r="AS37"/>
          <cell r="AT37"/>
          <cell r="AU37"/>
          <cell r="AV37"/>
          <cell r="AW37">
            <v>-21228.705000000002</v>
          </cell>
          <cell r="AX37">
            <v>-22817.290000000005</v>
          </cell>
          <cell r="AY37">
            <v>-24182.443974954345</v>
          </cell>
          <cell r="AZ37">
            <v>-26523.411712704987</v>
          </cell>
          <cell r="BA37">
            <v>-26053.788686226846</v>
          </cell>
          <cell r="BB37">
            <v>-27774.367539260595</v>
          </cell>
          <cell r="BC37">
            <v>-29673.011875403692</v>
          </cell>
          <cell r="BD37">
            <v>-32753.163368347712</v>
          </cell>
          <cell r="BE37">
            <v>-32611.645589015854</v>
          </cell>
          <cell r="BF37">
            <v>-35077.709723593791</v>
          </cell>
          <cell r="BG37">
            <v>-95.703999999999951</v>
          </cell>
          <cell r="BH37">
            <v>-204.89831588979695</v>
          </cell>
          <cell r="BI37">
            <v>-250.19333515664189</v>
          </cell>
          <cell r="BJ37">
            <v>-409.62925970024037</v>
          </cell>
          <cell r="BK37">
            <v>-698.10623855034567</v>
          </cell>
          <cell r="BL37">
            <v>-1808.4603287781629</v>
          </cell>
          <cell r="BM37"/>
        </row>
        <row r="38">
          <cell r="A38" t="str">
            <v>Interest expense</v>
          </cell>
          <cell r="B38"/>
          <cell r="C38"/>
          <cell r="D38"/>
          <cell r="E38"/>
          <cell r="F38"/>
          <cell r="G38"/>
          <cell r="H38"/>
          <cell r="I38"/>
          <cell r="J38"/>
          <cell r="K38"/>
          <cell r="L38"/>
          <cell r="M38"/>
          <cell r="N38"/>
          <cell r="O38"/>
          <cell r="P38">
            <v>-0.64599999999999991</v>
          </cell>
          <cell r="Q38">
            <v>1.2000000000000011E-2</v>
          </cell>
          <cell r="R38">
            <v>1.9999999999999962E-2</v>
          </cell>
          <cell r="S38">
            <v>-9.1999999999999998E-2</v>
          </cell>
          <cell r="T38">
            <v>-8.5999999999999993E-2</v>
          </cell>
          <cell r="U38">
            <v>-5.5E-2</v>
          </cell>
          <cell r="V38">
            <v>-0.12900000000000003</v>
          </cell>
          <cell r="W38">
            <v>-0.14500000000000002</v>
          </cell>
          <cell r="X38">
            <v>-0.57099999999999995</v>
          </cell>
          <cell r="Y38">
            <v>-1.621</v>
          </cell>
          <cell r="Z38">
            <v>-2.7229999999999999</v>
          </cell>
          <cell r="AA38">
            <v>-3.0409999999999999</v>
          </cell>
          <cell r="AB38">
            <v>-3.2330000000000001</v>
          </cell>
          <cell r="AC38">
            <v>-3.3619999999999997</v>
          </cell>
          <cell r="AD38">
            <v>-3.1780000000000013</v>
          </cell>
          <cell r="AE38">
            <v>-2.9969999999999999</v>
          </cell>
          <cell r="AF38">
            <v>-2.7229999999999999</v>
          </cell>
          <cell r="AG38">
            <v>-2.7280000000000002</v>
          </cell>
          <cell r="AH38">
            <v>-2.2380000000000004</v>
          </cell>
          <cell r="AI38">
            <v>-2.1742899999999996</v>
          </cell>
          <cell r="AJ38">
            <v>-1.9785286905538755</v>
          </cell>
          <cell r="AK38">
            <v>-1.8759727171985101</v>
          </cell>
          <cell r="AL38">
            <v>-1.7561960279880133</v>
          </cell>
          <cell r="AM38">
            <v>-1.9903465793021924</v>
          </cell>
          <cell r="AN38">
            <v>-1.4644340226494805</v>
          </cell>
          <cell r="AO38">
            <v>-1.4558340184203511</v>
          </cell>
          <cell r="AP38">
            <v>-1.415478210718236</v>
          </cell>
          <cell r="AQ38"/>
          <cell r="AR38"/>
          <cell r="AS38"/>
          <cell r="AT38"/>
          <cell r="AU38"/>
          <cell r="AV38"/>
          <cell r="AW38">
            <v>0.128</v>
          </cell>
          <cell r="AX38">
            <v>2.5999999999999995E-2</v>
          </cell>
          <cell r="AY38">
            <v>-5.8999999999999997E-2</v>
          </cell>
          <cell r="AZ38">
            <v>0.94399999999999995</v>
          </cell>
          <cell r="BA38">
            <v>2.7</v>
          </cell>
          <cell r="BB38">
            <v>-2.6360000000000001</v>
          </cell>
          <cell r="BC38">
            <v>-0.61399999999999999</v>
          </cell>
          <cell r="BD38">
            <v>-0.36299999999999999</v>
          </cell>
          <cell r="BE38">
            <v>-5.0599999999999996</v>
          </cell>
          <cell r="BF38">
            <v>-12.814</v>
          </cell>
          <cell r="BG38">
            <v>-10.686</v>
          </cell>
          <cell r="BH38">
            <v>-7.7849874357403994</v>
          </cell>
          <cell r="BI38">
            <v>-6.3260928310902598</v>
          </cell>
          <cell r="BJ38">
            <v>-5.2564492714826718</v>
          </cell>
          <cell r="BK38">
            <v>-5.1623049223567126</v>
          </cell>
          <cell r="BL38">
            <v>-6.5208829373395263</v>
          </cell>
          <cell r="BM38"/>
        </row>
        <row r="40">
          <cell r="A40" t="str">
            <v>Other Items</v>
          </cell>
          <cell r="B40"/>
          <cell r="C40"/>
          <cell r="D40"/>
          <cell r="E40"/>
          <cell r="F40"/>
          <cell r="G40"/>
          <cell r="H40"/>
          <cell r="I40"/>
          <cell r="J40"/>
          <cell r="K40"/>
          <cell r="L40"/>
          <cell r="M40"/>
          <cell r="N40"/>
          <cell r="O40"/>
          <cell r="P40">
            <v>-0.73099999999999998</v>
          </cell>
          <cell r="Q40">
            <v>0</v>
          </cell>
          <cell r="R40">
            <v>0.97599999999999998</v>
          </cell>
          <cell r="S40">
            <v>0</v>
          </cell>
          <cell r="T40">
            <v>2.8039999999999998</v>
          </cell>
          <cell r="U40">
            <v>-2.1960000000000002</v>
          </cell>
          <cell r="V40">
            <v>18.384</v>
          </cell>
          <cell r="W40">
            <v>-0.245</v>
          </cell>
          <cell r="X40">
            <v>-1.6180000000000001</v>
          </cell>
          <cell r="Y40">
            <v>-0.30299999999999999</v>
          </cell>
          <cell r="Z40">
            <v>2.9849999999999999</v>
          </cell>
          <cell r="AA40">
            <v>1.0580000000000001</v>
          </cell>
          <cell r="AB40">
            <v>-1.073</v>
          </cell>
          <cell r="AC40">
            <v>1.6120000000000001</v>
          </cell>
          <cell r="AD40">
            <v>1.8779999999999999</v>
          </cell>
          <cell r="AE40">
            <v>2.0590000000000002</v>
          </cell>
          <cell r="AF40">
            <v>0.90900000000000003</v>
          </cell>
          <cell r="AG40">
            <v>2.2789999999999999</v>
          </cell>
          <cell r="AH40">
            <v>1.4089999999999998</v>
          </cell>
          <cell r="AI40">
            <v>0</v>
          </cell>
          <cell r="AJ40">
            <v>0</v>
          </cell>
          <cell r="AK40">
            <v>0</v>
          </cell>
          <cell r="AL40">
            <v>0</v>
          </cell>
          <cell r="AM40">
            <v>0</v>
          </cell>
          <cell r="AN40">
            <v>0</v>
          </cell>
          <cell r="AO40">
            <v>0</v>
          </cell>
          <cell r="AP40">
            <v>0</v>
          </cell>
          <cell r="AQ40"/>
          <cell r="AR40"/>
          <cell r="AS40"/>
          <cell r="AT40"/>
          <cell r="AU40"/>
          <cell r="AV40"/>
          <cell r="AW40">
            <v>0.111</v>
          </cell>
          <cell r="AX40">
            <v>0</v>
          </cell>
          <cell r="AY40">
            <v>0</v>
          </cell>
          <cell r="AZ40">
            <v>0</v>
          </cell>
          <cell r="BA40">
            <v>0</v>
          </cell>
          <cell r="BB40">
            <v>0.48</v>
          </cell>
          <cell r="BC40">
            <v>0.245</v>
          </cell>
          <cell r="BD40">
            <v>18.992000000000001</v>
          </cell>
          <cell r="BE40">
            <v>0.81899999999999995</v>
          </cell>
          <cell r="BF40">
            <v>3.4750000000000001</v>
          </cell>
          <cell r="BG40">
            <v>6.6559999999999997</v>
          </cell>
          <cell r="BH40">
            <v>0</v>
          </cell>
          <cell r="BI40">
            <v>0</v>
          </cell>
          <cell r="BJ40">
            <v>0</v>
          </cell>
          <cell r="BK40">
            <v>0</v>
          </cell>
          <cell r="BL40">
            <v>0</v>
          </cell>
          <cell r="BM40"/>
        </row>
        <row r="41">
          <cell r="A41" t="str">
            <v>EBT</v>
          </cell>
          <cell r="B41"/>
          <cell r="C41"/>
          <cell r="D41"/>
          <cell r="E41"/>
          <cell r="F41"/>
          <cell r="G41"/>
          <cell r="H41"/>
          <cell r="I41"/>
          <cell r="J41"/>
          <cell r="K41"/>
          <cell r="L41"/>
          <cell r="M41"/>
          <cell r="N41"/>
          <cell r="O41"/>
          <cell r="P41">
            <v>-1250.202</v>
          </cell>
          <cell r="Q41">
            <v>-1912.8619999999999</v>
          </cell>
          <cell r="R41">
            <v>-2136.3809999999999</v>
          </cell>
          <cell r="S41">
            <v>-2380.4090000000001</v>
          </cell>
          <cell r="T41">
            <v>-2519.5990000000002</v>
          </cell>
          <cell r="U41">
            <v>-2897.223</v>
          </cell>
          <cell r="V41">
            <v>-3270.1340000000005</v>
          </cell>
          <cell r="W41">
            <v>-3368.953</v>
          </cell>
          <cell r="X41">
            <v>-3809.9140000000007</v>
          </cell>
          <cell r="Y41">
            <v>-5702.6030000000001</v>
          </cell>
          <cell r="Z41">
            <v>-6187.2429999999995</v>
          </cell>
          <cell r="AA41">
            <v>-4349.2339999999995</v>
          </cell>
          <cell r="AB41">
            <v>-5779.4679999999998</v>
          </cell>
          <cell r="AC41">
            <v>-5470.7369999999992</v>
          </cell>
          <cell r="AD41">
            <v>-6365.5659999999998</v>
          </cell>
          <cell r="AE41">
            <v>-5100.976999999999</v>
          </cell>
          <cell r="AF41">
            <v>-5062.3700000000008</v>
          </cell>
          <cell r="AG41">
            <v>-7094.7260000000006</v>
          </cell>
          <cell r="AH41">
            <v>-9230.6009999999987</v>
          </cell>
          <cell r="AI41">
            <v>-8867.5852926499992</v>
          </cell>
          <cell r="AJ41">
            <v>-9660.3365311190228</v>
          </cell>
          <cell r="AK41">
            <v>-10723.818830780634</v>
          </cell>
          <cell r="AL41">
            <v>-13633.682673904397</v>
          </cell>
          <cell r="AM41">
            <v>-14188.504443228101</v>
          </cell>
          <cell r="AN41">
            <v>-13372.56824685094</v>
          </cell>
          <cell r="AO41">
            <v>-16817.308085181678</v>
          </cell>
          <cell r="AP41">
            <v>-19370.47746706484</v>
          </cell>
          <cell r="AQ41"/>
          <cell r="AR41"/>
          <cell r="AS41"/>
          <cell r="AT41"/>
          <cell r="AU41"/>
          <cell r="AV41"/>
          <cell r="AW41">
            <v>-21228.944000000003</v>
          </cell>
          <cell r="AX41">
            <v>-22817.316000000006</v>
          </cell>
          <cell r="AY41">
            <v>-24182.384974954344</v>
          </cell>
          <cell r="AZ41">
            <v>-26524.355712704986</v>
          </cell>
          <cell r="BA41">
            <v>-26056.488686226847</v>
          </cell>
          <cell r="BB41">
            <v>-27772.211539260596</v>
          </cell>
          <cell r="BC41">
            <v>-29672.64287540369</v>
          </cell>
          <cell r="BD41">
            <v>-32771.792368347713</v>
          </cell>
          <cell r="BE41">
            <v>-32607.404589015852</v>
          </cell>
          <cell r="BF41">
            <v>-35068.370723593791</v>
          </cell>
          <cell r="BG41">
            <v>-91.67399999999995</v>
          </cell>
          <cell r="BH41">
            <v>-197.11332845405656</v>
          </cell>
          <cell r="BI41">
            <v>-243.86724232555164</v>
          </cell>
          <cell r="BJ41">
            <v>-404.3728104287577</v>
          </cell>
          <cell r="BK41">
            <v>-692.94393362798894</v>
          </cell>
          <cell r="BL41">
            <v>-1801.9394458408233</v>
          </cell>
          <cell r="BM41"/>
        </row>
        <row r="42">
          <cell r="A42" t="str">
            <v>Tax</v>
          </cell>
          <cell r="B42"/>
          <cell r="C42"/>
          <cell r="D42"/>
          <cell r="E42"/>
          <cell r="F42"/>
          <cell r="G42"/>
          <cell r="H42"/>
          <cell r="I42"/>
          <cell r="J42"/>
          <cell r="K42"/>
          <cell r="L42"/>
          <cell r="M42"/>
          <cell r="N42"/>
          <cell r="O42"/>
          <cell r="P42">
            <v>0</v>
          </cell>
          <cell r="Q42">
            <v>0</v>
          </cell>
          <cell r="R42">
            <v>0</v>
          </cell>
          <cell r="S42">
            <v>0</v>
          </cell>
          <cell r="T42">
            <v>0</v>
          </cell>
          <cell r="U42">
            <v>0</v>
          </cell>
          <cell r="V42">
            <v>0.14699999999999999</v>
          </cell>
          <cell r="W42">
            <v>0.02</v>
          </cell>
          <cell r="X42">
            <v>0.02</v>
          </cell>
          <cell r="Y42">
            <v>1.9999999999999997E-2</v>
          </cell>
          <cell r="Z42">
            <v>1.2849999999999999</v>
          </cell>
          <cell r="AA42">
            <v>0.318</v>
          </cell>
          <cell r="AB42">
            <v>0.318</v>
          </cell>
          <cell r="AC42">
            <v>0.31799999999999995</v>
          </cell>
          <cell r="AD42">
            <v>-0.57499999999999996</v>
          </cell>
          <cell r="AE42">
            <v>0.09</v>
          </cell>
          <cell r="AF42">
            <v>0.09</v>
          </cell>
          <cell r="AG42">
            <v>9.0000000000000024E-2</v>
          </cell>
          <cell r="AH42">
            <v>-1.571</v>
          </cell>
          <cell r="AI42">
            <v>0</v>
          </cell>
          <cell r="AJ42">
            <v>0</v>
          </cell>
          <cell r="AK42">
            <v>0</v>
          </cell>
          <cell r="AL42">
            <v>0</v>
          </cell>
          <cell r="AM42">
            <v>0</v>
          </cell>
          <cell r="AN42">
            <v>0</v>
          </cell>
          <cell r="AO42">
            <v>0</v>
          </cell>
          <cell r="AP42">
            <v>0</v>
          </cell>
          <cell r="AQ42"/>
          <cell r="AR42"/>
          <cell r="AS42"/>
          <cell r="AT42"/>
          <cell r="AU42"/>
          <cell r="AV42"/>
          <cell r="AW42">
            <v>0</v>
          </cell>
          <cell r="AX42">
            <v>0</v>
          </cell>
          <cell r="AY42">
            <v>0</v>
          </cell>
          <cell r="AZ42">
            <v>0</v>
          </cell>
          <cell r="BA42">
            <v>0</v>
          </cell>
          <cell r="BB42">
            <v>0</v>
          </cell>
          <cell r="BC42">
            <v>0</v>
          </cell>
          <cell r="BD42">
            <v>0.14699999999999999</v>
          </cell>
          <cell r="BE42">
            <v>1.345</v>
          </cell>
          <cell r="BF42">
            <v>0.379</v>
          </cell>
          <cell r="BG42">
            <v>-1.3009999999999999</v>
          </cell>
          <cell r="BH42">
            <v>0</v>
          </cell>
          <cell r="BI42">
            <v>0</v>
          </cell>
          <cell r="BJ42">
            <v>0</v>
          </cell>
          <cell r="BK42">
            <v>0</v>
          </cell>
          <cell r="BL42">
            <v>0</v>
          </cell>
          <cell r="BM42"/>
        </row>
        <row r="43">
          <cell r="A43" t="str">
            <v>Discontinued Operations</v>
          </cell>
          <cell r="B43"/>
          <cell r="C43"/>
          <cell r="D43"/>
          <cell r="E43"/>
          <cell r="F43"/>
          <cell r="G43"/>
          <cell r="H43"/>
          <cell r="I43"/>
          <cell r="J43"/>
          <cell r="K43"/>
          <cell r="L43"/>
          <cell r="M43"/>
          <cell r="N43"/>
          <cell r="O43"/>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cell r="AR43"/>
          <cell r="AS43"/>
          <cell r="AT43"/>
          <cell r="AU43"/>
          <cell r="AV43"/>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row>
        <row r="44">
          <cell r="A44" t="str">
            <v>Net Income to NCI</v>
          </cell>
          <cell r="B44"/>
          <cell r="C44"/>
          <cell r="D44"/>
          <cell r="E44"/>
          <cell r="F44"/>
          <cell r="G44"/>
          <cell r="H44"/>
          <cell r="I44"/>
          <cell r="J44"/>
          <cell r="K44"/>
          <cell r="L44"/>
          <cell r="M44"/>
          <cell r="N44"/>
          <cell r="O44"/>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cell r="AR44"/>
          <cell r="AS44"/>
          <cell r="AT44"/>
          <cell r="AU44"/>
          <cell r="AV44"/>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row>
        <row r="45">
          <cell r="A45" t="str">
            <v>Earnings to Preferred and Other Securities</v>
          </cell>
          <cell r="B45"/>
          <cell r="C45"/>
          <cell r="D45"/>
          <cell r="E45"/>
          <cell r="F45"/>
          <cell r="G45"/>
          <cell r="H45"/>
          <cell r="I45"/>
          <cell r="J45"/>
          <cell r="K45"/>
          <cell r="L45"/>
          <cell r="M45"/>
          <cell r="N45"/>
          <cell r="O45"/>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cell r="AR45"/>
          <cell r="AS45"/>
          <cell r="AT45"/>
          <cell r="AU45"/>
          <cell r="AV45"/>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row>
        <row r="46">
          <cell r="A46" t="str">
            <v>Net Income to Common Shareholders</v>
          </cell>
          <cell r="B46"/>
          <cell r="C46"/>
          <cell r="D46"/>
          <cell r="E46"/>
          <cell r="F46"/>
          <cell r="G46"/>
          <cell r="H46"/>
          <cell r="I46"/>
          <cell r="J46"/>
          <cell r="K46">
            <v>-11.670999999999999</v>
          </cell>
          <cell r="L46">
            <v>-12.827999999999999</v>
          </cell>
          <cell r="M46">
            <v>-16.823</v>
          </cell>
          <cell r="N46">
            <v>-26.59499999999997</v>
          </cell>
          <cell r="O46">
            <v>-24.007999999999999</v>
          </cell>
          <cell r="P46">
            <v>-1250.202</v>
          </cell>
          <cell r="Q46">
            <v>-1912.8619999999999</v>
          </cell>
          <cell r="R46">
            <v>-2136.3809999999999</v>
          </cell>
          <cell r="S46">
            <v>-2380.4090000000001</v>
          </cell>
          <cell r="T46">
            <v>-2519.5990000000002</v>
          </cell>
          <cell r="U46">
            <v>-2897.223</v>
          </cell>
          <cell r="V46">
            <v>-3270.2810000000004</v>
          </cell>
          <cell r="W46">
            <v>-3368.973</v>
          </cell>
          <cell r="X46">
            <v>-3809.9340000000007</v>
          </cell>
          <cell r="Y46">
            <v>-5702.6230000000005</v>
          </cell>
          <cell r="Z46">
            <v>-6188.5279999999993</v>
          </cell>
          <cell r="AA46">
            <v>-4349.5519999999997</v>
          </cell>
          <cell r="AB46">
            <v>-5779.7860000000001</v>
          </cell>
          <cell r="AC46">
            <v>-5471.0549999999994</v>
          </cell>
          <cell r="AD46">
            <v>-6364.991</v>
          </cell>
          <cell r="AE46">
            <v>-5101.0669999999991</v>
          </cell>
          <cell r="AF46">
            <v>-5062.4600000000009</v>
          </cell>
          <cell r="AG46">
            <v>-7094.8160000000007</v>
          </cell>
          <cell r="AH46">
            <v>-9229.0299999999988</v>
          </cell>
          <cell r="AI46">
            <v>-8867.5852926499992</v>
          </cell>
          <cell r="AJ46">
            <v>-9660.3365311190228</v>
          </cell>
          <cell r="AK46">
            <v>-10723.818830780634</v>
          </cell>
          <cell r="AL46">
            <v>-13633.682673904397</v>
          </cell>
          <cell r="AM46">
            <v>-14188.504443228101</v>
          </cell>
          <cell r="AN46">
            <v>-13372.56824685094</v>
          </cell>
          <cell r="AO46">
            <v>-16817.308085181678</v>
          </cell>
          <cell r="AP46">
            <v>-19370.47746706484</v>
          </cell>
          <cell r="AQ46"/>
          <cell r="AR46"/>
          <cell r="AS46"/>
          <cell r="AT46"/>
          <cell r="AU46"/>
          <cell r="AV46"/>
          <cell r="AW46">
            <v>-21228.944000000003</v>
          </cell>
          <cell r="AX46">
            <v>-22817.316000000006</v>
          </cell>
          <cell r="AY46">
            <v>-24182.384974954344</v>
          </cell>
          <cell r="AZ46">
            <v>-26524.355712704986</v>
          </cell>
          <cell r="BA46">
            <v>-26056.488686226847</v>
          </cell>
          <cell r="BB46">
            <v>-27772.211539260596</v>
          </cell>
          <cell r="BC46">
            <v>-29672.64287540369</v>
          </cell>
          <cell r="BD46">
            <v>-32771.93936834771</v>
          </cell>
          <cell r="BE46">
            <v>-32608.749589015853</v>
          </cell>
          <cell r="BF46">
            <v>-35068.749723593792</v>
          </cell>
          <cell r="BG46">
            <v>-90.372999999999948</v>
          </cell>
          <cell r="BH46">
            <v>-197.11332845405656</v>
          </cell>
          <cell r="BI46">
            <v>-243.86724232555164</v>
          </cell>
          <cell r="BJ46">
            <v>-404.3728104287577</v>
          </cell>
          <cell r="BK46">
            <v>-692.94393362798894</v>
          </cell>
          <cell r="BL46">
            <v>-1801.9394458408233</v>
          </cell>
          <cell r="BM46"/>
        </row>
        <row r="48">
          <cell r="A48" t="str">
            <v>Adjusted Shares Outstanding - WAD</v>
          </cell>
          <cell r="B48"/>
          <cell r="C48"/>
          <cell r="D48"/>
          <cell r="E48"/>
          <cell r="F48"/>
          <cell r="G48"/>
          <cell r="H48"/>
          <cell r="I48"/>
          <cell r="J48"/>
          <cell r="K48"/>
          <cell r="L48"/>
          <cell r="M48"/>
          <cell r="N48"/>
          <cell r="O48"/>
          <cell r="P48"/>
          <cell r="Q48"/>
          <cell r="R48"/>
          <cell r="S48"/>
          <cell r="T48"/>
          <cell r="U48"/>
          <cell r="V48">
            <v>127.39711320964284</v>
          </cell>
          <cell r="W48">
            <v>109.47205</v>
          </cell>
          <cell r="X48">
            <v>109.679467</v>
          </cell>
          <cell r="Y48">
            <v>110.37512599999999</v>
          </cell>
          <cell r="Z48">
            <v>110.934445</v>
          </cell>
          <cell r="AA48">
            <v>111.29706400000001</v>
          </cell>
          <cell r="AB48">
            <v>111.58528200000001</v>
          </cell>
          <cell r="AC48">
            <v>112.179722</v>
          </cell>
          <cell r="AD48">
            <v>112.51966299999999</v>
          </cell>
          <cell r="AE48">
            <v>112.77277599999999</v>
          </cell>
          <cell r="AF48">
            <v>113.580674</v>
          </cell>
          <cell r="AG48">
            <v>114.752307</v>
          </cell>
          <cell r="AH48">
            <v>116.05562</v>
          </cell>
          <cell r="AI48">
            <v>117.12216681555</v>
          </cell>
          <cell r="AJ48">
            <v>117.13387903223155</v>
          </cell>
          <cell r="AK48">
            <v>117.14559242013476</v>
          </cell>
          <cell r="AL48">
            <v>117.15730697937678</v>
          </cell>
          <cell r="AM48">
            <v>117.16902271007473</v>
          </cell>
          <cell r="AN48">
            <v>117.18073961234572</v>
          </cell>
          <cell r="AO48">
            <v>117.19245768630697</v>
          </cell>
          <cell r="AP48">
            <v>117.2041769320756</v>
          </cell>
          <cell r="AQ48"/>
          <cell r="AR48"/>
          <cell r="AS48"/>
          <cell r="AT48"/>
          <cell r="AU48"/>
          <cell r="AV48"/>
          <cell r="AW48"/>
          <cell r="AX48"/>
          <cell r="AY48"/>
          <cell r="AZ48"/>
          <cell r="BA48"/>
          <cell r="BB48"/>
          <cell r="BC48"/>
          <cell r="BD48">
            <v>127.39711320964284</v>
          </cell>
          <cell r="BE48">
            <v>110.128287</v>
          </cell>
          <cell r="BF48">
            <v>111.907675</v>
          </cell>
          <cell r="BG48">
            <v>114.32167200000001</v>
          </cell>
          <cell r="BH48">
            <v>117.13973631182327</v>
          </cell>
          <cell r="BI48">
            <v>117.18659923520076</v>
          </cell>
          <cell r="BJ48">
            <v>117.23347885529598</v>
          </cell>
          <cell r="BK48">
            <v>117.2803722468381</v>
          </cell>
          <cell r="BL48">
            <v>117.32728439573683</v>
          </cell>
          <cell r="BM48"/>
        </row>
        <row r="51">
          <cell r="A51" t="str">
            <v>Adjusted EBITDA</v>
          </cell>
          <cell r="B51"/>
          <cell r="C51"/>
          <cell r="D51"/>
          <cell r="E51"/>
          <cell r="F51"/>
          <cell r="G51"/>
          <cell r="H51"/>
          <cell r="I51"/>
          <cell r="J51"/>
          <cell r="K51"/>
          <cell r="L51"/>
          <cell r="M51"/>
          <cell r="N51"/>
          <cell r="O51">
            <v>-17.391499999999997</v>
          </cell>
          <cell r="P51">
            <v>-50.064000000000007</v>
          </cell>
          <cell r="Q51">
            <v>-28.408000000000005</v>
          </cell>
          <cell r="R51">
            <v>-29.010999999999992</v>
          </cell>
          <cell r="S51">
            <v>-21.015000000000001</v>
          </cell>
          <cell r="T51">
            <v>-13.827999999999996</v>
          </cell>
          <cell r="U51">
            <v>-14.084999999999999</v>
          </cell>
          <cell r="V51">
            <v>-14.170999999999967</v>
          </cell>
          <cell r="W51">
            <v>-16.975999999999999</v>
          </cell>
          <cell r="X51">
            <v>-7.8069999999999995</v>
          </cell>
          <cell r="Y51">
            <v>-7.2089999999999907</v>
          </cell>
          <cell r="Z51">
            <v>-17.94199999999999</v>
          </cell>
          <cell r="AA51">
            <v>-6.6939999999999964</v>
          </cell>
          <cell r="AB51">
            <v>3.2690000000000197</v>
          </cell>
          <cell r="AC51">
            <v>2.4789999999999996</v>
          </cell>
          <cell r="AD51">
            <v>-1.8489999999999465</v>
          </cell>
          <cell r="AE51">
            <v>0.11299999999996692</v>
          </cell>
          <cell r="AF51">
            <v>12.356999999999985</v>
          </cell>
          <cell r="AG51">
            <v>6.8100000000000041</v>
          </cell>
          <cell r="AH51">
            <v>-0.57299999999995987</v>
          </cell>
          <cell r="AI51">
            <v>-2.0230064624999997</v>
          </cell>
          <cell r="AJ51">
            <v>18.294312155256563</v>
          </cell>
          <cell r="AK51">
            <v>12.823592242345832</v>
          </cell>
          <cell r="AL51">
            <v>6.799304401527003</v>
          </cell>
          <cell r="AM51">
            <v>1.7832951938435642</v>
          </cell>
          <cell r="AN51">
            <v>27.63324100314847</v>
          </cell>
          <cell r="AO51">
            <v>20.505981443325346</v>
          </cell>
          <cell r="AP51">
            <v>12.761454428757631</v>
          </cell>
          <cell r="AQ51"/>
          <cell r="AR51"/>
          <cell r="AS51"/>
          <cell r="AT51"/>
          <cell r="AU51"/>
          <cell r="AV51"/>
          <cell r="AW51">
            <v>-1.5440000000000003</v>
          </cell>
          <cell r="AX51">
            <v>-8.2220000000000031</v>
          </cell>
          <cell r="AY51">
            <v>-13.436</v>
          </cell>
          <cell r="AZ51">
            <v>-18.370999999999995</v>
          </cell>
          <cell r="BA51">
            <v>-7.5000000000000009</v>
          </cell>
          <cell r="BB51">
            <v>-46.344000000000023</v>
          </cell>
          <cell r="BC51">
            <v>-107.48299999999998</v>
          </cell>
          <cell r="BD51">
            <v>-63.098999999999954</v>
          </cell>
          <cell r="BE51">
            <v>-49.93399999999999</v>
          </cell>
          <cell r="BF51">
            <v>-2.7949999999999484</v>
          </cell>
          <cell r="BG51">
            <v>18.708000000000077</v>
          </cell>
          <cell r="BH51">
            <v>35.894202336629398</v>
          </cell>
          <cell r="BI51">
            <v>62.683972069075011</v>
          </cell>
          <cell r="BJ51">
            <v>88.596829162460551</v>
          </cell>
          <cell r="BK51">
            <v>122.12406342226609</v>
          </cell>
          <cell r="BL51">
            <v>157.78687863653207</v>
          </cell>
          <cell r="BM51"/>
        </row>
        <row r="53">
          <cell r="A53" t="str">
            <v>Adjusted Net Income</v>
          </cell>
          <cell r="B53"/>
          <cell r="C53"/>
          <cell r="D53"/>
          <cell r="E53"/>
          <cell r="F53"/>
          <cell r="G53"/>
          <cell r="H53"/>
          <cell r="I53"/>
          <cell r="J53"/>
          <cell r="K53">
            <v>-11.670999999999999</v>
          </cell>
          <cell r="L53">
            <v>-12.827999999999999</v>
          </cell>
          <cell r="M53">
            <v>-16.823</v>
          </cell>
          <cell r="N53">
            <v>-26.59499999999997</v>
          </cell>
          <cell r="O53">
            <v>-24.007999999999999</v>
          </cell>
          <cell r="P53">
            <v>-63.297000000000004</v>
          </cell>
          <cell r="Q53">
            <v>-36.859000000000002</v>
          </cell>
          <cell r="R53">
            <v>-41.067999999999977</v>
          </cell>
          <cell r="S53">
            <v>-30.044999999999995</v>
          </cell>
          <cell r="T53">
            <v>-26.882999999999992</v>
          </cell>
          <cell r="U53">
            <v>-30.066000000000006</v>
          </cell>
          <cell r="V53">
            <v>-66.180999999999969</v>
          </cell>
          <cell r="W53">
            <v>-49.652000000000008</v>
          </cell>
          <cell r="X53">
            <v>-40.504000000000005</v>
          </cell>
          <cell r="Y53">
            <v>-51.027000000000001</v>
          </cell>
          <cell r="Z53">
            <v>-49.25800000000001</v>
          </cell>
          <cell r="AA53">
            <v>-33.656999999999989</v>
          </cell>
          <cell r="AB53">
            <v>-27.25800000000001</v>
          </cell>
          <cell r="AC53">
            <v>-25.054999999999996</v>
          </cell>
          <cell r="AD53">
            <v>-27.413999999999959</v>
          </cell>
          <cell r="AE53">
            <v>-26.067000000000021</v>
          </cell>
          <cell r="AF53">
            <v>-14.460000000000026</v>
          </cell>
          <cell r="AG53">
            <v>-20.815999999999981</v>
          </cell>
          <cell r="AH53">
            <v>-29.029999999999948</v>
          </cell>
          <cell r="AI53">
            <v>-27.58529265</v>
          </cell>
          <cell r="AJ53">
            <v>-10.336531119023075</v>
          </cell>
          <cell r="AK53">
            <v>-15.818830780634995</v>
          </cell>
          <cell r="AL53">
            <v>-21.682673904398367</v>
          </cell>
          <cell r="AM53">
            <v>-27.504443228098744</v>
          </cell>
          <cell r="AN53">
            <v>-5.5682468509378866</v>
          </cell>
          <cell r="AO53">
            <v>-12.308085181676315</v>
          </cell>
          <cell r="AP53">
            <v>-19.47746706483882</v>
          </cell>
          <cell r="AQ53"/>
          <cell r="AR53"/>
          <cell r="AS53"/>
          <cell r="AT53"/>
          <cell r="AU53"/>
          <cell r="AV53"/>
          <cell r="AW53">
            <v>-4.9440000000000053</v>
          </cell>
          <cell r="AX53">
            <v>-13.316000000000013</v>
          </cell>
          <cell r="AY53">
            <v>-21.220000000000024</v>
          </cell>
          <cell r="AZ53">
            <v>-33.047999999999988</v>
          </cell>
          <cell r="BA53">
            <v>-31.130000000000006</v>
          </cell>
          <cell r="BB53">
            <v>-67.916999999999973</v>
          </cell>
          <cell r="BC53">
            <v>-141.22400000000002</v>
          </cell>
          <cell r="BD53">
            <v>-153.17499999999993</v>
          </cell>
          <cell r="BE53">
            <v>-190.441</v>
          </cell>
          <cell r="BF53">
            <v>-113.38399999999994</v>
          </cell>
          <cell r="BG53">
            <v>-90.372999999999948</v>
          </cell>
          <cell r="BH53">
            <v>-75.423328454056431</v>
          </cell>
          <cell r="BI53">
            <v>-64.858242325551586</v>
          </cell>
          <cell r="BJ53">
            <v>-52.74481042875788</v>
          </cell>
          <cell r="BK53">
            <v>-35.776933627989152</v>
          </cell>
          <cell r="BL53">
            <v>-12.729445840823313</v>
          </cell>
          <cell r="BM53"/>
        </row>
        <row r="54">
          <cell r="A54" t="str">
            <v>Adjusted Earnings Per Share (No Adjustments) - WAD</v>
          </cell>
          <cell r="B54"/>
          <cell r="C54"/>
          <cell r="D54"/>
          <cell r="E54"/>
          <cell r="F54"/>
          <cell r="G54"/>
          <cell r="H54"/>
          <cell r="I54"/>
          <cell r="J54"/>
          <cell r="K54"/>
          <cell r="L54"/>
          <cell r="M54"/>
          <cell r="N54"/>
          <cell r="O54"/>
          <cell r="P54"/>
          <cell r="Q54"/>
          <cell r="R54"/>
          <cell r="S54"/>
          <cell r="T54"/>
          <cell r="U54"/>
          <cell r="V54">
            <v>-1.142909938054457</v>
          </cell>
          <cell r="W54">
            <v>-0.45355869374876978</v>
          </cell>
          <cell r="X54">
            <v>-0.36929428185496199</v>
          </cell>
          <cell r="Y54">
            <v>-0.46230524801394113</v>
          </cell>
          <cell r="Z54">
            <v>-0.44402800230352268</v>
          </cell>
          <cell r="AA54">
            <v>-0.30240689907147944</v>
          </cell>
          <cell r="AB54">
            <v>-0.24427952783235346</v>
          </cell>
          <cell r="AC54">
            <v>-0.223346961048807</v>
          </cell>
          <cell r="AD54">
            <v>-0.24363741651092538</v>
          </cell>
          <cell r="AE54">
            <v>-0.23114621209643738</v>
          </cell>
          <cell r="AF54">
            <v>-0.12731039085047186</v>
          </cell>
          <cell r="AG54">
            <v>-0.18139940315099706</v>
          </cell>
          <cell r="AH54">
            <v>-0.25013868350365065</v>
          </cell>
          <cell r="AI54">
            <v>-0.23552580523414268</v>
          </cell>
          <cell r="AJ54">
            <v>-8.8245443627618506E-2</v>
          </cell>
          <cell r="AK54">
            <v>-0.13503564627426892</v>
          </cell>
          <cell r="AL54">
            <v>-0.18507316755083122</v>
          </cell>
          <cell r="AM54">
            <v>-0.23474159459498323</v>
          </cell>
          <cell r="AN54">
            <v>-4.7518447736023997E-2</v>
          </cell>
          <cell r="AO54">
            <v>-0.10502455042475331</v>
          </cell>
          <cell r="AP54">
            <v>-0.1661840693282354</v>
          </cell>
          <cell r="AQ54"/>
          <cell r="AR54"/>
          <cell r="AS54"/>
          <cell r="AT54"/>
          <cell r="AU54"/>
          <cell r="AV54"/>
          <cell r="AW54"/>
          <cell r="AX54"/>
          <cell r="AY54"/>
          <cell r="AZ54"/>
          <cell r="BA54"/>
          <cell r="BB54"/>
          <cell r="BC54"/>
          <cell r="BD54">
            <v>-5.5133742383048956</v>
          </cell>
          <cell r="BE54">
            <v>-1.7292650706534645</v>
          </cell>
          <cell r="BF54">
            <v>-1.0131923480672791</v>
          </cell>
          <cell r="BG54">
            <v>-0.79051503025603009</v>
          </cell>
          <cell r="BH54">
            <v>-0.64387483554923908</v>
          </cell>
          <cell r="BI54">
            <v>-0.55346125537252833</v>
          </cell>
          <cell r="BJ54">
            <v>-0.44991252450899311</v>
          </cell>
          <cell r="BK54">
            <v>-0.30505474140796568</v>
          </cell>
          <cell r="BL54">
            <v>-0.10849518853507059</v>
          </cell>
          <cell r="BM54"/>
        </row>
        <row r="69">
          <cell r="A69" t="str">
            <v>Operating Cash Flow after WC</v>
          </cell>
          <cell r="B69"/>
          <cell r="C69"/>
          <cell r="D69"/>
          <cell r="E69"/>
          <cell r="F69"/>
          <cell r="G69"/>
          <cell r="H69"/>
          <cell r="I69"/>
          <cell r="J69"/>
          <cell r="K69"/>
          <cell r="L69"/>
          <cell r="M69"/>
          <cell r="N69"/>
          <cell r="O69"/>
          <cell r="P69"/>
          <cell r="Q69">
            <v>-66.701999999999998</v>
          </cell>
          <cell r="R69">
            <v>-23.649999999999984</v>
          </cell>
          <cell r="S69">
            <v>-16.464000000000002</v>
          </cell>
          <cell r="T69">
            <v>-11.117999999999999</v>
          </cell>
          <cell r="U69">
            <v>-8.6330000000000027</v>
          </cell>
          <cell r="V69">
            <v>-28.314000000000018</v>
          </cell>
          <cell r="W69">
            <v>-17.293000000000003</v>
          </cell>
          <cell r="X69">
            <v>-1.7110000000000065</v>
          </cell>
          <cell r="Y69">
            <v>-6.7029999999999834</v>
          </cell>
          <cell r="Z69">
            <v>-17.462000000000007</v>
          </cell>
          <cell r="AA69">
            <v>-3.1299999999999901</v>
          </cell>
          <cell r="AB69">
            <v>7.9509999999999987</v>
          </cell>
          <cell r="AC69">
            <v>12.735000000000007</v>
          </cell>
          <cell r="AD69">
            <v>8.9239999999999906</v>
          </cell>
          <cell r="AE69">
            <v>3.4259999999999993</v>
          </cell>
          <cell r="AF69">
            <v>19.116000000000007</v>
          </cell>
          <cell r="AG69">
            <v>14.728999999999999</v>
          </cell>
          <cell r="AH69">
            <v>6.1189999999999989</v>
          </cell>
          <cell r="AI69">
            <v>5.4238690553875202</v>
          </cell>
          <cell r="AJ69">
            <v>14.744402664463461</v>
          </cell>
          <cell r="AK69">
            <v>13.022331078950337</v>
          </cell>
          <cell r="AL69">
            <v>8.6081235453740561</v>
          </cell>
          <cell r="AM69">
            <v>12.215675920772668</v>
          </cell>
          <cell r="AN69">
            <v>24.139999577087053</v>
          </cell>
          <cell r="AO69">
            <v>20.964419229788486</v>
          </cell>
          <cell r="AP69">
            <v>14.863410715243203</v>
          </cell>
          <cell r="AQ69"/>
          <cell r="AR69"/>
          <cell r="AS69"/>
          <cell r="AT69"/>
          <cell r="AU69"/>
          <cell r="AV69"/>
          <cell r="AW69"/>
          <cell r="AX69"/>
          <cell r="AY69"/>
          <cell r="AZ69"/>
          <cell r="BA69"/>
          <cell r="BB69">
            <v>-37.198000000000015</v>
          </cell>
          <cell r="BC69">
            <v>-90.351999999999975</v>
          </cell>
          <cell r="BD69">
            <v>-64.528999999999996</v>
          </cell>
          <cell r="BE69">
            <v>-43.169000000000004</v>
          </cell>
          <cell r="BF69">
            <v>26.479999999999997</v>
          </cell>
          <cell r="BG69">
            <v>43.390000000000008</v>
          </cell>
          <cell r="BH69">
            <v>41.798726344175357</v>
          </cell>
          <cell r="BI69">
            <v>72.183505442891402</v>
          </cell>
          <cell r="BJ69">
            <v>97.64639127185103</v>
          </cell>
          <cell r="BK69">
            <v>133.96445037457033</v>
          </cell>
          <cell r="BL69">
            <v>168.95925082440556</v>
          </cell>
          <cell r="BM69"/>
        </row>
        <row r="71">
          <cell r="A71" t="str">
            <v>Core FCF, Pre Div</v>
          </cell>
          <cell r="B71"/>
          <cell r="C71"/>
          <cell r="D71"/>
          <cell r="E71"/>
          <cell r="F71"/>
          <cell r="G71"/>
          <cell r="H71"/>
          <cell r="I71"/>
          <cell r="J71"/>
          <cell r="K71"/>
          <cell r="L71"/>
          <cell r="M71"/>
          <cell r="N71"/>
          <cell r="O71"/>
          <cell r="P71"/>
          <cell r="Q71">
            <v>-108.42699999999999</v>
          </cell>
          <cell r="R71">
            <v>-38.818999999999981</v>
          </cell>
          <cell r="S71">
            <v>-33.993000000000002</v>
          </cell>
          <cell r="T71">
            <v>-34.652000000000001</v>
          </cell>
          <cell r="U71">
            <v>-33.078000000000003</v>
          </cell>
          <cell r="V71">
            <v>-55.581000000000017</v>
          </cell>
          <cell r="W71">
            <v>-36.539000000000001</v>
          </cell>
          <cell r="X71">
            <v>-31.654000000000003</v>
          </cell>
          <cell r="Y71">
            <v>-27.043999999999983</v>
          </cell>
          <cell r="Z71">
            <v>-50.197000000000003</v>
          </cell>
          <cell r="AA71">
            <v>-35.514999999999986</v>
          </cell>
          <cell r="AB71">
            <v>-18.001000000000005</v>
          </cell>
          <cell r="AC71">
            <v>-8.2729999999999926</v>
          </cell>
          <cell r="AD71">
            <v>-7.518000000000006</v>
          </cell>
          <cell r="AE71">
            <v>-11.596</v>
          </cell>
          <cell r="AF71">
            <v>-2.1369999999999933</v>
          </cell>
          <cell r="AG71">
            <v>-12.192999999999998</v>
          </cell>
          <cell r="AH71">
            <v>-22.881999999999998</v>
          </cell>
          <cell r="AI71">
            <v>-19.57613094461248</v>
          </cell>
          <cell r="AJ71">
            <v>-10.255597335536539</v>
          </cell>
          <cell r="AK71">
            <v>-11.977668921049663</v>
          </cell>
          <cell r="AL71">
            <v>-16.391876454625944</v>
          </cell>
          <cell r="AM71">
            <v>-12.784324079227332</v>
          </cell>
          <cell r="AN71">
            <v>-0.86000042291294676</v>
          </cell>
          <cell r="AO71">
            <v>-4.0355807702115136</v>
          </cell>
          <cell r="AP71">
            <v>-10.136589284756797</v>
          </cell>
          <cell r="AQ71"/>
          <cell r="AR71"/>
          <cell r="AS71"/>
          <cell r="AT71"/>
          <cell r="AU71"/>
          <cell r="AV71"/>
          <cell r="AW71"/>
          <cell r="AX71"/>
          <cell r="AY71"/>
          <cell r="AZ71"/>
          <cell r="BA71"/>
          <cell r="BB71">
            <v>-81.88900000000001</v>
          </cell>
          <cell r="BC71">
            <v>-147.24599999999998</v>
          </cell>
          <cell r="BD71">
            <v>-157.30399999999997</v>
          </cell>
          <cell r="BE71">
            <v>-145.434</v>
          </cell>
          <cell r="BF71">
            <v>-69.306999999999988</v>
          </cell>
          <cell r="BG71">
            <v>-48.807999999999986</v>
          </cell>
          <cell r="BH71">
            <v>-58.201273655824643</v>
          </cell>
          <cell r="BI71">
            <v>-27.816494557108598</v>
          </cell>
          <cell r="BJ71">
            <v>-2.3536087281489699</v>
          </cell>
          <cell r="BK71">
            <v>33.964450374570333</v>
          </cell>
          <cell r="BL71">
            <v>68.959250824405558</v>
          </cell>
          <cell r="BM71"/>
        </row>
        <row r="79">
          <cell r="A79" t="str">
            <v>Change in Cash Position</v>
          </cell>
          <cell r="B79"/>
          <cell r="C79"/>
          <cell r="D79"/>
          <cell r="E79"/>
          <cell r="F79"/>
          <cell r="G79"/>
          <cell r="H79"/>
          <cell r="I79"/>
          <cell r="J79"/>
          <cell r="K79"/>
          <cell r="L79"/>
          <cell r="M79"/>
          <cell r="N79"/>
          <cell r="O79"/>
          <cell r="P79"/>
          <cell r="Q79">
            <v>-93.028999999999982</v>
          </cell>
          <cell r="R79">
            <v>-53.582999999999977</v>
          </cell>
          <cell r="S79">
            <v>81.953999999999994</v>
          </cell>
          <cell r="T79">
            <v>-35.033000000000001</v>
          </cell>
          <cell r="U79">
            <v>-12.327000000000002</v>
          </cell>
          <cell r="V79">
            <v>334.93999999999994</v>
          </cell>
          <cell r="W79">
            <v>-35.509000000000007</v>
          </cell>
          <cell r="X79">
            <v>-29.595000000000002</v>
          </cell>
          <cell r="Y79">
            <v>-25.993999999999982</v>
          </cell>
          <cell r="Z79">
            <v>-49.462000000000003</v>
          </cell>
          <cell r="AA79">
            <v>-34.785999999999987</v>
          </cell>
          <cell r="AB79">
            <v>-16.495000000000005</v>
          </cell>
          <cell r="AC79">
            <v>-5.5899999999999928</v>
          </cell>
          <cell r="AD79">
            <v>-17.513000000000005</v>
          </cell>
          <cell r="AE79">
            <v>-13.474</v>
          </cell>
          <cell r="AF79">
            <v>1.2770000000000064</v>
          </cell>
          <cell r="AG79">
            <v>-7.8949999999999969</v>
          </cell>
          <cell r="AH79">
            <v>-19.833999999999996</v>
          </cell>
          <cell r="AI79">
            <v>-19.57613094461248</v>
          </cell>
          <cell r="AJ79">
            <v>-10.255597335536539</v>
          </cell>
          <cell r="AK79">
            <v>-11.977668921049663</v>
          </cell>
          <cell r="AL79">
            <v>-16.391876454625944</v>
          </cell>
          <cell r="AM79">
            <v>-12.784324079227332</v>
          </cell>
          <cell r="AN79">
            <v>-0.86000042291294676</v>
          </cell>
          <cell r="AO79">
            <v>-4.0355807702115136</v>
          </cell>
          <cell r="AP79">
            <v>-10.136589284756797</v>
          </cell>
          <cell r="AQ79"/>
          <cell r="AR79"/>
          <cell r="AS79"/>
          <cell r="AT79"/>
          <cell r="AU79"/>
          <cell r="AV79"/>
          <cell r="AW79"/>
          <cell r="AX79"/>
          <cell r="AY79"/>
          <cell r="AZ79"/>
          <cell r="BA79"/>
          <cell r="BB79">
            <v>62.129999999999981</v>
          </cell>
          <cell r="BC79">
            <v>-146.61199999999997</v>
          </cell>
          <cell r="BD79">
            <v>369.53399999999999</v>
          </cell>
          <cell r="BE79">
            <v>-140.56</v>
          </cell>
          <cell r="BF79">
            <v>-74.383999999999986</v>
          </cell>
          <cell r="BG79">
            <v>-39.925999999999988</v>
          </cell>
          <cell r="BH79">
            <v>-58.201273655824643</v>
          </cell>
          <cell r="BI79">
            <v>-27.816494557108598</v>
          </cell>
          <cell r="BJ79">
            <v>-2.3536087281489699</v>
          </cell>
          <cell r="BK79">
            <v>33.964450374570333</v>
          </cell>
          <cell r="BL79">
            <v>68.959250824405558</v>
          </cell>
          <cell r="BM79"/>
        </row>
        <row r="81">
          <cell r="A81" t="str">
            <v>Operating Cash Flow Per Share</v>
          </cell>
          <cell r="B81"/>
          <cell r="C81"/>
          <cell r="D81"/>
          <cell r="E81"/>
          <cell r="F81"/>
          <cell r="G81"/>
          <cell r="H81"/>
          <cell r="I81"/>
          <cell r="J81"/>
          <cell r="K81"/>
          <cell r="L81"/>
          <cell r="M81"/>
          <cell r="N81"/>
          <cell r="O81"/>
          <cell r="P81"/>
          <cell r="Q81"/>
          <cell r="R81"/>
          <cell r="S81"/>
          <cell r="T81"/>
          <cell r="U81"/>
          <cell r="V81">
            <v>-0.22224993397932738</v>
          </cell>
          <cell r="W81">
            <v>-0.15796726196321348</v>
          </cell>
          <cell r="X81">
            <v>-1.5600002870181767E-2</v>
          </cell>
          <cell r="Y81">
            <v>-6.0729262497059198E-2</v>
          </cell>
          <cell r="Z81">
            <v>-0.15740827837557583</v>
          </cell>
          <cell r="AA81">
            <v>-2.8122934132386368E-2</v>
          </cell>
          <cell r="AB81">
            <v>7.1254916934296031E-2</v>
          </cell>
          <cell r="AC81">
            <v>0.11352319093819832</v>
          </cell>
          <cell r="AD81">
            <v>7.9310582364612942E-2</v>
          </cell>
          <cell r="AE81">
            <v>3.0379672484075408E-2</v>
          </cell>
          <cell r="AF81">
            <v>0.16830328018655716</v>
          </cell>
          <cell r="AG81">
            <v>0.12835471795787076</v>
          </cell>
          <cell r="AH81">
            <v>5.2724719406091657E-2</v>
          </cell>
          <cell r="AI81">
            <v>4.6309500608277744E-2</v>
          </cell>
          <cell r="AJ81">
            <v>0.12587649949171636</v>
          </cell>
          <cell r="AK81">
            <v>0.11116364525475808</v>
          </cell>
          <cell r="AL81">
            <v>7.3474918187470331E-2</v>
          </cell>
          <cell r="AM81">
            <v>0.1042568730047307</v>
          </cell>
          <cell r="AN81">
            <v>0.20600654729562531</v>
          </cell>
          <cell r="AO81">
            <v>0.17888880943093335</v>
          </cell>
          <cell r="AP81">
            <v>0.1268163908856007</v>
          </cell>
          <cell r="AQ81"/>
          <cell r="AR81"/>
          <cell r="AS81"/>
          <cell r="AT81"/>
          <cell r="AU81"/>
          <cell r="AV81"/>
          <cell r="AW81"/>
          <cell r="AX81"/>
          <cell r="AY81"/>
          <cell r="AZ81"/>
          <cell r="BA81"/>
          <cell r="BB81"/>
          <cell r="BC81"/>
          <cell r="BD81">
            <v>-0.50651854170205579</v>
          </cell>
          <cell r="BE81">
            <v>-0.39198829997237677</v>
          </cell>
          <cell r="BF81">
            <v>0.23662362746791046</v>
          </cell>
          <cell r="BG81">
            <v>0.37954308435936807</v>
          </cell>
          <cell r="BH81">
            <v>0.35682790195897413</v>
          </cell>
          <cell r="BI81">
            <v>0.61597064778724941</v>
          </cell>
          <cell r="BJ81">
            <v>0.83292240599955447</v>
          </cell>
          <cell r="BK81">
            <v>1.1422580591116946</v>
          </cell>
          <cell r="BL81">
            <v>1.4400678554403226</v>
          </cell>
          <cell r="BM81"/>
        </row>
        <row r="91">
          <cell r="A91" t="str">
            <v>LTM EBITDA</v>
          </cell>
          <cell r="B91"/>
          <cell r="C91"/>
          <cell r="D91"/>
          <cell r="E91"/>
          <cell r="F91"/>
          <cell r="G91"/>
          <cell r="H91"/>
          <cell r="I91"/>
          <cell r="J91"/>
          <cell r="K91"/>
          <cell r="L91"/>
          <cell r="M91"/>
          <cell r="N91"/>
          <cell r="O91">
            <v>-17.391499999999997</v>
          </cell>
          <cell r="P91">
            <v>-67.455500000000001</v>
          </cell>
          <cell r="Q91">
            <v>-95.863500000000002</v>
          </cell>
          <cell r="R91">
            <v>-124.8745</v>
          </cell>
          <cell r="S91"/>
          <cell r="T91">
            <v>-92.261999999999986</v>
          </cell>
          <cell r="U91">
            <v>-77.938999999999993</v>
          </cell>
          <cell r="V91">
            <v>-63.098999999999961</v>
          </cell>
          <cell r="W91">
            <v>-59.05999999999996</v>
          </cell>
          <cell r="X91">
            <v>-53.038999999999966</v>
          </cell>
          <cell r="Y91">
            <v>-46.162999999999954</v>
          </cell>
          <cell r="Z91">
            <v>-49.933999999999983</v>
          </cell>
          <cell r="AA91">
            <v>-39.65199999999998</v>
          </cell>
          <cell r="AB91">
            <v>-28.575999999999958</v>
          </cell>
          <cell r="AC91">
            <v>-18.887999999999966</v>
          </cell>
          <cell r="AD91">
            <v>-2.7949999999999235</v>
          </cell>
          <cell r="AE91">
            <v>4.0120000000000395</v>
          </cell>
          <cell r="AF91">
            <v>13.100000000000005</v>
          </cell>
          <cell r="AG91">
            <v>17.431000000000008</v>
          </cell>
          <cell r="AH91">
            <v>18.706999999999997</v>
          </cell>
          <cell r="AI91">
            <v>16.57099353750003</v>
          </cell>
          <cell r="AJ91">
            <v>22.508305692756608</v>
          </cell>
          <cell r="AK91">
            <v>28.521897935102434</v>
          </cell>
          <cell r="AL91">
            <v>35.894202336629398</v>
          </cell>
          <cell r="AM91">
            <v>39.700503992972962</v>
          </cell>
          <cell r="AN91">
            <v>49.039432840864869</v>
          </cell>
          <cell r="AO91">
            <v>56.721822041844383</v>
          </cell>
          <cell r="AP91">
            <v>62.683972069075011</v>
          </cell>
          <cell r="AQ91"/>
          <cell r="AR91"/>
          <cell r="AS91"/>
          <cell r="AT91"/>
          <cell r="AU91"/>
          <cell r="AV91"/>
          <cell r="AW91">
            <v>-1.5440000000000003</v>
          </cell>
          <cell r="AX91">
            <v>-8.2220000000000031</v>
          </cell>
          <cell r="AY91">
            <v>-13.436</v>
          </cell>
          <cell r="AZ91">
            <v>-18.370999999999995</v>
          </cell>
          <cell r="BA91">
            <v>-7.5000000000000009</v>
          </cell>
          <cell r="BB91">
            <v>-46.344000000000023</v>
          </cell>
          <cell r="BC91">
            <v>-107.48299999999998</v>
          </cell>
          <cell r="BD91">
            <v>-63.098999999999954</v>
          </cell>
          <cell r="BE91">
            <v>-49.93399999999999</v>
          </cell>
          <cell r="BF91">
            <v>-2.7949999999999484</v>
          </cell>
          <cell r="BG91">
            <v>18.708000000000077</v>
          </cell>
          <cell r="BH91">
            <v>35.894202336629398</v>
          </cell>
          <cell r="BI91">
            <v>62.683972069075011</v>
          </cell>
          <cell r="BJ91">
            <v>88.596829162460551</v>
          </cell>
          <cell r="BK91">
            <v>122.12406342226609</v>
          </cell>
          <cell r="BL91">
            <v>157.78687863653207</v>
          </cell>
          <cell r="BM91"/>
        </row>
        <row r="92">
          <cell r="A92" t="str">
            <v>LTM Cash Flow</v>
          </cell>
          <cell r="B92"/>
          <cell r="C92"/>
          <cell r="D92"/>
          <cell r="E92"/>
          <cell r="F92"/>
          <cell r="G92"/>
          <cell r="H92"/>
          <cell r="I92"/>
          <cell r="J92"/>
          <cell r="K92"/>
          <cell r="L92"/>
          <cell r="M92"/>
          <cell r="N92"/>
          <cell r="O92"/>
          <cell r="P92"/>
          <cell r="Q92"/>
          <cell r="R92">
            <v>-90.351999999999975</v>
          </cell>
          <cell r="S92"/>
          <cell r="T92">
            <v>-117.93399999999998</v>
          </cell>
          <cell r="U92">
            <v>-59.864999999999988</v>
          </cell>
          <cell r="V92">
            <v>-64.529000000000011</v>
          </cell>
          <cell r="W92">
            <v>-65.358000000000018</v>
          </cell>
          <cell r="X92">
            <v>-55.951000000000029</v>
          </cell>
          <cell r="Y92">
            <v>-54.021000000000015</v>
          </cell>
          <cell r="Z92">
            <v>-43.168999999999997</v>
          </cell>
          <cell r="AA92">
            <v>-29.005999999999986</v>
          </cell>
          <cell r="AB92">
            <v>-19.34399999999998</v>
          </cell>
          <cell r="AC92">
            <v>9.4000000000011852E-2</v>
          </cell>
          <cell r="AD92">
            <v>26.480000000000011</v>
          </cell>
          <cell r="AE92">
            <v>33.035999999999994</v>
          </cell>
          <cell r="AF92">
            <v>44.201000000000001</v>
          </cell>
          <cell r="AG92">
            <v>46.195</v>
          </cell>
          <cell r="AH92">
            <v>43.390000000000008</v>
          </cell>
          <cell r="AI92">
            <v>45.387869055387526</v>
          </cell>
          <cell r="AJ92">
            <v>41.016271719850977</v>
          </cell>
          <cell r="AK92">
            <v>39.309602798801322</v>
          </cell>
          <cell r="AL92">
            <v>41.798726344175371</v>
          </cell>
          <cell r="AM92">
            <v>48.590533209560519</v>
          </cell>
          <cell r="AN92">
            <v>57.986130122184115</v>
          </cell>
          <cell r="AO92">
            <v>65.928218273022267</v>
          </cell>
          <cell r="AP92">
            <v>72.183505442891402</v>
          </cell>
          <cell r="AQ92"/>
          <cell r="AR92"/>
          <cell r="AS92"/>
          <cell r="AT92"/>
          <cell r="AU92"/>
          <cell r="AV92"/>
          <cell r="AW92"/>
          <cell r="AX92"/>
          <cell r="AY92"/>
          <cell r="AZ92"/>
          <cell r="BA92"/>
          <cell r="BB92">
            <v>-37.198000000000015</v>
          </cell>
          <cell r="BC92">
            <v>-90.351999999999975</v>
          </cell>
          <cell r="BD92">
            <v>-64.528999999999996</v>
          </cell>
          <cell r="BE92">
            <v>-43.169000000000004</v>
          </cell>
          <cell r="BF92">
            <v>26.479999999999997</v>
          </cell>
          <cell r="BG92">
            <v>43.390000000000008</v>
          </cell>
          <cell r="BH92">
            <v>41.798726344175357</v>
          </cell>
          <cell r="BI92">
            <v>72.183505442891402</v>
          </cell>
          <cell r="BJ92">
            <v>97.64639127185103</v>
          </cell>
          <cell r="BK92">
            <v>133.96445037457033</v>
          </cell>
          <cell r="BL92">
            <v>168.95925082440556</v>
          </cell>
          <cell r="BM92"/>
        </row>
        <row r="98">
          <cell r="A98" t="str">
            <v>Average Shareholder's Equity</v>
          </cell>
          <cell r="B98"/>
          <cell r="C98"/>
          <cell r="D98"/>
          <cell r="E98"/>
          <cell r="F98"/>
          <cell r="G98"/>
          <cell r="H98"/>
          <cell r="I98"/>
          <cell r="J98"/>
          <cell r="K98"/>
          <cell r="L98"/>
          <cell r="M98"/>
          <cell r="N98"/>
          <cell r="O98"/>
          <cell r="P98"/>
          <cell r="Q98"/>
          <cell r="R98"/>
          <cell r="S98"/>
          <cell r="T98"/>
          <cell r="U98">
            <v>287.27899999999994</v>
          </cell>
          <cell r="V98">
            <v>470.19799999999987</v>
          </cell>
          <cell r="W98"/>
          <cell r="X98">
            <v>544.87749999999994</v>
          </cell>
          <cell r="Y98">
            <v>618.91724999999997</v>
          </cell>
          <cell r="Z98">
            <v>590.94450000000006</v>
          </cell>
          <cell r="AA98">
            <v>564.851</v>
          </cell>
          <cell r="AB98">
            <v>539.63625000000013</v>
          </cell>
          <cell r="AC98">
            <v>518.86025000000006</v>
          </cell>
          <cell r="AD98">
            <v>504.20300000000003</v>
          </cell>
          <cell r="AE98">
            <v>491.13325000000009</v>
          </cell>
          <cell r="AF98">
            <v>480.83600000000001</v>
          </cell>
          <cell r="AG98">
            <v>471.57850000000008</v>
          </cell>
          <cell r="AH98">
            <v>462.46550000000002</v>
          </cell>
          <cell r="AI98">
            <v>451.81325838437505</v>
          </cell>
          <cell r="AJ98">
            <v>441.50852385520261</v>
          </cell>
          <cell r="AK98">
            <v>431.73494244091631</v>
          </cell>
          <cell r="AL98">
            <v>423.44786658322755</v>
          </cell>
          <cell r="AM98">
            <v>415.6946513165791</v>
          </cell>
          <cell r="AN98">
            <v>409.79315752291825</v>
          </cell>
          <cell r="AO98">
            <v>405.36921992530699</v>
          </cell>
          <cell r="AP98">
            <v>402.02838383940048</v>
          </cell>
          <cell r="AQ98"/>
          <cell r="AR98"/>
          <cell r="AS98"/>
          <cell r="AT98"/>
          <cell r="AU98"/>
          <cell r="AV98"/>
          <cell r="AW98"/>
          <cell r="AX98"/>
          <cell r="AY98"/>
          <cell r="AZ98"/>
          <cell r="BA98"/>
          <cell r="BB98"/>
          <cell r="BC98">
            <v>265.35950000000003</v>
          </cell>
          <cell r="BD98">
            <v>425.6964999999999</v>
          </cell>
          <cell r="BE98">
            <v>597.17149999999992</v>
          </cell>
          <cell r="BF98">
            <v>511.91150000000005</v>
          </cell>
          <cell r="BG98">
            <v>464.37100000000004</v>
          </cell>
          <cell r="BH98">
            <v>429.5708482846224</v>
          </cell>
          <cell r="BI98">
            <v>406.31502439743161</v>
          </cell>
          <cell r="BJ98">
            <v>403.87399678722693</v>
          </cell>
          <cell r="BK98">
            <v>426.89510526687275</v>
          </cell>
          <cell r="BL98">
            <v>481.19952659743808</v>
          </cell>
          <cell r="BM98"/>
        </row>
        <row r="103">
          <cell r="A103" t="str">
            <v>Average Total Assets</v>
          </cell>
          <cell r="B103"/>
          <cell r="C103"/>
          <cell r="D103"/>
          <cell r="E103"/>
          <cell r="F103"/>
          <cell r="G103"/>
          <cell r="H103"/>
          <cell r="I103"/>
          <cell r="J103"/>
          <cell r="K103"/>
          <cell r="L103"/>
          <cell r="M103"/>
          <cell r="N103"/>
          <cell r="O103"/>
          <cell r="P103"/>
          <cell r="Q103"/>
          <cell r="R103"/>
          <cell r="S103"/>
          <cell r="T103"/>
          <cell r="U103"/>
          <cell r="V103"/>
          <cell r="W103"/>
          <cell r="X103">
            <v>658.46124999999995</v>
          </cell>
          <cell r="Y103">
            <v>732.01949999999999</v>
          </cell>
          <cell r="Z103">
            <v>768.59100000000001</v>
          </cell>
          <cell r="AA103">
            <v>808.11125000000004</v>
          </cell>
          <cell r="AB103">
            <v>848.08725000000004</v>
          </cell>
          <cell r="AC103">
            <v>892.99275000000011</v>
          </cell>
          <cell r="AD103">
            <v>879.89825000000008</v>
          </cell>
          <cell r="AE103">
            <v>866.62225000000001</v>
          </cell>
          <cell r="AF103">
            <v>859.572</v>
          </cell>
          <cell r="AG103">
            <v>854.10349999999994</v>
          </cell>
          <cell r="AH103">
            <v>854.15374999999995</v>
          </cell>
          <cell r="AI103">
            <v>856.09860765587314</v>
          </cell>
          <cell r="AJ103">
            <v>852.81601930083093</v>
          </cell>
          <cell r="AK103">
            <v>848.65572544826796</v>
          </cell>
          <cell r="AL103">
            <v>842.40263959625258</v>
          </cell>
          <cell r="AM103">
            <v>837.84903910335186</v>
          </cell>
          <cell r="AN103">
            <v>835.30222400226762</v>
          </cell>
          <cell r="AO103">
            <v>834.44087566936321</v>
          </cell>
          <cell r="AP103">
            <v>834.81382838530772</v>
          </cell>
          <cell r="AQ103"/>
          <cell r="AR103"/>
          <cell r="AS103"/>
          <cell r="AT103"/>
          <cell r="AU103"/>
          <cell r="AV103"/>
          <cell r="AW103"/>
          <cell r="AX103"/>
          <cell r="AY103"/>
          <cell r="AZ103"/>
          <cell r="BA103"/>
          <cell r="BB103"/>
          <cell r="BC103">
            <v>326.05150000000003</v>
          </cell>
          <cell r="BD103">
            <v>514.16599999999994</v>
          </cell>
          <cell r="BE103">
            <v>835.79200000000003</v>
          </cell>
          <cell r="BF103">
            <v>882.74600000000009</v>
          </cell>
          <cell r="BG103">
            <v>856.65749999999991</v>
          </cell>
          <cell r="BH103">
            <v>844.25182829596883</v>
          </cell>
          <cell r="BI103">
            <v>832.49156202382687</v>
          </cell>
          <cell r="BJ103">
            <v>845.31761860957067</v>
          </cell>
          <cell r="BK103">
            <v>885.93553206543436</v>
          </cell>
          <cell r="BL103">
            <v>958.40736662789209</v>
          </cell>
          <cell r="BM103"/>
        </row>
        <row r="106">
          <cell r="A106" t="str">
            <v>Average Book Value of Debt</v>
          </cell>
          <cell r="B106"/>
          <cell r="C106"/>
          <cell r="D106"/>
          <cell r="E106"/>
          <cell r="F106"/>
          <cell r="G106"/>
          <cell r="H106"/>
          <cell r="I106"/>
          <cell r="J106"/>
          <cell r="K106"/>
          <cell r="L106"/>
          <cell r="M106"/>
          <cell r="N106"/>
          <cell r="O106"/>
          <cell r="P106"/>
          <cell r="Q106"/>
          <cell r="R106"/>
          <cell r="S106"/>
          <cell r="T106"/>
          <cell r="U106"/>
          <cell r="V106"/>
          <cell r="W106"/>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cell r="AR106"/>
          <cell r="AS106"/>
          <cell r="AT106"/>
          <cell r="AU106"/>
          <cell r="AV106"/>
          <cell r="AW106"/>
          <cell r="AX106"/>
          <cell r="AY106"/>
          <cell r="AZ106"/>
          <cell r="BA106"/>
          <cell r="BB106"/>
          <cell r="BC106">
            <v>0</v>
          </cell>
          <cell r="BD106">
            <v>0</v>
          </cell>
          <cell r="BE106">
            <v>0</v>
          </cell>
          <cell r="BF106">
            <v>0</v>
          </cell>
          <cell r="BG106">
            <v>0</v>
          </cell>
          <cell r="BH106">
            <v>0</v>
          </cell>
          <cell r="BI106">
            <v>0</v>
          </cell>
          <cell r="BJ106">
            <v>0</v>
          </cell>
          <cell r="BK106">
            <v>0</v>
          </cell>
          <cell r="BL106">
            <v>0</v>
          </cell>
          <cell r="BM106"/>
        </row>
        <row r="112">
          <cell r="A112" t="str">
            <v>Average Current Liabilities</v>
          </cell>
          <cell r="B112"/>
          <cell r="C112"/>
          <cell r="D112"/>
          <cell r="E112"/>
          <cell r="F112"/>
          <cell r="G112"/>
          <cell r="H112"/>
          <cell r="I112"/>
          <cell r="J112"/>
          <cell r="K112"/>
          <cell r="L112"/>
          <cell r="M112"/>
          <cell r="N112"/>
          <cell r="O112"/>
          <cell r="P112"/>
          <cell r="Q112"/>
          <cell r="R112"/>
          <cell r="S112"/>
          <cell r="T112"/>
          <cell r="U112"/>
          <cell r="V112"/>
          <cell r="W112"/>
          <cell r="X112">
            <v>50.3675</v>
          </cell>
          <cell r="Y112">
            <v>48.77675</v>
          </cell>
          <cell r="Z112">
            <v>55.031999999999996</v>
          </cell>
          <cell r="AA112">
            <v>60.988249999999994</v>
          </cell>
          <cell r="AB112">
            <v>67.876999999999995</v>
          </cell>
          <cell r="AC112">
            <v>76.236999999999995</v>
          </cell>
          <cell r="AD112">
            <v>80.994500000000002</v>
          </cell>
          <cell r="AE112">
            <v>84.512</v>
          </cell>
          <cell r="AF112">
            <v>89.395749999999992</v>
          </cell>
          <cell r="AG112">
            <v>93.762999999999991</v>
          </cell>
          <cell r="AH112">
            <v>99.824999999999989</v>
          </cell>
          <cell r="AI112">
            <v>109.99859927149822</v>
          </cell>
          <cell r="AJ112">
            <v>116.17924544562844</v>
          </cell>
          <cell r="AK112">
            <v>122.13478300735184</v>
          </cell>
          <cell r="AL112">
            <v>124.16877301302513</v>
          </cell>
          <cell r="AM112">
            <v>127.36838778677281</v>
          </cell>
          <cell r="AN112">
            <v>130.72306647934946</v>
          </cell>
          <cell r="AO112">
            <v>134.2856557440563</v>
          </cell>
          <cell r="AP112">
            <v>137.99944454590735</v>
          </cell>
          <cell r="AQ112"/>
          <cell r="AR112"/>
          <cell r="AS112"/>
          <cell r="AT112"/>
          <cell r="AU112"/>
          <cell r="AV112"/>
          <cell r="AW112"/>
          <cell r="AX112"/>
          <cell r="AY112"/>
          <cell r="AZ112"/>
          <cell r="BA112"/>
          <cell r="BB112"/>
          <cell r="BC112">
            <v>34.6175</v>
          </cell>
          <cell r="BD112">
            <v>41.923000000000002</v>
          </cell>
          <cell r="BE112">
            <v>60.038499999999999</v>
          </cell>
          <cell r="BF112">
            <v>82.063999999999993</v>
          </cell>
          <cell r="BG112">
            <v>103.703</v>
          </cell>
          <cell r="BH112">
            <v>119.89498001134656</v>
          </cell>
          <cell r="BI112">
            <v>131.39053762639526</v>
          </cell>
          <cell r="BJ112">
            <v>146.65762182234388</v>
          </cell>
          <cell r="BK112">
            <v>164.25442679856172</v>
          </cell>
          <cell r="BL112">
            <v>182.42184003045412</v>
          </cell>
          <cell r="BM112"/>
        </row>
      </sheetData>
      <sheetData sheetId="7">
        <row r="7">
          <cell r="F7" t="str">
            <v>FY2024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Drivers"/>
      <sheetName val="Robotics Market"/>
      <sheetName val="Memo"/>
      <sheetName val="Summary Statements"/>
      <sheetName val="Assumptions"/>
      <sheetName val="Model"/>
      <sheetName val="Historicals"/>
      <sheetName val="Stock (new)"/>
      <sheetName val="Qualitative"/>
      <sheetName val="FSD"/>
      <sheetName val="Other ---&gt;"/>
      <sheetName val="Stock"/>
      <sheetName val="Delivery Data"/>
      <sheetName val="Exec Comp"/>
      <sheetName val="Supplemental Data"/>
      <sheetName val="Guidance"/>
      <sheetName val="Summary Page"/>
      <sheetName val="Update Log"/>
    </sheetNames>
    <sheetDataSet>
      <sheetData sheetId="0">
        <row r="15">
          <cell r="H15" t="str">
            <v>Bloomberg</v>
          </cell>
        </row>
      </sheetData>
      <sheetData sheetId="1" refreshError="1"/>
      <sheetData sheetId="2" refreshError="1"/>
      <sheetData sheetId="3" refreshError="1"/>
      <sheetData sheetId="4" refreshError="1"/>
      <sheetData sheetId="5" refreshError="1"/>
      <sheetData sheetId="6" refreshError="1"/>
      <sheetData sheetId="7">
        <row r="1">
          <cell r="A1" t="str">
            <v>Tesla, Inc.</v>
          </cell>
        </row>
        <row r="338">
          <cell r="A338" t="str">
            <v>COGS Margin, %</v>
          </cell>
          <cell r="C338">
            <v>0.82854864433811792</v>
          </cell>
          <cell r="D338">
            <v>0.75197895043429541</v>
          </cell>
          <cell r="E338">
            <v>0.76151859528081867</v>
          </cell>
          <cell r="F338">
            <v>0.74547112491649303</v>
          </cell>
          <cell r="G338">
            <v>0.75001208620850812</v>
          </cell>
          <cell r="H338">
            <v>0.72314905199070911</v>
          </cell>
          <cell r="I338">
            <v>0.70433221727063977</v>
          </cell>
          <cell r="J338">
            <v>0.72644750857409268</v>
          </cell>
          <cell r="K338">
            <v>0.72329127122611392</v>
          </cell>
          <cell r="L338">
            <v>0.77657030124317261</v>
          </cell>
          <cell r="M338">
            <v>0.75288352019504923</v>
          </cell>
          <cell r="N338">
            <v>0.82002009255751906</v>
          </cell>
          <cell r="O338">
            <v>0.77989761544416625</v>
          </cell>
          <cell r="P338">
            <v>0.78364384098795525</v>
          </cell>
          <cell r="Q338">
            <v>0.72297031546669133</v>
          </cell>
          <cell r="R338">
            <v>0.80947557833190575</v>
          </cell>
          <cell r="S338">
            <v>0.75227035868069592</v>
          </cell>
          <cell r="T338">
            <v>0.76103194880047265</v>
          </cell>
          <cell r="U338">
            <v>0.84951795421612053</v>
          </cell>
          <cell r="V338">
            <v>0.86655937552174445</v>
          </cell>
          <cell r="W338">
            <v>0.86607235318742837</v>
          </cell>
          <cell r="X338">
            <v>0.84535375394373802</v>
          </cell>
          <cell r="Y338">
            <v>0.77673317837006639</v>
          </cell>
          <cell r="Z338">
            <v>0.80031478549373913</v>
          </cell>
          <cell r="AA338">
            <v>0.87542717502549838</v>
          </cell>
          <cell r="AB338">
            <v>0.85494598464551586</v>
          </cell>
          <cell r="AC338">
            <v>0.81104236078058067</v>
          </cell>
          <cell r="AD338">
            <v>0.811587570728589</v>
          </cell>
          <cell r="AE338">
            <v>0.79381787802840431</v>
          </cell>
          <cell r="AF338">
            <v>0.79009277667329358</v>
          </cell>
          <cell r="AG338">
            <v>0.76479306806521496</v>
          </cell>
          <cell r="AH338">
            <v>0.80770662695457929</v>
          </cell>
          <cell r="AI338">
            <v>0.78679372413129267</v>
          </cell>
          <cell r="AJ338">
            <v>0.75882254557618334</v>
          </cell>
          <cell r="AK338">
            <v>0.73395362360979866</v>
          </cell>
          <cell r="AL338">
            <v>0.72645183136745861</v>
          </cell>
          <cell r="AM338">
            <v>0.70889315419065901</v>
          </cell>
          <cell r="AN338">
            <v>0.74997047360340141</v>
          </cell>
          <cell r="AO338">
            <v>0.74913768994126972</v>
          </cell>
          <cell r="AP338">
            <v>0.76243934534089974</v>
          </cell>
          <cell r="AQ338">
            <v>0.80663551802477607</v>
          </cell>
          <cell r="AR338">
            <v>0.81814899506559158</v>
          </cell>
          <cell r="AS338">
            <v>0.82107066381156313</v>
          </cell>
          <cell r="AT338">
            <v>0.82365796479516828</v>
          </cell>
          <cell r="AU338">
            <v>0.82648701938876112</v>
          </cell>
          <cell r="AV338">
            <v>0.82047058823529406</v>
          </cell>
          <cell r="AW338">
            <v>0.80156460964180765</v>
          </cell>
          <cell r="AX338">
            <v>0.83743727389427003</v>
          </cell>
          <cell r="AY338">
            <v>0.81051289088112277</v>
          </cell>
          <cell r="AZ338">
            <v>0.8241827321543217</v>
          </cell>
          <cell r="BA338">
            <v>0.80543121825576347</v>
          </cell>
          <cell r="BB338">
            <v>0.82589027565825757</v>
          </cell>
          <cell r="BC338">
            <v>0.80336985098859104</v>
          </cell>
          <cell r="BD338">
            <v>0.81764802463566333</v>
          </cell>
          <cell r="BE338">
            <v>0.79881372825641106</v>
          </cell>
          <cell r="BF338">
            <v>0.81963635418538683</v>
          </cell>
          <cell r="BH338">
            <v>0.91482272227830241</v>
          </cell>
          <cell r="BI338">
            <v>0.73676591516480505</v>
          </cell>
          <cell r="BJ338">
            <v>0.69842148040070107</v>
          </cell>
          <cell r="BK338">
            <v>0.92724364558530303</v>
          </cell>
          <cell r="BL338">
            <v>0.77339810955671129</v>
          </cell>
          <cell r="BM338">
            <v>0.72433619021772433</v>
          </cell>
          <cell r="BN338">
            <v>0.77175054528827669</v>
          </cell>
          <cell r="BO338">
            <v>0.77153902240700611</v>
          </cell>
          <cell r="BP338">
            <v>0.81099293623957158</v>
          </cell>
          <cell r="BQ338">
            <v>0.81165973045022333</v>
          </cell>
          <cell r="BR338">
            <v>0.83444543901049717</v>
          </cell>
          <cell r="BS338">
            <v>0.7897640791476408</v>
          </cell>
          <cell r="BT338">
            <v>0.74720844248741247</v>
          </cell>
          <cell r="BU338">
            <v>0.74401561464240995</v>
          </cell>
          <cell r="BV338">
            <v>0.81751108263668582</v>
          </cell>
          <cell r="BW338">
            <v>0.82137373323779306</v>
          </cell>
          <cell r="BX338">
            <v>0.81671089785595563</v>
          </cell>
          <cell r="BY338">
            <v>0.81012499577972374</v>
          </cell>
          <cell r="BZ338">
            <v>0.80297814496245201</v>
          </cell>
          <cell r="CA338">
            <v>0.79546341052552716</v>
          </cell>
          <cell r="CB338">
            <v>0.78687224550508783</v>
          </cell>
        </row>
        <row r="348">
          <cell r="A348" t="str">
            <v>SG&amp;A Margin, %</v>
          </cell>
          <cell r="C348">
            <v>8.3740957507404873E-2</v>
          </cell>
          <cell r="D348">
            <v>0.14800599300486994</v>
          </cell>
          <cell r="E348">
            <v>0.17867558757934465</v>
          </cell>
          <cell r="F348">
            <v>0.16496564637958194</v>
          </cell>
          <cell r="G348">
            <v>0.18943278617724504</v>
          </cell>
          <cell r="H348">
            <v>0.17421352338145629</v>
          </cell>
          <cell r="I348">
            <v>0.18209235927513842</v>
          </cell>
          <cell r="J348">
            <v>0.20589320563919716</v>
          </cell>
          <cell r="K348">
            <v>0.2078616419117334</v>
          </cell>
          <cell r="L348">
            <v>0.21136237978755487</v>
          </cell>
          <cell r="M348">
            <v>0.25231615657314505</v>
          </cell>
          <cell r="N348">
            <v>0.23769660238146212</v>
          </cell>
          <cell r="O348">
            <v>0.27741646382714585</v>
          </cell>
          <cell r="P348">
            <v>0.2528722056476409</v>
          </cell>
          <cell r="Q348">
            <v>0.1465392118814707</v>
          </cell>
          <cell r="R348">
            <v>0.19960159868267568</v>
          </cell>
          <cell r="S348">
            <v>0.22381104266264137</v>
          </cell>
          <cell r="T348">
            <v>0.19277505353000493</v>
          </cell>
          <cell r="U348">
            <v>0.2187836196570816</v>
          </cell>
          <cell r="V348">
            <v>0.20749341062675</v>
          </cell>
          <cell r="W348">
            <v>0.20136525079127221</v>
          </cell>
          <cell r="X348">
            <v>0.18758512439686767</v>
          </cell>
          <cell r="Y348">
            <v>0.10695073700844306</v>
          </cell>
          <cell r="Z348">
            <v>9.2369738576916632E-2</v>
          </cell>
          <cell r="AA348">
            <v>0.1550004580020892</v>
          </cell>
          <cell r="AB348">
            <v>0.10193606728910262</v>
          </cell>
          <cell r="AC348">
            <v>9.4558146914167862E-2</v>
          </cell>
          <cell r="AD348">
            <v>9.4640201737302684E-2</v>
          </cell>
          <cell r="AE348">
            <v>0.10476190476190476</v>
          </cell>
          <cell r="AF348">
            <v>0.10950960901259112</v>
          </cell>
          <cell r="AG348">
            <v>0.10124273172956333</v>
          </cell>
          <cell r="AH348">
            <v>9.0189873417721514E-2</v>
          </cell>
          <cell r="AI348">
            <v>0.10164597170083742</v>
          </cell>
          <cell r="AJ348">
            <v>8.1368121759491555E-2</v>
          </cell>
          <cell r="AK348">
            <v>7.2254125172639377E-2</v>
          </cell>
          <cell r="AL348">
            <v>8.4316270669902368E-2</v>
          </cell>
          <cell r="AM348">
            <v>5.2889741949242911E-2</v>
          </cell>
          <cell r="AN348">
            <v>5.6749734262430615E-2</v>
          </cell>
          <cell r="AO348">
            <v>4.4793511699449985E-2</v>
          </cell>
          <cell r="AP348">
            <v>4.2437700468788551E-2</v>
          </cell>
          <cell r="AQ348">
            <v>4.6122851386686099E-2</v>
          </cell>
          <cell r="AR348">
            <v>4.7779516187266821E-2</v>
          </cell>
          <cell r="AS348">
            <v>5.3661670235546036E-2</v>
          </cell>
          <cell r="AT348">
            <v>5.0860253506576074E-2</v>
          </cell>
          <cell r="AU348">
            <v>6.4504013896061224E-2</v>
          </cell>
          <cell r="AV348">
            <v>5.0078431372549019E-2</v>
          </cell>
          <cell r="AW348">
            <v>4.7097132872686839E-2</v>
          </cell>
          <cell r="AX348">
            <v>5.1075582526160193E-2</v>
          </cell>
          <cell r="AY348">
            <v>6.2504013896061222E-2</v>
          </cell>
          <cell r="AZ348">
            <v>4.8078431372549017E-2</v>
          </cell>
          <cell r="BA348">
            <v>4.5097132872686838E-2</v>
          </cell>
          <cell r="BB348">
            <v>4.6075582526160196E-2</v>
          </cell>
          <cell r="BC348">
            <v>6.1504013896061228E-2</v>
          </cell>
          <cell r="BD348">
            <v>4.7078431372549016E-2</v>
          </cell>
          <cell r="BE348">
            <v>4.4097132872686837E-2</v>
          </cell>
          <cell r="BF348">
            <v>4.5075582526160195E-2</v>
          </cell>
          <cell r="BH348">
            <v>0.37653091305396497</v>
          </cell>
          <cell r="BI348">
            <v>0.72443123415336119</v>
          </cell>
          <cell r="BJ348">
            <v>0.50969927830710626</v>
          </cell>
          <cell r="BK348">
            <v>0.36387130495383008</v>
          </cell>
          <cell r="BL348">
            <v>0.14182744837834294</v>
          </cell>
          <cell r="BM348">
            <v>0.18874071554260999</v>
          </cell>
          <cell r="BN348">
            <v>0.22793531923307442</v>
          </cell>
          <cell r="BO348">
            <v>0.20459457050238483</v>
          </cell>
          <cell r="BP348">
            <v>0.21060910295659802</v>
          </cell>
          <cell r="BQ348">
            <v>0.13207472177319626</v>
          </cell>
          <cell r="BR348">
            <v>0.10765725445520384</v>
          </cell>
          <cell r="BS348">
            <v>9.9727295788939629E-2</v>
          </cell>
          <cell r="BT348">
            <v>8.3923229845976624E-2</v>
          </cell>
          <cell r="BU348">
            <v>4.8439763325231394E-2</v>
          </cell>
          <cell r="BV348">
            <v>4.9600611740878139E-2</v>
          </cell>
          <cell r="BW348">
            <v>5.2717780734977994E-2</v>
          </cell>
          <cell r="BX348">
            <v>5.0126994854102117E-2</v>
          </cell>
          <cell r="BY348">
            <v>4.9067446595982132E-2</v>
          </cell>
          <cell r="BZ348">
            <v>4.8067446595982125E-2</v>
          </cell>
          <cell r="CA348">
            <v>4.7067446595982138E-2</v>
          </cell>
          <cell r="CB348">
            <v>4.606744659598213E-2</v>
          </cell>
        </row>
        <row r="349">
          <cell r="A349" t="str">
            <v>R&amp;D Margin, %</v>
          </cell>
          <cell r="C349">
            <v>9.7650019936204147E-2</v>
          </cell>
          <cell r="D349">
            <v>0.12912111645632732</v>
          </cell>
          <cell r="E349">
            <v>0.1306399039286327</v>
          </cell>
          <cell r="F349">
            <v>0.11126769491839492</v>
          </cell>
          <cell r="G349">
            <v>0.13140770487734915</v>
          </cell>
          <cell r="H349">
            <v>0.14001058037379654</v>
          </cell>
          <cell r="I349">
            <v>0.15951204737240021</v>
          </cell>
          <cell r="J349">
            <v>0.14588762372460046</v>
          </cell>
          <cell r="K349">
            <v>0.17784610801378897</v>
          </cell>
          <cell r="L349">
            <v>0.19027912743356901</v>
          </cell>
          <cell r="M349">
            <v>0.19085514454162036</v>
          </cell>
          <cell r="N349">
            <v>0.15665854180734201</v>
          </cell>
          <cell r="O349">
            <v>0.15908837293644207</v>
          </cell>
          <cell r="P349">
            <v>0.15091451531751149</v>
          </cell>
          <cell r="Q349">
            <v>9.3238184574206115E-2</v>
          </cell>
          <cell r="R349">
            <v>0.10765852341143932</v>
          </cell>
          <cell r="S349">
            <v>0.11943907694704166</v>
          </cell>
          <cell r="T349">
            <v>0.13255653137756282</v>
          </cell>
          <cell r="U349">
            <v>0.11110824461624799</v>
          </cell>
          <cell r="V349">
            <v>0.10784980091227887</v>
          </cell>
          <cell r="W349">
            <v>0.10769223096670892</v>
          </cell>
          <cell r="X349">
            <v>9.6478439150563783E-2</v>
          </cell>
          <cell r="Y349">
            <v>5.1410722065033283E-2</v>
          </cell>
          <cell r="Z349">
            <v>4.9308505698896159E-2</v>
          </cell>
          <cell r="AA349">
            <v>7.4904039754581334E-2</v>
          </cell>
          <cell r="AB349">
            <v>5.1010161778333264E-2</v>
          </cell>
          <cell r="AC349">
            <v>5.2990639378073932E-2</v>
          </cell>
          <cell r="AD349">
            <v>4.6713778430251915E-2</v>
          </cell>
          <cell r="AE349">
            <v>5.4135338345864661E-2</v>
          </cell>
          <cell r="AF349">
            <v>4.6222664015904573E-2</v>
          </cell>
          <cell r="AG349">
            <v>4.1728423212860563E-2</v>
          </cell>
          <cell r="AH349">
            <v>4.8585256887565154E-2</v>
          </cell>
          <cell r="AI349">
            <v>6.410626624314178E-2</v>
          </cell>
          <cell r="AJ349">
            <v>4.8168590065228299E-2</v>
          </cell>
          <cell r="AK349">
            <v>4.4413752998473506E-2</v>
          </cell>
          <cell r="AL349">
            <v>4.176307918054066E-2</v>
          </cell>
          <cell r="AM349">
            <v>4.6118575389208785E-2</v>
          </cell>
          <cell r="AN349">
            <v>3.9388213062477855E-2</v>
          </cell>
          <cell r="AO349">
            <v>3.4166122867530534E-2</v>
          </cell>
          <cell r="AP349">
            <v>3.3308660251665435E-2</v>
          </cell>
          <cell r="AQ349">
            <v>3.3048994813322477E-2</v>
          </cell>
          <cell r="AR349">
            <v>3.7830464957676418E-2</v>
          </cell>
          <cell r="AS349">
            <v>4.9721627408993579E-2</v>
          </cell>
          <cell r="AT349">
            <v>4.3469622918901739E-2</v>
          </cell>
          <cell r="AU349">
            <v>5.4035021829961033E-2</v>
          </cell>
          <cell r="AV349">
            <v>4.211764705882353E-2</v>
          </cell>
          <cell r="AW349">
            <v>4.1259629894368995E-2</v>
          </cell>
          <cell r="AX349">
            <v>4.9636285836542574E-2</v>
          </cell>
          <cell r="AY349">
            <v>5.2035021829961031E-2</v>
          </cell>
          <cell r="AZ349">
            <v>4.0117647058823529E-2</v>
          </cell>
          <cell r="BA349">
            <v>3.9259629894368993E-2</v>
          </cell>
          <cell r="BB349">
            <v>4.4636285836542576E-2</v>
          </cell>
          <cell r="BC349">
            <v>5.103502182996103E-2</v>
          </cell>
          <cell r="BD349">
            <v>3.9117647058823528E-2</v>
          </cell>
          <cell r="BE349">
            <v>3.8259629894368992E-2</v>
          </cell>
          <cell r="BF349">
            <v>4.3636285836542575E-2</v>
          </cell>
          <cell r="BH349">
            <v>0.17224837640584942</v>
          </cell>
          <cell r="BI349">
            <v>0.79658055231960523</v>
          </cell>
          <cell r="BJ349">
            <v>1.0232028671869644</v>
          </cell>
          <cell r="BK349">
            <v>0.66297404030431495</v>
          </cell>
          <cell r="BL349">
            <v>0.11521055914687688</v>
          </cell>
          <cell r="BM349">
            <v>0.14529339448141482</v>
          </cell>
          <cell r="BN349">
            <v>0.17743340686229075</v>
          </cell>
          <cell r="BO349">
            <v>0.11919889510654944</v>
          </cell>
          <cell r="BP349">
            <v>0.11719552527304984</v>
          </cell>
          <cell r="BQ349">
            <v>6.8046771514152851E-2</v>
          </cell>
          <cell r="BR349">
            <v>5.4642363088941333E-2</v>
          </cell>
          <cell r="BS349">
            <v>4.7279299847792999E-2</v>
          </cell>
          <cell r="BT349">
            <v>4.817643015067908E-2</v>
          </cell>
          <cell r="BU349">
            <v>3.7747661486337188E-2</v>
          </cell>
          <cell r="BV349">
            <v>4.1013505833238609E-2</v>
          </cell>
          <cell r="BW349">
            <v>4.6473538745009722E-2</v>
          </cell>
          <cell r="BX349">
            <v>4.3837359498643917E-2</v>
          </cell>
          <cell r="BY349">
            <v>4.2816206595078586E-2</v>
          </cell>
          <cell r="BZ349">
            <v>4.1816206595078585E-2</v>
          </cell>
          <cell r="CA349">
            <v>4.0816206595078584E-2</v>
          </cell>
          <cell r="CB349">
            <v>3.9816206595078583E-2</v>
          </cell>
        </row>
        <row r="424">
          <cell r="A424" t="str">
            <v>COGS</v>
          </cell>
          <cell r="C424">
            <v>465.47199999999998</v>
          </cell>
          <cell r="D424">
            <v>304.65600000000001</v>
          </cell>
          <cell r="E424">
            <v>328.47800000000001</v>
          </cell>
          <cell r="F424">
            <v>458.62799999999999</v>
          </cell>
          <cell r="G424">
            <v>465.41400000000004</v>
          </cell>
          <cell r="H424">
            <v>556.35400000000004</v>
          </cell>
          <cell r="I424">
            <v>599.95299999999997</v>
          </cell>
          <cell r="J424">
            <v>694.96400000000006</v>
          </cell>
          <cell r="K424">
            <v>679.80700000000002</v>
          </cell>
          <cell r="L424">
            <v>741.60599999999999</v>
          </cell>
          <cell r="M424">
            <v>705.29300000000001</v>
          </cell>
          <cell r="N424">
            <v>995.81600000000003</v>
          </cell>
          <cell r="O424">
            <v>894.58</v>
          </cell>
          <cell r="P424">
            <v>995.24099999999999</v>
          </cell>
          <cell r="Q424">
            <v>1661.701</v>
          </cell>
          <cell r="R424">
            <v>1849.3530000000001</v>
          </cell>
          <cell r="S424">
            <v>2028.3239999999998</v>
          </cell>
          <cell r="T424">
            <v>2122.942</v>
          </cell>
          <cell r="U424">
            <v>2535.5349999999999</v>
          </cell>
          <cell r="V424">
            <v>2849.4630000000002</v>
          </cell>
          <cell r="W424">
            <v>2952.2249999999999</v>
          </cell>
          <cell r="X424">
            <v>3383.3010000000004</v>
          </cell>
          <cell r="Y424">
            <v>5300.7480000000005</v>
          </cell>
          <cell r="Z424">
            <v>5782.973</v>
          </cell>
          <cell r="AA424">
            <v>3975.721</v>
          </cell>
          <cell r="AB424">
            <v>5428.63</v>
          </cell>
          <cell r="AC424">
            <v>5112</v>
          </cell>
          <cell r="AD424">
            <v>5992.6490000000003</v>
          </cell>
          <cell r="AE424">
            <v>4751</v>
          </cell>
          <cell r="AF424">
            <v>4769</v>
          </cell>
          <cell r="AG424">
            <v>6708</v>
          </cell>
          <cell r="AH424">
            <v>8678</v>
          </cell>
          <cell r="AI424">
            <v>8174</v>
          </cell>
          <cell r="AJ424">
            <v>9074</v>
          </cell>
          <cell r="AK424">
            <v>10097</v>
          </cell>
          <cell r="AL424">
            <v>12872</v>
          </cell>
          <cell r="AM424">
            <v>13296</v>
          </cell>
          <cell r="AN424">
            <v>12700</v>
          </cell>
          <cell r="AO424">
            <v>16072</v>
          </cell>
          <cell r="AP424">
            <v>18541</v>
          </cell>
          <cell r="AQ424">
            <v>18818</v>
          </cell>
          <cell r="AR424">
            <v>20394</v>
          </cell>
          <cell r="AS424">
            <v>19172</v>
          </cell>
          <cell r="AT424">
            <v>20729</v>
          </cell>
          <cell r="AU424">
            <v>17605</v>
          </cell>
          <cell r="AV424">
            <v>20922</v>
          </cell>
          <cell r="AW424">
            <v>20185</v>
          </cell>
          <cell r="AX424">
            <v>21528</v>
          </cell>
          <cell r="AY424">
            <v>22703.591745245361</v>
          </cell>
          <cell r="AZ424">
            <v>25261.678571604149</v>
          </cell>
          <cell r="BA424">
            <v>24815.749333731688</v>
          </cell>
          <cell r="BB424">
            <v>26283.755678469515</v>
          </cell>
          <cell r="BC424">
            <v>27767.45818776841</v>
          </cell>
          <cell r="BD424">
            <v>31129.478144341585</v>
          </cell>
          <cell r="BE424">
            <v>30936.583628664441</v>
          </cell>
          <cell r="BF424">
            <v>33188.458886146851</v>
          </cell>
          <cell r="BH424">
            <v>102.408</v>
          </cell>
          <cell r="BI424">
            <v>86.013000000000005</v>
          </cell>
          <cell r="BJ424">
            <v>142.64699999999999</v>
          </cell>
          <cell r="BK424">
            <v>383.18900000000002</v>
          </cell>
          <cell r="BL424">
            <v>1557.2339999999999</v>
          </cell>
          <cell r="BM424">
            <v>2316.6849999999999</v>
          </cell>
          <cell r="BN424">
            <v>3122.5219999999999</v>
          </cell>
          <cell r="BO424">
            <v>5400.875</v>
          </cell>
          <cell r="BP424">
            <v>9536.2639999999992</v>
          </cell>
          <cell r="BQ424">
            <v>17419.246999999999</v>
          </cell>
          <cell r="BR424">
            <v>20509</v>
          </cell>
          <cell r="BS424">
            <v>24906</v>
          </cell>
          <cell r="BT424">
            <v>40217</v>
          </cell>
          <cell r="BU424">
            <v>60609</v>
          </cell>
          <cell r="BV424">
            <v>79113</v>
          </cell>
          <cell r="BW424">
            <v>80240</v>
          </cell>
          <cell r="BX424">
            <v>99064.77532905071</v>
          </cell>
          <cell r="BY424">
            <v>123021.97884692128</v>
          </cell>
          <cell r="BZ424">
            <v>147988.50844351898</v>
          </cell>
          <cell r="CA424">
            <v>176822.59287963173</v>
          </cell>
          <cell r="CB424">
            <v>196607.3033274535</v>
          </cell>
        </row>
        <row r="427">
          <cell r="A427" t="str">
            <v>SG&amp;A</v>
          </cell>
          <cell r="C427">
            <v>47.045000000000002</v>
          </cell>
          <cell r="D427">
            <v>59.963000000000001</v>
          </cell>
          <cell r="E427">
            <v>77.070999999999998</v>
          </cell>
          <cell r="F427">
            <v>101.49000000000002</v>
          </cell>
          <cell r="G427">
            <v>117.551</v>
          </cell>
          <cell r="H427">
            <v>134.03100000000001</v>
          </cell>
          <cell r="I427">
            <v>155.107</v>
          </cell>
          <cell r="J427">
            <v>196.97</v>
          </cell>
          <cell r="K427">
            <v>195.36500000000001</v>
          </cell>
          <cell r="L427">
            <v>201.846</v>
          </cell>
          <cell r="M427">
            <v>236.36699999999999</v>
          </cell>
          <cell r="N427">
            <v>288.654</v>
          </cell>
          <cell r="O427">
            <v>318.20999999999998</v>
          </cell>
          <cell r="P427">
            <v>321.15199999999999</v>
          </cell>
          <cell r="Q427">
            <v>336.81099999999998</v>
          </cell>
          <cell r="R427">
            <v>456.01600000000002</v>
          </cell>
          <cell r="S427">
            <v>603.45500000000004</v>
          </cell>
          <cell r="T427">
            <v>537.75699999999995</v>
          </cell>
          <cell r="U427">
            <v>652.99800000000005</v>
          </cell>
          <cell r="V427">
            <v>682.29</v>
          </cell>
          <cell r="W427">
            <v>686.404</v>
          </cell>
          <cell r="X427">
            <v>750.75900000000001</v>
          </cell>
          <cell r="Y427">
            <v>729.87599999999998</v>
          </cell>
          <cell r="Z427">
            <v>667.45200000000023</v>
          </cell>
          <cell r="AA427">
            <v>703.92899999999997</v>
          </cell>
          <cell r="AB427">
            <v>647.26099999999997</v>
          </cell>
          <cell r="AC427">
            <v>596</v>
          </cell>
          <cell r="AD427">
            <v>698.81</v>
          </cell>
          <cell r="AE427">
            <v>627</v>
          </cell>
          <cell r="AF427">
            <v>661</v>
          </cell>
          <cell r="AG427">
            <v>888</v>
          </cell>
          <cell r="AH427">
            <v>969</v>
          </cell>
          <cell r="AI427">
            <v>1056</v>
          </cell>
          <cell r="AJ427">
            <v>973</v>
          </cell>
          <cell r="AK427">
            <v>994</v>
          </cell>
          <cell r="AL427">
            <v>1494</v>
          </cell>
          <cell r="AM427">
            <v>992</v>
          </cell>
          <cell r="AN427">
            <v>961</v>
          </cell>
          <cell r="AO427">
            <v>961</v>
          </cell>
          <cell r="AP427">
            <v>1032</v>
          </cell>
          <cell r="AQ427">
            <v>1076</v>
          </cell>
          <cell r="AR427">
            <v>1191</v>
          </cell>
          <cell r="AS427">
            <v>1253</v>
          </cell>
          <cell r="AT427">
            <v>1280</v>
          </cell>
          <cell r="AU427">
            <v>1374</v>
          </cell>
          <cell r="AV427">
            <v>1277</v>
          </cell>
          <cell r="AW427">
            <v>1186</v>
          </cell>
          <cell r="AX427">
            <v>1313</v>
          </cell>
          <cell r="AY427">
            <v>1750.8242372217248</v>
          </cell>
          <cell r="AZ427">
            <v>1473.6317956887851</v>
          </cell>
          <cell r="BA427">
            <v>1389.4658161650907</v>
          </cell>
          <cell r="BB427">
            <v>1466.3441253083186</v>
          </cell>
          <cell r="BC427">
            <v>2125.8080971513341</v>
          </cell>
          <cell r="BD427">
            <v>1792.3690345056182</v>
          </cell>
          <cell r="BE427">
            <v>1707.8006932578719</v>
          </cell>
          <cell r="BF427">
            <v>1825.1863888167916</v>
          </cell>
          <cell r="BH427">
            <v>42.15</v>
          </cell>
          <cell r="BI427">
            <v>84.572999999999993</v>
          </cell>
          <cell r="BJ427">
            <v>104.102</v>
          </cell>
          <cell r="BK427">
            <v>150.37200000000001</v>
          </cell>
          <cell r="BL427">
            <v>285.56900000000002</v>
          </cell>
          <cell r="BM427">
            <v>603.66</v>
          </cell>
          <cell r="BN427">
            <v>922.23199999999997</v>
          </cell>
          <cell r="BO427">
            <v>1432.1890000000001</v>
          </cell>
          <cell r="BP427">
            <v>2476.5</v>
          </cell>
          <cell r="BQ427">
            <v>2834.491</v>
          </cell>
          <cell r="BR427">
            <v>2646</v>
          </cell>
          <cell r="BS427">
            <v>3145</v>
          </cell>
          <cell r="BT427">
            <v>4517</v>
          </cell>
          <cell r="BU427">
            <v>3946</v>
          </cell>
          <cell r="BV427">
            <v>4800</v>
          </cell>
          <cell r="BW427">
            <v>5150</v>
          </cell>
          <cell r="BX427">
            <v>6080.2659743839185</v>
          </cell>
          <cell r="BY427">
            <v>7451.1642137316157</v>
          </cell>
          <cell r="BZ427">
            <v>8858.8086376379888</v>
          </cell>
          <cell r="CA427">
            <v>10462.565389182131</v>
          </cell>
          <cell r="CB427">
            <v>11510.377317481534</v>
          </cell>
        </row>
        <row r="428">
          <cell r="A428" t="str">
            <v>R&amp;D</v>
          </cell>
          <cell r="C428">
            <v>54.859000000000002</v>
          </cell>
          <cell r="D428">
            <v>52.311999999999998</v>
          </cell>
          <cell r="E428">
            <v>56.350999999999999</v>
          </cell>
          <cell r="F428">
            <v>68.454000000000008</v>
          </cell>
          <cell r="G428">
            <v>81.543999999999997</v>
          </cell>
          <cell r="H428">
            <v>107.717</v>
          </cell>
          <cell r="I428">
            <v>135.87299999999999</v>
          </cell>
          <cell r="J428">
            <v>139.565</v>
          </cell>
          <cell r="K428">
            <v>167.154</v>
          </cell>
          <cell r="L428">
            <v>181.71199999999999</v>
          </cell>
          <cell r="M428">
            <v>178.791</v>
          </cell>
          <cell r="N428">
            <v>190.24299999999999</v>
          </cell>
          <cell r="O428">
            <v>182.482</v>
          </cell>
          <cell r="P428">
            <v>191.66399999999999</v>
          </cell>
          <cell r="Q428">
            <v>214.30199999999999</v>
          </cell>
          <cell r="R428">
            <v>245.96</v>
          </cell>
          <cell r="S428">
            <v>322.04000000000002</v>
          </cell>
          <cell r="T428">
            <v>369.774</v>
          </cell>
          <cell r="U428">
            <v>331.62200000000001</v>
          </cell>
          <cell r="V428">
            <v>354.637</v>
          </cell>
          <cell r="W428">
            <v>367.096</v>
          </cell>
          <cell r="X428">
            <v>386.12900000000002</v>
          </cell>
          <cell r="Y428">
            <v>350.84800000000001</v>
          </cell>
          <cell r="Z428">
            <v>356.2969999999998</v>
          </cell>
          <cell r="AA428">
            <v>340.17399999999998</v>
          </cell>
          <cell r="AB428">
            <v>323.89800000000002</v>
          </cell>
          <cell r="AC428">
            <v>334</v>
          </cell>
          <cell r="AD428">
            <v>344.928</v>
          </cell>
          <cell r="AE428">
            <v>324</v>
          </cell>
          <cell r="AF428">
            <v>279</v>
          </cell>
          <cell r="AG428">
            <v>366</v>
          </cell>
          <cell r="AH428">
            <v>522</v>
          </cell>
          <cell r="AI428">
            <v>666</v>
          </cell>
          <cell r="AJ428">
            <v>576</v>
          </cell>
          <cell r="AK428">
            <v>611</v>
          </cell>
          <cell r="AL428">
            <v>740</v>
          </cell>
          <cell r="AM428">
            <v>865</v>
          </cell>
          <cell r="AN428">
            <v>667</v>
          </cell>
          <cell r="AO428">
            <v>733</v>
          </cell>
          <cell r="AP428">
            <v>810</v>
          </cell>
          <cell r="AQ428">
            <v>771</v>
          </cell>
          <cell r="AR428">
            <v>943</v>
          </cell>
          <cell r="AS428">
            <v>1161</v>
          </cell>
          <cell r="AT428">
            <v>1094</v>
          </cell>
          <cell r="AU428">
            <v>1151</v>
          </cell>
          <cell r="AV428">
            <v>1074</v>
          </cell>
          <cell r="AW428">
            <v>1039</v>
          </cell>
          <cell r="AX428">
            <v>1276</v>
          </cell>
          <cell r="AY428">
            <v>1457.5732297089864</v>
          </cell>
          <cell r="AZ428">
            <v>1229.6291411008378</v>
          </cell>
          <cell r="BA428">
            <v>1209.6093524951575</v>
          </cell>
          <cell r="BB428">
            <v>1420.5388607910825</v>
          </cell>
          <cell r="BC428">
            <v>1763.9606876352846</v>
          </cell>
          <cell r="BD428">
            <v>1489.2862240061261</v>
          </cell>
          <cell r="BE428">
            <v>1481.7249603514147</v>
          </cell>
          <cell r="BF428">
            <v>1766.9068374469443</v>
          </cell>
          <cell r="BH428">
            <v>19.282</v>
          </cell>
          <cell r="BI428">
            <v>92.995999999999995</v>
          </cell>
          <cell r="BJ428">
            <v>208.98099999999999</v>
          </cell>
          <cell r="BK428">
            <v>273.97800000000001</v>
          </cell>
          <cell r="BL428">
            <v>231.976</v>
          </cell>
          <cell r="BM428">
            <v>464.7</v>
          </cell>
          <cell r="BN428">
            <v>717.9</v>
          </cell>
          <cell r="BO428">
            <v>834.40800000000002</v>
          </cell>
          <cell r="BP428">
            <v>1378.0730000000001</v>
          </cell>
          <cell r="BQ428">
            <v>1460.37</v>
          </cell>
          <cell r="BR428">
            <v>1343</v>
          </cell>
          <cell r="BS428">
            <v>1491</v>
          </cell>
          <cell r="BT428">
            <v>2593</v>
          </cell>
          <cell r="BU428">
            <v>3075</v>
          </cell>
          <cell r="BV428">
            <v>3969</v>
          </cell>
          <cell r="BW428">
            <v>4540</v>
          </cell>
          <cell r="BX428">
            <v>5317.3505840960643</v>
          </cell>
          <cell r="BY428">
            <v>6501.8787094397694</v>
          </cell>
          <cell r="BZ428">
            <v>7706.7079366912194</v>
          </cell>
          <cell r="CA428">
            <v>9072.9848615971168</v>
          </cell>
          <cell r="CB428">
            <v>9948.4472252065898</v>
          </cell>
        </row>
        <row r="429">
          <cell r="A429" t="str">
            <v>One-time operating items</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103.434</v>
          </cell>
          <cell r="Y429">
            <v>26.184000000000001</v>
          </cell>
          <cell r="Z429">
            <v>5.6150000000000091</v>
          </cell>
          <cell r="AA429">
            <v>43.470999999999997</v>
          </cell>
          <cell r="AB429">
            <v>117.345</v>
          </cell>
          <cell r="AC429">
            <v>0</v>
          </cell>
          <cell r="AD429">
            <v>-11.816000000000003</v>
          </cell>
          <cell r="AE429">
            <v>0</v>
          </cell>
          <cell r="AF429">
            <v>0</v>
          </cell>
          <cell r="AG429">
            <v>0</v>
          </cell>
          <cell r="AH429">
            <v>0</v>
          </cell>
          <cell r="AI429">
            <v>-101</v>
          </cell>
          <cell r="AJ429">
            <v>23</v>
          </cell>
          <cell r="AK429">
            <v>51</v>
          </cell>
          <cell r="AL429">
            <v>0</v>
          </cell>
          <cell r="AM429">
            <v>0</v>
          </cell>
          <cell r="AN429">
            <v>142</v>
          </cell>
          <cell r="AO429">
            <v>0</v>
          </cell>
          <cell r="AP429">
            <v>34</v>
          </cell>
          <cell r="AQ429">
            <v>0</v>
          </cell>
          <cell r="AR429">
            <v>0</v>
          </cell>
          <cell r="AS429">
            <v>0</v>
          </cell>
          <cell r="AT429">
            <v>0</v>
          </cell>
          <cell r="AU429">
            <v>0</v>
          </cell>
          <cell r="AV429">
            <v>622</v>
          </cell>
          <cell r="AW429">
            <v>55</v>
          </cell>
          <cell r="AX429">
            <v>7</v>
          </cell>
          <cell r="AY429">
            <v>0</v>
          </cell>
          <cell r="AZ429">
            <v>0</v>
          </cell>
          <cell r="BA429">
            <v>0</v>
          </cell>
          <cell r="BB429">
            <v>0</v>
          </cell>
          <cell r="BC429">
            <v>0</v>
          </cell>
          <cell r="BD429">
            <v>0</v>
          </cell>
          <cell r="BE429">
            <v>0</v>
          </cell>
          <cell r="BF429">
            <v>0</v>
          </cell>
          <cell r="BH429">
            <v>0</v>
          </cell>
          <cell r="BI429">
            <v>0</v>
          </cell>
          <cell r="BJ429">
            <v>0</v>
          </cell>
          <cell r="BK429">
            <v>0</v>
          </cell>
          <cell r="BL429">
            <v>0</v>
          </cell>
          <cell r="BM429">
            <v>0</v>
          </cell>
          <cell r="BN429">
            <v>0</v>
          </cell>
          <cell r="BO429">
            <v>0</v>
          </cell>
          <cell r="BP429">
            <v>0</v>
          </cell>
          <cell r="BQ429">
            <v>135.233</v>
          </cell>
          <cell r="BR429">
            <v>149</v>
          </cell>
          <cell r="BS429">
            <v>0</v>
          </cell>
          <cell r="BT429">
            <v>-27</v>
          </cell>
          <cell r="BU429">
            <v>176</v>
          </cell>
          <cell r="BV429">
            <v>0</v>
          </cell>
          <cell r="BW429">
            <v>684</v>
          </cell>
          <cell r="BX429">
            <v>0</v>
          </cell>
          <cell r="BY429">
            <v>0</v>
          </cell>
          <cell r="BZ429">
            <v>0</v>
          </cell>
          <cell r="CA429">
            <v>0</v>
          </cell>
          <cell r="CB429">
            <v>0</v>
          </cell>
        </row>
        <row r="486">
          <cell r="A486" t="str">
            <v>EoP Total Diluted Common Stock Outstanding, mm shares</v>
          </cell>
          <cell r="C486">
            <v>1870.7149799999997</v>
          </cell>
          <cell r="D486">
            <v>1964.7443549999996</v>
          </cell>
          <cell r="E486">
            <v>1981.7908499999996</v>
          </cell>
          <cell r="F486">
            <v>1989.6642299999999</v>
          </cell>
          <cell r="G486">
            <v>2003.9107199999999</v>
          </cell>
          <cell r="H486">
            <v>2012.1225749999996</v>
          </cell>
          <cell r="I486">
            <v>2023.7919449999995</v>
          </cell>
          <cell r="J486">
            <v>2028.6134849999996</v>
          </cell>
          <cell r="K486">
            <v>2038.7339249999998</v>
          </cell>
          <cell r="L486">
            <v>2049.8135849999999</v>
          </cell>
          <cell r="M486">
            <v>2106.8143799999998</v>
          </cell>
          <cell r="N486">
            <v>2114.6743799999995</v>
          </cell>
          <cell r="O486">
            <v>2151.1693799999994</v>
          </cell>
          <cell r="P486">
            <v>2363.5243799999998</v>
          </cell>
          <cell r="Q486">
            <v>2366.5349999999994</v>
          </cell>
          <cell r="R486">
            <v>2542.5749999999994</v>
          </cell>
          <cell r="S486">
            <v>2581.6199999999994</v>
          </cell>
          <cell r="T486">
            <v>2622.1049999999996</v>
          </cell>
          <cell r="U486">
            <v>2639.4149999999995</v>
          </cell>
          <cell r="V486">
            <v>2651.1149999999993</v>
          </cell>
          <cell r="W486">
            <v>2665.4099999999994</v>
          </cell>
          <cell r="X486">
            <v>2676.8999999999992</v>
          </cell>
          <cell r="Y486">
            <v>2683.2150000000001</v>
          </cell>
          <cell r="Z486">
            <v>2694.0450000000001</v>
          </cell>
          <cell r="AA486">
            <v>2710.23</v>
          </cell>
          <cell r="AB486">
            <v>2791.7699999999995</v>
          </cell>
          <cell r="AC486">
            <v>2775</v>
          </cell>
          <cell r="AD486">
            <v>2820</v>
          </cell>
          <cell r="AE486">
            <v>3015</v>
          </cell>
          <cell r="AF486">
            <v>3105</v>
          </cell>
          <cell r="AG486">
            <v>3348</v>
          </cell>
          <cell r="AH486">
            <v>3399</v>
          </cell>
          <cell r="AI486">
            <v>3405</v>
          </cell>
          <cell r="AJ486">
            <v>3396</v>
          </cell>
          <cell r="AK486">
            <v>3387</v>
          </cell>
          <cell r="AL486">
            <v>3459</v>
          </cell>
          <cell r="AM486">
            <v>3477</v>
          </cell>
          <cell r="AN486">
            <v>3477</v>
          </cell>
          <cell r="AO486">
            <v>3480</v>
          </cell>
          <cell r="AP486">
            <v>3475</v>
          </cell>
          <cell r="AQ486">
            <v>3471</v>
          </cell>
          <cell r="AR486">
            <v>3481</v>
          </cell>
          <cell r="AS486">
            <v>3496</v>
          </cell>
          <cell r="AT486">
            <v>3496</v>
          </cell>
          <cell r="AU486">
            <v>3487</v>
          </cell>
          <cell r="AV486">
            <v>3484</v>
          </cell>
          <cell r="AW486">
            <v>3506</v>
          </cell>
          <cell r="AX486">
            <v>3520</v>
          </cell>
          <cell r="AY486">
            <v>3530.3800042700273</v>
          </cell>
          <cell r="AZ486">
            <v>3530.733042270454</v>
          </cell>
          <cell r="BA486">
            <v>3531.0861155746811</v>
          </cell>
          <cell r="BB486">
            <v>3531.4392241862383</v>
          </cell>
          <cell r="BC486">
            <v>3531.7923681086568</v>
          </cell>
          <cell r="BD486">
            <v>3532.145547345468</v>
          </cell>
          <cell r="BE486">
            <v>3532.4987619002022</v>
          </cell>
          <cell r="BF486">
            <v>3532.8520117763924</v>
          </cell>
          <cell r="BI486">
            <v>1423.62555</v>
          </cell>
          <cell r="BJ486">
            <v>1567.954575</v>
          </cell>
          <cell r="BK486">
            <v>1713.2141099999999</v>
          </cell>
          <cell r="BL486">
            <v>1989.6642299999999</v>
          </cell>
          <cell r="BM486">
            <v>2028.6134849999996</v>
          </cell>
          <cell r="BN486">
            <v>2114.6743799999995</v>
          </cell>
          <cell r="BO486">
            <v>2542.5749999999994</v>
          </cell>
          <cell r="BP486">
            <v>2651.1149999999993</v>
          </cell>
          <cell r="BQ486">
            <v>2694.0450000000001</v>
          </cell>
          <cell r="BR486">
            <v>2820</v>
          </cell>
          <cell r="BS486">
            <v>3399</v>
          </cell>
          <cell r="BT486">
            <v>3459</v>
          </cell>
          <cell r="BU486">
            <v>3475</v>
          </cell>
          <cell r="BV486">
            <v>3496</v>
          </cell>
          <cell r="BW486">
            <v>3520</v>
          </cell>
          <cell r="BX486">
            <v>3531.4392241862383</v>
          </cell>
          <cell r="BY486">
            <v>3532.8520117763924</v>
          </cell>
          <cell r="BZ486">
            <v>3534.2651525811029</v>
          </cell>
          <cell r="CA486">
            <v>3535.6788586421353</v>
          </cell>
          <cell r="CB486">
            <v>3537.0931301855921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F2" t="str">
            <v>FY2024</v>
          </cell>
        </row>
      </sheetData>
      <sheetData sheetId="17">
        <row r="4">
          <cell r="A4" t="str">
            <v>Stock Price - EoP</v>
          </cell>
        </row>
        <row r="31">
          <cell r="A31" t="str">
            <v>COGS</v>
          </cell>
          <cell r="C31">
            <v>465.47199999999998</v>
          </cell>
          <cell r="D31">
            <v>304.65600000000001</v>
          </cell>
          <cell r="E31">
            <v>328.47800000000001</v>
          </cell>
          <cell r="F31">
            <v>458.62799999999999</v>
          </cell>
          <cell r="G31">
            <v>465.41400000000004</v>
          </cell>
          <cell r="H31">
            <v>556.35400000000004</v>
          </cell>
          <cell r="I31">
            <v>599.95299999999997</v>
          </cell>
          <cell r="J31">
            <v>694.96400000000006</v>
          </cell>
          <cell r="K31">
            <v>679.80700000000002</v>
          </cell>
          <cell r="L31">
            <v>741.60599999999999</v>
          </cell>
          <cell r="M31">
            <v>705.29300000000001</v>
          </cell>
          <cell r="N31">
            <v>995.81600000000003</v>
          </cell>
          <cell r="O31">
            <v>894.58</v>
          </cell>
          <cell r="P31">
            <v>995.24099999999999</v>
          </cell>
          <cell r="Q31">
            <v>1661.701</v>
          </cell>
          <cell r="R31">
            <v>1849.3530000000001</v>
          </cell>
          <cell r="S31">
            <v>2028.3239999999998</v>
          </cell>
          <cell r="T31">
            <v>2122.942</v>
          </cell>
          <cell r="U31">
            <v>2535.5349999999999</v>
          </cell>
          <cell r="V31">
            <v>2849.4630000000002</v>
          </cell>
          <cell r="W31">
            <v>2952.2249999999999</v>
          </cell>
          <cell r="X31">
            <v>3383.3010000000004</v>
          </cell>
          <cell r="Y31">
            <v>5300.7480000000005</v>
          </cell>
          <cell r="Z31">
            <v>5782.973</v>
          </cell>
          <cell r="AA31">
            <v>3975.721</v>
          </cell>
          <cell r="AB31">
            <v>5428.63</v>
          </cell>
          <cell r="AC31">
            <v>5112</v>
          </cell>
          <cell r="AD31">
            <v>5992.6490000000003</v>
          </cell>
          <cell r="AE31">
            <v>4751</v>
          </cell>
          <cell r="AF31">
            <v>4769</v>
          </cell>
          <cell r="AG31">
            <v>6708</v>
          </cell>
          <cell r="AH31">
            <v>8678</v>
          </cell>
          <cell r="AI31">
            <v>8174</v>
          </cell>
          <cell r="AJ31">
            <v>9074</v>
          </cell>
          <cell r="AK31">
            <v>10097</v>
          </cell>
          <cell r="AL31">
            <v>12872</v>
          </cell>
          <cell r="AM31">
            <v>13296</v>
          </cell>
          <cell r="AN31">
            <v>12700</v>
          </cell>
          <cell r="AO31">
            <v>16072</v>
          </cell>
          <cell r="AP31">
            <v>18541</v>
          </cell>
          <cell r="AQ31">
            <v>18818</v>
          </cell>
          <cell r="AR31">
            <v>20394</v>
          </cell>
          <cell r="AS31">
            <v>19172</v>
          </cell>
          <cell r="AT31">
            <v>20729</v>
          </cell>
          <cell r="AU31">
            <v>17605</v>
          </cell>
          <cell r="AV31">
            <v>20922</v>
          </cell>
          <cell r="AW31">
            <v>20185</v>
          </cell>
          <cell r="AX31">
            <v>21528</v>
          </cell>
          <cell r="AY31">
            <v>22703.591745245361</v>
          </cell>
          <cell r="AZ31">
            <v>25261.678571604149</v>
          </cell>
          <cell r="BA31">
            <v>24815.749333731688</v>
          </cell>
          <cell r="BB31">
            <v>26283.755678469515</v>
          </cell>
          <cell r="BC31">
            <v>27767.45818776841</v>
          </cell>
          <cell r="BD31">
            <v>31129.478144341585</v>
          </cell>
          <cell r="BE31">
            <v>30936.583628664441</v>
          </cell>
          <cell r="BF31">
            <v>33188.458886146851</v>
          </cell>
          <cell r="BH31">
            <v>102.408</v>
          </cell>
          <cell r="BI31">
            <v>86.013000000000005</v>
          </cell>
          <cell r="BJ31">
            <v>142.64699999999999</v>
          </cell>
          <cell r="BK31">
            <v>383.18900000000002</v>
          </cell>
          <cell r="BL31">
            <v>1557.2339999999999</v>
          </cell>
          <cell r="BM31">
            <v>2316.6849999999999</v>
          </cell>
          <cell r="BN31">
            <v>3122.5219999999999</v>
          </cell>
          <cell r="BO31">
            <v>5400.875</v>
          </cell>
          <cell r="BP31">
            <v>9536.2639999999992</v>
          </cell>
          <cell r="BQ31">
            <v>17419.246999999999</v>
          </cell>
          <cell r="BR31">
            <v>20509</v>
          </cell>
          <cell r="BS31">
            <v>24906</v>
          </cell>
          <cell r="BT31">
            <v>40217</v>
          </cell>
          <cell r="BU31">
            <v>60609</v>
          </cell>
          <cell r="BV31">
            <v>79113</v>
          </cell>
          <cell r="BW31">
            <v>80240</v>
          </cell>
          <cell r="BX31">
            <v>99064.77532905071</v>
          </cell>
          <cell r="BY31">
            <v>123021.97884692128</v>
          </cell>
          <cell r="BZ31">
            <v>147988.50844351898</v>
          </cell>
          <cell r="CA31">
            <v>176822.59287963173</v>
          </cell>
          <cell r="CB31">
            <v>196607.3033274535</v>
          </cell>
        </row>
        <row r="32">
          <cell r="A32" t="str">
            <v>SG&amp;A</v>
          </cell>
          <cell r="C32">
            <v>47.045000000000002</v>
          </cell>
          <cell r="D32">
            <v>59.963000000000001</v>
          </cell>
          <cell r="E32">
            <v>77.070999999999998</v>
          </cell>
          <cell r="F32">
            <v>101.49000000000002</v>
          </cell>
          <cell r="G32">
            <v>117.551</v>
          </cell>
          <cell r="H32">
            <v>134.03100000000001</v>
          </cell>
          <cell r="I32">
            <v>155.107</v>
          </cell>
          <cell r="J32">
            <v>196.97</v>
          </cell>
          <cell r="K32">
            <v>195.36500000000001</v>
          </cell>
          <cell r="L32">
            <v>201.846</v>
          </cell>
          <cell r="M32">
            <v>236.36699999999999</v>
          </cell>
          <cell r="N32">
            <v>288.654</v>
          </cell>
          <cell r="O32">
            <v>318.20999999999998</v>
          </cell>
          <cell r="P32">
            <v>321.15199999999999</v>
          </cell>
          <cell r="Q32">
            <v>336.81099999999998</v>
          </cell>
          <cell r="R32">
            <v>456.01600000000002</v>
          </cell>
          <cell r="S32">
            <v>603.45500000000004</v>
          </cell>
          <cell r="T32">
            <v>537.75699999999995</v>
          </cell>
          <cell r="U32">
            <v>652.99800000000005</v>
          </cell>
          <cell r="V32">
            <v>682.29</v>
          </cell>
          <cell r="W32">
            <v>686.404</v>
          </cell>
          <cell r="X32">
            <v>750.75900000000001</v>
          </cell>
          <cell r="Y32">
            <v>729.87599999999998</v>
          </cell>
          <cell r="Z32">
            <v>667.45200000000023</v>
          </cell>
          <cell r="AA32">
            <v>703.92899999999997</v>
          </cell>
          <cell r="AB32">
            <v>647.26099999999997</v>
          </cell>
          <cell r="AC32">
            <v>596</v>
          </cell>
          <cell r="AD32">
            <v>698.81</v>
          </cell>
          <cell r="AE32">
            <v>627</v>
          </cell>
          <cell r="AF32">
            <v>661</v>
          </cell>
          <cell r="AG32">
            <v>888</v>
          </cell>
          <cell r="AH32">
            <v>969</v>
          </cell>
          <cell r="AI32">
            <v>1056</v>
          </cell>
          <cell r="AJ32">
            <v>973</v>
          </cell>
          <cell r="AK32">
            <v>994</v>
          </cell>
          <cell r="AL32">
            <v>1494</v>
          </cell>
          <cell r="AM32">
            <v>992</v>
          </cell>
          <cell r="AN32">
            <v>961</v>
          </cell>
          <cell r="AO32">
            <v>961</v>
          </cell>
          <cell r="AP32">
            <v>1032</v>
          </cell>
          <cell r="AQ32">
            <v>1076</v>
          </cell>
          <cell r="AR32">
            <v>1191</v>
          </cell>
          <cell r="AS32">
            <v>1253</v>
          </cell>
          <cell r="AT32">
            <v>1280</v>
          </cell>
          <cell r="AU32">
            <v>1374</v>
          </cell>
          <cell r="AV32">
            <v>1277</v>
          </cell>
          <cell r="AW32">
            <v>1186</v>
          </cell>
          <cell r="AX32">
            <v>1313</v>
          </cell>
          <cell r="AY32">
            <v>1750.8242372217248</v>
          </cell>
          <cell r="AZ32">
            <v>1473.6317956887851</v>
          </cell>
          <cell r="BA32">
            <v>1389.4658161650907</v>
          </cell>
          <cell r="BB32">
            <v>1466.3441253083186</v>
          </cell>
          <cell r="BC32">
            <v>2125.8080971513341</v>
          </cell>
          <cell r="BD32">
            <v>1792.3690345056182</v>
          </cell>
          <cell r="BE32">
            <v>1707.8006932578719</v>
          </cell>
          <cell r="BF32">
            <v>1825.1863888167916</v>
          </cell>
          <cell r="BH32">
            <v>42.15</v>
          </cell>
          <cell r="BI32">
            <v>84.572999999999993</v>
          </cell>
          <cell r="BJ32">
            <v>104.102</v>
          </cell>
          <cell r="BK32">
            <v>150.37200000000001</v>
          </cell>
          <cell r="BL32">
            <v>285.56900000000002</v>
          </cell>
          <cell r="BM32">
            <v>603.66</v>
          </cell>
          <cell r="BN32">
            <v>922.23199999999997</v>
          </cell>
          <cell r="BO32">
            <v>1432.1890000000001</v>
          </cell>
          <cell r="BP32">
            <v>2476.5</v>
          </cell>
          <cell r="BQ32">
            <v>2834.491</v>
          </cell>
          <cell r="BR32">
            <v>2646</v>
          </cell>
          <cell r="BS32">
            <v>3145</v>
          </cell>
          <cell r="BT32">
            <v>4517</v>
          </cell>
          <cell r="BU32">
            <v>3946</v>
          </cell>
          <cell r="BV32">
            <v>4800</v>
          </cell>
          <cell r="BW32">
            <v>5150</v>
          </cell>
          <cell r="BX32">
            <v>6080.2659743839185</v>
          </cell>
          <cell r="BY32">
            <v>7451.1642137316157</v>
          </cell>
          <cell r="BZ32">
            <v>8858.8086376379888</v>
          </cell>
          <cell r="CA32">
            <v>10462.565389182131</v>
          </cell>
          <cell r="CB32">
            <v>11510.377317481534</v>
          </cell>
        </row>
        <row r="33">
          <cell r="A33" t="str">
            <v>R&amp;D</v>
          </cell>
          <cell r="C33">
            <v>54.859000000000002</v>
          </cell>
          <cell r="D33">
            <v>52.311999999999998</v>
          </cell>
          <cell r="E33">
            <v>56.350999999999999</v>
          </cell>
          <cell r="F33">
            <v>68.454000000000008</v>
          </cell>
          <cell r="G33">
            <v>81.543999999999997</v>
          </cell>
          <cell r="H33">
            <v>107.717</v>
          </cell>
          <cell r="I33">
            <v>135.87299999999999</v>
          </cell>
          <cell r="J33">
            <v>139.565</v>
          </cell>
          <cell r="K33">
            <v>167.154</v>
          </cell>
          <cell r="L33">
            <v>181.71199999999999</v>
          </cell>
          <cell r="M33">
            <v>178.791</v>
          </cell>
          <cell r="N33">
            <v>190.24299999999999</v>
          </cell>
          <cell r="O33">
            <v>182.482</v>
          </cell>
          <cell r="P33">
            <v>191.66399999999999</v>
          </cell>
          <cell r="Q33">
            <v>214.30199999999999</v>
          </cell>
          <cell r="R33">
            <v>245.96</v>
          </cell>
          <cell r="S33">
            <v>322.04000000000002</v>
          </cell>
          <cell r="T33">
            <v>369.774</v>
          </cell>
          <cell r="U33">
            <v>331.62200000000001</v>
          </cell>
          <cell r="V33">
            <v>354.637</v>
          </cell>
          <cell r="W33">
            <v>367.096</v>
          </cell>
          <cell r="X33">
            <v>386.12900000000002</v>
          </cell>
          <cell r="Y33">
            <v>350.84800000000001</v>
          </cell>
          <cell r="Z33">
            <v>356.2969999999998</v>
          </cell>
          <cell r="AA33">
            <v>340.17399999999998</v>
          </cell>
          <cell r="AB33">
            <v>323.89800000000002</v>
          </cell>
          <cell r="AC33">
            <v>334</v>
          </cell>
          <cell r="AD33">
            <v>344.928</v>
          </cell>
          <cell r="AE33">
            <v>324</v>
          </cell>
          <cell r="AF33">
            <v>279</v>
          </cell>
          <cell r="AG33">
            <v>366</v>
          </cell>
          <cell r="AH33">
            <v>522</v>
          </cell>
          <cell r="AI33">
            <v>666</v>
          </cell>
          <cell r="AJ33">
            <v>576</v>
          </cell>
          <cell r="AK33">
            <v>611</v>
          </cell>
          <cell r="AL33">
            <v>740</v>
          </cell>
          <cell r="AM33">
            <v>865</v>
          </cell>
          <cell r="AN33">
            <v>667</v>
          </cell>
          <cell r="AO33">
            <v>733</v>
          </cell>
          <cell r="AP33">
            <v>810</v>
          </cell>
          <cell r="AQ33">
            <v>771</v>
          </cell>
          <cell r="AR33">
            <v>943</v>
          </cell>
          <cell r="AS33">
            <v>1161</v>
          </cell>
          <cell r="AT33">
            <v>1094</v>
          </cell>
          <cell r="AU33">
            <v>1151</v>
          </cell>
          <cell r="AV33">
            <v>1074</v>
          </cell>
          <cell r="AW33">
            <v>1039</v>
          </cell>
          <cell r="AX33">
            <v>1276</v>
          </cell>
          <cell r="AY33">
            <v>1457.5732297089864</v>
          </cell>
          <cell r="AZ33">
            <v>1229.6291411008378</v>
          </cell>
          <cell r="BA33">
            <v>1209.6093524951575</v>
          </cell>
          <cell r="BB33">
            <v>1420.5388607910825</v>
          </cell>
          <cell r="BC33">
            <v>1763.9606876352846</v>
          </cell>
          <cell r="BD33">
            <v>1489.2862240061261</v>
          </cell>
          <cell r="BE33">
            <v>1481.7249603514147</v>
          </cell>
          <cell r="BF33">
            <v>1766.9068374469443</v>
          </cell>
          <cell r="BH33">
            <v>19.282</v>
          </cell>
          <cell r="BI33">
            <v>92.995999999999995</v>
          </cell>
          <cell r="BJ33">
            <v>208.98099999999999</v>
          </cell>
          <cell r="BK33">
            <v>273.97800000000001</v>
          </cell>
          <cell r="BL33">
            <v>231.976</v>
          </cell>
          <cell r="BM33">
            <v>464.7</v>
          </cell>
          <cell r="BN33">
            <v>717.9</v>
          </cell>
          <cell r="BO33">
            <v>834.40800000000002</v>
          </cell>
          <cell r="BP33">
            <v>1378.0730000000001</v>
          </cell>
          <cell r="BQ33">
            <v>1460.37</v>
          </cell>
          <cell r="BR33">
            <v>1343</v>
          </cell>
          <cell r="BS33">
            <v>1491</v>
          </cell>
          <cell r="BT33">
            <v>2593</v>
          </cell>
          <cell r="BU33">
            <v>3075</v>
          </cell>
          <cell r="BV33">
            <v>3969</v>
          </cell>
          <cell r="BW33">
            <v>4540</v>
          </cell>
          <cell r="BX33">
            <v>5317.3505840960643</v>
          </cell>
          <cell r="BY33">
            <v>6501.8787094397694</v>
          </cell>
          <cell r="BZ33">
            <v>7706.7079366912194</v>
          </cell>
          <cell r="CA33">
            <v>9072.9848615971168</v>
          </cell>
          <cell r="CB33">
            <v>9948.4472252065898</v>
          </cell>
        </row>
        <row r="34">
          <cell r="A34" t="str">
            <v>One-time operating items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103.434</v>
          </cell>
          <cell r="Y34">
            <v>26.184000000000001</v>
          </cell>
          <cell r="Z34">
            <v>5.6150000000000091</v>
          </cell>
          <cell r="AA34">
            <v>43.470999999999997</v>
          </cell>
          <cell r="AB34">
            <v>117.345</v>
          </cell>
          <cell r="AC34">
            <v>0</v>
          </cell>
          <cell r="AD34">
            <v>-11.816000000000003</v>
          </cell>
          <cell r="AE34">
            <v>0</v>
          </cell>
          <cell r="AF34">
            <v>0</v>
          </cell>
          <cell r="AG34">
            <v>0</v>
          </cell>
          <cell r="AH34">
            <v>0</v>
          </cell>
          <cell r="AI34">
            <v>-101</v>
          </cell>
          <cell r="AJ34">
            <v>23</v>
          </cell>
          <cell r="AK34">
            <v>51</v>
          </cell>
          <cell r="AL34">
            <v>0</v>
          </cell>
          <cell r="AM34">
            <v>0</v>
          </cell>
          <cell r="AN34">
            <v>142</v>
          </cell>
          <cell r="AO34">
            <v>0</v>
          </cell>
          <cell r="AP34">
            <v>34</v>
          </cell>
          <cell r="AQ34">
            <v>0</v>
          </cell>
          <cell r="AR34">
            <v>0</v>
          </cell>
          <cell r="AS34">
            <v>0</v>
          </cell>
          <cell r="AT34">
            <v>0</v>
          </cell>
          <cell r="AU34">
            <v>0</v>
          </cell>
          <cell r="AV34">
            <v>622</v>
          </cell>
          <cell r="AW34">
            <v>55</v>
          </cell>
          <cell r="AX34">
            <v>7</v>
          </cell>
          <cell r="AY34">
            <v>0</v>
          </cell>
          <cell r="AZ34">
            <v>0</v>
          </cell>
          <cell r="BA34">
            <v>0</v>
          </cell>
          <cell r="BB34">
            <v>0</v>
          </cell>
          <cell r="BC34">
            <v>0</v>
          </cell>
          <cell r="BD34">
            <v>0</v>
          </cell>
          <cell r="BE34">
            <v>0</v>
          </cell>
          <cell r="BF34">
            <v>0</v>
          </cell>
          <cell r="BH34">
            <v>0</v>
          </cell>
          <cell r="BI34">
            <v>0</v>
          </cell>
          <cell r="BJ34">
            <v>0</v>
          </cell>
          <cell r="BK34">
            <v>0</v>
          </cell>
          <cell r="BL34">
            <v>0</v>
          </cell>
          <cell r="BM34">
            <v>0</v>
          </cell>
          <cell r="BN34">
            <v>0</v>
          </cell>
          <cell r="BO34">
            <v>0</v>
          </cell>
          <cell r="BP34">
            <v>0</v>
          </cell>
          <cell r="BQ34">
            <v>135.233</v>
          </cell>
          <cell r="BR34">
            <v>149</v>
          </cell>
          <cell r="BS34">
            <v>0</v>
          </cell>
          <cell r="BT34">
            <v>-27</v>
          </cell>
          <cell r="BU34">
            <v>176</v>
          </cell>
          <cell r="BV34">
            <v>0</v>
          </cell>
          <cell r="BW34">
            <v>684</v>
          </cell>
          <cell r="BX34">
            <v>0</v>
          </cell>
          <cell r="BY34">
            <v>0</v>
          </cell>
          <cell r="BZ34">
            <v>0</v>
          </cell>
          <cell r="CA34">
            <v>0</v>
          </cell>
          <cell r="CB34">
            <v>0</v>
          </cell>
        </row>
      </sheetData>
      <sheetData sheetId="18">
        <row r="7">
          <cell r="F7" t="str">
            <v>FY2024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Drivers"/>
      <sheetName val="Qualitative"/>
      <sheetName val="Assumptions"/>
      <sheetName val="Memo"/>
      <sheetName val="Summary"/>
      <sheetName val="Model (A)"/>
      <sheetName val="Census E-com Data"/>
      <sheetName val="Model (Q)"/>
      <sheetName val="Historicals"/>
      <sheetName val="Stock"/>
      <sheetName val="Comps"/>
      <sheetName val="SEM Data"/>
      <sheetName val="Market Sizing"/>
      <sheetName val="Guidance"/>
      <sheetName val="Update Log"/>
      <sheetName val="Summary Page"/>
    </sheetNames>
    <sheetDataSet>
      <sheetData sheetId="0">
        <row r="15">
          <cell r="H15" t="str">
            <v>Bloomberg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A1" t="str">
            <v>Revolve Group</v>
          </cell>
        </row>
        <row r="33">
          <cell r="A33" t="str">
            <v>Marketing expenses, mm</v>
          </cell>
          <cell r="B33"/>
          <cell r="C33"/>
          <cell r="D33"/>
          <cell r="E33"/>
          <cell r="F33"/>
          <cell r="G33"/>
          <cell r="H33"/>
          <cell r="I33"/>
          <cell r="J33"/>
          <cell r="K33"/>
          <cell r="L33"/>
          <cell r="M33"/>
          <cell r="N33"/>
          <cell r="O33">
            <v>11.204000000000001</v>
          </cell>
          <cell r="P33">
            <v>15.298</v>
          </cell>
          <cell r="Q33">
            <v>14.382999999999999</v>
          </cell>
          <cell r="R33">
            <v>14.590999999999998</v>
          </cell>
          <cell r="S33">
            <v>15.353</v>
          </cell>
          <cell r="T33">
            <v>21.161000000000001</v>
          </cell>
          <cell r="U33">
            <v>18.956</v>
          </cell>
          <cell r="V33">
            <v>18.924000000000003</v>
          </cell>
          <cell r="W33">
            <v>19.498000000000001</v>
          </cell>
          <cell r="X33">
            <v>24.914000000000001</v>
          </cell>
          <cell r="Y33">
            <v>23.126999999999999</v>
          </cell>
          <cell r="Z33">
            <v>21.602</v>
          </cell>
          <cell r="AA33">
            <v>21.95</v>
          </cell>
          <cell r="AB33">
            <v>14.638</v>
          </cell>
          <cell r="AC33">
            <v>18.902999999999999</v>
          </cell>
          <cell r="AD33">
            <v>20.879999999999995</v>
          </cell>
          <cell r="AE33">
            <v>26.228000000000002</v>
          </cell>
          <cell r="AF33">
            <v>34.871000000000002</v>
          </cell>
          <cell r="AG33">
            <v>46.954999999999998</v>
          </cell>
          <cell r="AH33">
            <v>32.34399999999998</v>
          </cell>
          <cell r="AI33">
            <v>45.25</v>
          </cell>
          <cell r="AJ33">
            <v>51.920999999999999</v>
          </cell>
          <cell r="AK33">
            <v>44.584000000000003</v>
          </cell>
          <cell r="AL33">
            <v>39.893000000000001</v>
          </cell>
          <cell r="AM33">
            <v>38.343000000000004</v>
          </cell>
          <cell r="AN33">
            <v>51.497</v>
          </cell>
          <cell r="AO33">
            <v>39.581000000000003</v>
          </cell>
          <cell r="AP33">
            <v>42.35299999999998</v>
          </cell>
          <cell r="AQ33">
            <v>41.378999999999998</v>
          </cell>
          <cell r="AR33">
            <v>42.960999999999999</v>
          </cell>
          <cell r="AS33">
            <v>39.51</v>
          </cell>
          <cell r="AT33">
            <v>46.976937402271574</v>
          </cell>
          <cell r="AU33">
            <v>44.451309007705738</v>
          </cell>
          <cell r="AV33">
            <v>47.091272549912823</v>
          </cell>
          <cell r="AW33">
            <v>43.695004507373881</v>
          </cell>
          <cell r="AX33">
            <v>47.500888649583139</v>
          </cell>
          <cell r="AY33"/>
          <cell r="AZ33"/>
          <cell r="BA33"/>
          <cell r="BB33"/>
          <cell r="BC33"/>
          <cell r="BD33"/>
          <cell r="BE33"/>
          <cell r="BF33"/>
          <cell r="BG33">
            <v>39</v>
          </cell>
          <cell r="BH33">
            <v>55.475999999999999</v>
          </cell>
          <cell r="BI33">
            <v>74.394000000000005</v>
          </cell>
          <cell r="BJ33">
            <v>89.141000000000005</v>
          </cell>
          <cell r="BK33">
            <v>76.370999999999995</v>
          </cell>
          <cell r="BL33">
            <v>140.398</v>
          </cell>
          <cell r="BM33">
            <v>181.648</v>
          </cell>
          <cell r="BN33">
            <v>171.774</v>
          </cell>
          <cell r="BO33">
            <v>170.82693740227157</v>
          </cell>
          <cell r="BP33">
            <v>182.7384747145756</v>
          </cell>
          <cell r="BQ33">
            <v>193.38227715365437</v>
          </cell>
          <cell r="BR33">
            <v>199.42722998040364</v>
          </cell>
          <cell r="BS33">
            <v>208.1667117410247</v>
          </cell>
          <cell r="BT33"/>
        </row>
        <row r="34">
          <cell r="A34" t="str">
            <v>General and administrative expenses, mm</v>
          </cell>
          <cell r="B34"/>
          <cell r="C34"/>
          <cell r="D34"/>
          <cell r="E34"/>
          <cell r="F34"/>
          <cell r="G34"/>
          <cell r="H34"/>
          <cell r="I34"/>
          <cell r="J34"/>
          <cell r="K34"/>
          <cell r="L34"/>
          <cell r="M34"/>
          <cell r="N34"/>
          <cell r="O34">
            <v>12.397</v>
          </cell>
          <cell r="P34">
            <v>13.420999999999999</v>
          </cell>
          <cell r="Q34">
            <v>13.427</v>
          </cell>
          <cell r="R34">
            <v>18.223000000000006</v>
          </cell>
          <cell r="S34">
            <v>14.94</v>
          </cell>
          <cell r="T34">
            <v>16.145</v>
          </cell>
          <cell r="U34">
            <v>16.28</v>
          </cell>
          <cell r="V34">
            <v>17.835999999999999</v>
          </cell>
          <cell r="W34">
            <v>19.268999999999998</v>
          </cell>
          <cell r="X34">
            <v>18.835999999999999</v>
          </cell>
          <cell r="Y34">
            <v>19.018999999999998</v>
          </cell>
          <cell r="Z34">
            <v>20.471000000000004</v>
          </cell>
          <cell r="AA34">
            <v>18.873999999999999</v>
          </cell>
          <cell r="AB34">
            <v>15.776</v>
          </cell>
          <cell r="AC34">
            <v>17.741</v>
          </cell>
          <cell r="AD34">
            <v>18.485000000000014</v>
          </cell>
          <cell r="AE34">
            <v>19.878</v>
          </cell>
          <cell r="AF34">
            <v>21.97</v>
          </cell>
          <cell r="AG34">
            <v>24.18</v>
          </cell>
          <cell r="AH34">
            <v>23.277999999999999</v>
          </cell>
          <cell r="AI34">
            <v>26.835000000000001</v>
          </cell>
          <cell r="AJ34">
            <v>31.164000000000001</v>
          </cell>
          <cell r="AK34">
            <v>28.498000000000001</v>
          </cell>
          <cell r="AL34">
            <v>28.815000000000001</v>
          </cell>
          <cell r="AM34">
            <v>28.091999999999999</v>
          </cell>
          <cell r="AN34">
            <v>28.552</v>
          </cell>
          <cell r="AO34">
            <v>35.216999999999999</v>
          </cell>
          <cell r="AP34">
            <v>34.724000000000004</v>
          </cell>
          <cell r="AQ34">
            <v>32.963999999999999</v>
          </cell>
          <cell r="AR34">
            <v>33.496000000000002</v>
          </cell>
          <cell r="AS34">
            <v>33.905999999999999</v>
          </cell>
          <cell r="AT34">
            <v>35.454292379072882</v>
          </cell>
          <cell r="AU34">
            <v>34.880532567574932</v>
          </cell>
          <cell r="AV34">
            <v>37.976832701542598</v>
          </cell>
          <cell r="AW34">
            <v>37.869003906390695</v>
          </cell>
          <cell r="AX34">
            <v>35.398751414020559</v>
          </cell>
          <cell r="AY34"/>
          <cell r="AZ34"/>
          <cell r="BA34"/>
          <cell r="BB34"/>
          <cell r="BC34"/>
          <cell r="BD34"/>
          <cell r="BE34"/>
          <cell r="BF34"/>
          <cell r="BG34">
            <v>50.101999999999997</v>
          </cell>
          <cell r="BH34">
            <v>57.468000000000004</v>
          </cell>
          <cell r="BI34">
            <v>65.200999999999993</v>
          </cell>
          <cell r="BJ34">
            <v>77.594999999999999</v>
          </cell>
          <cell r="BK34">
            <v>70.876000000000005</v>
          </cell>
          <cell r="BL34">
            <v>89.305999999999997</v>
          </cell>
          <cell r="BM34">
            <v>115.312</v>
          </cell>
          <cell r="BN34">
            <v>126.58499999999999</v>
          </cell>
          <cell r="BO34">
            <v>135.8202923790729</v>
          </cell>
          <cell r="BP34">
            <v>146.12512058952879</v>
          </cell>
          <cell r="BQ34">
            <v>156.37016329363053</v>
          </cell>
          <cell r="BR34">
            <v>160.87129885085895</v>
          </cell>
          <cell r="BS34">
            <v>166.53336939281976</v>
          </cell>
          <cell r="BT34"/>
        </row>
        <row r="187">
          <cell r="A187" t="str">
            <v>Fulfillment Expenses Margin, %</v>
          </cell>
          <cell r="B187"/>
          <cell r="C187"/>
          <cell r="D187"/>
          <cell r="E187"/>
          <cell r="F187"/>
          <cell r="G187"/>
          <cell r="H187"/>
          <cell r="I187"/>
          <cell r="J187"/>
          <cell r="K187"/>
          <cell r="L187"/>
          <cell r="M187"/>
          <cell r="N187"/>
          <cell r="O187">
            <v>2.4803830296581994E-2</v>
          </cell>
          <cell r="P187">
            <v>2.2773176200270539E-2</v>
          </cell>
          <cell r="Q187">
            <v>2.2801761405907544E-2</v>
          </cell>
          <cell r="R187">
            <v>2.4458413831654729E-2</v>
          </cell>
          <cell r="S187">
            <v>2.4553197122810112E-2</v>
          </cell>
          <cell r="T187">
            <v>2.4756832218024008E-2</v>
          </cell>
          <cell r="U187">
            <v>2.6423845793390462E-2</v>
          </cell>
          <cell r="V187">
            <v>3.069141814708393E-2</v>
          </cell>
          <cell r="W187">
            <v>3.2728278834742219E-2</v>
          </cell>
          <cell r="X187">
            <v>3.2743040328109853E-2</v>
          </cell>
          <cell r="Y187">
            <v>3.3191307223875956E-2</v>
          </cell>
          <cell r="Z187">
            <v>3.0490119005665617E-2</v>
          </cell>
          <cell r="AA187">
            <v>3.0758172171829544E-2</v>
          </cell>
          <cell r="AB187">
            <v>2.6606622590766474E-2</v>
          </cell>
          <cell r="AC187">
            <v>2.7529860430625813E-2</v>
          </cell>
          <cell r="AD187">
            <v>2.8567571791920651E-2</v>
          </cell>
          <cell r="AE187">
            <v>2.4409329987088262E-2</v>
          </cell>
          <cell r="AF187">
            <v>2.3222549800099732E-2</v>
          </cell>
          <cell r="AG187">
            <v>2.3665923692146321E-2</v>
          </cell>
          <cell r="AH187">
            <v>2.4478221888617833E-2</v>
          </cell>
          <cell r="AI187">
            <v>2.5714467121461176E-2</v>
          </cell>
          <cell r="AJ187">
            <v>2.7270784060899007E-2</v>
          </cell>
          <cell r="AK187">
            <v>3.0039708087871351E-2</v>
          </cell>
          <cell r="AL187">
            <v>3.2922636434847379E-2</v>
          </cell>
          <cell r="AM187">
            <v>3.2441731131687468E-2</v>
          </cell>
          <cell r="AN187">
            <v>3.4344187133990185E-2</v>
          </cell>
          <cell r="AO187">
            <v>3.5655640656358817E-2</v>
          </cell>
          <cell r="AP187">
            <v>3.4902125084374937E-2</v>
          </cell>
          <cell r="AQ187">
            <v>3.4714189096795411E-2</v>
          </cell>
          <cell r="AR187">
            <v>3.2826351714957375E-2</v>
          </cell>
          <cell r="AS187">
            <v>3.273223001561032E-2</v>
          </cell>
          <cell r="AT187">
            <v>3.4000000000000002E-2</v>
          </cell>
          <cell r="AU187">
            <v>3.4714189096795411E-2</v>
          </cell>
          <cell r="AV187">
            <v>3.2826351714957375E-2</v>
          </cell>
          <cell r="AW187">
            <v>3.4000000000000002E-2</v>
          </cell>
          <cell r="AX187">
            <v>3.4000000000000002E-2</v>
          </cell>
          <cell r="AY187"/>
          <cell r="AZ187"/>
          <cell r="BA187"/>
          <cell r="BB187"/>
          <cell r="BC187"/>
          <cell r="BD187"/>
          <cell r="BE187"/>
          <cell r="BF187"/>
          <cell r="BG187">
            <v>2.7614537204965362E-2</v>
          </cell>
          <cell r="BH187">
            <v>2.3668846362710431E-2</v>
          </cell>
          <cell r="BI187">
            <v>2.6651214362622536E-2</v>
          </cell>
          <cell r="BJ187">
            <v>3.2301540949728196E-2</v>
          </cell>
          <cell r="BK187">
            <v>2.8366534687909565E-2</v>
          </cell>
          <cell r="BL187">
            <v>2.3919945254041439E-2</v>
          </cell>
          <cell r="BM187">
            <v>2.8875556556287544E-2</v>
          </cell>
          <cell r="BN187">
            <v>3.429713516836512E-2</v>
          </cell>
          <cell r="BO187">
            <v>3.3560616445927817E-2</v>
          </cell>
          <cell r="BP187">
            <v>3.3874633926575332E-2</v>
          </cell>
          <cell r="BQ187">
            <v>3.3873592569582986E-2</v>
          </cell>
          <cell r="BR187">
            <v>3.3873592569582986E-2</v>
          </cell>
          <cell r="BS187">
            <v>3.3873592569582986E-2</v>
          </cell>
          <cell r="BT187"/>
        </row>
        <row r="188">
          <cell r="A188" t="str">
            <v>Selling and Distribution Expenses Margin, %</v>
          </cell>
          <cell r="B188"/>
          <cell r="C188"/>
          <cell r="D188"/>
          <cell r="E188"/>
          <cell r="F188"/>
          <cell r="G188"/>
          <cell r="H188"/>
          <cell r="I188"/>
          <cell r="J188"/>
          <cell r="K188"/>
          <cell r="L188"/>
          <cell r="M188"/>
          <cell r="N188"/>
          <cell r="O188">
            <v>0.12386398900563018</v>
          </cell>
          <cell r="P188">
            <v>0.12462245446291252</v>
          </cell>
          <cell r="Q188">
            <v>0.12915971286670822</v>
          </cell>
          <cell r="R188">
            <v>0.13035334268257998</v>
          </cell>
          <cell r="S188">
            <v>0.13991439036229644</v>
          </cell>
          <cell r="T188">
            <v>0.1416442846087313</v>
          </cell>
          <cell r="U188">
            <v>0.14538277644965808</v>
          </cell>
          <cell r="V188">
            <v>0.13931711594622734</v>
          </cell>
          <cell r="W188">
            <v>0.14992391312262002</v>
          </cell>
          <cell r="X188">
            <v>0.14601258825055438</v>
          </cell>
          <cell r="Y188">
            <v>0.14644253779256405</v>
          </cell>
          <cell r="Z188">
            <v>0.14160725419501749</v>
          </cell>
          <cell r="AA188">
            <v>0.14909464316275886</v>
          </cell>
          <cell r="AB188">
            <v>0.1334463245181533</v>
          </cell>
          <cell r="AC188">
            <v>0.13817897719748934</v>
          </cell>
          <cell r="AD188">
            <v>0.13351663185415685</v>
          </cell>
          <cell r="AE188">
            <v>0.13960884705461496</v>
          </cell>
          <cell r="AF188">
            <v>0.14058194161337451</v>
          </cell>
          <cell r="AG188">
            <v>0.15714730562475415</v>
          </cell>
          <cell r="AH188">
            <v>0.15861220575050561</v>
          </cell>
          <cell r="AI188">
            <v>0.16432567425519756</v>
          </cell>
          <cell r="AJ188">
            <v>0.17916319030249542</v>
          </cell>
          <cell r="AK188">
            <v>0.17296277413280436</v>
          </cell>
          <cell r="AL188">
            <v>0.1751436410151534</v>
          </cell>
          <cell r="AM188">
            <v>0.1840355639482277</v>
          </cell>
          <cell r="AN188">
            <v>0.18592476500480404</v>
          </cell>
          <cell r="AO188">
            <v>0.18992403038784483</v>
          </cell>
          <cell r="AP188">
            <v>0.17757915725934711</v>
          </cell>
          <cell r="AQ188">
            <v>0.17901478669973131</v>
          </cell>
          <cell r="AR188">
            <v>0.1785835669980457</v>
          </cell>
          <cell r="AS188">
            <v>0.16927662760554624</v>
          </cell>
          <cell r="AT188">
            <v>0.17299999999999999</v>
          </cell>
          <cell r="AU188">
            <v>0.17901478669973131</v>
          </cell>
          <cell r="AV188">
            <v>0.18</v>
          </cell>
          <cell r="AW188">
            <v>0.18</v>
          </cell>
          <cell r="AX188">
            <v>0.17499999999999999</v>
          </cell>
          <cell r="AY188"/>
          <cell r="AZ188"/>
          <cell r="BA188"/>
          <cell r="BB188"/>
          <cell r="BC188"/>
          <cell r="BD188"/>
          <cell r="BE188"/>
          <cell r="BF188"/>
          <cell r="BG188">
            <v>0.13494530283707487</v>
          </cell>
          <cell r="BH188">
            <v>0.12704299581828693</v>
          </cell>
          <cell r="BI188">
            <v>0.1415991129628924</v>
          </cell>
          <cell r="BJ188">
            <v>0.14593514400334112</v>
          </cell>
          <cell r="BK188">
            <v>0.13863108349450357</v>
          </cell>
          <cell r="BL188">
            <v>0.14977282670884798</v>
          </cell>
          <cell r="BM188">
            <v>0.1728856308606376</v>
          </cell>
          <cell r="BN188">
            <v>0.18438148849229777</v>
          </cell>
          <cell r="BO188">
            <v>0.17490020648934906</v>
          </cell>
          <cell r="BP188">
            <v>0.17848600454186264</v>
          </cell>
          <cell r="BQ188">
            <v>0.17499999999999999</v>
          </cell>
          <cell r="BR188">
            <v>0.17499999999999999</v>
          </cell>
          <cell r="BS188">
            <v>0.17499999999999999</v>
          </cell>
          <cell r="BT188"/>
        </row>
      </sheetData>
      <sheetData sheetId="10" refreshError="1"/>
      <sheetData sheetId="11" refreshError="1"/>
      <sheetData sheetId="12" refreshError="1"/>
      <sheetData sheetId="13" refreshError="1"/>
      <sheetData sheetId="14">
        <row r="1">
          <cell r="D1"/>
        </row>
      </sheetData>
      <sheetData sheetId="15">
        <row r="7">
          <cell r="F7" t="str">
            <v>Q3-2024</v>
          </cell>
        </row>
      </sheetData>
      <sheetData sheetId="16">
        <row r="4">
          <cell r="A4" t="str">
            <v>Stock Price - EoP</v>
          </cell>
        </row>
        <row r="38">
          <cell r="A38" t="str">
            <v>Income from equity method investments</v>
          </cell>
          <cell r="B38"/>
          <cell r="C38"/>
          <cell r="D38"/>
          <cell r="E38"/>
          <cell r="F38"/>
          <cell r="G38"/>
          <cell r="H38"/>
          <cell r="I38"/>
          <cell r="J38"/>
          <cell r="K38"/>
          <cell r="L38"/>
          <cell r="M38"/>
          <cell r="N38"/>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cell r="AZ38"/>
          <cell r="BA38"/>
          <cell r="BB38"/>
          <cell r="BC38"/>
          <cell r="BD38"/>
          <cell r="BE38"/>
          <cell r="BF38"/>
          <cell r="BG38">
            <v>0</v>
          </cell>
          <cell r="BH38">
            <v>0</v>
          </cell>
          <cell r="BI38">
            <v>0</v>
          </cell>
          <cell r="BJ38">
            <v>0</v>
          </cell>
          <cell r="BK38">
            <v>0</v>
          </cell>
          <cell r="BL38">
            <v>0</v>
          </cell>
          <cell r="BM38">
            <v>0</v>
          </cell>
          <cell r="BN38">
            <v>0</v>
          </cell>
          <cell r="BO38">
            <v>0</v>
          </cell>
          <cell r="BP38">
            <v>0</v>
          </cell>
          <cell r="BQ38">
            <v>0</v>
          </cell>
          <cell r="BR38">
            <v>0</v>
          </cell>
          <cell r="BS38">
            <v>0</v>
          </cell>
          <cell r="BT38"/>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Model"/>
      <sheetName val="Supplemental Data"/>
      <sheetName val="Exec Comp"/>
      <sheetName val="Guidance"/>
      <sheetName val="Summary Page"/>
      <sheetName val="Update Log"/>
    </sheetNames>
    <sheetDataSet>
      <sheetData sheetId="0">
        <row r="15">
          <cell r="H15" t="str">
            <v>Bloomberg</v>
          </cell>
        </row>
      </sheetData>
      <sheetData sheetId="1"/>
      <sheetData sheetId="2"/>
      <sheetData sheetId="3"/>
      <sheetData sheetId="4"/>
      <sheetData sheetId="5">
        <row r="4">
          <cell r="A4" t="str">
            <v>Stock Price - EoP</v>
          </cell>
        </row>
        <row r="31">
          <cell r="A31" t="str">
            <v>S&amp;M</v>
          </cell>
          <cell r="B31"/>
          <cell r="C31">
            <v>203</v>
          </cell>
          <cell r="D31">
            <v>269</v>
          </cell>
          <cell r="E31">
            <v>233</v>
          </cell>
          <cell r="F31">
            <v>292</v>
          </cell>
          <cell r="G31">
            <v>323</v>
          </cell>
          <cell r="H31">
            <v>358</v>
          </cell>
          <cell r="I31">
            <v>374</v>
          </cell>
          <cell r="J31">
            <v>624</v>
          </cell>
          <cell r="K31">
            <v>620</v>
          </cell>
          <cell r="L31">
            <v>626</v>
          </cell>
          <cell r="M31">
            <v>706</v>
          </cell>
          <cell r="N31">
            <v>772</v>
          </cell>
          <cell r="O31">
            <v>826</v>
          </cell>
          <cell r="P31">
            <v>901</v>
          </cell>
          <cell r="Q31">
            <v>926</v>
          </cell>
          <cell r="R31">
            <v>1118</v>
          </cell>
          <cell r="S31">
            <v>1057</v>
          </cell>
          <cell r="T31">
            <v>1124</v>
          </cell>
          <cell r="U31">
            <v>1170</v>
          </cell>
          <cell r="V31">
            <v>1374</v>
          </cell>
          <cell r="W31">
            <v>1595</v>
          </cell>
          <cell r="X31">
            <v>1855</v>
          </cell>
          <cell r="Y31">
            <v>1928</v>
          </cell>
          <cell r="Z31">
            <v>2468</v>
          </cell>
          <cell r="AA31">
            <v>2020</v>
          </cell>
          <cell r="AB31">
            <v>2414</v>
          </cell>
          <cell r="AC31">
            <v>2416</v>
          </cell>
          <cell r="AD31">
            <v>3026</v>
          </cell>
          <cell r="AE31">
            <v>2787</v>
          </cell>
          <cell r="AF31">
            <v>2840</v>
          </cell>
          <cell r="AG31">
            <v>2683</v>
          </cell>
          <cell r="AH31">
            <v>3280</v>
          </cell>
          <cell r="AI31">
            <v>2843</v>
          </cell>
          <cell r="AJ31">
            <v>3259</v>
          </cell>
          <cell r="AK31">
            <v>3554</v>
          </cell>
          <cell r="AL31">
            <v>4387</v>
          </cell>
          <cell r="AM31">
            <v>3312</v>
          </cell>
          <cell r="AN31">
            <v>3595</v>
          </cell>
          <cell r="AO31">
            <v>3780</v>
          </cell>
          <cell r="AP31">
            <v>4574</v>
          </cell>
          <cell r="AQ31">
            <v>3044</v>
          </cell>
          <cell r="AR31">
            <v>3154</v>
          </cell>
          <cell r="AS31">
            <v>2877</v>
          </cell>
          <cell r="AT31">
            <v>3226</v>
          </cell>
          <cell r="AU31">
            <v>2564</v>
          </cell>
          <cell r="AV31">
            <v>2721</v>
          </cell>
          <cell r="AW31">
            <v>2822</v>
          </cell>
          <cell r="AX31">
            <v>3240</v>
          </cell>
          <cell r="AY31">
            <v>2821.4543528624336</v>
          </cell>
          <cell r="AZ31">
            <v>2950.1215567877712</v>
          </cell>
          <cell r="BA31">
            <v>3106.5451246430562</v>
          </cell>
          <cell r="BB31">
            <v>3671.7912834835179</v>
          </cell>
          <cell r="BC31">
            <v>3134.109844453491</v>
          </cell>
          <cell r="BD31">
            <v>3223.720761834737</v>
          </cell>
          <cell r="BE31">
            <v>3425.1169344980754</v>
          </cell>
          <cell r="BF31">
            <v>4147.5674978769657</v>
          </cell>
          <cell r="BG31"/>
          <cell r="BH31">
            <v>87</v>
          </cell>
          <cell r="BI31">
            <v>167</v>
          </cell>
          <cell r="BJ31">
            <v>393</v>
          </cell>
          <cell r="BK31">
            <v>896</v>
          </cell>
          <cell r="BL31">
            <v>997</v>
          </cell>
          <cell r="BM31">
            <v>1680</v>
          </cell>
          <cell r="BN31">
            <v>2725</v>
          </cell>
          <cell r="BO31">
            <v>3772</v>
          </cell>
          <cell r="BP31">
            <v>4725</v>
          </cell>
          <cell r="BQ31">
            <v>7846</v>
          </cell>
          <cell r="BR31">
            <v>9876</v>
          </cell>
          <cell r="BS31">
            <v>11591</v>
          </cell>
          <cell r="BT31">
            <v>14043</v>
          </cell>
          <cell r="BU31">
            <v>15262</v>
          </cell>
          <cell r="BV31">
            <v>12301</v>
          </cell>
          <cell r="BW31">
            <v>11347</v>
          </cell>
          <cell r="BX31">
            <v>12549.91231777678</v>
          </cell>
          <cell r="BY31">
            <v>13930.515038663269</v>
          </cell>
          <cell r="BZ31">
            <v>14930.580048953152</v>
          </cell>
          <cell r="CA31">
            <v>15118.708963287319</v>
          </cell>
          <cell r="CB31">
            <v>15234.451223674019</v>
          </cell>
          <cell r="CC31"/>
        </row>
        <row r="47">
          <cell r="A47" t="str">
            <v>Adjusted EBIT (No Adjustments)</v>
          </cell>
          <cell r="B47"/>
          <cell r="C47">
            <v>373</v>
          </cell>
          <cell r="D47">
            <v>562</v>
          </cell>
          <cell r="E47">
            <v>736</v>
          </cell>
          <cell r="F47">
            <v>1133</v>
          </cell>
          <cell r="G47">
            <v>1075</v>
          </cell>
          <cell r="H47">
            <v>1390</v>
          </cell>
          <cell r="I47">
            <v>1397</v>
          </cell>
          <cell r="J47">
            <v>1133</v>
          </cell>
          <cell r="K47">
            <v>933</v>
          </cell>
          <cell r="L47">
            <v>1273</v>
          </cell>
          <cell r="M47">
            <v>1459</v>
          </cell>
          <cell r="N47">
            <v>2560</v>
          </cell>
          <cell r="O47">
            <v>2010</v>
          </cell>
          <cell r="P47">
            <v>2734</v>
          </cell>
          <cell r="Q47">
            <v>3117</v>
          </cell>
          <cell r="R47">
            <v>4566</v>
          </cell>
          <cell r="S47">
            <v>3327</v>
          </cell>
          <cell r="T47">
            <v>4401</v>
          </cell>
          <cell r="U47">
            <v>5122</v>
          </cell>
          <cell r="V47">
            <v>7352</v>
          </cell>
          <cell r="W47">
            <v>5449</v>
          </cell>
          <cell r="X47">
            <v>5863</v>
          </cell>
          <cell r="Y47">
            <v>5781</v>
          </cell>
          <cell r="Z47">
            <v>7820</v>
          </cell>
          <cell r="AA47">
            <v>3317</v>
          </cell>
          <cell r="AB47">
            <v>4626</v>
          </cell>
          <cell r="AC47">
            <v>7185</v>
          </cell>
          <cell r="AD47">
            <v>8858</v>
          </cell>
          <cell r="AE47">
            <v>5893</v>
          </cell>
          <cell r="AF47">
            <v>5963</v>
          </cell>
          <cell r="AG47">
            <v>8040</v>
          </cell>
          <cell r="AH47">
            <v>12775</v>
          </cell>
          <cell r="AI47">
            <v>11378</v>
          </cell>
          <cell r="AJ47">
            <v>12367</v>
          </cell>
          <cell r="AK47">
            <v>10423</v>
          </cell>
          <cell r="AL47">
            <v>12585</v>
          </cell>
          <cell r="AM47">
            <v>8524</v>
          </cell>
          <cell r="AN47">
            <v>8358</v>
          </cell>
          <cell r="AO47">
            <v>5664</v>
          </cell>
          <cell r="AP47">
            <v>6399</v>
          </cell>
          <cell r="AQ47">
            <v>7227</v>
          </cell>
          <cell r="AR47">
            <v>9392</v>
          </cell>
          <cell r="AS47">
            <v>13748</v>
          </cell>
          <cell r="AT47">
            <v>16384</v>
          </cell>
          <cell r="AU47">
            <v>13818</v>
          </cell>
          <cell r="AV47">
            <v>14847</v>
          </cell>
          <cell r="AW47">
            <v>17350</v>
          </cell>
          <cell r="AX47">
            <v>23365</v>
          </cell>
          <cell r="AY47">
            <v>14229.241982507287</v>
          </cell>
          <cell r="AZ47">
            <v>14972.718943747102</v>
          </cell>
          <cell r="BA47">
            <v>18190.661265128103</v>
          </cell>
          <cell r="BB47">
            <v>20925.667387679168</v>
          </cell>
          <cell r="BC47">
            <v>18559.721518553939</v>
          </cell>
          <cell r="BD47">
            <v>21458.053965062762</v>
          </cell>
          <cell r="BE47">
            <v>22612.269159360763</v>
          </cell>
          <cell r="BF47">
            <v>26844.73147032515</v>
          </cell>
          <cell r="BG47"/>
          <cell r="BH47">
            <v>262</v>
          </cell>
          <cell r="BI47">
            <v>1032</v>
          </cell>
          <cell r="BJ47">
            <v>1756</v>
          </cell>
          <cell r="BK47">
            <v>538</v>
          </cell>
          <cell r="BL47">
            <v>2804</v>
          </cell>
          <cell r="BM47">
            <v>4994</v>
          </cell>
          <cell r="BN47">
            <v>6225</v>
          </cell>
          <cell r="BO47">
            <v>12427</v>
          </cell>
          <cell r="BP47">
            <v>20203</v>
          </cell>
          <cell r="BQ47">
            <v>24913</v>
          </cell>
          <cell r="BR47">
            <v>23986</v>
          </cell>
          <cell r="BS47">
            <v>32671</v>
          </cell>
          <cell r="BT47">
            <v>46753</v>
          </cell>
          <cell r="BU47">
            <v>28944</v>
          </cell>
          <cell r="BV47">
            <v>46751</v>
          </cell>
          <cell r="BW47">
            <v>69380</v>
          </cell>
          <cell r="BX47">
            <v>68318.289579061646</v>
          </cell>
          <cell r="BY47">
            <v>89474.776113302622</v>
          </cell>
          <cell r="BZ47">
            <v>108262.68716674329</v>
          </cell>
          <cell r="CA47">
            <v>123253.03784936614</v>
          </cell>
          <cell r="CB47">
            <v>139029.77785873611</v>
          </cell>
          <cell r="CC47"/>
        </row>
      </sheetData>
      <sheetData sheetId="6">
        <row r="7">
          <cell r="F7" t="str">
            <v>FY2024</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2)"/>
      <sheetName val="Sheet3"/>
      <sheetName val="Sheet1"/>
    </sheetNames>
    <sheetDataSet>
      <sheetData sheetId="0">
        <row r="8">
          <cell r="AH8">
            <v>5401470</v>
          </cell>
          <cell r="AI8">
            <v>5565713</v>
          </cell>
          <cell r="AJ8">
            <v>6519845</v>
          </cell>
          <cell r="AK8">
            <v>7040995</v>
          </cell>
          <cell r="AL8">
            <v>7200133</v>
          </cell>
          <cell r="AM8">
            <v>7401020</v>
          </cell>
        </row>
      </sheetData>
      <sheetData sheetId="1"/>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nual"/>
      <sheetName val="Sheet1"/>
      <sheetName val="Quarterly"/>
    </sheetNames>
    <sheetDataSet>
      <sheetData sheetId="0"/>
      <sheetData sheetId="1">
        <row r="456">
          <cell r="A456" t="str">
            <v>Land</v>
          </cell>
        </row>
        <row r="457">
          <cell r="A457" t="str">
            <v>Buildings</v>
          </cell>
        </row>
        <row r="458">
          <cell r="A458" t="str">
            <v>Leasehold improvements</v>
          </cell>
        </row>
        <row r="459">
          <cell r="A459" t="str">
            <v>Network equipment</v>
          </cell>
        </row>
        <row r="460">
          <cell r="A460" t="str">
            <v>Servers and network assets</v>
          </cell>
        </row>
        <row r="461">
          <cell r="A461" t="str">
            <v>Computer software, office equipment and other</v>
          </cell>
        </row>
        <row r="462">
          <cell r="A462" t="str">
            <v>Equipment and other</v>
          </cell>
        </row>
        <row r="463">
          <cell r="A463" t="str">
            <v>Finance lease right of use assets</v>
          </cell>
        </row>
        <row r="464">
          <cell r="A464" t="str">
            <v>Construction in progress</v>
          </cell>
        </row>
        <row r="465">
          <cell r="A465" t="str">
            <v>Property and equipment, gross</v>
          </cell>
        </row>
        <row r="466">
          <cell r="A466"/>
        </row>
        <row r="467">
          <cell r="A467" t="str">
            <v>Less: Accumulated depreciation</v>
          </cell>
        </row>
        <row r="468">
          <cell r="A468" t="str">
            <v>Property and equipment, net</v>
          </cell>
        </row>
      </sheetData>
      <sheetData sheetId="2"/>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9">
  <a r="1" c="279">
    <v t="i">1</v>
    <v t="i">8</v>
    <v t="i">15</v>
    <v t="i">23</v>
    <v t="i">29</v>
    <v t="i">36</v>
    <v t="i">43</v>
    <v t="i">51</v>
    <v t="i">57</v>
    <v t="i">64</v>
    <v t="i">71</v>
    <v t="i">78</v>
    <v t="i">85</v>
    <v t="i">92</v>
    <v t="i">99</v>
    <v t="i">106</v>
    <v t="i">113</v>
    <v t="i">120</v>
    <v t="i">127</v>
    <v t="i">134</v>
    <v t="i">141</v>
    <v t="i">149</v>
    <v t="i">155</v>
    <v t="i">162</v>
    <v t="i">169</v>
    <v t="i">176</v>
    <v t="i">183</v>
    <v t="i">190</v>
    <v t="i">197</v>
    <v t="i">204</v>
    <v t="i">211</v>
    <v t="i">218</v>
    <v t="i">225</v>
    <v t="i">232</v>
    <v t="i">239</v>
    <v t="i">246</v>
    <v t="i">254</v>
    <v t="i">260</v>
    <v t="i">267</v>
    <v t="i">274</v>
    <v t="i">281</v>
    <v t="i">288</v>
    <v t="i">295</v>
    <v t="i">302</v>
    <v t="i">309</v>
    <v t="i">316</v>
    <v t="i">323</v>
    <v t="i">330</v>
    <v t="i">337</v>
    <v t="i">344</v>
    <v t="i">351</v>
    <v t="i">358</v>
    <v t="i">365</v>
    <v t="i">372</v>
    <v t="i">379</v>
    <v t="i">387</v>
    <v t="i">393</v>
    <v t="i">400</v>
    <v t="i">407</v>
    <v t="i">415</v>
    <v t="i">421</v>
    <v t="i">428</v>
    <v t="i">435</v>
    <v t="i">442</v>
    <v t="i">449</v>
    <v t="i">456</v>
    <v t="i">463</v>
    <v t="i">470</v>
    <v t="i">477</v>
    <v t="i">484</v>
    <v t="i">491</v>
    <v t="i">498</v>
    <v t="i">505</v>
    <v t="i">512</v>
    <v t="i">520</v>
    <v t="i">526</v>
    <v t="i">533</v>
    <v t="i">540</v>
    <v t="i">547</v>
    <v t="i">555</v>
    <v t="i">561</v>
    <v t="i">568</v>
    <v t="i">575</v>
    <v t="i">582</v>
    <v t="i">589</v>
    <v t="i">596</v>
    <v t="i">603</v>
    <v t="i">610</v>
    <v t="i">618</v>
    <v t="i">624</v>
    <v t="i">631</v>
    <v t="i">638</v>
    <v t="i">645</v>
    <v t="i">652</v>
    <v t="i">659</v>
    <v t="i">666</v>
    <v t="i">673</v>
    <v t="i">680</v>
    <v t="i">687</v>
    <v t="i">694</v>
    <v t="i">701</v>
    <v t="i">708</v>
    <v t="i">715</v>
    <v t="i">722</v>
    <v t="i">729</v>
    <v t="i">736</v>
    <v t="i">743</v>
    <v t="i">751</v>
    <v t="i">757</v>
    <v t="i">764</v>
    <v t="i">771</v>
    <v t="i">778</v>
    <v t="i">786</v>
    <v t="i">792</v>
    <v t="i">799</v>
    <v t="i">806</v>
    <v t="i">813</v>
    <v t="i">820</v>
    <v t="i">827</v>
    <v t="i">834</v>
    <v t="i">841</v>
    <v t="i">848</v>
    <v t="i">855</v>
    <v t="i">862</v>
    <v t="i">869</v>
    <v t="i">876</v>
    <v t="i">884</v>
    <v t="i">890</v>
    <v t="i">897</v>
    <v t="i">905</v>
    <v t="i">911</v>
    <v t="i">919</v>
    <v t="i">925</v>
    <v t="i">932</v>
    <v t="i">939</v>
    <v t="i">946</v>
    <v t="i">953</v>
    <v t="i">960</v>
    <v t="i">967</v>
    <v t="i">974</v>
    <v t="i">982</v>
    <v t="i">988</v>
    <v t="i">995</v>
    <v t="i">1002</v>
    <v t="i">1009</v>
    <v t="i">1016</v>
    <v t="i">1023</v>
    <v t="i">1030</v>
    <v t="i">1037</v>
    <v t="i">1044</v>
    <v t="i">1051</v>
    <v t="i">1058</v>
    <v t="i">1065</v>
    <v t="i">1072</v>
    <v t="i">1079</v>
    <v t="i">1086</v>
    <v t="i">1094</v>
    <v t="i">1101</v>
    <v t="i">1107</v>
    <v t="i">1115</v>
    <v t="i">1121</v>
    <v t="i">1128</v>
    <v t="i">1135</v>
    <v t="i">1142</v>
    <v t="i">1150</v>
    <v t="i">1156</v>
    <v t="i">1163</v>
    <v t="i">1170</v>
    <v t="i">1177</v>
    <v t="i">1184</v>
    <v t="i">1191</v>
    <v t="i">1198</v>
    <v t="i">1205</v>
    <v t="i">1212</v>
    <v t="i">1219</v>
    <v t="i">1226</v>
    <v t="i">1233</v>
    <v t="i">1240</v>
    <v t="i">1248</v>
    <v t="i">1254</v>
    <v t="i">1261</v>
    <v t="i">1269</v>
    <v t="i">1275</v>
    <v t="i">1282</v>
    <v t="i">1289</v>
    <v t="i">1296</v>
    <v t="i">1303</v>
    <v t="i">1310</v>
    <v t="i">1317</v>
    <v t="i">1324</v>
    <v t="i">1331</v>
    <v t="i">1338</v>
    <v t="i">1346</v>
    <v t="i">1352</v>
    <v t="i">1359</v>
    <v t="i">1366</v>
    <v t="i">1373</v>
    <v t="i">1380</v>
    <v t="i">1387</v>
    <v t="i">1394</v>
    <v t="i">1401</v>
    <v t="i">1408</v>
    <v t="i">1415</v>
    <v t="i">1422</v>
    <v t="i">1429</v>
    <v t="i">1436</v>
    <v t="i">1443</v>
    <v t="i">1450</v>
    <v t="i">1458</v>
    <v t="i">1465</v>
    <v t="i">1471</v>
    <v t="i">1479</v>
    <v t="i">1485</v>
    <v t="i">1492</v>
    <v t="i">1499</v>
    <v t="i">1506</v>
    <v t="i">1514</v>
    <v t="i">1520</v>
    <v t="i">1527</v>
    <v t="i">1534</v>
    <v t="i">1541</v>
    <v t="i">1548</v>
    <v t="i">1555</v>
    <v t="i">1562</v>
    <v t="i">1569</v>
    <v t="i">1576</v>
    <v t="i">1583</v>
    <v t="i">1590</v>
    <v t="i">1597</v>
    <v t="i">1604</v>
    <v t="i">1612</v>
    <v t="i">1618</v>
    <v t="i">1625</v>
    <v t="i">1632</v>
    <v t="i">1639</v>
    <v t="i">1646</v>
    <v t="i">1653</v>
    <v t="i">1660</v>
    <v t="i">1667</v>
    <v t="i">1674</v>
    <v t="i">1681</v>
    <v t="i">1688</v>
    <v t="i">1695</v>
    <v t="i">1702</v>
    <v t="i">1710</v>
    <v t="i">1716</v>
    <v t="i">1723</v>
    <v t="i">1730</v>
    <v t="i">1737</v>
    <v t="i">1744</v>
    <v t="i">1751</v>
    <v t="i">1758</v>
    <v t="i">1765</v>
    <v t="i">1772</v>
    <v t="i">1779</v>
    <v t="i">1786</v>
    <v t="i">1793</v>
    <v t="i">1800</v>
    <v t="i">1807</v>
    <v t="i">1814</v>
    <v t="i">1821</v>
    <v t="i">1828</v>
    <v t="i">1835</v>
    <v t="i">1842</v>
    <v t="i">1850</v>
    <v t="i">1856</v>
    <v t="i">1863</v>
    <v t="i">1870</v>
    <v t="i">1878</v>
    <v t="i">1884</v>
    <v t="i">1891</v>
    <v t="i">1898</v>
    <v t="i">1905</v>
    <v t="i">1912</v>
    <v t="i">1919</v>
    <v t="i">1926</v>
    <v t="i">1933</v>
    <v t="i">1940</v>
    <v t="i">1947</v>
  </a>
  <a r="1" c="279">
    <v>93.748500000000007</v>
    <v>94.158000000000001</v>
    <v>93.236000000000004</v>
    <v>93.081999999999994</v>
    <v>100.43600000000001</v>
    <v>103.964</v>
    <v>106.7435</v>
    <v>104.7985</v>
    <v>94.1875</v>
    <v>95.054500000000004</v>
    <v>89.25</v>
    <v>92.304500000000004</v>
    <v>95.004999999999995</v>
    <v>95.329499999999996</v>
    <v>102.13800000000001</v>
    <v>118.75</v>
    <v>120.511</v>
    <v>114.30200000000001</v>
    <v>118.98050000000001</v>
    <v>120.489</v>
    <v>121.84399999999999</v>
    <v>122.1185</v>
    <v>124.15</v>
    <v>127.251</v>
    <v>133.75049999999999</v>
    <v>134.64349999999999</v>
    <v>144.51499999999999</v>
    <v>160</v>
    <v>148.0985</v>
    <v>150.44550000000001</v>
    <v>158.23400000000001</v>
    <v>158.37299999999999</v>
    <v>157.40100000000001</v>
    <v>164.23599999999999</v>
    <v>170.09</v>
    <v>164.73099999999999</v>
    <v>155.81100000000001</v>
    <v>147.74549999999999</v>
    <v>154.75649999999999</v>
    <v>156.25</v>
    <v>164.33250000000001</v>
    <v>163.63550000000001</v>
    <v>160.22</v>
    <v>151.8075</v>
    <v>165.5685</v>
    <v>156.44049999999999</v>
    <v>154.97</v>
    <v>159.767</v>
    <v>158.12899999999999</v>
    <v>155.821</v>
    <v>160.08250000000001</v>
    <v>158.6345</v>
    <v>162.84649999999999</v>
    <v>159.13499999999999</v>
    <v>155.21250000000001</v>
    <v>164.61150000000001</v>
    <v>160.31</v>
    <v>167.60749999999999</v>
    <v>163.88550000000001</v>
    <v>162.495</v>
    <v>154.6465</v>
    <v>150.023</v>
    <v>154.47450000000001</v>
    <v>153.74799999999999</v>
    <v>152.60149999999999</v>
    <v>158.05000000000001</v>
    <v>168.61</v>
    <v>169.97200000000001</v>
    <v>167.04400000000001</v>
    <v>173.37100000000001</v>
    <v>164.5805</v>
    <v>161.14500000000001</v>
    <v>160.154</v>
    <v>161.15350000000001</v>
    <v>160.31100000000001</v>
    <v>167.3415</v>
    <v>174.345</v>
    <v>170.07300000000001</v>
    <v>175.54900000000001</v>
    <v>185.96700000000001</v>
    <v>178.6815</v>
    <v>182.83199999999999</v>
    <v>166.37950000000001</v>
    <v>167.24700000000001</v>
    <v>164.6985</v>
    <v>159.9975</v>
    <v>167.48150000000001</v>
    <v>173.9025</v>
    <v>173.45750000000001</v>
    <v>173.126</v>
    <v>171.27600000000001</v>
    <v>164.16300000000001</v>
    <v>164.43100000000001</v>
    <v>170.45099999999999</v>
    <v>166.7775</v>
    <v>168.6215</v>
    <v>175.9495</v>
    <v>176.25749999999999</v>
    <v>183.82849999999999</v>
    <v>175.22800000000001</v>
    <v>169.48949999999999</v>
    <v>172.21199999999999</v>
    <v>170.01750000000001</v>
    <v>171.0685</v>
    <v>166.71700000000001</v>
    <v>162.554</v>
    <v>162.13800000000001</v>
    <v>142.643</v>
    <v>143.97800000000001</v>
    <v>157.6395</v>
    <v>153.29349999999999</v>
    <v>152.60149999999999</v>
    <v>153.7885</v>
    <v>145.64099999999999</v>
    <v>145.52449999999999</v>
    <v>161.25049999999999</v>
    <v>164.77350000000001</v>
    <v>163.56</v>
    <v>154.4605</v>
    <v>151.70650000000001</v>
    <v>144.35</v>
    <v>124.28149999999999</v>
    <v>114.77249999999999</v>
    <v>113.05500000000001</v>
    <v>107.59099999999999</v>
    <v>115.1465</v>
    <v>122.35</v>
    <v>109.65</v>
    <v>106.22</v>
    <v>116.46</v>
    <v>109.56</v>
    <v>115.54</v>
    <v>113.55</v>
    <v>122.42</v>
    <v>134.94999999999999</v>
    <v>140.80000000000001</v>
    <v>143.55000000000001</v>
    <v>138.22999999999999</v>
    <v>130.75</v>
    <v>127.51</v>
    <v>133.27000000000001</v>
    <v>123.53</v>
    <v>113.78</v>
    <v>113</v>
    <v>114.56</v>
    <v>106.9</v>
    <v>119.32</v>
    <v>103.41</v>
    <v>90.98</v>
    <v>100.79</v>
    <v>94.14</v>
    <v>93.41</v>
    <v>94.13</v>
    <v>89.09</v>
    <v>87.86</v>
    <v>85.25</v>
    <v>84</v>
    <v>86.08</v>
    <v>98.12</v>
    <v>97.25</v>
    <v>102.24</v>
    <v>103.39</v>
    <v>97.61</v>
    <v>97.2</v>
    <v>93.5</v>
    <v>94.9</v>
    <v>90.73</v>
    <v>98.95</v>
    <v>98.13</v>
    <v>103.29</v>
    <v>102.06</v>
    <v>102.51</v>
    <v>106.96</v>
    <v>105.45</v>
    <v>105.655</v>
    <v>110.26</v>
    <v>116.25</v>
    <v>120.11</v>
    <v>124.25</v>
    <v>123.43</v>
    <v>125.49</v>
    <v>129.33000000000001</v>
    <v>130.36000000000001</v>
    <v>129.78</v>
    <v>134.68</v>
    <v>130</v>
    <v>132.21</v>
    <v>139.57</v>
    <v>138.41</v>
    <v>133.22</v>
    <v>133.26</v>
    <v>138.12</v>
    <v>138.22999999999999</v>
    <v>140.38999999999999</v>
    <v>129.12</v>
    <v>127.12</v>
    <v>127.96</v>
    <v>129.79</v>
    <v>125.17</v>
    <v>127.74</v>
    <v>138.6</v>
    <v>143.56</v>
    <v>145.18</v>
    <v>146.74</v>
    <v>147.03</v>
    <v>147.41999999999999</v>
    <v>149.97</v>
    <v>153.41999999999999</v>
    <v>151.94</v>
    <v>145.24</v>
    <v>154.62</v>
    <v>155.34</v>
    <v>159.12</v>
    <v>171.81</v>
    <v>174.45</v>
    <v>169.51</v>
    <v>174.99</v>
    <v>178.22</v>
    <v>175.35</v>
    <v>174.42</v>
    <v>178.87</v>
    <v>180.38</v>
    <v>185.07</v>
    <v>186.13</v>
    <v>174.63</v>
    <v>179.62</v>
    <v>186.21</v>
    <v>187.48</v>
    <v>184.7</v>
    <v>180.75</v>
    <v>176.44</v>
    <v>184.3</v>
    <v>183.66</v>
    <v>189.08</v>
    <v>193.25</v>
    <v>200</v>
    <v>194.49</v>
    <v>183.13</v>
    <v>182.5</v>
    <v>167.9</v>
    <v>166.94</v>
    <v>177.06</v>
    <v>177.04</v>
    <v>178.5</v>
    <v>171.39</v>
    <v>186.49</v>
    <v>191.6</v>
    <v>187.97</v>
    <v>186.51</v>
    <v>188.82</v>
    <v>188.99</v>
    <v>187.83</v>
    <v>197.93</v>
    <v>208.18</v>
    <v>202.61</v>
    <v>197.12</v>
    <v>207.89</v>
    <v>227.03</v>
    <v>227.46</v>
    <v>224.92</v>
    <v>223.75</v>
    <v>224.19</v>
    <v>218.94</v>
    <v>225.94</v>
    <v>234.85</v>
    <v>237.68</v>
    <v>229.15</v>
    <v>228.68</v>
    <v>216.58</v>
    <v>212.28</v>
    <v>199.25</v>
    <v>197.95</v>
    <v>196.21</v>
    <v>192.72</v>
    <v>171</v>
    <v>184.87</v>
    <v>172.61</v>
    <v>188.99</v>
    <v>189.98</v>
  </a>
  <a r="1" c="279">
    <v>68.033000000000001</v>
    <v>71.486500000000007</v>
    <v>74.019499999999994</v>
    <v>73.335499999999996</v>
    <v>71.711500000000001</v>
    <v>73.961500000000001</v>
    <v>76.037000000000006</v>
    <v>74.255499999999998</v>
    <v>66.966499999999996</v>
    <v>64.920500000000004</v>
    <v>60.986499999999999</v>
    <v>53.616</v>
    <v>55.535499999999999</v>
    <v>54.893999999999998</v>
    <v>60.572499999999998</v>
    <v>64.162499999999994</v>
    <v>63.965499999999999</v>
    <v>66.030500000000004</v>
    <v>69.418499999999995</v>
    <v>68.659499999999994</v>
    <v>70.521000000000001</v>
    <v>71.445999999999998</v>
    <v>71.919499999999999</v>
    <v>70.659000000000006</v>
    <v>71.585999999999999</v>
    <v>67.995000000000005</v>
    <v>73.234999999999999</v>
    <v>77.087000000000003</v>
    <v>75.777500000000003</v>
    <v>75.593500000000006</v>
    <v>74.147999999999996</v>
    <v>74.724500000000006</v>
    <v>75.386499999999998</v>
    <v>79.021000000000001</v>
    <v>82.220500000000001</v>
    <v>79.552000000000007</v>
    <v>76.036000000000001</v>
    <v>72.999499999999998</v>
    <v>72.248000000000005</v>
    <v>72.921000000000006</v>
    <v>75.760999999999996</v>
    <v>78.650499999999994</v>
    <v>82.05</v>
    <v>81.0505</v>
    <v>88.087500000000006</v>
    <v>88.850999999999999</v>
    <v>87.109499999999997</v>
    <v>89.659499999999994</v>
    <v>91.399500000000003</v>
    <v>89.088499999999996</v>
    <v>86.5505</v>
    <v>86.942499999999995</v>
    <v>87.593999999999994</v>
    <v>90.360500000000002</v>
    <v>86.8095</v>
    <v>95.052499999999995</v>
    <v>91.787000000000006</v>
    <v>104.9</v>
    <v>105.2055</v>
    <v>105.057</v>
    <v>101.843</v>
    <v>105.42700000000001</v>
    <v>103.096</v>
    <v>102.16</v>
    <v>101.7775</v>
    <v>106.8875</v>
    <v>114.294</v>
    <v>114.88800000000001</v>
    <v>115.765</v>
    <v>120.506</v>
    <v>119.9345</v>
    <v>115.80800000000001</v>
    <v>117.255</v>
    <v>120.578</v>
    <v>122.58799999999999</v>
    <v>125.6965</v>
    <v>125.5675</v>
    <v>126.995</v>
    <v>128.71899999999999</v>
    <v>129.5745</v>
    <v>131.84549999999999</v>
    <v>137.816</v>
    <v>135.221</v>
    <v>137.036</v>
    <v>138.40600000000001</v>
    <v>138.43700000000001</v>
    <v>144.5505</v>
    <v>144.77500000000001</v>
    <v>141.92099999999999</v>
    <v>141.46350000000001</v>
    <v>142.63300000000001</v>
    <v>136.46250000000001</v>
    <v>140.05600000000001</v>
    <v>141.67500000000001</v>
    <v>138.625</v>
    <v>148.2705</v>
    <v>149.24100000000001</v>
    <v>149.6455</v>
    <v>149.95249999999999</v>
    <v>142.80600000000001</v>
    <v>142.5205</v>
    <v>148.67500000000001</v>
    <v>142.803</v>
    <v>147.14250000000001</v>
    <v>144.67949999999999</v>
    <v>137.00450000000001</v>
    <v>139.78649999999999</v>
    <v>130.09200000000001</v>
    <v>133.2895</v>
    <v>143.01599999999999</v>
    <v>134.13</v>
    <v>130.4675</v>
    <v>134.51949999999999</v>
    <v>132.12200000000001</v>
    <v>130.47550000000001</v>
    <v>136.8015</v>
    <v>141.5215</v>
    <v>140.69999999999999</v>
    <v>134.01050000000001</v>
    <v>127.253</v>
    <v>119.614</v>
    <v>114.9665</v>
    <v>115.66</v>
    <v>116.5155</v>
    <v>109.313</v>
    <v>112.79900000000001</v>
    <v>114.56399999999999</v>
    <v>111.42749999999999</v>
    <v>107.8655</v>
    <v>118.538</v>
    <v>109.081</v>
    <v>120.16849999999999</v>
    <v>112.767</v>
    <v>108.36</v>
    <v>116.64</v>
    <v>118.22</v>
    <v>122.65</v>
    <v>118.12</v>
    <v>111.3</v>
    <v>108.68</v>
    <v>111.78</v>
    <v>103.63</v>
    <v>99.17</v>
    <v>96.15</v>
    <v>99.57</v>
    <v>97.18</v>
    <v>101.48</v>
    <v>96.58</v>
    <v>86.7</v>
    <v>96.73</v>
    <v>97.8</v>
    <v>97.6</v>
    <v>100.83</v>
    <v>93.07</v>
    <v>90.86</v>
    <v>89.81</v>
    <v>88.73</v>
    <v>88.16</v>
    <v>92.8</v>
    <v>99.28</v>
    <v>100.71</v>
    <v>105.22</v>
    <v>94.86</v>
    <v>94.59</v>
    <v>89.35</v>
    <v>94.02</v>
    <v>91.01</v>
    <v>102.46</v>
    <v>106.06</v>
    <v>104</v>
    <v>108.9</v>
    <v>109.46</v>
    <v>105.91</v>
    <v>108.22</v>
    <v>106.215</v>
    <v>117.92</v>
    <v>123.25</v>
    <v>125.43</v>
    <v>125.23</v>
    <v>122.87</v>
    <v>124.06</v>
    <v>123.02</v>
    <v>120.97</v>
    <v>120.14</v>
    <v>125.7</v>
    <v>120.31</v>
    <v>133.01</v>
    <v>128.54</v>
    <v>130.16999999999999</v>
    <v>128.11000000000001</v>
    <v>130.69</v>
    <v>136.80000000000001</v>
    <v>137.19999999999999</v>
    <v>138.30000000000001</v>
    <v>131.25</v>
    <v>131.85</v>
    <v>138.72999999999999</v>
    <v>138.58000000000001</v>
    <v>136.74</v>
    <v>123.4</v>
    <v>130.37</v>
    <v>134.06</v>
    <v>136.94</v>
    <v>138.22</v>
    <v>133.32</v>
    <v>136.63999999999999</v>
    <v>133.84</v>
    <v>142.72</v>
    <v>140.93</v>
    <v>137.38999999999999</v>
    <v>144.24</v>
    <v>147.97</v>
    <v>153.79</v>
    <v>143.54</v>
    <v>150.22</v>
    <v>141.76</v>
    <v>145.29</v>
    <v>138.08000000000001</v>
    <v>136.29</v>
    <v>142.16999999999999</v>
    <v>151.77000000000001</v>
    <v>152.26</v>
    <v>153.94</v>
    <v>159.19</v>
    <v>155.72</v>
    <v>173.69</v>
    <v>168.99</v>
    <v>170.29</v>
    <v>177.29</v>
    <v>176.33</v>
    <v>173.96</v>
    <v>175.95</v>
    <v>178.37</v>
    <v>180.26</v>
    <v>183.42</v>
    <v>191.96</v>
    <v>186.78</v>
    <v>179.39</v>
    <v>168.68</v>
    <v>168.4</v>
    <v>165.39</v>
    <v>164.74</v>
    <v>167.43</v>
    <v>165.11</v>
    <v>152.13</v>
    <v>158.37</v>
    <v>164.64</v>
    <v>165.29</v>
    <v>168.56</v>
    <v>164.52</v>
    <v>165.05</v>
    <v>166.99</v>
    <v>172.65</v>
    <v>179.86</v>
    <v>173.89</v>
    <v>166.57</v>
    <v>170.49</v>
    <v>176.49</v>
    <v>191.38</v>
    <v>192.96</v>
    <v>194.04</v>
    <v>193.13</v>
    <v>193.17</v>
    <v>197.55</v>
    <v>201.9</v>
    <v>205.6</v>
    <v>187.14</v>
    <v>186.87</v>
    <v>181.58</v>
    <v>172.22</v>
    <v>175.75</v>
    <v>167.62</v>
    <v>166.25</v>
    <v>156.06</v>
    <v>147.74</v>
    <v>159.4</v>
    <v>153.36000000000001</v>
    <v>163.85</v>
    <v>165.81</v>
  </a>
  <a r="1" c="279">
    <v>208.67</v>
    <v>218.06</v>
    <v>222.14</v>
    <v>217.94</v>
    <v>201.91</v>
    <v>212.33</v>
    <v>214.18</v>
    <v>210.18</v>
    <v>192.47</v>
    <v>181.09</v>
    <v>170.28</v>
    <v>149.72999999999999</v>
    <v>156.79</v>
    <v>154.18</v>
    <v>175.19</v>
    <v>179.24</v>
    <v>190.07</v>
    <v>202.27</v>
    <v>212.35</v>
    <v>210.88</v>
    <v>234.91</v>
    <v>225.09</v>
    <v>230.77</v>
    <v>228.58</v>
    <v>238.79</v>
    <v>216.08</v>
    <v>233.42</v>
    <v>245.07</v>
    <v>242.03</v>
    <v>230.71</v>
    <v>253.67</v>
    <v>268.44</v>
    <v>261.24</v>
    <v>267.01</v>
    <v>293.66000000000003</v>
    <v>282.73</v>
    <v>266.61</v>
    <v>252.53</v>
    <v>254.82</v>
    <v>259.94</v>
    <v>264.45</v>
    <v>265.93</v>
    <v>284.79000000000002</v>
    <v>263.11</v>
    <v>293.41000000000003</v>
    <v>276.95</v>
    <v>269.7</v>
    <v>277.81</v>
    <v>279.7</v>
    <v>273.55</v>
    <v>276.39999999999998</v>
    <v>267.39999999999998</v>
    <v>273.16000000000003</v>
    <v>267.57</v>
    <v>251.36</v>
    <v>274.5</v>
    <v>258.33</v>
    <v>268.10000000000002</v>
    <v>270.5</v>
    <v>261.56</v>
    <v>257.62</v>
    <v>264.27999999999997</v>
    <v>268.39999999999998</v>
    <v>290.11</v>
    <v>283.02</v>
    <v>298.66000000000003</v>
    <v>312.45999999999998</v>
    <v>306.18</v>
    <v>301.13</v>
    <v>325.08</v>
    <v>319.08</v>
    <v>315.94</v>
    <v>316.23</v>
    <v>328.73</v>
    <v>330.35</v>
    <v>331.26</v>
    <v>329.66</v>
    <v>341.37</v>
    <v>354.7</v>
    <v>350.42</v>
    <v>341.16</v>
    <v>369.79</v>
    <v>356.3</v>
    <v>363.51</v>
    <v>363.18</v>
    <v>359.37</v>
    <v>372.63</v>
    <v>376.26</v>
    <v>378.69</v>
    <v>364.72</v>
    <v>352.96</v>
    <v>343.01</v>
    <v>330.05</v>
    <v>324.76</v>
    <v>324.61</v>
    <v>323.57</v>
    <v>341.13</v>
    <v>340.89</v>
    <v>345.3</v>
    <v>333.12</v>
    <v>306.83999999999997</v>
    <v>329.75</v>
    <v>333.79</v>
    <v>335.24</v>
    <v>336.35</v>
    <v>331.79</v>
    <v>331.9</v>
    <v>303.17</v>
    <v>301.70999999999998</v>
    <v>237.09</v>
    <v>219.55</v>
    <v>206.16</v>
    <v>210.48</v>
    <v>200.06</v>
    <v>187.61</v>
    <v>216.49</v>
    <v>221.82</v>
    <v>224.85</v>
    <v>222.33</v>
    <v>210.18</v>
    <v>184.11</v>
    <v>200.47</v>
    <v>203.77</v>
    <v>198.62</v>
    <v>193.54</v>
    <v>195.13</v>
    <v>190.78</v>
    <v>175.57</v>
    <v>163.74</v>
    <v>170.16</v>
    <v>160.03</v>
    <v>170.88</v>
    <v>164.7</v>
    <v>169.27</v>
    <v>159.1</v>
    <v>167.11</v>
    <v>180.5</v>
    <v>167.96</v>
    <v>161.78</v>
    <v>160.32</v>
    <v>169.15</v>
    <v>146.29</v>
    <v>140.41</v>
    <v>135.68</v>
    <v>133.44999999999999</v>
    <v>126.76</v>
    <v>130.01</v>
    <v>99.2</v>
    <v>90.79</v>
    <v>113.02</v>
    <v>112.05</v>
    <v>111.41</v>
    <v>123.49</v>
    <v>115.9</v>
    <v>119.43</v>
    <v>118.04</v>
    <v>120.34</v>
    <v>130.02000000000001</v>
    <v>136.97999999999999</v>
    <v>139.37</v>
    <v>151.74</v>
    <v>186.53</v>
    <v>174.15</v>
    <v>172.88</v>
    <v>170.39</v>
    <v>185.25</v>
    <v>179.51</v>
    <v>195.61</v>
    <v>206.01</v>
    <v>211.94</v>
    <v>216.1</v>
    <v>221.49</v>
    <v>212.89</v>
    <v>240.32</v>
    <v>232.78</v>
    <v>233.81</v>
    <v>245.64</v>
    <v>262.04000000000002</v>
    <v>272.61</v>
    <v>264.95</v>
    <v>281</v>
    <v>288.73</v>
    <v>286.98</v>
    <v>290.52999999999997</v>
    <v>308.87</v>
    <v>294.26</v>
    <v>325.48</v>
    <v>310.73</v>
    <v>301.64</v>
    <v>283.25</v>
    <v>285.5</v>
    <v>296.38</v>
    <v>297.89</v>
    <v>300.31</v>
    <v>299.08</v>
    <v>300.20999999999998</v>
    <v>315.43</v>
    <v>314.69</v>
    <v>308.64999999999998</v>
    <v>296.73</v>
    <v>314.60000000000002</v>
    <v>328.77</v>
    <v>335.04</v>
    <v>338.23</v>
    <v>324.82</v>
    <v>332.75</v>
    <v>334.92</v>
    <v>353.39</v>
    <v>353.96</v>
    <v>351.95</v>
    <v>374.49</v>
    <v>383.45</v>
    <v>394.14</v>
    <v>474.99</v>
    <v>468.11</v>
    <v>473.32</v>
    <v>484.03</v>
    <v>502.3</v>
    <v>505.95</v>
    <v>484.1</v>
    <v>509.58</v>
    <v>485.58</v>
    <v>527.34</v>
    <v>511.9</v>
    <v>481.07</v>
    <v>443.29</v>
    <v>451.96</v>
    <v>476.2</v>
    <v>471.91</v>
    <v>478.22</v>
    <v>466.83</v>
    <v>492.96</v>
    <v>504.16</v>
    <v>494.78</v>
    <v>504.22</v>
    <v>539.91</v>
    <v>498.87</v>
    <v>476.79</v>
    <v>465.7</v>
    <v>488.14</v>
    <v>517.77</v>
    <v>527.41999999999996</v>
    <v>528</v>
    <v>521.30999999999995</v>
    <v>500.27</v>
    <v>524.62</v>
    <v>561.35</v>
    <v>567.36</v>
    <v>595.94000000000005</v>
    <v>589.95000000000005</v>
    <v>576.47</v>
    <v>573.25</v>
    <v>567.16</v>
    <v>589.34</v>
    <v>554.08000000000004</v>
    <v>559.14</v>
    <v>574.32000000000005</v>
    <v>623.77</v>
    <v>620.35</v>
    <v>585.25</v>
    <v>599.80999999999995</v>
    <v>604.63</v>
    <v>615.86</v>
    <v>612.77</v>
    <v>647.49</v>
    <v>689.18</v>
    <v>714.52</v>
    <v>736.67</v>
    <v>683.55</v>
    <v>668.2</v>
    <v>625.66</v>
    <v>607.6</v>
    <v>596.25</v>
    <v>576.74</v>
    <v>504.73</v>
    <v>543.57000000000005</v>
    <v>501.48</v>
    <v>547.27</v>
    <v>597.02</v>
  </a>
  <a r="1" c="279">
    <v>27.190999999999999</v>
    <v>27.776</v>
    <v>28.094999999999999</v>
    <v>28.016999999999999</v>
    <v>26.917999999999999</v>
    <v>29.132999999999999</v>
    <v>30.53</v>
    <v>30.19</v>
    <v>28.725000000000001</v>
    <v>25.294</v>
    <v>20</v>
    <v>17</v>
    <v>19.969000000000001</v>
    <v>16.039000000000001</v>
    <v>21.376000000000001</v>
    <v>22.852</v>
    <v>25.663</v>
    <v>27.89</v>
    <v>31.55</v>
    <v>30.001000000000001</v>
    <v>30.76</v>
    <v>31.155999999999999</v>
    <v>35.429000000000002</v>
    <v>35.451000000000001</v>
    <v>39.478000000000002</v>
    <v>40.703000000000003</v>
    <v>44.292999999999999</v>
    <v>46.198</v>
    <v>43.302999999999997</v>
    <v>42.606999999999999</v>
    <v>45.131999999999998</v>
    <v>49.32</v>
    <v>46.56</v>
    <v>46.177999999999997</v>
    <v>48.57</v>
    <v>44.125999999999998</v>
    <v>41.863999999999997</v>
    <v>43.575000000000003</v>
    <v>47.317</v>
    <v>55.648000000000003</v>
    <v>61.311</v>
    <v>60.5</v>
    <v>61.991</v>
    <v>56.645000000000003</v>
    <v>81.933999999999997</v>
    <v>73.477000000000004</v>
    <v>82.7</v>
    <v>87.31</v>
    <v>90.378</v>
    <v>92.614000000000004</v>
    <v>95.15</v>
    <v>93.177000000000007</v>
    <v>80.099999999999994</v>
    <v>79.581000000000003</v>
    <v>78.536000000000001</v>
    <v>81.296000000000006</v>
    <v>76.599000000000004</v>
    <v>85.506</v>
    <v>86.4</v>
    <v>90.334999999999994</v>
    <v>80.539000000000001</v>
    <v>65.417000000000002</v>
    <v>75.122</v>
    <v>73.320999999999998</v>
    <v>67.120999999999995</v>
    <v>65.884</v>
    <v>69.256</v>
    <v>71.885999999999996</v>
    <v>72.649000000000001</v>
    <v>72.930999999999997</v>
    <v>66.143000000000001</v>
    <v>51.749000000000002</v>
    <v>53.972000000000001</v>
    <v>58.814</v>
    <v>57.475000000000001</v>
    <v>59.981000000000002</v>
    <v>60.88</v>
    <v>76.02</v>
    <v>76.62</v>
    <v>77.95</v>
    <v>70.62</v>
    <v>81.150000000000006</v>
    <v>81.91</v>
    <v>84.04</v>
    <v>80.91</v>
    <v>77.180000000000007</v>
    <v>80.58</v>
    <v>78.2</v>
    <v>72.78</v>
    <v>72.58</v>
    <v>76.459999999999994</v>
    <v>70.42</v>
    <v>71</v>
    <v>78.459999999999994</v>
    <v>73.959999999999994</v>
    <v>74.91</v>
    <v>68.55</v>
    <v>100.33</v>
    <v>107.79</v>
    <v>103.98</v>
    <v>89.51</v>
    <v>94.06</v>
    <v>89.99</v>
    <v>96.05</v>
    <v>91.64</v>
    <v>78.94</v>
    <v>75.47</v>
    <v>59.45</v>
    <v>63.6</v>
    <v>73.040000000000006</v>
    <v>76.3</v>
    <v>78.05</v>
    <v>83.63</v>
    <v>75.66</v>
    <v>56.8</v>
    <v>68.81</v>
    <v>65.45</v>
    <v>72.33</v>
    <v>67.790000000000006</v>
    <v>63.58</v>
    <v>59.44</v>
    <v>58.92</v>
    <v>48.92</v>
    <v>51.92</v>
    <v>52.64</v>
    <v>52.49</v>
    <v>51.15</v>
    <v>49.27</v>
    <v>46.3</v>
    <v>49.49</v>
    <v>41.66</v>
    <v>45.63</v>
    <v>43.1</v>
    <v>47.27</v>
    <v>45</v>
    <v>52.78</v>
    <v>74.489999999999995</v>
    <v>65.69</v>
    <v>63.41</v>
    <v>61.27</v>
    <v>66.88</v>
    <v>61.89</v>
    <v>57.7</v>
    <v>59.75</v>
    <v>56.79</v>
    <v>50.6</v>
    <v>56.93</v>
    <v>53.71</v>
    <v>46.25</v>
    <v>48.77</v>
    <v>49.77</v>
    <v>49.39</v>
    <v>54.49</v>
    <v>47.81</v>
    <v>46.15</v>
    <v>44.88</v>
    <v>44.83</v>
    <v>42.29</v>
    <v>47.03</v>
    <v>45.57</v>
    <v>51.95</v>
    <v>53.1</v>
    <v>48.69</v>
    <v>60.3</v>
    <v>54.97</v>
    <v>57.29</v>
    <v>53.35</v>
    <v>58.51</v>
    <v>60.45</v>
    <v>60.91</v>
    <v>60.85</v>
    <v>60.69</v>
    <v>62.19</v>
    <v>64.34</v>
    <v>62.7</v>
    <v>62.3</v>
    <v>66.819999999999993</v>
    <v>67.67</v>
    <v>74.239999999999995</v>
    <v>74.58</v>
    <v>76.430000000000007</v>
    <v>76.239999999999995</v>
    <v>77.22</v>
    <v>75.8</v>
    <v>88</v>
    <v>84.16</v>
    <v>90.45</v>
    <v>84.84</v>
    <v>74.62</v>
    <v>72.180000000000007</v>
    <v>75.91</v>
    <v>79.930000000000007</v>
    <v>83.89</v>
    <v>83.38</v>
    <v>76.349999999999994</v>
    <v>78.150000000000006</v>
    <v>82.15</v>
    <v>80.239999999999995</v>
    <v>74.06</v>
    <v>66.86</v>
    <v>79.08</v>
    <v>64.010000000000005</v>
    <v>66.47</v>
    <v>67.27</v>
    <v>71.599999999999994</v>
    <v>70.63</v>
    <v>74.89</v>
    <v>73.430000000000007</v>
    <v>71.959999999999994</v>
    <v>67.64</v>
    <v>66.959999999999994</v>
    <v>66.849999999999994</v>
    <v>68.010000000000005</v>
    <v>70</v>
    <v>71.31</v>
    <v>88.93</v>
    <v>81.44</v>
    <v>83.89</v>
    <v>81.59</v>
    <v>76.72</v>
    <v>85.06</v>
    <v>87.42</v>
    <v>85.83</v>
    <v>86.37</v>
    <v>77.3</v>
    <v>84.73</v>
    <v>88.59</v>
    <v>87.26</v>
    <v>94.78</v>
    <v>94.75</v>
    <v>92.78</v>
    <v>94.17</v>
    <v>95.66</v>
    <v>97.71</v>
    <v>97.67</v>
    <v>99.9</v>
    <v>99.48</v>
    <v>96.01</v>
    <v>92.43</v>
    <v>83.08</v>
    <v>99.3</v>
    <v>101.43</v>
    <v>105</v>
    <v>104.53</v>
    <v>100.31</v>
    <v>106.06</v>
    <v>109.51</v>
    <v>109.45</v>
    <v>113</v>
    <v>117.9</v>
    <v>118.76</v>
    <v>119.47</v>
    <v>119.19</v>
    <v>125.13</v>
    <v>118.15</v>
    <v>129.69999999999999</v>
    <v>128.55000000000001</v>
    <v>139.11000000000001</v>
    <v>132.41999999999999</v>
    <v>125.01</v>
    <v>121.39</v>
    <v>121.84</v>
    <v>118.8</v>
    <v>124.42</v>
    <v>119.96</v>
    <v>118.68</v>
    <v>117.29</v>
    <v>80.16</v>
    <v>72.06</v>
    <v>70.319999999999993</v>
    <v>64.91</v>
    <v>53.94</v>
    <v>56.31</v>
    <v>55.85</v>
    <v>46.24</v>
    <v>49.78</v>
    <v>50.26</v>
    <v>53.97</v>
    <v>54.09</v>
  </a>
  <a r="1" c="279">
    <v>325.89999999999998</v>
    <v>329.05</v>
    <v>339.67</v>
    <v>353.16</v>
    <v>345.09</v>
    <v>366.77</v>
    <v>380.4</v>
    <v>380.07</v>
    <v>369.03</v>
    <v>368.97</v>
    <v>336.29500000000002</v>
    <v>332.83</v>
    <v>357.12</v>
    <v>361.76</v>
    <v>370.72</v>
    <v>422.96</v>
    <v>424.99</v>
    <v>415.27</v>
    <v>435.55</v>
    <v>454.19</v>
    <v>429.32</v>
    <v>419.73</v>
    <v>419.6</v>
    <v>418.07</v>
    <v>453.72</v>
    <v>443.4</v>
    <v>476.89</v>
    <v>548.73</v>
    <v>492.99</v>
    <v>480.45</v>
    <v>488.88</v>
    <v>494.73</v>
    <v>482.68</v>
    <v>492.31</v>
    <v>523.89</v>
    <v>516.04999999999995</v>
    <v>482.03</v>
    <v>469.96</v>
    <v>482.88</v>
    <v>503.06</v>
    <v>539.44000000000005</v>
    <v>530.79</v>
    <v>488.28</v>
    <v>475.74</v>
    <v>514.73</v>
    <v>482.84</v>
    <v>488.24</v>
    <v>491.36</v>
    <v>498.31</v>
    <v>503.22</v>
    <v>534.45000000000005</v>
    <v>513.97</v>
    <v>540.73</v>
    <v>510.4</v>
    <v>497.98</v>
    <v>565.16999999999996</v>
    <v>532.39</v>
    <v>550.79</v>
    <v>556.52</v>
    <v>540.22</v>
    <v>538.85</v>
    <v>516.39</v>
    <v>518.02</v>
    <v>512.17999999999995</v>
    <v>508.05</v>
    <v>539.41999999999996</v>
    <v>555.30999999999995</v>
    <v>546.54</v>
    <v>505.55</v>
    <v>513.47</v>
    <v>503.84</v>
    <v>493.37</v>
    <v>497.89</v>
    <v>502.81</v>
    <v>494.74</v>
    <v>488.77</v>
    <v>500.77</v>
    <v>527.07000000000005</v>
    <v>533.98</v>
    <v>535.98</v>
    <v>530.30999999999995</v>
    <v>515.41</v>
    <v>517.57000000000005</v>
    <v>520.54999999999995</v>
    <v>515.91999999999996</v>
    <v>546.88</v>
    <v>558.91999999999996</v>
    <v>590.53</v>
    <v>598.72</v>
    <v>589.35</v>
    <v>592.39</v>
    <v>613.15</v>
    <v>632.66</v>
    <v>628.29</v>
    <v>664.78</v>
    <v>690.31</v>
    <v>645.72</v>
    <v>682.61</v>
    <v>678.8</v>
    <v>665.64</v>
    <v>602.13</v>
    <v>611.66</v>
    <v>586.73</v>
    <v>614.09</v>
    <v>602.44000000000005</v>
    <v>541.05999999999995</v>
    <v>525.69000000000005</v>
    <v>397.5</v>
    <v>384.36</v>
    <v>410.17</v>
    <v>391.31</v>
    <v>391.29</v>
    <v>390.8</v>
    <v>361.73</v>
    <v>340.32</v>
    <v>380.6</v>
    <v>373.85</v>
    <v>373.47</v>
    <v>355.88</v>
    <v>341.13</v>
    <v>215.52</v>
    <v>190.36</v>
    <v>180.97</v>
    <v>187.64</v>
    <v>186.35</v>
    <v>195.19</v>
    <v>198.98</v>
    <v>182.94</v>
    <v>175.51</v>
    <v>190.85</v>
    <v>179.95</v>
    <v>186.97499999999999</v>
    <v>189.11</v>
    <v>220.44</v>
    <v>224.9</v>
    <v>226.78</v>
    <v>249.3</v>
    <v>241.16</v>
    <v>223.28</v>
    <v>226.11</v>
    <v>233.57</v>
    <v>240.13</v>
    <v>226.41</v>
    <v>235.44</v>
    <v>224.75</v>
    <v>230</v>
    <v>289.57</v>
    <v>295.72000000000003</v>
    <v>260.79000000000002</v>
    <v>290.13</v>
    <v>287.98</v>
    <v>285.54000000000002</v>
    <v>320.41000000000003</v>
    <v>320.01</v>
    <v>290.70999999999998</v>
    <v>294.96499999999997</v>
    <v>294.88</v>
    <v>315.55</v>
    <v>332.82</v>
    <v>342.5</v>
    <v>360.77</v>
    <v>365.9</v>
    <v>347.36</v>
    <v>347.96</v>
    <v>317.14999999999998</v>
    <v>315.18</v>
    <v>292.76</v>
    <v>303.5</v>
    <v>328.39</v>
    <v>345.48</v>
    <v>339.33</v>
    <v>338.63</v>
    <v>327.98</v>
    <v>329.93</v>
    <v>322.76</v>
    <v>339.89</v>
    <v>365.36</v>
    <v>378.88</v>
    <v>400.47</v>
    <v>420.02</v>
    <v>431.96</v>
    <v>424.02</v>
    <v>440.49</v>
    <v>438.1</v>
    <v>441.91</v>
    <v>427.5</v>
    <v>425.78</v>
    <v>431.6</v>
    <v>421.66</v>
    <v>404.53</v>
    <v>416.03</v>
    <v>439.88</v>
    <v>442.8</v>
    <v>396.94</v>
    <v>379.81</v>
    <v>377.6</v>
    <v>381.51</v>
    <v>355.68</v>
    <v>400.96</v>
    <v>397.87</v>
    <v>432.36</v>
    <v>447.24</v>
    <v>465.91</v>
    <v>479.56</v>
    <v>465.74</v>
    <v>453.76</v>
    <v>472.06</v>
    <v>486.76</v>
    <v>486.88</v>
    <v>474.06</v>
    <v>492.16</v>
    <v>482.95</v>
    <v>570.41999999999996</v>
    <v>564.64</v>
    <v>561.32000000000005</v>
    <v>583.95000000000005</v>
    <v>583.55999999999995</v>
    <v>619.34</v>
    <v>604.82000000000005</v>
    <v>605.88</v>
    <v>628.01</v>
    <v>607.33000000000004</v>
    <v>636.17999999999995</v>
    <v>622.83000000000004</v>
    <v>555.04</v>
    <v>561.23</v>
    <v>579.34</v>
    <v>610.87</v>
    <v>621.1</v>
    <v>646.75</v>
    <v>641.62</v>
    <v>641.47</v>
    <v>669.38</v>
    <v>686.12</v>
    <v>674.88</v>
    <v>690.65</v>
    <v>647.6</v>
    <v>633.34</v>
    <v>631.37</v>
    <v>613.64</v>
    <v>633.94000000000005</v>
    <v>674.07</v>
    <v>686.73</v>
    <v>701.35</v>
    <v>665.77</v>
    <v>697.06</v>
    <v>701.03</v>
    <v>707.35</v>
    <v>719.7</v>
    <v>722.79</v>
    <v>763.89</v>
    <v>754.68</v>
    <v>756.1</v>
    <v>795.04</v>
    <v>823.96</v>
    <v>897.79</v>
    <v>886.81</v>
    <v>934.74</v>
    <v>918.87</v>
    <v>909.05</v>
    <v>907.55</v>
    <v>881.05</v>
    <v>837.69</v>
    <v>858.1</v>
    <v>977.59</v>
    <v>976.76</v>
    <v>1013.93</v>
    <v>1058.5999999999999</v>
    <v>1003.15</v>
    <v>980.56</v>
    <v>891.11</v>
    <v>918</v>
    <v>960.29</v>
    <v>933.85</v>
    <v>855.86</v>
    <v>918.29</v>
    <v>973.03</v>
    <v>1101.53</v>
    <v>1156.49</v>
  </a>
  <a r="1" c="279">
    <v>36.093000000000004</v>
    <v>35.613</v>
    <v>36.436300000000003</v>
    <v>36.7363</v>
    <v>38.819600000000001</v>
    <v>38.1096</v>
    <v>38.732900000000001</v>
    <v>38.392899999999997</v>
    <v>34.183</v>
    <v>36.832999999999998</v>
    <v>32.016300000000001</v>
    <v>26.833100000000002</v>
    <v>30.926400000000001</v>
    <v>31.739699999999999</v>
    <v>35.972999999999999</v>
    <v>37.079599999999999</v>
    <v>35.209600000000002</v>
    <v>35.5396</v>
    <v>35.863</v>
    <v>37.3596</v>
    <v>38.446300000000001</v>
    <v>39.4863</v>
    <v>39.966299999999997</v>
    <v>38.382899999999999</v>
    <v>39.6096</v>
    <v>38.606299999999997</v>
    <v>40.019599999999997</v>
    <v>40.959600000000002</v>
    <v>42.812899999999999</v>
    <v>43.519599999999997</v>
    <v>43.769599999999997</v>
    <v>44.2896</v>
    <v>43.079599999999999</v>
    <v>43.306199999999997</v>
    <v>43.946199999999997</v>
    <v>43.429600000000001</v>
    <v>41.8996</v>
    <v>40.816299999999998</v>
    <v>41.3429</v>
    <v>41.179600000000001</v>
    <v>41.686199999999999</v>
    <v>42.956200000000003</v>
    <v>43.0396</v>
    <v>40.329599999999999</v>
    <v>44.3996</v>
    <v>41.939599999999999</v>
    <v>42.1096</v>
    <v>42.372900000000001</v>
    <v>41.766199999999998</v>
    <v>41.889600000000002</v>
    <v>42.866199999999999</v>
    <v>42.872900000000001</v>
    <v>44.246200000000002</v>
    <v>46.269500000000001</v>
    <v>46.679499999999997</v>
    <v>46.806199999999997</v>
    <v>45.089500000000001</v>
    <v>47.529499999999999</v>
    <v>47.329500000000003</v>
    <v>48.142899999999997</v>
    <v>46.096200000000003</v>
    <v>48.232900000000001</v>
    <v>48.139499999999998</v>
    <v>48.579500000000003</v>
    <v>50.2395</v>
    <v>50.282800000000002</v>
    <v>52.032800000000002</v>
    <v>53.389499999999998</v>
    <v>54.156100000000002</v>
    <v>53.8461</v>
    <v>54.852800000000002</v>
    <v>54.786099999999998</v>
    <v>54.622799999999998</v>
    <v>55.819400000000002</v>
    <v>56.742800000000003</v>
    <v>57.6494</v>
    <v>58.599400000000003</v>
    <v>59.356099999999998</v>
    <v>59.292700000000004</v>
    <v>58.589399999999998</v>
    <v>59.516100000000002</v>
    <v>62.585999999999999</v>
    <v>62.242699999999999</v>
    <v>62.905999999999999</v>
    <v>63.662700000000001</v>
    <v>62.889400000000002</v>
    <v>64.492699999999999</v>
    <v>66.176000000000002</v>
    <v>65.346000000000004</v>
    <v>64.299400000000006</v>
    <v>65.592699999999994</v>
    <v>64.575999999999993</v>
    <v>65.799300000000002</v>
    <v>67.672700000000006</v>
    <v>67.2393</v>
    <v>69.956000000000003</v>
    <v>70.942599999999999</v>
    <v>69.4726</v>
    <v>69.256</v>
    <v>67.892700000000005</v>
    <v>66.706000000000003</v>
    <v>68.592600000000004</v>
    <v>67.0227</v>
    <v>68.4726</v>
    <v>70.002600000000001</v>
    <v>64.502700000000004</v>
    <v>62.045999999999999</v>
    <v>58.972700000000003</v>
    <v>58.2194</v>
    <v>59.539400000000001</v>
    <v>57.456099999999999</v>
    <v>57.179400000000001</v>
    <v>57.572800000000001</v>
    <v>57.176099999999998</v>
    <v>54.956099999999999</v>
    <v>59.742699999999999</v>
    <v>58.426099999999998</v>
    <v>60.639400000000002</v>
    <v>61.139400000000002</v>
    <v>59.516100000000002</v>
    <v>55.616100000000003</v>
    <v>52.456099999999999</v>
    <v>50.762799999999999</v>
    <v>49.162799999999997</v>
    <v>48.709499999999998</v>
    <v>51.8795</v>
    <v>51.356200000000001</v>
    <v>50.062800000000003</v>
    <v>49.616199999999999</v>
    <v>53.092799999999997</v>
    <v>51.8628</v>
    <v>52.186100000000003</v>
    <v>52.356099999999998</v>
    <v>57.532800000000002</v>
    <v>60.299399999999999</v>
    <v>60.689399999999999</v>
    <v>63.472700000000003</v>
    <v>62.369399999999999</v>
    <v>60.689399999999999</v>
    <v>59.68</v>
    <v>63.26</v>
    <v>61.01</v>
    <v>56.93</v>
    <v>56.68</v>
    <v>57.66</v>
    <v>54.75</v>
    <v>57.74</v>
    <v>62.28</v>
    <v>61.9</v>
    <v>66.400000000000006</v>
    <v>65.52</v>
    <v>67.150000000000006</v>
    <v>68.98</v>
    <v>63.2</v>
    <v>60.62</v>
    <v>61.28</v>
    <v>61.35</v>
    <v>61.65</v>
    <v>63.35</v>
    <v>62.06</v>
    <v>60.5</v>
    <v>60.55</v>
    <v>59.62</v>
    <v>58.56</v>
    <v>57.05</v>
    <v>56.22</v>
    <v>52.6</v>
    <v>52.75</v>
    <v>53.07</v>
    <v>54.67</v>
    <v>54.9</v>
    <v>55.16</v>
    <v>56.97</v>
    <v>55.37</v>
    <v>54.92</v>
    <v>55.14</v>
    <v>55.32</v>
    <v>54.22</v>
    <v>56.33</v>
    <v>57.83</v>
    <v>51.22</v>
    <v>49.64</v>
    <v>49.85</v>
    <v>48.97</v>
    <v>50.61</v>
    <v>50.71</v>
    <v>50.49</v>
    <v>49.45</v>
    <v>50.96</v>
    <v>51.8</v>
    <v>52.73</v>
    <v>51.94</v>
    <v>51.43</v>
    <v>50.77</v>
    <v>48.67</v>
    <v>48.59</v>
    <v>49.61</v>
    <v>49.37</v>
    <v>50.6</v>
    <v>47.59</v>
    <v>50.22</v>
    <v>52.11</v>
    <v>53.48</v>
    <v>55.3</v>
    <v>55.9</v>
    <v>53.97</v>
    <v>54.74</v>
    <v>57.04</v>
    <v>58.14</v>
    <v>55.67</v>
    <v>56.93</v>
    <v>57.85</v>
    <v>58.62</v>
    <v>56.65</v>
    <v>57.25</v>
    <v>55.42</v>
    <v>56.65</v>
    <v>56.53</v>
    <v>60.01</v>
    <v>59.68</v>
    <v>61.63</v>
    <v>63.1</v>
    <v>62.04</v>
    <v>61.52</v>
    <v>60.35</v>
    <v>60.12</v>
    <v>60.87</v>
    <v>60.66</v>
    <v>62.76</v>
    <v>62.23</v>
    <v>59.03</v>
    <v>58.78</v>
    <v>58.6</v>
    <v>60.25</v>
    <v>60.26</v>
    <v>60.38</v>
    <v>62.7</v>
    <v>62.51</v>
    <v>66.959999999999994</v>
    <v>66.86</v>
    <v>68.09</v>
    <v>69.83</v>
    <v>70.349999999999994</v>
    <v>72.08</v>
    <v>71.95</v>
    <v>73</v>
    <v>74.290000000000006</v>
    <v>72.599999999999994</v>
    <v>72.12</v>
    <v>71.62</v>
    <v>74.91</v>
    <v>74.69</v>
    <v>74.319999999999993</v>
    <v>78.69</v>
    <v>78.760000000000005</v>
    <v>81.069999999999993</v>
    <v>82.99</v>
    <v>81.14</v>
    <v>80.12</v>
    <v>77.7</v>
    <v>78.42</v>
    <v>78.22</v>
    <v>75.88</v>
    <v>78.83</v>
    <v>81.150000000000006</v>
    <v>82.34</v>
    <v>82.82</v>
    <v>80.91</v>
    <v>81.069999999999993</v>
    <v>82.78</v>
    <v>74.66</v>
    <v>73.260000000000005</v>
    <v>75.55</v>
    <v>74.91</v>
    <v>68.25</v>
    <v>71.53</v>
    <v>72.180000000000007</v>
    <v>75.36</v>
    <v>78.180000000000007</v>
  </a>
  <a r="1" c="279">
    <v t="i">1</v>
    <v t="i">8</v>
    <v t="i">15</v>
    <v t="i">23</v>
    <v t="i">29</v>
    <v t="i">36</v>
    <v t="i">43</v>
    <v t="i">51</v>
    <v t="i">57</v>
    <v t="i">64</v>
    <v t="i">71</v>
    <v t="i">78</v>
    <v t="i">85</v>
    <v t="i">92</v>
    <v t="i">99</v>
    <v t="i">106</v>
    <v t="i">113</v>
    <v t="i">120</v>
    <v t="i">127</v>
    <v t="i">134</v>
    <v t="i">141</v>
    <v t="i">149</v>
    <v t="i">155</v>
    <v t="i">162</v>
    <v t="i">169</v>
    <v t="i">176</v>
    <v t="i">183</v>
    <v t="i">190</v>
    <v t="i">197</v>
    <v t="i">204</v>
    <v t="i">211</v>
    <v t="i">218</v>
    <v t="i">225</v>
    <v t="i">232</v>
    <v t="i">239</v>
    <v t="i">246</v>
    <v t="i">254</v>
    <v t="i">260</v>
    <v t="i">267</v>
    <v t="i">274</v>
    <v t="i">281</v>
    <v t="i">288</v>
    <v t="i">295</v>
    <v t="i">302</v>
    <v t="i">309</v>
    <v t="i">316</v>
    <v t="i">323</v>
    <v t="i">330</v>
    <v t="i">337</v>
    <v t="i">344</v>
    <v t="i">351</v>
    <v t="i">358</v>
    <v t="i">365</v>
    <v t="i">372</v>
    <v t="i">379</v>
    <v t="i">387</v>
    <v t="i">393</v>
    <v t="i">400</v>
    <v t="i">407</v>
    <v t="i">415</v>
    <v t="i">421</v>
    <v t="i">428</v>
    <v t="i">435</v>
    <v t="i">442</v>
    <v t="i">449</v>
    <v t="i">456</v>
    <v t="i">463</v>
    <v t="i">470</v>
    <v t="i">477</v>
    <v t="i">484</v>
    <v t="i">491</v>
    <v t="i">498</v>
    <v t="i">505</v>
    <v t="i">512</v>
    <v t="i">520</v>
    <v t="i">526</v>
    <v t="i">533</v>
    <v t="i">540</v>
    <v t="i">547</v>
    <v t="i">555</v>
    <v t="i">561</v>
    <v t="i">568</v>
    <v t="i">575</v>
    <v t="i">582</v>
    <v t="i">589</v>
    <v t="i">596</v>
    <v t="i">603</v>
    <v t="i">610</v>
    <v t="i">618</v>
    <v t="i">624</v>
    <v t="i">631</v>
    <v t="i">638</v>
    <v t="i">645</v>
    <v t="i">652</v>
    <v t="i">659</v>
    <v t="i">666</v>
    <v t="i">673</v>
    <v t="i">680</v>
    <v t="i">687</v>
    <v t="i">694</v>
    <v t="i">701</v>
    <v t="i">708</v>
    <v t="i">715</v>
    <v t="i">722</v>
    <v t="i">729</v>
    <v t="i">736</v>
    <v t="i">743</v>
    <v t="i">751</v>
    <v t="i">757</v>
    <v t="i">764</v>
    <v t="i">771</v>
    <v t="i">778</v>
    <v t="i">786</v>
    <v t="i">792</v>
    <v t="i">799</v>
    <v t="i">806</v>
    <v t="i">813</v>
    <v t="i">820</v>
    <v t="i">827</v>
    <v t="i">834</v>
    <v t="i">841</v>
    <v t="i">848</v>
    <v t="i">855</v>
    <v t="i">862</v>
    <v t="i">869</v>
    <v t="i">876</v>
    <v t="i">884</v>
    <v t="i">890</v>
    <v t="i">897</v>
    <v t="i">905</v>
    <v t="i">911</v>
    <v t="i">919</v>
    <v t="i">925</v>
    <v t="i">932</v>
    <v t="i">939</v>
    <v t="i">946</v>
    <v t="i">953</v>
    <v t="i">960</v>
    <v t="i">967</v>
    <v t="i">974</v>
    <v t="i">982</v>
    <v t="i">988</v>
    <v t="i">995</v>
    <v t="i">1002</v>
    <v t="i">1009</v>
    <v t="i">1016</v>
    <v t="i">1023</v>
    <v t="i">1030</v>
    <v t="i">1037</v>
    <v t="i">1044</v>
    <v t="i">1051</v>
    <v t="i">1058</v>
    <v t="i">1065</v>
    <v t="i">1072</v>
    <v t="i">1079</v>
    <v t="i">1086</v>
    <v t="i">1094</v>
    <v t="i">1101</v>
    <v t="i">1107</v>
    <v t="i">1115</v>
    <v t="i">1121</v>
    <v t="i">1128</v>
    <v t="i">1135</v>
    <v t="i">1142</v>
    <v t="i">1150</v>
    <v t="i">1156</v>
    <v t="i">1163</v>
    <v t="i">1170</v>
    <v t="i">1177</v>
    <v t="i">1184</v>
    <v t="i">1191</v>
    <v t="i">1198</v>
    <v t="i">1205</v>
    <v t="i">1212</v>
    <v t="i">1219</v>
    <v t="i">1226</v>
    <v t="i">1233</v>
    <v t="i">1240</v>
    <v t="i">1248</v>
    <v t="i">1254</v>
    <v t="i">1261</v>
    <v t="i">1269</v>
    <v t="i">1275</v>
    <v t="i">1282</v>
    <v t="i">1289</v>
    <v t="i">1296</v>
    <v t="i">1303</v>
    <v t="i">1310</v>
    <v t="i">1317</v>
    <v t="i">1324</v>
    <v t="i">1331</v>
    <v t="i">1338</v>
    <v t="i">1346</v>
    <v t="i">1352</v>
    <v t="i">1359</v>
    <v t="i">1366</v>
    <v t="i">1373</v>
    <v t="i">1380</v>
    <v t="i">1387</v>
    <v t="i">1394</v>
    <v t="i">1401</v>
    <v t="i">1408</v>
    <v t="i">1415</v>
    <v t="i">1422</v>
    <v t="i">1429</v>
    <v t="i">1436</v>
    <v t="i">1443</v>
    <v t="i">1450</v>
    <v t="i">1457</v>
    <v t="i">1465</v>
    <v t="i">1471</v>
    <v t="i">1479</v>
    <v t="i">1485</v>
    <v t="i">1492</v>
    <v t="i">1499</v>
    <v t="i">1506</v>
    <v t="i">1514</v>
    <v t="i">1520</v>
    <v t="i">1527</v>
    <v t="i">1534</v>
    <v t="i">1541</v>
    <v t="i">1548</v>
    <v t="i">1555</v>
    <v t="i">1562</v>
    <v t="i">1569</v>
    <v t="i">1576</v>
    <v t="i">1583</v>
    <v t="i">1590</v>
    <v t="i">1597</v>
    <v t="i">1604</v>
    <v t="i">1612</v>
    <v t="i">1618</v>
    <v t="i">1625</v>
    <v t="i">1632</v>
    <v t="i">1639</v>
    <v t="i">1646</v>
    <v t="i">1653</v>
    <v t="i">1660</v>
    <v t="i">1667</v>
    <v t="i">1674</v>
    <v t="i">1681</v>
    <v t="i">1688</v>
    <v t="i">1695</v>
    <v t="i">1702</v>
    <v t="i">1710</v>
    <v t="i">1716</v>
    <v t="i">1723</v>
    <v t="i">1730</v>
    <v t="i">1737</v>
    <v t="i">1744</v>
    <v t="i">1751</v>
    <v t="i">1758</v>
    <v t="i">1765</v>
    <v t="i">1772</v>
    <v t="i">1779</v>
    <v t="i">1786</v>
    <v t="i">1793</v>
    <v t="i">1800</v>
    <v t="i">1807</v>
    <v t="i">1814</v>
    <v t="i">1821</v>
    <v t="i">1828</v>
    <v t="i">1835</v>
    <v t="i">1842</v>
    <v t="i">1850</v>
    <v t="i">1856</v>
    <v t="i">1863</v>
    <v t="i">1870</v>
    <v t="i">1878</v>
    <v t="i">1884</v>
    <v t="i">1891</v>
    <v t="i">1898</v>
    <v t="i">1905</v>
    <v t="i">1912</v>
    <v t="i">1919</v>
    <v t="i">1926</v>
    <v t="i">1933</v>
    <v t="i">1940</v>
    <v t="i">1947</v>
  </a>
  <a r="1" c="279">
    <v>3234.85</v>
    <v>3265.35</v>
    <v>3329.62</v>
    <v>3295.47</v>
    <v>3225.52</v>
    <v>3327.71</v>
    <v>3380.16</v>
    <v>3337.75</v>
    <v>2954.22</v>
    <v>2972.37</v>
    <v>2711.02</v>
    <v>2304.92</v>
    <v>2541.4699999999998</v>
    <v>2488.65</v>
    <v>2789.82</v>
    <v>2874.56</v>
    <v>2836.74</v>
    <v>2830.71</v>
    <v>2929.8</v>
    <v>2863.7</v>
    <v>2955.45</v>
    <v>3044.31</v>
    <v>3193.93</v>
    <v>3041.31</v>
    <v>3097.74</v>
    <v>3009.05</v>
    <v>3130.01</v>
    <v>3185.04</v>
    <v>3224.73</v>
    <v>3215.63</v>
    <v>3271.12</v>
    <v>3351.28</v>
    <v>3372.85</v>
    <v>3397.16</v>
    <v>3508.01</v>
    <v>3426.96</v>
    <v>3340.97</v>
    <v>3319.47</v>
    <v>3298.46</v>
    <v>3348.44</v>
    <v>3477.13</v>
    <v>3483.81</v>
    <v>3465.39</v>
    <v>3269.96</v>
    <v>3509.44</v>
    <v>3585.15</v>
    <v>3557.54</v>
    <v>3638.35</v>
    <v>3699.12</v>
    <v>3663.46</v>
    <v>3709.41</v>
    <v>3703.06</v>
    <v>3756.07</v>
    <v>3824.68</v>
    <v>3768.25</v>
    <v>3841.47</v>
    <v>3714.24</v>
    <v>3886.83</v>
    <v>3934.83</v>
    <v>3906.71</v>
    <v>3811.15</v>
    <v>3841.94</v>
    <v>3943.34</v>
    <v>3913.1</v>
    <v>3974.54</v>
    <v>4019.87</v>
    <v>4128.8</v>
    <v>4185.47</v>
    <v>4180.17</v>
    <v>4181.17</v>
    <v>4232.6000000000004</v>
    <v>4173.8500000000004</v>
    <v>4155.8599999999997</v>
    <v>4204.1099999999997</v>
    <v>4229.8900000000003</v>
    <v>4247.4399999999996</v>
    <v>4166.45</v>
    <v>4280.7</v>
    <v>4352.34</v>
    <v>4369.55</v>
    <v>4327.16</v>
    <v>4411.79</v>
    <v>4395.26</v>
    <v>4436.5200000000004</v>
    <v>4468</v>
    <v>4441.67</v>
    <v>4509.37</v>
    <v>4535.43</v>
    <v>4458.58</v>
    <v>4432.99</v>
    <v>4455.4799999999996</v>
    <v>4357.04</v>
    <v>4391.34</v>
    <v>4471.37</v>
    <v>4544.8999999999996</v>
    <v>4605.38</v>
    <v>4697.53</v>
    <v>4682.8500000000004</v>
    <v>4697.96</v>
    <v>4594.62</v>
    <v>4538.43</v>
    <v>4712.0200000000004</v>
    <v>4620.6400000000003</v>
    <v>4725.79</v>
    <v>4766.18</v>
    <v>4677.03</v>
    <v>4662.8500000000004</v>
    <v>4397.9399999999996</v>
    <v>4431.8500000000004</v>
    <v>4500.53</v>
    <v>4418.6400000000003</v>
    <v>4348.87</v>
    <v>4384.6499999999996</v>
    <v>4328.87</v>
    <v>4204.3100000000004</v>
    <v>4463.12</v>
    <v>4543.0600000000004</v>
    <v>4545.8599999999997</v>
    <v>4488.28</v>
    <v>4392.59</v>
    <v>4271.78</v>
    <v>4131.93</v>
    <v>4123.34</v>
    <v>4023.89</v>
    <v>3901.36</v>
    <v>4158.24</v>
    <v>4108.54</v>
    <v>3900.86</v>
    <v>3674.84</v>
    <v>3911.74</v>
    <v>3825.33</v>
    <v>3899.38</v>
    <v>3863.16</v>
    <v>3961.63</v>
    <v>4130.29</v>
    <v>4145.1899999999996</v>
    <v>4280.1499999999996</v>
    <v>4228.4799999999996</v>
    <v>4057.66</v>
    <v>3924.26</v>
    <v>4067.36</v>
    <v>3873.33</v>
    <v>3693.23</v>
    <v>3585.62</v>
    <v>3790.93</v>
    <v>3583.07</v>
    <v>3752.75</v>
    <v>3901.06</v>
    <v>3770.55</v>
    <v>3992.93</v>
    <v>3965.34</v>
    <v>4026.12</v>
    <v>4071.7</v>
    <v>3934.38</v>
    <v>3852.36</v>
    <v>3844.82</v>
    <v>3839.5</v>
    <v>3895.08</v>
    <v>3999.09</v>
    <v>3972.61</v>
    <v>4070.56</v>
    <v>4136.4799999999996</v>
    <v>4090.46</v>
    <v>4079.09</v>
    <v>3970.04</v>
    <v>4045.64</v>
    <v>3861.59</v>
    <v>3916.64</v>
    <v>3970.99</v>
    <v>4109.3100000000004</v>
    <v>4105.0200000000004</v>
    <v>4137.6400000000003</v>
    <v>4133.5200000000004</v>
    <v>4169.4799999999996</v>
    <v>4136.25</v>
    <v>4124.08</v>
    <v>4191.9799999999996</v>
    <v>4205.45</v>
    <v>4282.37</v>
    <v>4298.8599999999997</v>
    <v>4409.59</v>
    <v>4348.33</v>
    <v>4450.38</v>
    <v>4398.95</v>
    <v>4505.42</v>
    <v>4536.34</v>
    <v>4582.2299999999996</v>
    <v>4478.03</v>
    <v>4464.05</v>
    <v>4369.71</v>
    <v>4405.71</v>
    <v>4515.7700000000004</v>
    <v>4457.49</v>
    <v>4450.32</v>
    <v>4320.0600000000004</v>
    <v>4288.05</v>
    <v>4308.5</v>
    <v>4327.78</v>
    <v>4224.16</v>
    <v>4117.37</v>
    <v>4358.34</v>
    <v>4415.24</v>
    <v>4514.0200000000004</v>
    <v>4559.34</v>
    <v>4594.63</v>
    <v>4604.37</v>
    <v>4719.1899999999996</v>
    <v>4754.63</v>
    <v>4769.83</v>
    <v>4697.24</v>
    <v>4783.83</v>
    <v>4839.8100000000004</v>
    <v>4890.97</v>
    <v>4958.6099999999997</v>
    <v>5026.6099999999997</v>
    <v>5005.57</v>
    <v>5088.8</v>
    <v>5137.08</v>
    <v>5123.6899999999996</v>
    <v>5117.09</v>
    <v>5234.18</v>
    <v>5254.35</v>
    <v>5204.34</v>
    <v>5123.41</v>
    <v>4967.2299999999996</v>
    <v>5099.96</v>
    <v>5127.79</v>
    <v>5222.68</v>
    <v>5303.27</v>
    <v>5304.72</v>
    <v>5277.51</v>
    <v>5346.99</v>
    <v>5431.6</v>
    <v>5464.62</v>
    <v>5460.48</v>
    <v>5567.19</v>
    <v>5615.35</v>
    <v>5505</v>
    <v>5459.1</v>
    <v>5346.56</v>
    <v>5344.16</v>
    <v>5554.25</v>
    <v>5634.61</v>
    <v>5648.4</v>
    <v>5408.42</v>
    <v>5626.02</v>
    <v>5702.55</v>
    <v>5738.17</v>
    <v>5751.07</v>
    <v>5815.03</v>
    <v>5864.67</v>
    <v>5808.12</v>
    <v>5728.8</v>
    <v>5995.54</v>
    <v>5870.62</v>
    <v>5969.34</v>
    <v>6032.38</v>
    <v>6090.27</v>
    <v>6051.09</v>
    <v>5930.85</v>
    <v>5970.84</v>
    <v>5942.47</v>
    <v>5827.04</v>
    <v>5996.66</v>
    <v>6101.24</v>
    <v>6040.53</v>
    <v>6025.99</v>
    <v>6114.63</v>
    <v>6013.13</v>
    <v>5954.5</v>
    <v>5770.2</v>
    <v>5638.94</v>
    <v>5667.56</v>
    <v>5580.94</v>
    <v>5074.08</v>
    <v>5363.36</v>
    <v>5282.7</v>
    <v>5525.21</v>
    <v>5686.67</v>
  </a>
</arrayData>
</file>

<file path=xl/richData/rdrichvalue.xml><?xml version="1.0" encoding="utf-8"?>
<rvData xmlns="http://schemas.microsoft.com/office/spreadsheetml/2017/richdata" count="2238">
  <rv s="0">
    <v>https://www.bing.com/financeapi/forcetrigger?t=a1slm7&amp;q=XNAS%3aMETA&amp;form=skydnc</v>
    <v>Learn more on Bing</v>
  </rv>
  <rv s="1">
    <v>en-CA</v>
    <v>a1slm7</v>
    <v>268435456</v>
    <v>1</v>
    <v>Powered by Refinitiv</v>
    <v>0</v>
    <v>Meta Platforms, Inc. (XNAS:META)</v>
    <v>2</v>
    <v>3</v>
    <v>Finance</v>
    <v>4</v>
    <v>740.91</v>
    <v>432.28</v>
    <v>1.2317</v>
    <v>24.81</v>
    <v>-2.1770000000000001E-4</v>
    <v>4.3358000000000001E-2</v>
    <v>-0.13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Horizon Store, which enable a range of social experiences.</v>
    <v>74067</v>
    <v>Nasdaq Stock Market</v>
    <v>XNAS</v>
    <v>XNAS</v>
    <v>1 Meta Way, MENLO PARK, CA, 94025 US</v>
    <v>604.34</v>
    <v>Software &amp; IT Services</v>
    <v>Stock</v>
    <v>45779.999997117971</v>
    <v>0</v>
    <v>578.33000000000004</v>
    <v>1501104000000</v>
    <v>Meta Platforms, Inc.</v>
    <v>Meta Platforms, Inc.</v>
    <v>583.45500000000004</v>
    <v>21.879899999999999</v>
    <v>572.21</v>
    <v>597.02</v>
    <v>596.89</v>
    <v>2514327000</v>
    <v>META</v>
    <v>Meta Platforms, Inc. (XNAS:META)</v>
    <v>24739260</v>
    <v>21267793</v>
    <v>2004</v>
  </rv>
  <rv s="2">
    <v>1</v>
  </rv>
  <rv s="0">
    <v>https://www.bing.com/financeapi/forcetrigger?t=a1nhlh&amp;q=XNAS%3aAMZN&amp;form=skydnc</v>
    <v>Learn more on Bing</v>
  </rv>
  <rv s="1">
    <v>en-CA</v>
    <v>a1nhlh</v>
    <v>268435456</v>
    <v>1</v>
    <v>Powered by Refinitiv</v>
    <v>0</v>
    <v>AMAZON.COM, INC. (XNAS:AMZN)</v>
    <v>2</v>
    <v>3</v>
    <v>Finance</v>
    <v>4</v>
    <v>242.52</v>
    <v>151.61000000000001</v>
    <v>1.3269</v>
    <v>-0.22</v>
    <v>-2.632E-4</v>
    <v>-1.157E-3</v>
    <v>-0.05</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also manufactures and sells electronic devices, including Kindle, Fire tablet, Fire TV, Echo, Ring, Blink, and eero, and develops and produces media content. It serves developers and enterprises of all sizes, including start-ups, government agencies, and academic institutions, through AWS, which offers a set of on-demand technology services, including compute, storage, database, analytics, and machine learning, and other services.</v>
    <v>1560000</v>
    <v>Nasdaq Stock Market</v>
    <v>XNAS</v>
    <v>XNAS</v>
    <v>410 Terry Avenue North, SEATTLE, WA, 98109 US</v>
    <v>192.88</v>
    <v>Diversified Retail</v>
    <v>Stock</v>
    <v>45779.999957349217</v>
    <v>3</v>
    <v>186.4</v>
    <v>2016258000000</v>
    <v>AMAZON.COM, INC.</v>
    <v>AMAZON.COM, INC.</v>
    <v>191.435</v>
    <v>31.019600000000001</v>
    <v>190.2</v>
    <v>189.98</v>
    <v>189.93</v>
    <v>10613000000</v>
    <v>AMZN</v>
    <v>AMAZON.COM, INC. (XNAS:AMZN)</v>
    <v>77903487</v>
    <v>61230915</v>
    <v>1996</v>
  </rv>
  <rv s="2">
    <v>4</v>
  </rv>
  <rv s="0">
    <v>https://www.bing.com/financeapi/forcetrigger?t=a1u3p2&amp;q=XNAS%3aGOOG&amp;form=skydnc</v>
    <v>Learn more on Bing</v>
  </rv>
  <rv s="1">
    <v>en-CA</v>
    <v>a1u3p2</v>
    <v>268435456</v>
    <v>1</v>
    <v>Powered by Refinitiv</v>
    <v>0</v>
    <v>ALPHABET INC. (XNAS:GOOG)</v>
    <v>2</v>
    <v>3</v>
    <v>Finance</v>
    <v>4</v>
    <v>208.7</v>
    <v>142.66</v>
    <v>1.0071000000000001</v>
    <v>3.02</v>
    <v>-9.0459999999999998E-4</v>
    <v>1.8551999999999999E-2</v>
    <v>-0.15</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185719</v>
    <v>Nasdaq Stock Market</v>
    <v>XNAS</v>
    <v>XNAS</v>
    <v>1600 Amphitheatre Parkway, MOUNTAIN VIEW, CA, 94043 US</v>
    <v>166.7</v>
    <v>Software &amp; IT Services</v>
    <v>Stock</v>
    <v>45779.999964907031</v>
    <v>6</v>
    <v>163.66</v>
    <v>1965509000000</v>
    <v>ALPHABET INC.</v>
    <v>ALPHABET INC.</v>
    <v>164.95500000000001</v>
    <v>18.154699999999998</v>
    <v>162.79</v>
    <v>165.81</v>
    <v>165.66</v>
    <v>12135000000</v>
    <v>GOOG</v>
    <v>ALPHABET INC. (XNAS:GOOG)</v>
    <v>16844937</v>
    <v>25971313</v>
    <v>2015</v>
  </rv>
  <rv s="2">
    <v>7</v>
  </rv>
  <rv s="0">
    <v>https://www.bing.com/financeapi/forcetrigger?t=a24lfr&amp;q=XNAS%3aTTD&amp;form=skydnc</v>
    <v>Learn more on Bing</v>
  </rv>
  <rv s="1">
    <v>en-CA</v>
    <v>a24lfr</v>
    <v>268435456</v>
    <v>1</v>
    <v>Powered by Refinitiv</v>
    <v>0</v>
    <v>THE TRADE DESK, INC. (XNAS:TTD)</v>
    <v>2</v>
    <v>3</v>
    <v>Finance</v>
    <v>4</v>
    <v>141.53</v>
    <v>42.96</v>
    <v>1.2861</v>
    <v>1.03</v>
    <v>1.8489999999999999E-4</v>
    <v>1.9411999999999999E-2</v>
    <v>0.01</v>
    <v>USD</v>
    <v>The Trade Desk, Inc. is a global advertising technology company. The Company offers a self-service, cloud-based ad-buying platform that empowers its clients to plan, manage, optimize and measure more expressive data-driven digital advertising campaigns. Its platform allows clients to execute integrated campaigns across ad formats and channels, including connected television (CTV) and other video, display, audio, and native, on a multitude of devices, such as televisions, streaming devices, mobile devices, computers and digital-out-of-home devices. Its platform’s integrations with inventory, publisher and data partners provide ad buyers reach and decisioning capabilities, and its enterprise application programming interfaces (APIs) enable its clients to customize and expand platform functionality. Its platform provides auto-optimization features that allow buyers to automate their campaigns and support them with computer-generated modeling and decision-making.</v>
    <v>3522</v>
    <v>Nasdaq Stock Market</v>
    <v>XNAS</v>
    <v>XNAS</v>
    <v>42 N. Chestnut Street, VENTURA, CA, 93001 US</v>
    <v>55.339799999999997</v>
    <v>Software &amp; IT Services</v>
    <v>Stock</v>
    <v>45779.999794664065</v>
    <v>9</v>
    <v>53.53</v>
    <v>26588980000</v>
    <v>THE TRADE DESK, INC.</v>
    <v>THE TRADE DESK, INC.</v>
    <v>53.59</v>
    <v>67.985500000000002</v>
    <v>53.06</v>
    <v>54.09</v>
    <v>54.1</v>
    <v>491569300</v>
    <v>TTD</v>
    <v>THE TRADE DESK, INC. (XNAS:TTD)</v>
    <v>10786422</v>
    <v>9488640</v>
    <v>2024</v>
  </rv>
  <rv s="2">
    <v>10</v>
  </rv>
  <rv s="0">
    <v>https://www.bing.com/financeapi/forcetrigger?t=a1ygoc&amp;q=XNAS%3aNFLX&amp;form=skydnc</v>
    <v>Learn more on Bing</v>
  </rv>
  <rv s="1">
    <v>en-CA</v>
    <v>a1ygoc</v>
    <v>268435456</v>
    <v>1</v>
    <v>Powered by Refinitiv</v>
    <v>0</v>
    <v>NETFLIX, INC. (XNAS:NFLX)</v>
    <v>2</v>
    <v>3</v>
    <v>Finance</v>
    <v>4</v>
    <v>1159.44</v>
    <v>555.59</v>
    <v>1.6045</v>
    <v>23.02</v>
    <v>-2.0839999999999999E-3</v>
    <v>2.0309000000000001E-2</v>
    <v>-2.41</v>
    <v>USD</v>
    <v>Netflix, Inc. is a provider of entertainment services. The Company acquires, licenses and produces content, including original programming. It provides paid memberships in over 190 countries offering television (TV) series, films and games across a variety of genres and languages. It allows members to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It is engaged in scaling its streaming service, such as introducing games and advertising on its service, as well as offering live programming. It is developing technology and utilizing third-party cloud computing, technology and other services. The Company is also engaged in scaling its own studio operations to produce original content.</v>
    <v>14000</v>
    <v>Nasdaq Stock Market</v>
    <v>XNAS</v>
    <v>XNAS</v>
    <v>121 Albright Way, LOS GATOS, CA, 95032 US</v>
    <v>1159.44</v>
    <v>Software &amp; IT Services</v>
    <v>Stock</v>
    <v>45779.999973310158</v>
    <v>12</v>
    <v>1133.32</v>
    <v>492168900000</v>
    <v>NETFLIX, INC.</v>
    <v>NETFLIX, INC.</v>
    <v>1136.6600000000001</v>
    <v>53.557400000000001</v>
    <v>1133.47</v>
    <v>1156.49</v>
    <v>1154.08</v>
    <v>425571300</v>
    <v>NFLX</v>
    <v>NETFLIX, INC. (XNAS:NFLX)</v>
    <v>3774282</v>
    <v>5542343</v>
    <v>1997</v>
  </rv>
  <rv s="2">
    <v>13</v>
  </rv>
  <rv s="0">
    <v>http://en.wikipedia.org/wiki/Public_domain</v>
    <v>Public domain</v>
  </rv>
  <rv s="0">
    <v>http://zh.wikipedia.org/wiki/OMX</v>
    <v>Wikipedia</v>
  </rv>
  <rv s="3">
    <v>15</v>
    <v>16</v>
  </rv>
  <rv s="4">
    <v>9</v>
    <v>https://www.bing.com/th?id=AMMS_ca29f5ea4bb769bc6f9c17b9fef790ab&amp;qlt=95</v>
    <v>17</v>
    <v>0</v>
    <v>https://www.bing.com/images/search?form=xlimg&amp;q=nasdaq+omx+group</v>
    <v>Image of NASDAQ, INC.</v>
  </rv>
  <rv s="0">
    <v>https://www.bing.com/financeapi/forcetrigger?t=a1ydc7&amp;q=XNAS%3aNDAQ&amp;form=skydnc</v>
    <v>Learn more on Bing</v>
  </rv>
  <rv s="5">
    <v>en-CA</v>
    <v>a1ydc7</v>
    <v>268435456</v>
    <v>1</v>
    <v>Powered by Refinitiv</v>
    <v>5</v>
    <v>NASDAQ, INC. (XNAS:NDAQ)</v>
    <v>7</v>
    <v>8</v>
    <v>Finance</v>
    <v>4</v>
    <v>84.15</v>
    <v>58.274999999999999</v>
    <v>0.99990000000000001</v>
    <v>2.04</v>
    <v>-2.1740000000000002E-3</v>
    <v>2.6793000000000001E-2</v>
    <v>-0.17</v>
    <v>USD</v>
    <v>Nasdaq, Inc. is a global technology company serving corporate clients, investment managers, banks, brokers, and exchange operators as they navigate and interact with the global capital markets and the broader financial system. The Company manages, operates and provides its products and services in three business segments: Capital Access Platforms, Financial Technology and Market Services. Its Capital Access Platforms segment comprises Data &amp; Listing Services, Index and Workflow &amp; Insights. The Financial Technology segment comprises Financial Crime Management Technology, Regulatory Technology and Capital Markets Technology businesses. Its Market Services segment includes its equity derivative trading and clearing, cash equity trading, fixed income, currency and commodities trading. It operates over 19 exchanges across several asset classes, including derivatives, commodities, cash equity, debt, structured products and exchange-traded products (ETPs).</v>
    <v>9377</v>
    <v>Nasdaq Stock Market</v>
    <v>XNAS</v>
    <v>XNAS</v>
    <v>151 W. 42Nd Street, NEW YORK, NY, 10036 US</v>
    <v>78.349999999999994</v>
    <v>18</v>
    <v>Investment Banking &amp; Investment Services</v>
    <v>Stock</v>
    <v>45779.998637233592</v>
    <v>19</v>
    <v>76.855000000000004</v>
    <v>44884830000</v>
    <v>NASDAQ, INC.</v>
    <v>NASDAQ, INC.</v>
    <v>77.09</v>
    <v>34.5276</v>
    <v>76.14</v>
    <v>78.180000000000007</v>
    <v>78.010000000000005</v>
    <v>574121600</v>
    <v>NDAQ</v>
    <v>NASDAQ, INC. (XNAS:NDAQ)</v>
    <v>2353199</v>
    <v>3654619</v>
    <v>1979</v>
  </rv>
  <rv s="2">
    <v>20</v>
  </rv>
  <rv s="0">
    <v>https://www.bing.com/financeapi/forcetrigger?t=a33k6h&amp;q=S%26P+500+INDEX&amp;form=skydnc</v>
    <v>Learn more on Bing</v>
  </rv>
  <rv s="6">
    <v>en-CA</v>
    <v>a33k6h</v>
    <v>268435456</v>
    <v>1</v>
    <v>Powered by Refinitiv</v>
    <v>10</v>
    <v>S&amp;P 500 INDEX</v>
    <v>11</v>
    <v>12</v>
    <v>Finance</v>
    <v>13</v>
    <v>6147.43</v>
    <v>4835.04</v>
    <v>82.53</v>
    <v>1.4726999999999999E-2</v>
    <v>DE</v>
    <v>5700.7</v>
    <v>Index</v>
    <v>22</v>
    <v>5642.28</v>
    <v>S&amp;P 500 INDEX</v>
    <v>5645.88</v>
    <v>5604.14</v>
    <v>5686.67</v>
    <v>INX</v>
    <v>S&amp;P 500 INDEX</v>
  </rv>
  <rv s="2">
    <v>23</v>
  </rv>
  <rv s="7">
    <fb>504.73</fb>
    <v>14</v>
  </rv>
  <rv s="7">
    <fb>171</fb>
    <v>14</v>
  </rv>
  <rv s="7">
    <fb>147.74</fb>
    <v>14</v>
  </rv>
  <rv s="7">
    <fb>46.24</fb>
    <v>14</v>
  </rv>
  <rv s="7">
    <fb>855.86</fb>
    <v>14</v>
  </rv>
  <rv s="7">
    <fb>68.25</fb>
    <v>14</v>
  </rv>
  <rv s="7">
    <fb>5074.08</fb>
    <v>14</v>
  </rv>
  <rv s="7">
    <fb>625.66</fb>
    <v>14</v>
  </rv>
  <rv s="7">
    <fb>199.25</fb>
    <v>14</v>
  </rv>
  <rv s="7">
    <fb>175.75</fb>
    <v>14</v>
  </rv>
  <rv s="7">
    <fb>64.91</fb>
    <v>14</v>
  </rv>
  <rv s="7">
    <fb>891.11</fb>
    <v>14</v>
  </rv>
  <rv s="7">
    <fb>74.66</fb>
    <v>14</v>
  </rv>
  <rv s="7">
    <fb>5770.2</fb>
    <v>14</v>
  </rv>
  <rv s="7">
    <fb>589.34</fb>
    <v>14</v>
  </rv>
  <rv s="7">
    <fb>208.18</fb>
    <v>14</v>
  </rv>
  <rv s="7">
    <fb>179.86</fb>
    <v>14</v>
  </rv>
  <rv s="7">
    <fb>125.13</fb>
    <v>14</v>
  </rv>
  <rv s="7">
    <fb>795.04</fb>
    <v>14</v>
  </rv>
  <rv s="7">
    <fb>78.69</fb>
    <v>14</v>
  </rv>
  <rv s="7">
    <fb>5995.54</fb>
    <v>14</v>
  </rv>
  <rv s="7">
    <fb>451.96</fb>
    <v>14</v>
  </rv>
  <rv s="7">
    <fb>186.21</fb>
    <v>14</v>
  </rv>
  <rv s="7">
    <fb>168.99</fb>
    <v>14</v>
  </rv>
  <rv s="7">
    <fb>88.59</fb>
    <v>14</v>
  </rv>
  <rv s="7">
    <fb>579.34</fb>
    <v>14</v>
  </rv>
  <rv s="7">
    <fb>60.87</fb>
    <v>14</v>
  </rv>
  <rv s="7">
    <fb>5127.79</fb>
    <v>14</v>
  </rv>
  <rv s="7">
    <fb>232.78</fb>
    <v>14</v>
  </rv>
  <rv s="7">
    <fb>105.655</fb>
    <v>14</v>
  </rv>
  <rv s="7">
    <fb>106.215</fb>
    <v>14</v>
  </rv>
  <rv s="7">
    <fb>62.7</fb>
    <v>14</v>
  </rv>
  <rv s="7">
    <fb>322.76</fb>
    <v>14</v>
  </rv>
  <rv s="7">
    <fb>54.92</fb>
    <v>14</v>
  </rv>
  <rv s="7">
    <fb>4136.25</fb>
    <v>14</v>
  </rv>
  <rv s="7">
    <fb>43829</fb>
    <v>15</v>
  </rv>
  <rv s="7">
    <fb>208.67</fb>
    <v>14</v>
  </rv>
  <rv s="7">
    <fb>93.748500000000007</fb>
    <v>14</v>
  </rv>
  <rv s="7">
    <fb>68.033000000000001</fb>
    <v>14</v>
  </rv>
  <rv s="7">
    <fb>27.190999999999999</fb>
    <v>14</v>
  </rv>
  <rv s="7">
    <fb>325.89999999999998</fb>
    <v>14</v>
  </rv>
  <rv s="7">
    <fb>36.093000000000004</fb>
    <v>14</v>
  </rv>
  <rv s="7">
    <fb>3234.85</fb>
    <v>14</v>
  </rv>
  <rv s="7">
    <fb>43836</fb>
    <v>15</v>
  </rv>
  <rv s="7">
    <fb>218.06</fb>
    <v>14</v>
  </rv>
  <rv s="7">
    <fb>94.158000000000001</fb>
    <v>14</v>
  </rv>
  <rv s="7">
    <fb>71.486500000000007</fb>
    <v>14</v>
  </rv>
  <rv s="7">
    <fb>27.776</fb>
    <v>14</v>
  </rv>
  <rv s="7">
    <fb>329.05</fb>
    <v>14</v>
  </rv>
  <rv s="7">
    <fb>35.613</fb>
    <v>14</v>
  </rv>
  <rv s="7">
    <fb>3265.35</fb>
    <v>14</v>
  </rv>
  <rv s="7">
    <fb>43843</fb>
    <v>15</v>
  </rv>
  <rv s="7">
    <fb>222.14</fb>
    <v>14</v>
  </rv>
  <rv s="7">
    <fb>93.236000000000004</fb>
    <v>14</v>
  </rv>
  <rv s="7">
    <fb>74.019499999999994</fb>
    <v>14</v>
  </rv>
  <rv s="7">
    <fb>28.094999999999999</fb>
    <v>14</v>
  </rv>
  <rv s="7">
    <fb>339.67</fb>
    <v>14</v>
  </rv>
  <rv s="7">
    <fb>36.436300000000003</fb>
    <v>14</v>
  </rv>
  <rv s="7">
    <fb>3329.62</fb>
    <v>14</v>
  </rv>
  <rv s="7">
    <fb>43851</fb>
    <v>15</v>
  </rv>
  <rv s="7">
    <fb>217.94</fb>
    <v>14</v>
  </rv>
  <rv s="7">
    <fb>93.081999999999994</fb>
    <v>14</v>
  </rv>
  <rv s="7">
    <fb>73.335499999999996</fb>
    <v>14</v>
  </rv>
  <rv s="7">
    <fb>28.016999999999999</fb>
    <v>14</v>
  </rv>
  <rv s="7">
    <fb>353.16</fb>
    <v>14</v>
  </rv>
  <rv s="7">
    <fb>36.7363</fb>
    <v>14</v>
  </rv>
  <rv s="7">
    <fb>3295.47</fb>
    <v>14</v>
  </rv>
  <rv s="7">
    <fb>43857</fb>
    <v>15</v>
  </rv>
  <rv s="7">
    <fb>201.91</fb>
    <v>14</v>
  </rv>
  <rv s="7">
    <fb>100.43600000000001</fb>
    <v>14</v>
  </rv>
  <rv s="7">
    <fb>71.711500000000001</fb>
    <v>14</v>
  </rv>
  <rv s="7">
    <fb>26.917999999999999</fb>
    <v>14</v>
  </rv>
  <rv s="7">
    <fb>345.09</fb>
    <v>14</v>
  </rv>
  <rv s="7">
    <fb>38.819600000000001</fb>
    <v>14</v>
  </rv>
  <rv s="7">
    <fb>3225.52</fb>
    <v>14</v>
  </rv>
  <rv s="7">
    <fb>43864</fb>
    <v>15</v>
  </rv>
  <rv s="7">
    <fb>212.33</fb>
    <v>14</v>
  </rv>
  <rv s="7">
    <fb>103.964</fb>
    <v>14</v>
  </rv>
  <rv s="7">
    <fb>73.961500000000001</fb>
    <v>14</v>
  </rv>
  <rv s="7">
    <fb>29.132999999999999</fb>
    <v>14</v>
  </rv>
  <rv s="7">
    <fb>366.77</fb>
    <v>14</v>
  </rv>
  <rv s="7">
    <fb>38.1096</fb>
    <v>14</v>
  </rv>
  <rv s="7">
    <fb>3327.71</fb>
    <v>14</v>
  </rv>
  <rv s="7">
    <fb>43871</fb>
    <v>15</v>
  </rv>
  <rv s="7">
    <fb>214.18</fb>
    <v>14</v>
  </rv>
  <rv s="7">
    <fb>106.7435</fb>
    <v>14</v>
  </rv>
  <rv s="7">
    <fb>76.037000000000006</fb>
    <v>14</v>
  </rv>
  <rv s="7">
    <fb>30.53</fb>
    <v>14</v>
  </rv>
  <rv s="7">
    <fb>380.4</fb>
    <v>14</v>
  </rv>
  <rv s="7">
    <fb>38.732900000000001</fb>
    <v>14</v>
  </rv>
  <rv s="7">
    <fb>3380.16</fb>
    <v>14</v>
  </rv>
  <rv s="7">
    <fb>43879</fb>
    <v>15</v>
  </rv>
  <rv s="7">
    <fb>210.18</fb>
    <v>14</v>
  </rv>
  <rv s="7">
    <fb>104.7985</fb>
    <v>14</v>
  </rv>
  <rv s="7">
    <fb>74.255499999999998</fb>
    <v>14</v>
  </rv>
  <rv s="7">
    <fb>30.19</fb>
    <v>14</v>
  </rv>
  <rv s="7">
    <fb>380.07</fb>
    <v>14</v>
  </rv>
  <rv s="7">
    <fb>38.392899999999997</fb>
    <v>14</v>
  </rv>
  <rv s="7">
    <fb>3337.75</fb>
    <v>14</v>
  </rv>
  <rv s="7">
    <fb>43885</fb>
    <v>15</v>
  </rv>
  <rv s="7">
    <fb>192.47</fb>
    <v>14</v>
  </rv>
  <rv s="7">
    <fb>94.1875</fb>
    <v>14</v>
  </rv>
  <rv s="7">
    <fb>66.966499999999996</fb>
    <v>14</v>
  </rv>
  <rv s="7">
    <fb>28.725000000000001</fb>
    <v>14</v>
  </rv>
  <rv s="7">
    <fb>369.03</fb>
    <v>14</v>
  </rv>
  <rv s="7">
    <fb>34.183</fb>
    <v>14</v>
  </rv>
  <rv s="7">
    <fb>2954.22</fb>
    <v>14</v>
  </rv>
  <rv s="7">
    <fb>43892</fb>
    <v>15</v>
  </rv>
  <rv s="7">
    <fb>181.09</fb>
    <v>14</v>
  </rv>
  <rv s="7">
    <fb>95.054500000000004</fb>
    <v>14</v>
  </rv>
  <rv s="7">
    <fb>64.920500000000004</fb>
    <v>14</v>
  </rv>
  <rv s="7">
    <fb>25.294</fb>
    <v>14</v>
  </rv>
  <rv s="7">
    <fb>368.97</fb>
    <v>14</v>
  </rv>
  <rv s="7">
    <fb>36.832999999999998</fb>
    <v>14</v>
  </rv>
  <rv s="7">
    <fb>2972.37</fb>
    <v>14</v>
  </rv>
  <rv s="7">
    <fb>43899</fb>
    <v>15</v>
  </rv>
  <rv s="7">
    <fb>170.28</fb>
    <v>14</v>
  </rv>
  <rv s="7">
    <fb>89.25</fb>
    <v>14</v>
  </rv>
  <rv s="7">
    <fb>60.986499999999999</fb>
    <v>14</v>
  </rv>
  <rv s="7">
    <fb>20</fb>
    <v>14</v>
  </rv>
  <rv s="7">
    <fb>336.29500000000002</fb>
    <v>14</v>
  </rv>
  <rv s="7">
    <fb>32.016300000000001</fb>
    <v>14</v>
  </rv>
  <rv s="7">
    <fb>2711.02</fb>
    <v>14</v>
  </rv>
  <rv s="7">
    <fb>43906</fb>
    <v>15</v>
  </rv>
  <rv s="7">
    <fb>149.72999999999999</fb>
    <v>14</v>
  </rv>
  <rv s="7">
    <fb>92.304500000000004</fb>
    <v>14</v>
  </rv>
  <rv s="7">
    <fb>53.616</fb>
    <v>14</v>
  </rv>
  <rv s="7">
    <fb>17</fb>
    <v>14</v>
  </rv>
  <rv s="7">
    <fb>332.83</fb>
    <v>14</v>
  </rv>
  <rv s="7">
    <fb>26.833100000000002</fb>
    <v>14</v>
  </rv>
  <rv s="7">
    <fb>2304.92</fb>
    <v>14</v>
  </rv>
  <rv s="7">
    <fb>43913</fb>
    <v>15</v>
  </rv>
  <rv s="7">
    <fb>156.79</fb>
    <v>14</v>
  </rv>
  <rv s="7">
    <fb>95.004999999999995</fb>
    <v>14</v>
  </rv>
  <rv s="7">
    <fb>55.535499999999999</fb>
    <v>14</v>
  </rv>
  <rv s="7">
    <fb>19.969000000000001</fb>
    <v>14</v>
  </rv>
  <rv s="7">
    <fb>357.12</fb>
    <v>14</v>
  </rv>
  <rv s="7">
    <fb>30.926400000000001</fb>
    <v>14</v>
  </rv>
  <rv s="7">
    <fb>2541.4699999999998</fb>
    <v>14</v>
  </rv>
  <rv s="7">
    <fb>43920</fb>
    <v>15</v>
  </rv>
  <rv s="7">
    <fb>154.18</fb>
    <v>14</v>
  </rv>
  <rv s="7">
    <fb>95.329499999999996</fb>
    <v>14</v>
  </rv>
  <rv s="7">
    <fb>54.893999999999998</fb>
    <v>14</v>
  </rv>
  <rv s="7">
    <fb>16.039000000000001</fb>
    <v>14</v>
  </rv>
  <rv s="7">
    <fb>361.76</fb>
    <v>14</v>
  </rv>
  <rv s="7">
    <fb>31.739699999999999</fb>
    <v>14</v>
  </rv>
  <rv s="7">
    <fb>2488.65</fb>
    <v>14</v>
  </rv>
  <rv s="7">
    <fb>43927</fb>
    <v>15</v>
  </rv>
  <rv s="7">
    <fb>175.19</fb>
    <v>14</v>
  </rv>
  <rv s="7">
    <fb>102.13800000000001</fb>
    <v>14</v>
  </rv>
  <rv s="7">
    <fb>60.572499999999998</fb>
    <v>14</v>
  </rv>
  <rv s="7">
    <fb>21.376000000000001</fb>
    <v>14</v>
  </rv>
  <rv s="7">
    <fb>370.72</fb>
    <v>14</v>
  </rv>
  <rv s="7">
    <fb>35.972999999999999</fb>
    <v>14</v>
  </rv>
  <rv s="7">
    <fb>2789.82</fb>
    <v>14</v>
  </rv>
  <rv s="7">
    <fb>43934</fb>
    <v>15</v>
  </rv>
  <rv s="7">
    <fb>179.24</fb>
    <v>14</v>
  </rv>
  <rv s="7">
    <fb>118.75</fb>
    <v>14</v>
  </rv>
  <rv s="7">
    <fb>64.162499999999994</fb>
    <v>14</v>
  </rv>
  <rv s="7">
    <fb>22.852</fb>
    <v>14</v>
  </rv>
  <rv s="7">
    <fb>422.96</fb>
    <v>14</v>
  </rv>
  <rv s="7">
    <fb>37.079599999999999</fb>
    <v>14</v>
  </rv>
  <rv s="7">
    <fb>2874.56</fb>
    <v>14</v>
  </rv>
  <rv s="7">
    <fb>43941</fb>
    <v>15</v>
  </rv>
  <rv s="7">
    <fb>190.07</fb>
    <v>14</v>
  </rv>
  <rv s="7">
    <fb>120.511</fb>
    <v>14</v>
  </rv>
  <rv s="7">
    <fb>63.965499999999999</fb>
    <v>14</v>
  </rv>
  <rv s="7">
    <fb>25.663</fb>
    <v>14</v>
  </rv>
  <rv s="7">
    <fb>424.99</fb>
    <v>14</v>
  </rv>
  <rv s="7">
    <fb>35.209600000000002</fb>
    <v>14</v>
  </rv>
  <rv s="7">
    <fb>2836.74</fb>
    <v>14</v>
  </rv>
  <rv s="7">
    <fb>43948</fb>
    <v>15</v>
  </rv>
  <rv s="7">
    <fb>202.27</fb>
    <v>14</v>
  </rv>
  <rv s="7">
    <fb>114.30200000000001</fb>
    <v>14</v>
  </rv>
  <rv s="7">
    <fb>66.030500000000004</fb>
    <v>14</v>
  </rv>
  <rv s="7">
    <fb>27.89</fb>
    <v>14</v>
  </rv>
  <rv s="7">
    <fb>415.27</fb>
    <v>14</v>
  </rv>
  <rv s="7">
    <fb>35.5396</fb>
    <v>14</v>
  </rv>
  <rv s="7">
    <fb>2830.71</fb>
    <v>14</v>
  </rv>
  <rv s="7">
    <fb>43955</fb>
    <v>15</v>
  </rv>
  <rv s="7">
    <fb>212.35</fb>
    <v>14</v>
  </rv>
  <rv s="7">
    <fb>118.98050000000001</fb>
    <v>14</v>
  </rv>
  <rv s="7">
    <fb>69.418499999999995</fb>
    <v>14</v>
  </rv>
  <rv s="7">
    <fb>31.55</fb>
    <v>14</v>
  </rv>
  <rv s="7">
    <fb>435.55</fb>
    <v>14</v>
  </rv>
  <rv s="7">
    <fb>35.863</fb>
    <v>14</v>
  </rv>
  <rv s="7">
    <fb>2929.8</fb>
    <v>14</v>
  </rv>
  <rv s="7">
    <fb>43962</fb>
    <v>15</v>
  </rv>
  <rv s="7">
    <fb>210.88</fb>
    <v>14</v>
  </rv>
  <rv s="7">
    <fb>120.489</fb>
    <v>14</v>
  </rv>
  <rv s="7">
    <fb>68.659499999999994</fb>
    <v>14</v>
  </rv>
  <rv s="7">
    <fb>30.001000000000001</fb>
    <v>14</v>
  </rv>
  <rv s="7">
    <fb>454.19</fb>
    <v>14</v>
  </rv>
  <rv s="7">
    <fb>37.3596</fb>
    <v>14</v>
  </rv>
  <rv s="7">
    <fb>2863.7</fb>
    <v>14</v>
  </rv>
  <rv s="7">
    <fb>43969</fb>
    <v>15</v>
  </rv>
  <rv s="7">
    <fb>234.91</fb>
    <v>14</v>
  </rv>
  <rv s="7">
    <fb>121.84399999999999</fb>
    <v>14</v>
  </rv>
  <rv s="7">
    <fb>70.521000000000001</fb>
    <v>14</v>
  </rv>
  <rv s="7">
    <fb>30.76</fb>
    <v>14</v>
  </rv>
  <rv s="7">
    <fb>429.32</fb>
    <v>14</v>
  </rv>
  <rv s="7">
    <fb>38.446300000000001</fb>
    <v>14</v>
  </rv>
  <rv s="7">
    <fb>2955.45</fb>
    <v>14</v>
  </rv>
  <rv s="7">
    <fb>43977</fb>
    <v>15</v>
  </rv>
  <rv s="7">
    <fb>225.09</fb>
    <v>14</v>
  </rv>
  <rv s="7">
    <fb>122.1185</fb>
    <v>14</v>
  </rv>
  <rv s="7">
    <fb>71.445999999999998</fb>
    <v>14</v>
  </rv>
  <rv s="7">
    <fb>31.155999999999999</fb>
    <v>14</v>
  </rv>
  <rv s="7">
    <fb>419.73</fb>
    <v>14</v>
  </rv>
  <rv s="7">
    <fb>39.4863</fb>
    <v>14</v>
  </rv>
  <rv s="7">
    <fb>3044.31</fb>
    <v>14</v>
  </rv>
  <rv s="7">
    <fb>43983</fb>
    <v>15</v>
  </rv>
  <rv s="7">
    <fb>230.77</fb>
    <v>14</v>
  </rv>
  <rv s="7">
    <fb>124.15</fb>
    <v>14</v>
  </rv>
  <rv s="7">
    <fb>71.919499999999999</fb>
    <v>14</v>
  </rv>
  <rv s="7">
    <fb>35.429000000000002</fb>
    <v>14</v>
  </rv>
  <rv s="7">
    <fb>419.6</fb>
    <v>14</v>
  </rv>
  <rv s="7">
    <fb>39.966299999999997</fb>
    <v>14</v>
  </rv>
  <rv s="7">
    <fb>3193.93</fb>
    <v>14</v>
  </rv>
  <rv s="7">
    <fb>43990</fb>
    <v>15</v>
  </rv>
  <rv s="7">
    <fb>228.58</fb>
    <v>14</v>
  </rv>
  <rv s="7">
    <fb>127.251</fb>
    <v>14</v>
  </rv>
  <rv s="7">
    <fb>70.659000000000006</fb>
    <v>14</v>
  </rv>
  <rv s="7">
    <fb>35.451000000000001</fb>
    <v>14</v>
  </rv>
  <rv s="7">
    <fb>418.07</fb>
    <v>14</v>
  </rv>
  <rv s="7">
    <fb>38.382899999999999</fb>
    <v>14</v>
  </rv>
  <rv s="7">
    <fb>3041.31</fb>
    <v>14</v>
  </rv>
  <rv s="7">
    <fb>43997</fb>
    <v>15</v>
  </rv>
  <rv s="7">
    <fb>238.79</fb>
    <v>14</v>
  </rv>
  <rv s="7">
    <fb>133.75049999999999</fb>
    <v>14</v>
  </rv>
  <rv s="7">
    <fb>71.585999999999999</fb>
    <v>14</v>
  </rv>
  <rv s="7">
    <fb>39.478000000000002</fb>
    <v>14</v>
  </rv>
  <rv s="7">
    <fb>453.72</fb>
    <v>14</v>
  </rv>
  <rv s="7">
    <fb>39.6096</fb>
    <v>14</v>
  </rv>
  <rv s="7">
    <fb>3097.74</fb>
    <v>14</v>
  </rv>
  <rv s="7">
    <fb>44004</fb>
    <v>15</v>
  </rv>
  <rv s="7">
    <fb>216.08</fb>
    <v>14</v>
  </rv>
  <rv s="7">
    <fb>134.64349999999999</fb>
    <v>14</v>
  </rv>
  <rv s="7">
    <fb>67.995000000000005</fb>
    <v>14</v>
  </rv>
  <rv s="7">
    <fb>40.703000000000003</fb>
    <v>14</v>
  </rv>
  <rv s="7">
    <fb>443.4</fb>
    <v>14</v>
  </rv>
  <rv s="7">
    <fb>38.606299999999997</fb>
    <v>14</v>
  </rv>
  <rv s="7">
    <fb>3009.05</fb>
    <v>14</v>
  </rv>
  <rv s="7">
    <fb>44011</fb>
    <v>15</v>
  </rv>
  <rv s="7">
    <fb>233.42</fb>
    <v>14</v>
  </rv>
  <rv s="7">
    <fb>144.51499999999999</fb>
    <v>14</v>
  </rv>
  <rv s="7">
    <fb>73.234999999999999</fb>
    <v>14</v>
  </rv>
  <rv s="7">
    <fb>44.292999999999999</fb>
    <v>14</v>
  </rv>
  <rv s="7">
    <fb>476.89</fb>
    <v>14</v>
  </rv>
  <rv s="7">
    <fb>40.019599999999997</fb>
    <v>14</v>
  </rv>
  <rv s="7">
    <fb>3130.01</fb>
    <v>14</v>
  </rv>
  <rv s="7">
    <fb>44018</fb>
    <v>15</v>
  </rv>
  <rv s="7">
    <fb>245.07</fb>
    <v>14</v>
  </rv>
  <rv s="7">
    <fb>160</fb>
    <v>14</v>
  </rv>
  <rv s="7">
    <fb>77.087000000000003</fb>
    <v>14</v>
  </rv>
  <rv s="7">
    <fb>46.198</fb>
    <v>14</v>
  </rv>
  <rv s="7">
    <fb>548.73</fb>
    <v>14</v>
  </rv>
  <rv s="7">
    <fb>40.959600000000002</fb>
    <v>14</v>
  </rv>
  <rv s="7">
    <fb>3185.04</fb>
    <v>14</v>
  </rv>
  <rv s="7">
    <fb>44025</fb>
    <v>15</v>
  </rv>
  <rv s="7">
    <fb>242.03</fb>
    <v>14</v>
  </rv>
  <rv s="7">
    <fb>148.0985</fb>
    <v>14</v>
  </rv>
  <rv s="7">
    <fb>75.777500000000003</fb>
    <v>14</v>
  </rv>
  <rv s="7">
    <fb>43.302999999999997</fb>
    <v>14</v>
  </rv>
  <rv s="7">
    <fb>492.99</fb>
    <v>14</v>
  </rv>
  <rv s="7">
    <fb>42.812899999999999</fb>
    <v>14</v>
  </rv>
  <rv s="7">
    <fb>3224.73</fb>
    <v>14</v>
  </rv>
  <rv s="7">
    <fb>44032</fb>
    <v>15</v>
  </rv>
  <rv s="7">
    <fb>230.71</fb>
    <v>14</v>
  </rv>
  <rv s="7">
    <fb>150.44550000000001</fb>
    <v>14</v>
  </rv>
  <rv s="7">
    <fb>75.593500000000006</fb>
    <v>14</v>
  </rv>
  <rv s="7">
    <fb>42.606999999999999</fb>
    <v>14</v>
  </rv>
  <rv s="7">
    <fb>480.45</fb>
    <v>14</v>
  </rv>
  <rv s="7">
    <fb>43.519599999999997</fb>
    <v>14</v>
  </rv>
  <rv s="7">
    <fb>3215.63</fb>
    <v>14</v>
  </rv>
  <rv s="7">
    <fb>44039</fb>
    <v>15</v>
  </rv>
  <rv s="7">
    <fb>253.67</fb>
    <v>14</v>
  </rv>
  <rv s="7">
    <fb>158.23400000000001</fb>
    <v>14</v>
  </rv>
  <rv s="7">
    <fb>74.147999999999996</fb>
    <v>14</v>
  </rv>
  <rv s="7">
    <fb>45.131999999999998</fb>
    <v>14</v>
  </rv>
  <rv s="7">
    <fb>488.88</fb>
    <v>14</v>
  </rv>
  <rv s="7">
    <fb>43.769599999999997</fb>
    <v>14</v>
  </rv>
  <rv s="7">
    <fb>3271.12</fb>
    <v>14</v>
  </rv>
  <rv s="7">
    <fb>44046</fb>
    <v>15</v>
  </rv>
  <rv s="7">
    <fb>268.44</fb>
    <v>14</v>
  </rv>
  <rv s="7">
    <fb>158.37299999999999</fb>
    <v>14</v>
  </rv>
  <rv s="7">
    <fb>74.724500000000006</fb>
    <v>14</v>
  </rv>
  <rv s="7">
    <fb>49.32</fb>
    <v>14</v>
  </rv>
  <rv s="7">
    <fb>494.73</fb>
    <v>14</v>
  </rv>
  <rv s="7">
    <fb>44.2896</fb>
    <v>14</v>
  </rv>
  <rv s="7">
    <fb>3351.28</fb>
    <v>14</v>
  </rv>
  <rv s="7">
    <fb>44053</fb>
    <v>15</v>
  </rv>
  <rv s="7">
    <fb>261.24</fb>
    <v>14</v>
  </rv>
  <rv s="7">
    <fb>157.40100000000001</fb>
    <v>14</v>
  </rv>
  <rv s="7">
    <fb>75.386499999999998</fb>
    <v>14</v>
  </rv>
  <rv s="7">
    <fb>46.56</fb>
    <v>14</v>
  </rv>
  <rv s="7">
    <fb>482.68</fb>
    <v>14</v>
  </rv>
  <rv s="7">
    <fb>43.079599999999999</fb>
    <v>14</v>
  </rv>
  <rv s="7">
    <fb>3372.85</fb>
    <v>14</v>
  </rv>
  <rv s="7">
    <fb>44060</fb>
    <v>15</v>
  </rv>
  <rv s="7">
    <fb>267.01</fb>
    <v>14</v>
  </rv>
  <rv s="7">
    <fb>164.23599999999999</fb>
    <v>14</v>
  </rv>
  <rv s="7">
    <fb>79.021000000000001</fb>
    <v>14</v>
  </rv>
  <rv s="7">
    <fb>46.177999999999997</fb>
    <v>14</v>
  </rv>
  <rv s="7">
    <fb>492.31</fb>
    <v>14</v>
  </rv>
  <rv s="7">
    <fb>43.306199999999997</fb>
    <v>14</v>
  </rv>
  <rv s="7">
    <fb>3397.16</fb>
    <v>14</v>
  </rv>
  <rv s="7">
    <fb>44067</fb>
    <v>15</v>
  </rv>
  <rv s="7">
    <fb>293.66000000000003</fb>
    <v>14</v>
  </rv>
  <rv s="7">
    <fb>170.09</fb>
    <v>14</v>
  </rv>
  <rv s="7">
    <fb>82.220500000000001</fb>
    <v>14</v>
  </rv>
  <rv s="7">
    <fb>48.57</fb>
    <v>14</v>
  </rv>
  <rv s="7">
    <fb>523.89</fb>
    <v>14</v>
  </rv>
  <rv s="7">
    <fb>43.946199999999997</fb>
    <v>14</v>
  </rv>
  <rv s="7">
    <fb>3508.01</fb>
    <v>14</v>
  </rv>
  <rv s="7">
    <fb>44074</fb>
    <v>15</v>
  </rv>
  <rv s="7">
    <fb>282.73</fb>
    <v>14</v>
  </rv>
  <rv s="7">
    <fb>164.73099999999999</fb>
    <v>14</v>
  </rv>
  <rv s="7">
    <fb>79.552000000000007</fb>
    <v>14</v>
  </rv>
  <rv s="7">
    <fb>44.125999999999998</fb>
    <v>14</v>
  </rv>
  <rv s="7">
    <fb>516.04999999999995</fb>
    <v>14</v>
  </rv>
  <rv s="7">
    <fb>43.429600000000001</fb>
    <v>14</v>
  </rv>
  <rv s="7">
    <fb>3426.96</fb>
    <v>14</v>
  </rv>
  <rv s="7">
    <fb>44082</fb>
    <v>15</v>
  </rv>
  <rv s="7">
    <fb>266.61</fb>
    <v>14</v>
  </rv>
  <rv s="7">
    <fb>155.81100000000001</fb>
    <v>14</v>
  </rv>
  <rv s="7">
    <fb>76.036000000000001</fb>
    <v>14</v>
  </rv>
  <rv s="7">
    <fb>41.863999999999997</fb>
    <v>14</v>
  </rv>
  <rv s="7">
    <fb>482.03</fb>
    <v>14</v>
  </rv>
  <rv s="7">
    <fb>41.8996</fb>
    <v>14</v>
  </rv>
  <rv s="7">
    <fb>3340.97</fb>
    <v>14</v>
  </rv>
  <rv s="7">
    <fb>44088</fb>
    <v>15</v>
  </rv>
  <rv s="7">
    <fb>252.53</fb>
    <v>14</v>
  </rv>
  <rv s="7">
    <fb>147.74549999999999</fb>
    <v>14</v>
  </rv>
  <rv s="7">
    <fb>72.999499999999998</fb>
    <v>14</v>
  </rv>
  <rv s="7">
    <fb>43.575000000000003</fb>
    <v>14</v>
  </rv>
  <rv s="7">
    <fb>469.96</fb>
    <v>14</v>
  </rv>
  <rv s="7">
    <fb>40.816299999999998</fb>
    <v>14</v>
  </rv>
  <rv s="7">
    <fb>3319.47</fb>
    <v>14</v>
  </rv>
  <rv s="7">
    <fb>44095</fb>
    <v>15</v>
  </rv>
  <rv s="7">
    <fb>254.82</fb>
    <v>14</v>
  </rv>
  <rv s="7">
    <fb>154.75649999999999</fb>
    <v>14</v>
  </rv>
  <rv s="7">
    <fb>72.248000000000005</fb>
    <v>14</v>
  </rv>
  <rv s="7">
    <fb>47.317</fb>
    <v>14</v>
  </rv>
  <rv s="7">
    <fb>482.88</fb>
    <v>14</v>
  </rv>
  <rv s="7">
    <fb>41.3429</fb>
    <v>14</v>
  </rv>
  <rv s="7">
    <fb>3298.46</fb>
    <v>14</v>
  </rv>
  <rv s="7">
    <fb>44102</fb>
    <v>15</v>
  </rv>
  <rv s="7">
    <fb>259.94</fb>
    <v>14</v>
  </rv>
  <rv s="7">
    <fb>156.25</fb>
    <v>14</v>
  </rv>
  <rv s="7">
    <fb>72.921000000000006</fb>
    <v>14</v>
  </rv>
  <rv s="7">
    <fb>55.648000000000003</fb>
    <v>14</v>
  </rv>
  <rv s="7">
    <fb>503.06</fb>
    <v>14</v>
  </rv>
  <rv s="7">
    <fb>41.179600000000001</fb>
    <v>14</v>
  </rv>
  <rv s="7">
    <fb>3348.44</fb>
    <v>14</v>
  </rv>
  <rv s="7">
    <fb>44109</fb>
    <v>15</v>
  </rv>
  <rv s="7">
    <fb>264.45</fb>
    <v>14</v>
  </rv>
  <rv s="7">
    <fb>164.33250000000001</fb>
    <v>14</v>
  </rv>
  <rv s="7">
    <fb>75.760999999999996</fb>
    <v>14</v>
  </rv>
  <rv s="7">
    <fb>61.311</fb>
    <v>14</v>
  </rv>
  <rv s="7">
    <fb>539.44000000000005</fb>
    <v>14</v>
  </rv>
  <rv s="7">
    <fb>41.686199999999999</fb>
    <v>14</v>
  </rv>
  <rv s="7">
    <fb>3477.13</fb>
    <v>14</v>
  </rv>
  <rv s="7">
    <fb>44116</fb>
    <v>15</v>
  </rv>
  <rv s="7">
    <fb>265.93</fb>
    <v>14</v>
  </rv>
  <rv s="7">
    <fb>163.63550000000001</fb>
    <v>14</v>
  </rv>
  <rv s="7">
    <fb>78.650499999999994</fb>
    <v>14</v>
  </rv>
  <rv s="7">
    <fb>60.5</fb>
    <v>14</v>
  </rv>
  <rv s="7">
    <fb>530.79</fb>
    <v>14</v>
  </rv>
  <rv s="7">
    <fb>42.956200000000003</fb>
    <v>14</v>
  </rv>
  <rv s="7">
    <fb>3483.81</fb>
    <v>14</v>
  </rv>
  <rv s="7">
    <fb>44123</fb>
    <v>15</v>
  </rv>
  <rv s="7">
    <fb>284.79000000000002</fb>
    <v>14</v>
  </rv>
  <rv s="7">
    <fb>160.22</fb>
    <v>14</v>
  </rv>
  <rv s="7">
    <fb>82.05</fb>
    <v>14</v>
  </rv>
  <rv s="7">
    <fb>61.991</fb>
    <v>14</v>
  </rv>
  <rv s="7">
    <fb>488.28</fb>
    <v>14</v>
  </rv>
  <rv s="7">
    <fb>43.0396</fb>
    <v>14</v>
  </rv>
  <rv s="7">
    <fb>3465.39</fb>
    <v>14</v>
  </rv>
  <rv s="7">
    <fb>44130</fb>
    <v>15</v>
  </rv>
  <rv s="7">
    <fb>263.11</fb>
    <v>14</v>
  </rv>
  <rv s="7">
    <fb>151.8075</fb>
    <v>14</v>
  </rv>
  <rv s="7">
    <fb>81.0505</fb>
    <v>14</v>
  </rv>
  <rv s="7">
    <fb>56.645000000000003</fb>
    <v>14</v>
  </rv>
  <rv s="7">
    <fb>475.74</fb>
    <v>14</v>
  </rv>
  <rv s="7">
    <fb>40.329599999999999</fb>
    <v>14</v>
  </rv>
  <rv s="7">
    <fb>3269.96</fb>
    <v>14</v>
  </rv>
  <rv s="7">
    <fb>44137</fb>
    <v>15</v>
  </rv>
  <rv s="7">
    <fb>293.41000000000003</fb>
    <v>14</v>
  </rv>
  <rv s="7">
    <fb>165.5685</fb>
    <v>14</v>
  </rv>
  <rv s="7">
    <fb>88.087500000000006</fb>
    <v>14</v>
  </rv>
  <rv s="7">
    <fb>81.933999999999997</fb>
    <v>14</v>
  </rv>
  <rv s="7">
    <fb>514.73</fb>
    <v>14</v>
  </rv>
  <rv s="7">
    <fb>44.3996</fb>
    <v>14</v>
  </rv>
  <rv s="7">
    <fb>3509.44</fb>
    <v>14</v>
  </rv>
  <rv s="7">
    <fb>44144</fb>
    <v>15</v>
  </rv>
  <rv s="7">
    <fb>276.95</fb>
    <v>14</v>
  </rv>
  <rv s="7">
    <fb>156.44049999999999</fb>
    <v>14</v>
  </rv>
  <rv s="7">
    <fb>88.850999999999999</fb>
    <v>14</v>
  </rv>
  <rv s="7">
    <fb>73.477000000000004</fb>
    <v>14</v>
  </rv>
  <rv s="7">
    <fb>482.84</fb>
    <v>14</v>
  </rv>
  <rv s="7">
    <fb>41.939599999999999</fb>
    <v>14</v>
  </rv>
  <rv s="7">
    <fb>3585.15</fb>
    <v>14</v>
  </rv>
  <rv s="7">
    <fb>44151</fb>
    <v>15</v>
  </rv>
  <rv s="7">
    <fb>269.7</fb>
    <v>14</v>
  </rv>
  <rv s="7">
    <fb>154.97</fb>
    <v>14</v>
  </rv>
  <rv s="7">
    <fb>87.109499999999997</fb>
    <v>14</v>
  </rv>
  <rv s="7">
    <fb>82.7</fb>
    <v>14</v>
  </rv>
  <rv s="7">
    <fb>488.24</fb>
    <v>14</v>
  </rv>
  <rv s="7">
    <fb>42.1096</fb>
    <v>14</v>
  </rv>
  <rv s="7">
    <fb>3557.54</fb>
    <v>14</v>
  </rv>
  <rv s="7">
    <fb>44158</fb>
    <v>15</v>
  </rv>
  <rv s="7">
    <fb>277.81</fb>
    <v>14</v>
  </rv>
  <rv s="7">
    <fb>159.767</fb>
    <v>14</v>
  </rv>
  <rv s="7">
    <fb>89.659499999999994</fb>
    <v>14</v>
  </rv>
  <rv s="7">
    <fb>87.31</fb>
    <v>14</v>
  </rv>
  <rv s="7">
    <fb>491.36</fb>
    <v>14</v>
  </rv>
  <rv s="7">
    <fb>42.372900000000001</fb>
    <v>14</v>
  </rv>
  <rv s="7">
    <fb>3638.35</fb>
    <v>14</v>
  </rv>
  <rv s="7">
    <fb>44165</fb>
    <v>15</v>
  </rv>
  <rv s="7">
    <fb>279.7</fb>
    <v>14</v>
  </rv>
  <rv s="7">
    <fb>158.12899999999999</fb>
    <v>14</v>
  </rv>
  <rv s="7">
    <fb>91.399500000000003</fb>
    <v>14</v>
  </rv>
  <rv s="7">
    <fb>90.378</fb>
    <v>14</v>
  </rv>
  <rv s="7">
    <fb>498.31</fb>
    <v>14</v>
  </rv>
  <rv s="7">
    <fb>41.766199999999998</fb>
    <v>14</v>
  </rv>
  <rv s="7">
    <fb>3699.12</fb>
    <v>14</v>
  </rv>
  <rv s="7">
    <fb>44172</fb>
    <v>15</v>
  </rv>
  <rv s="7">
    <fb>273.55</fb>
    <v>14</v>
  </rv>
  <rv s="7">
    <fb>155.821</fb>
    <v>14</v>
  </rv>
  <rv s="7">
    <fb>89.088499999999996</fb>
    <v>14</v>
  </rv>
  <rv s="7">
    <fb>92.614000000000004</fb>
    <v>14</v>
  </rv>
  <rv s="7">
    <fb>503.22</fb>
    <v>14</v>
  </rv>
  <rv s="7">
    <fb>41.889600000000002</fb>
    <v>14</v>
  </rv>
  <rv s="7">
    <fb>3663.46</fb>
    <v>14</v>
  </rv>
  <rv s="7">
    <fb>44179</fb>
    <v>15</v>
  </rv>
  <rv s="7">
    <fb>276.39999999999998</fb>
    <v>14</v>
  </rv>
  <rv s="7">
    <fb>160.08250000000001</fb>
    <v>14</v>
  </rv>
  <rv s="7">
    <fb>86.5505</fb>
    <v>14</v>
  </rv>
  <rv s="7">
    <fb>95.15</fb>
    <v>14</v>
  </rv>
  <rv s="7">
    <fb>534.45000000000005</fb>
    <v>14</v>
  </rv>
  <rv s="7">
    <fb>42.866199999999999</fb>
    <v>14</v>
  </rv>
  <rv s="7">
    <fb>3709.41</fb>
    <v>14</v>
  </rv>
  <rv s="7">
    <fb>44186</fb>
    <v>15</v>
  </rv>
  <rv s="7">
    <fb>267.39999999999998</fb>
    <v>14</v>
  </rv>
  <rv s="7">
    <fb>158.6345</fb>
    <v>14</v>
  </rv>
  <rv s="7">
    <fb>86.942499999999995</fb>
    <v>14</v>
  </rv>
  <rv s="7">
    <fb>93.177000000000007</fb>
    <v>14</v>
  </rv>
  <rv s="7">
    <fb>513.97</fb>
    <v>14</v>
  </rv>
  <rv s="7">
    <fb>42.872900000000001</fb>
    <v>14</v>
  </rv>
  <rv s="7">
    <fb>3703.06</fb>
    <v>14</v>
  </rv>
  <rv s="7">
    <fb>44193</fb>
    <v>15</v>
  </rv>
  <rv s="7">
    <fb>273.16000000000003</fb>
    <v>14</v>
  </rv>
  <rv s="7">
    <fb>162.84649999999999</fb>
    <v>14</v>
  </rv>
  <rv s="7">
    <fb>87.593999999999994</fb>
    <v>14</v>
  </rv>
  <rv s="7">
    <fb>80.099999999999994</fb>
    <v>14</v>
  </rv>
  <rv s="7">
    <fb>540.73</fb>
    <v>14</v>
  </rv>
  <rv s="7">
    <fb>44.246200000000002</fb>
    <v>14</v>
  </rv>
  <rv s="7">
    <fb>3756.07</fb>
    <v>14</v>
  </rv>
  <rv s="7">
    <fb>44200</fb>
    <v>15</v>
  </rv>
  <rv s="7">
    <fb>267.57</fb>
    <v>14</v>
  </rv>
  <rv s="7">
    <fb>159.13499999999999</fb>
    <v>14</v>
  </rv>
  <rv s="7">
    <fb>90.360500000000002</fb>
    <v>14</v>
  </rv>
  <rv s="7">
    <fb>79.581000000000003</fb>
    <v>14</v>
  </rv>
  <rv s="7">
    <fb>510.4</fb>
    <v>14</v>
  </rv>
  <rv s="7">
    <fb>46.269500000000001</fb>
    <v>14</v>
  </rv>
  <rv s="7">
    <fb>3824.68</fb>
    <v>14</v>
  </rv>
  <rv s="7">
    <fb>44207</fb>
    <v>15</v>
  </rv>
  <rv s="7">
    <fb>251.36</fb>
    <v>14</v>
  </rv>
  <rv s="7">
    <fb>155.21250000000001</fb>
    <v>14</v>
  </rv>
  <rv s="7">
    <fb>86.8095</fb>
    <v>14</v>
  </rv>
  <rv s="7">
    <fb>78.536000000000001</fb>
    <v>14</v>
  </rv>
  <rv s="7">
    <fb>497.98</fb>
    <v>14</v>
  </rv>
  <rv s="7">
    <fb>46.679499999999997</fb>
    <v>14</v>
  </rv>
  <rv s="7">
    <fb>3768.25</fb>
    <v>14</v>
  </rv>
  <rv s="7">
    <fb>44215</fb>
    <v>15</v>
  </rv>
  <rv s="7">
    <fb>274.5</fb>
    <v>14</v>
  </rv>
  <rv s="7">
    <fb>164.61150000000001</fb>
    <v>14</v>
  </rv>
  <rv s="7">
    <fb>95.052499999999995</fb>
    <v>14</v>
  </rv>
  <rv s="7">
    <fb>81.296000000000006</fb>
    <v>14</v>
  </rv>
  <rv s="7">
    <fb>565.16999999999996</fb>
    <v>14</v>
  </rv>
  <rv s="7">
    <fb>46.806199999999997</fb>
    <v>14</v>
  </rv>
  <rv s="7">
    <fb>3841.47</fb>
    <v>14</v>
  </rv>
  <rv s="7">
    <fb>44221</fb>
    <v>15</v>
  </rv>
  <rv s="7">
    <fb>258.33</fb>
    <v>14</v>
  </rv>
  <rv s="7">
    <fb>160.31</fb>
    <v>14</v>
  </rv>
  <rv s="7">
    <fb>91.787000000000006</fb>
    <v>14</v>
  </rv>
  <rv s="7">
    <fb>76.599000000000004</fb>
    <v>14</v>
  </rv>
  <rv s="7">
    <fb>532.39</fb>
    <v>14</v>
  </rv>
  <rv s="7">
    <fb>45.089500000000001</fb>
    <v>14</v>
  </rv>
  <rv s="7">
    <fb>3714.24</fb>
    <v>14</v>
  </rv>
  <rv s="7">
    <fb>44228</fb>
    <v>15</v>
  </rv>
  <rv s="7">
    <fb>268.10000000000002</fb>
    <v>14</v>
  </rv>
  <rv s="7">
    <fb>167.60749999999999</fb>
    <v>14</v>
  </rv>
  <rv s="7">
    <fb>104.9</fb>
    <v>14</v>
  </rv>
  <rv s="7">
    <fb>85.506</fb>
    <v>14</v>
  </rv>
  <rv s="7">
    <fb>550.79</fb>
    <v>14</v>
  </rv>
  <rv s="7">
    <fb>47.529499999999999</fb>
    <v>14</v>
  </rv>
  <rv s="7">
    <fb>3886.83</fb>
    <v>14</v>
  </rv>
  <rv s="7">
    <fb>44235</fb>
    <v>15</v>
  </rv>
  <rv s="7">
    <fb>270.5</fb>
    <v>14</v>
  </rv>
  <rv s="7">
    <fb>163.88550000000001</fb>
    <v>14</v>
  </rv>
  <rv s="7">
    <fb>105.2055</fb>
    <v>14</v>
  </rv>
  <rv s="7">
    <fb>86.4</fb>
    <v>14</v>
  </rv>
  <rv s="7">
    <fb>556.52</fb>
    <v>14</v>
  </rv>
  <rv s="7">
    <fb>47.329500000000003</fb>
    <v>14</v>
  </rv>
  <rv s="7">
    <fb>3934.83</fb>
    <v>14</v>
  </rv>
  <rv s="7">
    <fb>44243</fb>
    <v>15</v>
  </rv>
  <rv s="7">
    <fb>261.56</fb>
    <v>14</v>
  </rv>
  <rv s="7">
    <fb>162.495</fb>
    <v>14</v>
  </rv>
  <rv s="7">
    <fb>105.057</fb>
    <v>14</v>
  </rv>
  <rv s="7">
    <fb>90.334999999999994</fb>
    <v>14</v>
  </rv>
  <rv s="7">
    <fb>540.22</fb>
    <v>14</v>
  </rv>
  <rv s="7">
    <fb>48.142899999999997</fb>
    <v>14</v>
  </rv>
  <rv s="7">
    <fb>3906.71</fb>
    <v>14</v>
  </rv>
  <rv s="7">
    <fb>44249</fb>
    <v>15</v>
  </rv>
  <rv s="7">
    <fb>257.62</fb>
    <v>14</v>
  </rv>
  <rv s="7">
    <fb>154.6465</fb>
    <v>14</v>
  </rv>
  <rv s="7">
    <fb>101.843</fb>
    <v>14</v>
  </rv>
  <rv s="7">
    <fb>80.539000000000001</fb>
    <v>14</v>
  </rv>
  <rv s="7">
    <fb>538.85</fb>
    <v>14</v>
  </rv>
  <rv s="7">
    <fb>46.096200000000003</fb>
    <v>14</v>
  </rv>
  <rv s="7">
    <fb>3811.15</fb>
    <v>14</v>
  </rv>
  <rv s="7">
    <fb>44256</fb>
    <v>15</v>
  </rv>
  <rv s="7">
    <fb>264.27999999999997</fb>
    <v>14</v>
  </rv>
  <rv s="7">
    <fb>150.023</fb>
    <v>14</v>
  </rv>
  <rv s="7">
    <fb>105.42700000000001</fb>
    <v>14</v>
  </rv>
  <rv s="7">
    <fb>65.417000000000002</fb>
    <v>14</v>
  </rv>
  <rv s="7">
    <fb>516.39</fb>
    <v>14</v>
  </rv>
  <rv s="7">
    <fb>48.232900000000001</fb>
    <v>14</v>
  </rv>
  <rv s="7">
    <fb>3841.94</fb>
    <v>14</v>
  </rv>
  <rv s="7">
    <fb>44263</fb>
    <v>15</v>
  </rv>
  <rv s="7">
    <fb>268.39999999999998</fb>
    <v>14</v>
  </rv>
  <rv s="7">
    <fb>154.47450000000001</fb>
    <v>14</v>
  </rv>
  <rv s="7">
    <fb>103.096</fb>
    <v>14</v>
  </rv>
  <rv s="7">
    <fb>75.122</fb>
    <v>14</v>
  </rv>
  <rv s="7">
    <fb>518.02</fb>
    <v>14</v>
  </rv>
  <rv s="7">
    <fb>48.139499999999998</fb>
    <v>14</v>
  </rv>
  <rv s="7">
    <fb>3943.34</fb>
    <v>14</v>
  </rv>
  <rv s="7">
    <fb>44270</fb>
    <v>15</v>
  </rv>
  <rv s="7">
    <fb>290.11</fb>
    <v>14</v>
  </rv>
  <rv s="7">
    <fb>153.74799999999999</fb>
    <v>14</v>
  </rv>
  <rv s="7">
    <fb>102.16</fb>
    <v>14</v>
  </rv>
  <rv s="7">
    <fb>73.320999999999998</fb>
    <v>14</v>
  </rv>
  <rv s="7">
    <fb>512.17999999999995</fb>
    <v>14</v>
  </rv>
  <rv s="7">
    <fb>48.579500000000003</fb>
    <v>14</v>
  </rv>
  <rv s="7">
    <fb>3913.1</fb>
    <v>14</v>
  </rv>
  <rv s="7">
    <fb>44277</fb>
    <v>15</v>
  </rv>
  <rv s="7">
    <fb>283.02</fb>
    <v>14</v>
  </rv>
  <rv s="7">
    <fb>152.60149999999999</fb>
    <v>14</v>
  </rv>
  <rv s="7">
    <fb>101.7775</fb>
    <v>14</v>
  </rv>
  <rv s="7">
    <fb>67.120999999999995</fb>
    <v>14</v>
  </rv>
  <rv s="7">
    <fb>508.05</fb>
    <v>14</v>
  </rv>
  <rv s="7">
    <fb>50.2395</fb>
    <v>14</v>
  </rv>
  <rv s="7">
    <fb>3974.54</fb>
    <v>14</v>
  </rv>
  <rv s="7">
    <fb>44284</fb>
    <v>15</v>
  </rv>
  <rv s="7">
    <fb>298.66000000000003</fb>
    <v>14</v>
  </rv>
  <rv s="7">
    <fb>158.05000000000001</fb>
    <v>14</v>
  </rv>
  <rv s="7">
    <fb>106.8875</fb>
    <v>14</v>
  </rv>
  <rv s="7">
    <fb>65.884</fb>
    <v>14</v>
  </rv>
  <rv s="7">
    <fb>539.41999999999996</fb>
    <v>14</v>
  </rv>
  <rv s="7">
    <fb>50.282800000000002</fb>
    <v>14</v>
  </rv>
  <rv s="7">
    <fb>4019.87</fb>
    <v>14</v>
  </rv>
  <rv s="7">
    <fb>44291</fb>
    <v>15</v>
  </rv>
  <rv s="7">
    <fb>312.45999999999998</fb>
    <v>14</v>
  </rv>
  <rv s="7">
    <fb>168.61</fb>
    <v>14</v>
  </rv>
  <rv s="7">
    <fb>114.294</fb>
    <v>14</v>
  </rv>
  <rv s="7">
    <fb>69.256</fb>
    <v>14</v>
  </rv>
  <rv s="7">
    <fb>555.30999999999995</fb>
    <v>14</v>
  </rv>
  <rv s="7">
    <fb>52.032800000000002</fb>
    <v>14</v>
  </rv>
  <rv s="7">
    <fb>4128.8</fb>
    <v>14</v>
  </rv>
  <rv s="7">
    <fb>44298</fb>
    <v>15</v>
  </rv>
  <rv s="7">
    <fb>306.18</fb>
    <v>14</v>
  </rv>
  <rv s="7">
    <fb>169.97200000000001</fb>
    <v>14</v>
  </rv>
  <rv s="7">
    <fb>114.88800000000001</fb>
    <v>14</v>
  </rv>
  <rv s="7">
    <fb>71.885999999999996</fb>
    <v>14</v>
  </rv>
  <rv s="7">
    <fb>546.54</fb>
    <v>14</v>
  </rv>
  <rv s="7">
    <fb>53.389499999999998</fb>
    <v>14</v>
  </rv>
  <rv s="7">
    <fb>4185.47</fb>
    <v>14</v>
  </rv>
  <rv s="7">
    <fb>44305</fb>
    <v>15</v>
  </rv>
  <rv s="7">
    <fb>301.13</fb>
    <v>14</v>
  </rv>
  <rv s="7">
    <fb>167.04400000000001</fb>
    <v>14</v>
  </rv>
  <rv s="7">
    <fb>115.765</fb>
    <v>14</v>
  </rv>
  <rv s="7">
    <fb>72.649000000000001</fb>
    <v>14</v>
  </rv>
  <rv s="7">
    <fb>505.55</fb>
    <v>14</v>
  </rv>
  <rv s="7">
    <fb>54.156100000000002</fb>
    <v>14</v>
  </rv>
  <rv s="7">
    <fb>4180.17</fb>
    <v>14</v>
  </rv>
  <rv s="7">
    <fb>44312</fb>
    <v>15</v>
  </rv>
  <rv s="7">
    <fb>325.08</fb>
    <v>14</v>
  </rv>
  <rv s="7">
    <fb>173.37100000000001</fb>
    <v>14</v>
  </rv>
  <rv s="7">
    <fb>120.506</fb>
    <v>14</v>
  </rv>
  <rv s="7">
    <fb>72.930999999999997</fb>
    <v>14</v>
  </rv>
  <rv s="7">
    <fb>513.47</fb>
    <v>14</v>
  </rv>
  <rv s="7">
    <fb>53.8461</fb>
    <v>14</v>
  </rv>
  <rv s="7">
    <fb>4181.17</fb>
    <v>14</v>
  </rv>
  <rv s="7">
    <fb>44319</fb>
    <v>15</v>
  </rv>
  <rv s="7">
    <fb>319.08</fb>
    <v>14</v>
  </rv>
  <rv s="7">
    <fb>164.5805</fb>
    <v>14</v>
  </rv>
  <rv s="7">
    <fb>119.9345</fb>
    <v>14</v>
  </rv>
  <rv s="7">
    <fb>66.143000000000001</fb>
    <v>14</v>
  </rv>
  <rv s="7">
    <fb>503.84</fb>
    <v>14</v>
  </rv>
  <rv s="7">
    <fb>54.852800000000002</fb>
    <v>14</v>
  </rv>
  <rv s="7">
    <fb>4232.6000000000004</fb>
    <v>14</v>
  </rv>
  <rv s="7">
    <fb>44326</fb>
    <v>15</v>
  </rv>
  <rv s="7">
    <fb>315.94</fb>
    <v>14</v>
  </rv>
  <rv s="7">
    <fb>161.14500000000001</fb>
    <v>14</v>
  </rv>
  <rv s="7">
    <fb>115.80800000000001</fb>
    <v>14</v>
  </rv>
  <rv s="7">
    <fb>51.749000000000002</fb>
    <v>14</v>
  </rv>
  <rv s="7">
    <fb>493.37</fb>
    <v>14</v>
  </rv>
  <rv s="7">
    <fb>54.786099999999998</fb>
    <v>14</v>
  </rv>
  <rv s="7">
    <fb>4173.8500000000004</fb>
    <v>14</v>
  </rv>
  <rv s="7">
    <fb>44333</fb>
    <v>15</v>
  </rv>
  <rv s="7">
    <fb>316.23</fb>
    <v>14</v>
  </rv>
  <rv s="7">
    <fb>160.154</fb>
    <v>14</v>
  </rv>
  <rv s="7">
    <fb>117.255</fb>
    <v>14</v>
  </rv>
  <rv s="7">
    <fb>53.972000000000001</fb>
    <v>14</v>
  </rv>
  <rv s="7">
    <fb>497.89</fb>
    <v>14</v>
  </rv>
  <rv s="7">
    <fb>54.622799999999998</fb>
    <v>14</v>
  </rv>
  <rv s="7">
    <fb>4155.8599999999997</fb>
    <v>14</v>
  </rv>
  <rv s="7">
    <fb>44340</fb>
    <v>15</v>
  </rv>
  <rv s="7">
    <fb>328.73</fb>
    <v>14</v>
  </rv>
  <rv s="7">
    <fb>161.15350000000001</fb>
    <v>14</v>
  </rv>
  <rv s="7">
    <fb>120.578</fb>
    <v>14</v>
  </rv>
  <rv s="7">
    <fb>58.814</fb>
    <v>14</v>
  </rv>
  <rv s="7">
    <fb>502.81</fb>
    <v>14</v>
  </rv>
  <rv s="7">
    <fb>55.819400000000002</fb>
    <v>14</v>
  </rv>
  <rv s="7">
    <fb>4204.1099999999997</fb>
    <v>14</v>
  </rv>
  <rv s="7">
    <fb>44348</fb>
    <v>15</v>
  </rv>
  <rv s="7">
    <fb>330.35</fb>
    <v>14</v>
  </rv>
  <rv s="7">
    <fb>160.31100000000001</fb>
    <v>14</v>
  </rv>
  <rv s="7">
    <fb>122.58799999999999</fb>
    <v>14</v>
  </rv>
  <rv s="7">
    <fb>57.475000000000001</fb>
    <v>14</v>
  </rv>
  <rv s="7">
    <fb>494.74</fb>
    <v>14</v>
  </rv>
  <rv s="7">
    <fb>56.742800000000003</fb>
    <v>14</v>
  </rv>
  <rv s="7">
    <fb>4229.8900000000003</fb>
    <v>14</v>
  </rv>
  <rv s="7">
    <fb>44354</fb>
    <v>15</v>
  </rv>
  <rv s="7">
    <fb>331.26</fb>
    <v>14</v>
  </rv>
  <rv s="7">
    <fb>167.3415</fb>
    <v>14</v>
  </rv>
  <rv s="7">
    <fb>125.6965</fb>
    <v>14</v>
  </rv>
  <rv s="7">
    <fb>59.981000000000002</fb>
    <v>14</v>
  </rv>
  <rv s="7">
    <fb>488.77</fb>
    <v>14</v>
  </rv>
  <rv s="7">
    <fb>57.6494</fb>
    <v>14</v>
  </rv>
  <rv s="7">
    <fb>4247.4399999999996</fb>
    <v>14</v>
  </rv>
  <rv s="7">
    <fb>44361</fb>
    <v>15</v>
  </rv>
  <rv s="7">
    <fb>329.66</fb>
    <v>14</v>
  </rv>
  <rv s="7">
    <fb>174.345</fb>
    <v>14</v>
  </rv>
  <rv s="7">
    <fb>125.5675</fb>
    <v>14</v>
  </rv>
  <rv s="7">
    <fb>60.88</fb>
    <v>14</v>
  </rv>
  <rv s="7">
    <fb>500.77</fb>
    <v>14</v>
  </rv>
  <rv s="7">
    <fb>58.599400000000003</fb>
    <v>14</v>
  </rv>
  <rv s="7">
    <fb>4166.45</fb>
    <v>14</v>
  </rv>
  <rv s="7">
    <fb>44368</fb>
    <v>15</v>
  </rv>
  <rv s="7">
    <fb>341.37</fb>
    <v>14</v>
  </rv>
  <rv s="7">
    <fb>170.07300000000001</fb>
    <v>14</v>
  </rv>
  <rv s="7">
    <fb>126.995</fb>
    <v>14</v>
  </rv>
  <rv s="7">
    <fb>76.02</fb>
    <v>14</v>
  </rv>
  <rv s="7">
    <fb>527.07000000000005</fb>
    <v>14</v>
  </rv>
  <rv s="7">
    <fb>59.356099999999998</fb>
    <v>14</v>
  </rv>
  <rv s="7">
    <fb>4280.7</fb>
    <v>14</v>
  </rv>
  <rv s="7">
    <fb>44375</fb>
    <v>15</v>
  </rv>
  <rv s="7">
    <fb>354.7</fb>
    <v>14</v>
  </rv>
  <rv s="7">
    <fb>175.54900000000001</fb>
    <v>14</v>
  </rv>
  <rv s="7">
    <fb>128.71899999999999</fb>
    <v>14</v>
  </rv>
  <rv s="7">
    <fb>76.62</fb>
    <v>14</v>
  </rv>
  <rv s="7">
    <fb>533.98</fb>
    <v>14</v>
  </rv>
  <rv s="7">
    <fb>59.292700000000004</fb>
    <v>14</v>
  </rv>
  <rv s="7">
    <fb>4352.34</fb>
    <v>14</v>
  </rv>
  <rv s="7">
    <fb>44383</fb>
    <v>15</v>
  </rv>
  <rv s="7">
    <fb>350.42</fb>
    <v>14</v>
  </rv>
  <rv s="7">
    <fb>185.96700000000001</fb>
    <v>14</v>
  </rv>
  <rv s="7">
    <fb>129.5745</fb>
    <v>14</v>
  </rv>
  <rv s="7">
    <fb>77.95</fb>
    <v>14</v>
  </rv>
  <rv s="7">
    <fb>535.98</fb>
    <v>14</v>
  </rv>
  <rv s="7">
    <fb>58.589399999999998</fb>
    <v>14</v>
  </rv>
  <rv s="7">
    <fb>4369.55</fb>
    <v>14</v>
  </rv>
  <rv s="7">
    <fb>44389</fb>
    <v>15</v>
  </rv>
  <rv s="7">
    <fb>341.16</fb>
    <v>14</v>
  </rv>
  <rv s="7">
    <fb>178.6815</fb>
    <v>14</v>
  </rv>
  <rv s="7">
    <fb>131.84549999999999</fb>
    <v>14</v>
  </rv>
  <rv s="7">
    <fb>70.62</fb>
    <v>14</v>
  </rv>
  <rv s="7">
    <fb>530.30999999999995</fb>
    <v>14</v>
  </rv>
  <rv s="7">
    <fb>59.516100000000002</fb>
    <v>14</v>
  </rv>
  <rv s="7">
    <fb>4327.16</fb>
    <v>14</v>
  </rv>
  <rv s="7">
    <fb>44396</fb>
    <v>15</v>
  </rv>
  <rv s="7">
    <fb>369.79</fb>
    <v>14</v>
  </rv>
  <rv s="7">
    <fb>182.83199999999999</fb>
    <v>14</v>
  </rv>
  <rv s="7">
    <fb>137.816</fb>
    <v>14</v>
  </rv>
  <rv s="7">
    <fb>81.150000000000006</fb>
    <v>14</v>
  </rv>
  <rv s="7">
    <fb>515.41</fb>
    <v>14</v>
  </rv>
  <rv s="7">
    <fb>62.585999999999999</fb>
    <v>14</v>
  </rv>
  <rv s="7">
    <fb>4411.79</fb>
    <v>14</v>
  </rv>
  <rv s="7">
    <fb>44403</fb>
    <v>15</v>
  </rv>
  <rv s="7">
    <fb>356.3</fb>
    <v>14</v>
  </rv>
  <rv s="7">
    <fb>166.37950000000001</fb>
    <v>14</v>
  </rv>
  <rv s="7">
    <fb>135.221</fb>
    <v>14</v>
  </rv>
  <rv s="7">
    <fb>81.91</fb>
    <v>14</v>
  </rv>
  <rv s="7">
    <fb>517.57000000000005</fb>
    <v>14</v>
  </rv>
  <rv s="7">
    <fb>62.242699999999999</fb>
    <v>14</v>
  </rv>
  <rv s="7">
    <fb>4395.26</fb>
    <v>14</v>
  </rv>
  <rv s="7">
    <fb>44410</fb>
    <v>15</v>
  </rv>
  <rv s="7">
    <fb>363.51</fb>
    <v>14</v>
  </rv>
  <rv s="7">
    <fb>167.24700000000001</fb>
    <v>14</v>
  </rv>
  <rv s="7">
    <fb>137.036</fb>
    <v>14</v>
  </rv>
  <rv s="7">
    <fb>84.04</fb>
    <v>14</v>
  </rv>
  <rv s="7">
    <fb>520.54999999999995</fb>
    <v>14</v>
  </rv>
  <rv s="7">
    <fb>62.905999999999999</fb>
    <v>14</v>
  </rv>
  <rv s="7">
    <fb>4436.5200000000004</fb>
    <v>14</v>
  </rv>
  <rv s="7">
    <fb>44417</fb>
    <v>15</v>
  </rv>
  <rv s="7">
    <fb>363.18</fb>
    <v>14</v>
  </rv>
  <rv s="7">
    <fb>164.6985</fb>
    <v>14</v>
  </rv>
  <rv s="7">
    <fb>138.40600000000001</fb>
    <v>14</v>
  </rv>
  <rv s="7">
    <fb>80.91</fb>
    <v>14</v>
  </rv>
  <rv s="7">
    <fb>515.91999999999996</fb>
    <v>14</v>
  </rv>
  <rv s="7">
    <fb>63.662700000000001</fb>
    <v>14</v>
  </rv>
  <rv s="7">
    <fb>4468</fb>
    <v>14</v>
  </rv>
  <rv s="7">
    <fb>44424</fb>
    <v>15</v>
  </rv>
  <rv s="7">
    <fb>359.37</fb>
    <v>14</v>
  </rv>
  <rv s="7">
    <fb>159.9975</fb>
    <v>14</v>
  </rv>
  <rv s="7">
    <fb>138.43700000000001</fb>
    <v>14</v>
  </rv>
  <rv s="7">
    <fb>77.180000000000007</fb>
    <v>14</v>
  </rv>
  <rv s="7">
    <fb>546.88</fb>
    <v>14</v>
  </rv>
  <rv s="7">
    <fb>62.889400000000002</fb>
    <v>14</v>
  </rv>
  <rv s="7">
    <fb>4441.67</fb>
    <v>14</v>
  </rv>
  <rv s="7">
    <fb>44431</fb>
    <v>15</v>
  </rv>
  <rv s="7">
    <fb>372.63</fb>
    <v>14</v>
  </rv>
  <rv s="7">
    <fb>167.48150000000001</fb>
    <v>14</v>
  </rv>
  <rv s="7">
    <fb>144.5505</fb>
    <v>14</v>
  </rv>
  <rv s="7">
    <fb>80.58</fb>
    <v>14</v>
  </rv>
  <rv s="7">
    <fb>558.91999999999996</fb>
    <v>14</v>
  </rv>
  <rv s="7">
    <fb>64.492699999999999</fb>
    <v>14</v>
  </rv>
  <rv s="7">
    <fb>4509.37</fb>
    <v>14</v>
  </rv>
  <rv s="7">
    <fb>44438</fb>
    <v>15</v>
  </rv>
  <rv s="7">
    <fb>376.26</fb>
    <v>14</v>
  </rv>
  <rv s="7">
    <fb>173.9025</fb>
    <v>14</v>
  </rv>
  <rv s="7">
    <fb>144.77500000000001</fb>
    <v>14</v>
  </rv>
  <rv s="7">
    <fb>78.2</fb>
    <v>14</v>
  </rv>
  <rv s="7">
    <fb>590.53</fb>
    <v>14</v>
  </rv>
  <rv s="7">
    <fb>66.176000000000002</fb>
    <v>14</v>
  </rv>
  <rv s="7">
    <fb>4535.43</fb>
    <v>14</v>
  </rv>
  <rv s="7">
    <fb>44446</fb>
    <v>15</v>
  </rv>
  <rv s="7">
    <fb>378.69</fb>
    <v>14</v>
  </rv>
  <rv s="7">
    <fb>173.45750000000001</fb>
    <v>14</v>
  </rv>
  <rv s="7">
    <fb>141.92099999999999</fb>
    <v>14</v>
  </rv>
  <rv s="7">
    <fb>72.78</fb>
    <v>14</v>
  </rv>
  <rv s="7">
    <fb>598.72</fb>
    <v>14</v>
  </rv>
  <rv s="7">
    <fb>65.346000000000004</fb>
    <v>14</v>
  </rv>
  <rv s="7">
    <fb>4458.58</fb>
    <v>14</v>
  </rv>
  <rv s="7">
    <fb>44452</fb>
    <v>15</v>
  </rv>
  <rv s="7">
    <fb>364.72</fb>
    <v>14</v>
  </rv>
  <rv s="7">
    <fb>173.126</fb>
    <v>14</v>
  </rv>
  <rv s="7">
    <fb>141.46350000000001</fb>
    <v>14</v>
  </rv>
  <rv s="7">
    <fb>72.58</fb>
    <v>14</v>
  </rv>
  <rv s="7">
    <fb>589.35</fb>
    <v>14</v>
  </rv>
  <rv s="7">
    <fb>64.299400000000006</fb>
    <v>14</v>
  </rv>
  <rv s="7">
    <fb>4432.99</fb>
    <v>14</v>
  </rv>
  <rv s="7">
    <fb>44459</fb>
    <v>15</v>
  </rv>
  <rv s="7">
    <fb>352.96</fb>
    <v>14</v>
  </rv>
  <rv s="7">
    <fb>171.27600000000001</fb>
    <v>14</v>
  </rv>
  <rv s="7">
    <fb>142.63300000000001</fb>
    <v>14</v>
  </rv>
  <rv s="7">
    <fb>76.459999999999994</fb>
    <v>14</v>
  </rv>
  <rv s="7">
    <fb>592.39</fb>
    <v>14</v>
  </rv>
  <rv s="7">
    <fb>65.592699999999994</fb>
    <v>14</v>
  </rv>
  <rv s="7">
    <fb>4455.4799999999996</fb>
    <v>14</v>
  </rv>
  <rv s="7">
    <fb>44466</fb>
    <v>15</v>
  </rv>
  <rv s="7">
    <fb>343.01</fb>
    <v>14</v>
  </rv>
  <rv s="7">
    <fb>164.16300000000001</fb>
    <v>14</v>
  </rv>
  <rv s="7">
    <fb>136.46250000000001</fb>
    <v>14</v>
  </rv>
  <rv s="7">
    <fb>70.42</fb>
    <v>14</v>
  </rv>
  <rv s="7">
    <fb>613.15</fb>
    <v>14</v>
  </rv>
  <rv s="7">
    <fb>64.575999999999993</fb>
    <v>14</v>
  </rv>
  <rv s="7">
    <fb>4357.04</fb>
    <v>14</v>
  </rv>
  <rv s="7">
    <fb>44473</fb>
    <v>15</v>
  </rv>
  <rv s="7">
    <fb>330.05</fb>
    <v>14</v>
  </rv>
  <rv s="7">
    <fb>164.43100000000001</fb>
    <v>14</v>
  </rv>
  <rv s="7">
    <fb>140.05600000000001</fb>
    <v>14</v>
  </rv>
  <rv s="7">
    <fb>71</fb>
    <v>14</v>
  </rv>
  <rv s="7">
    <fb>632.66</fb>
    <v>14</v>
  </rv>
  <rv s="7">
    <fb>65.799300000000002</fb>
    <v>14</v>
  </rv>
  <rv s="7">
    <fb>4391.34</fb>
    <v>14</v>
  </rv>
  <rv s="7">
    <fb>44480</fb>
    <v>15</v>
  </rv>
  <rv s="7">
    <fb>324.76</fb>
    <v>14</v>
  </rv>
  <rv s="7">
    <fb>170.45099999999999</fb>
    <v>14</v>
  </rv>
  <rv s="7">
    <fb>141.67500000000001</fb>
    <v>14</v>
  </rv>
  <rv s="7">
    <fb>78.459999999999994</fb>
    <v>14</v>
  </rv>
  <rv s="7">
    <fb>628.29</fb>
    <v>14</v>
  </rv>
  <rv s="7">
    <fb>67.672700000000006</fb>
    <v>14</v>
  </rv>
  <rv s="7">
    <fb>4471.37</fb>
    <v>14</v>
  </rv>
  <rv s="7">
    <fb>44487</fb>
    <v>15</v>
  </rv>
  <rv s="7">
    <fb>324.61</fb>
    <v>14</v>
  </rv>
  <rv s="7">
    <fb>166.7775</fb>
    <v>14</v>
  </rv>
  <rv s="7">
    <fb>138.625</fb>
    <v>14</v>
  </rv>
  <rv s="7">
    <fb>73.959999999999994</fb>
    <v>14</v>
  </rv>
  <rv s="7">
    <fb>664.78</fb>
    <v>14</v>
  </rv>
  <rv s="7">
    <fb>67.2393</fb>
    <v>14</v>
  </rv>
  <rv s="7">
    <fb>4544.8999999999996</fb>
    <v>14</v>
  </rv>
  <rv s="7">
    <fb>44494</fb>
    <v>15</v>
  </rv>
  <rv s="7">
    <fb>323.57</fb>
    <v>14</v>
  </rv>
  <rv s="7">
    <fb>168.6215</fb>
    <v>14</v>
  </rv>
  <rv s="7">
    <fb>148.2705</fb>
    <v>14</v>
  </rv>
  <rv s="7">
    <fb>74.91</fb>
    <v>14</v>
  </rv>
  <rv s="7">
    <fb>690.31</fb>
    <v>14</v>
  </rv>
  <rv s="7">
    <fb>69.956000000000003</fb>
    <v>14</v>
  </rv>
  <rv s="7">
    <fb>4605.38</fb>
    <v>14</v>
  </rv>
  <rv s="7">
    <fb>44501</fb>
    <v>15</v>
  </rv>
  <rv s="7">
    <fb>341.13</fb>
    <v>14</v>
  </rv>
  <rv s="7">
    <fb>175.9495</fb>
    <v>14</v>
  </rv>
  <rv s="7">
    <fb>149.24100000000001</fb>
    <v>14</v>
  </rv>
  <rv s="7">
    <fb>68.55</fb>
    <v>14</v>
  </rv>
  <rv s="7">
    <fb>645.72</fb>
    <v>14</v>
  </rv>
  <rv s="7">
    <fb>70.942599999999999</fb>
    <v>14</v>
  </rv>
  <rv s="7">
    <fb>4697.53</fb>
    <v>14</v>
  </rv>
  <rv s="7">
    <fb>44508</fb>
    <v>15</v>
  </rv>
  <rv s="7">
    <fb>340.89</fb>
    <v>14</v>
  </rv>
  <rv s="7">
    <fb>176.25749999999999</fb>
    <v>14</v>
  </rv>
  <rv s="7">
    <fb>149.6455</fb>
    <v>14</v>
  </rv>
  <rv s="7">
    <fb>100.33</fb>
    <v>14</v>
  </rv>
  <rv s="7">
    <fb>682.61</fb>
    <v>14</v>
  </rv>
  <rv s="7">
    <fb>69.4726</fb>
    <v>14</v>
  </rv>
  <rv s="7">
    <fb>4682.8500000000004</fb>
    <v>14</v>
  </rv>
  <rv s="7">
    <fb>44515</fb>
    <v>15</v>
  </rv>
  <rv s="7">
    <fb>345.3</fb>
    <v>14</v>
  </rv>
  <rv s="7">
    <fb>183.82849999999999</fb>
    <v>14</v>
  </rv>
  <rv s="7">
    <fb>149.95249999999999</fb>
    <v>14</v>
  </rv>
  <rv s="7">
    <fb>107.79</fb>
    <v>14</v>
  </rv>
  <rv s="7">
    <fb>678.8</fb>
    <v>14</v>
  </rv>
  <rv s="7">
    <fb>4697.96</fb>
    <v>14</v>
  </rv>
  <rv s="7">
    <fb>44522</fb>
    <v>15</v>
  </rv>
  <rv s="7">
    <fb>333.12</fb>
    <v>14</v>
  </rv>
  <rv s="7">
    <fb>175.22800000000001</fb>
    <v>14</v>
  </rv>
  <rv s="7">
    <fb>142.80600000000001</fb>
    <v>14</v>
  </rv>
  <rv s="7">
    <fb>103.98</fb>
    <v>14</v>
  </rv>
  <rv s="7">
    <fb>665.64</fb>
    <v>14</v>
  </rv>
  <rv s="7">
    <fb>67.892700000000005</fb>
    <v>14</v>
  </rv>
  <rv s="7">
    <fb>4594.62</fb>
    <v>14</v>
  </rv>
  <rv s="7">
    <fb>44529</fb>
    <v>15</v>
  </rv>
  <rv s="7">
    <fb>306.83999999999997</fb>
    <v>14</v>
  </rv>
  <rv s="7">
    <fb>169.48949999999999</fb>
    <v>14</v>
  </rv>
  <rv s="7">
    <fb>142.5205</fb>
    <v>14</v>
  </rv>
  <rv s="7">
    <fb>89.51</fb>
    <v>14</v>
  </rv>
  <rv s="7">
    <fb>602.13</fb>
    <v>14</v>
  </rv>
  <rv s="7">
    <fb>66.706000000000003</fb>
    <v>14</v>
  </rv>
  <rv s="7">
    <fb>4538.43</fb>
    <v>14</v>
  </rv>
  <rv s="7">
    <fb>44536</fb>
    <v>15</v>
  </rv>
  <rv s="7">
    <fb>329.75</fb>
    <v>14</v>
  </rv>
  <rv s="7">
    <fb>172.21199999999999</fb>
    <v>14</v>
  </rv>
  <rv s="7">
    <fb>148.67500000000001</fb>
    <v>14</v>
  </rv>
  <rv s="7">
    <fb>94.06</fb>
    <v>14</v>
  </rv>
  <rv s="7">
    <fb>611.66</fb>
    <v>14</v>
  </rv>
  <rv s="7">
    <fb>68.592600000000004</fb>
    <v>14</v>
  </rv>
  <rv s="7">
    <fb>4712.0200000000004</fb>
    <v>14</v>
  </rv>
  <rv s="7">
    <fb>44543</fb>
    <v>15</v>
  </rv>
  <rv s="7">
    <fb>333.79</fb>
    <v>14</v>
  </rv>
  <rv s="7">
    <fb>170.01750000000001</fb>
    <v>14</v>
  </rv>
  <rv s="7">
    <fb>142.803</fb>
    <v>14</v>
  </rv>
  <rv s="7">
    <fb>89.99</fb>
    <v>14</v>
  </rv>
  <rv s="7">
    <fb>586.73</fb>
    <v>14</v>
  </rv>
  <rv s="7">
    <fb>67.0227</fb>
    <v>14</v>
  </rv>
  <rv s="7">
    <fb>4620.6400000000003</fb>
    <v>14</v>
  </rv>
  <rv s="7">
    <fb>44550</fb>
    <v>15</v>
  </rv>
  <rv s="7">
    <fb>335.24</fb>
    <v>14</v>
  </rv>
  <rv s="7">
    <fb>171.0685</fb>
    <v>14</v>
  </rv>
  <rv s="7">
    <fb>147.14250000000001</fb>
    <v>14</v>
  </rv>
  <rv s="7">
    <fb>96.05</fb>
    <v>14</v>
  </rv>
  <rv s="7">
    <fb>614.09</fb>
    <v>14</v>
  </rv>
  <rv s="7">
    <fb>68.4726</fb>
    <v>14</v>
  </rv>
  <rv s="7">
    <fb>4725.79</fb>
    <v>14</v>
  </rv>
  <rv s="7">
    <fb>44557</fb>
    <v>15</v>
  </rv>
  <rv s="7">
    <fb>336.35</fb>
    <v>14</v>
  </rv>
  <rv s="7">
    <fb>166.71700000000001</fb>
    <v>14</v>
  </rv>
  <rv s="7">
    <fb>144.67949999999999</fb>
    <v>14</v>
  </rv>
  <rv s="7">
    <fb>91.64</fb>
    <v>14</v>
  </rv>
  <rv s="7">
    <fb>602.44000000000005</fb>
    <v>14</v>
  </rv>
  <rv s="7">
    <fb>70.002600000000001</fb>
    <v>14</v>
  </rv>
  <rv s="7">
    <fb>4766.18</fb>
    <v>14</v>
  </rv>
  <rv s="7">
    <fb>44564</fb>
    <v>15</v>
  </rv>
  <rv s="7">
    <fb>331.79</fb>
    <v>14</v>
  </rv>
  <rv s="7">
    <fb>162.554</fb>
    <v>14</v>
  </rv>
  <rv s="7">
    <fb>137.00450000000001</fb>
    <v>14</v>
  </rv>
  <rv s="7">
    <fb>78.94</fb>
    <v>14</v>
  </rv>
  <rv s="7">
    <fb>541.05999999999995</fb>
    <v>14</v>
  </rv>
  <rv s="7">
    <fb>64.502700000000004</fb>
    <v>14</v>
  </rv>
  <rv s="7">
    <fb>4677.03</fb>
    <v>14</v>
  </rv>
  <rv s="7">
    <fb>44571</fb>
    <v>15</v>
  </rv>
  <rv s="7">
    <fb>331.9</fb>
    <v>14</v>
  </rv>
  <rv s="7">
    <fb>162.13800000000001</fb>
    <v>14</v>
  </rv>
  <rv s="7">
    <fb>139.78649999999999</fb>
    <v>14</v>
  </rv>
  <rv s="7">
    <fb>75.47</fb>
    <v>14</v>
  </rv>
  <rv s="7">
    <fb>525.69000000000005</fb>
    <v>14</v>
  </rv>
  <rv s="7">
    <fb>62.045999999999999</fb>
    <v>14</v>
  </rv>
  <rv s="7">
    <fb>4662.8500000000004</fb>
    <v>14</v>
  </rv>
  <rv s="7">
    <fb>44579</fb>
    <v>15</v>
  </rv>
  <rv s="7">
    <fb>303.17</fb>
    <v>14</v>
  </rv>
  <rv s="7">
    <fb>142.643</fb>
    <v>14</v>
  </rv>
  <rv s="7">
    <fb>130.09200000000001</fb>
    <v>14</v>
  </rv>
  <rv s="7">
    <fb>59.45</fb>
    <v>14</v>
  </rv>
  <rv s="7">
    <fb>397.5</fb>
    <v>14</v>
  </rv>
  <rv s="7">
    <fb>58.972700000000003</fb>
    <v>14</v>
  </rv>
  <rv s="7">
    <fb>4397.9399999999996</fb>
    <v>14</v>
  </rv>
  <rv s="7">
    <fb>44585</fb>
    <v>15</v>
  </rv>
  <rv s="7">
    <fb>301.70999999999998</fb>
    <v>14</v>
  </rv>
  <rv s="7">
    <fb>143.97800000000001</fb>
    <v>14</v>
  </rv>
  <rv s="7">
    <fb>133.2895</fb>
    <v>14</v>
  </rv>
  <rv s="7">
    <fb>63.6</fb>
    <v>14</v>
  </rv>
  <rv s="7">
    <fb>384.36</fb>
    <v>14</v>
  </rv>
  <rv s="7">
    <fb>58.2194</fb>
    <v>14</v>
  </rv>
  <rv s="7">
    <fb>4431.8500000000004</fb>
    <v>14</v>
  </rv>
  <rv s="7">
    <fb>44592</fb>
    <v>15</v>
  </rv>
  <rv s="7">
    <fb>237.09</fb>
    <v>14</v>
  </rv>
  <rv s="7">
    <fb>157.6395</fb>
    <v>14</v>
  </rv>
  <rv s="7">
    <fb>143.01599999999999</fb>
    <v>14</v>
  </rv>
  <rv s="7">
    <fb>73.040000000000006</fb>
    <v>14</v>
  </rv>
  <rv s="7">
    <fb>410.17</fb>
    <v>14</v>
  </rv>
  <rv s="7">
    <fb>59.539400000000001</fb>
    <v>14</v>
  </rv>
  <rv s="7">
    <fb>4500.53</fb>
    <v>14</v>
  </rv>
  <rv s="7">
    <fb>44599</fb>
    <v>15</v>
  </rv>
  <rv s="7">
    <fb>219.55</fb>
    <v>14</v>
  </rv>
  <rv s="7">
    <fb>153.29349999999999</fb>
    <v>14</v>
  </rv>
  <rv s="7">
    <fb>134.13</fb>
    <v>14</v>
  </rv>
  <rv s="7">
    <fb>76.3</fb>
    <v>14</v>
  </rv>
  <rv s="7">
    <fb>391.31</fb>
    <v>14</v>
  </rv>
  <rv s="7">
    <fb>57.456099999999999</fb>
    <v>14</v>
  </rv>
  <rv s="7">
    <fb>4418.6400000000003</fb>
    <v>14</v>
  </rv>
  <rv s="7">
    <fb>44606</fb>
    <v>15</v>
  </rv>
  <rv s="7">
    <fb>206.16</fb>
    <v>14</v>
  </rv>
  <rv s="7">
    <fb>130.4675</fb>
    <v>14</v>
  </rv>
  <rv s="7">
    <fb>78.05</fb>
    <v>14</v>
  </rv>
  <rv s="7">
    <fb>391.29</fb>
    <v>14</v>
  </rv>
  <rv s="7">
    <fb>57.179400000000001</fb>
    <v>14</v>
  </rv>
  <rv s="7">
    <fb>4348.87</fb>
    <v>14</v>
  </rv>
  <rv s="7">
    <fb>44614</fb>
    <v>15</v>
  </rv>
  <rv s="7">
    <fb>210.48</fb>
    <v>14</v>
  </rv>
  <rv s="7">
    <fb>153.7885</fb>
    <v>14</v>
  </rv>
  <rv s="7">
    <fb>134.51949999999999</fb>
    <v>14</v>
  </rv>
  <rv s="7">
    <fb>83.63</fb>
    <v>14</v>
  </rv>
  <rv s="7">
    <fb>390.8</fb>
    <v>14</v>
  </rv>
  <rv s="7">
    <fb>57.572800000000001</fb>
    <v>14</v>
  </rv>
  <rv s="7">
    <fb>4384.6499999999996</fb>
    <v>14</v>
  </rv>
  <rv s="7">
    <fb>44620</fb>
    <v>15</v>
  </rv>
  <rv s="7">
    <fb>200.06</fb>
    <v>14</v>
  </rv>
  <rv s="7">
    <fb>145.64099999999999</fb>
    <v>14</v>
  </rv>
  <rv s="7">
    <fb>132.12200000000001</fb>
    <v>14</v>
  </rv>
  <rv s="7">
    <fb>75.66</fb>
    <v>14</v>
  </rv>
  <rv s="7">
    <fb>361.73</fb>
    <v>14</v>
  </rv>
  <rv s="7">
    <fb>57.176099999999998</fb>
    <v>14</v>
  </rv>
  <rv s="7">
    <fb>4328.87</fb>
    <v>14</v>
  </rv>
  <rv s="7">
    <fb>44627</fb>
    <v>15</v>
  </rv>
  <rv s="7">
    <fb>187.61</fb>
    <v>14</v>
  </rv>
  <rv s="7">
    <fb>145.52449999999999</fb>
    <v>14</v>
  </rv>
  <rv s="7">
    <fb>130.47550000000001</fb>
    <v>14</v>
  </rv>
  <rv s="7">
    <fb>56.8</fb>
    <v>14</v>
  </rv>
  <rv s="7">
    <fb>340.32</fb>
    <v>14</v>
  </rv>
  <rv s="7">
    <fb>54.956099999999999</fb>
    <v>14</v>
  </rv>
  <rv s="7">
    <fb>4204.3100000000004</fb>
    <v>14</v>
  </rv>
  <rv s="7">
    <fb>44634</fb>
    <v>15</v>
  </rv>
  <rv s="7">
    <fb>216.49</fb>
    <v>14</v>
  </rv>
  <rv s="7">
    <fb>161.25049999999999</fb>
    <v>14</v>
  </rv>
  <rv s="7">
    <fb>136.8015</fb>
    <v>14</v>
  </rv>
  <rv s="7">
    <fb>68.81</fb>
    <v>14</v>
  </rv>
  <rv s="7">
    <fb>380.6</fb>
    <v>14</v>
  </rv>
  <rv s="7">
    <fb>59.742699999999999</fb>
    <v>14</v>
  </rv>
  <rv s="7">
    <fb>4463.12</fb>
    <v>14</v>
  </rv>
  <rv s="7">
    <fb>44641</fb>
    <v>15</v>
  </rv>
  <rv s="7">
    <fb>221.82</fb>
    <v>14</v>
  </rv>
  <rv s="7">
    <fb>164.77350000000001</fb>
    <v>14</v>
  </rv>
  <rv s="7">
    <fb>141.5215</fb>
    <v>14</v>
  </rv>
  <rv s="7">
    <fb>65.45</fb>
    <v>14</v>
  </rv>
  <rv s="7">
    <fb>373.85</fb>
    <v>14</v>
  </rv>
  <rv s="7">
    <fb>58.426099999999998</fb>
    <v>14</v>
  </rv>
  <rv s="7">
    <fb>4543.0600000000004</fb>
    <v>14</v>
  </rv>
  <rv s="7">
    <fb>44648</fb>
    <v>15</v>
  </rv>
  <rv s="7">
    <fb>224.85</fb>
    <v>14</v>
  </rv>
  <rv s="7">
    <fb>163.56</fb>
    <v>14</v>
  </rv>
  <rv s="7">
    <fb>140.69999999999999</fb>
    <v>14</v>
  </rv>
  <rv s="7">
    <fb>72.33</fb>
    <v>14</v>
  </rv>
  <rv s="7">
    <fb>373.47</fb>
    <v>14</v>
  </rv>
  <rv s="7">
    <fb>60.639400000000002</fb>
    <v>14</v>
  </rv>
  <rv s="7">
    <fb>4545.8599999999997</fb>
    <v>14</v>
  </rv>
  <rv s="7">
    <fb>44655</fb>
    <v>15</v>
  </rv>
  <rv s="7">
    <fb>222.33</fb>
    <v>14</v>
  </rv>
  <rv s="7">
    <fb>154.4605</fb>
    <v>14</v>
  </rv>
  <rv s="7">
    <fb>134.01050000000001</fb>
    <v>14</v>
  </rv>
  <rv s="7">
    <fb>67.790000000000006</fb>
    <v>14</v>
  </rv>
  <rv s="7">
    <fb>355.88</fb>
    <v>14</v>
  </rv>
  <rv s="7">
    <fb>61.139400000000002</fb>
    <v>14</v>
  </rv>
  <rv s="7">
    <fb>4488.28</fb>
    <v>14</v>
  </rv>
  <rv s="7">
    <fb>44662</fb>
    <v>15</v>
  </rv>
  <rv s="7">
    <fb>151.70650000000001</fb>
    <v>14</v>
  </rv>
  <rv s="7">
    <fb>127.253</fb>
    <v>14</v>
  </rv>
  <rv s="7">
    <fb>63.58</fb>
    <v>14</v>
  </rv>
  <rv s="7">
    <fb>4392.59</fb>
    <v>14</v>
  </rv>
  <rv s="7">
    <fb>44669</fb>
    <v>15</v>
  </rv>
  <rv s="7">
    <fb>184.11</fb>
    <v>14</v>
  </rv>
  <rv s="7">
    <fb>144.35</fb>
    <v>14</v>
  </rv>
  <rv s="7">
    <fb>119.614</fb>
    <v>14</v>
  </rv>
  <rv s="7">
    <fb>59.44</fb>
    <v>14</v>
  </rv>
  <rv s="7">
    <fb>215.52</fb>
    <v>14</v>
  </rv>
  <rv s="7">
    <fb>55.616100000000003</fb>
    <v>14</v>
  </rv>
  <rv s="7">
    <fb>4271.78</fb>
    <v>14</v>
  </rv>
  <rv s="7">
    <fb>44676</fb>
    <v>15</v>
  </rv>
  <rv s="7">
    <fb>200.47</fb>
    <v>14</v>
  </rv>
  <rv s="7">
    <fb>124.28149999999999</fb>
    <v>14</v>
  </rv>
  <rv s="7">
    <fb>114.9665</fb>
    <v>14</v>
  </rv>
  <rv s="7">
    <fb>58.92</fb>
    <v>14</v>
  </rv>
  <rv s="7">
    <fb>190.36</fb>
    <v>14</v>
  </rv>
  <rv s="7">
    <fb>52.456099999999999</fb>
    <v>14</v>
  </rv>
  <rv s="7">
    <fb>4131.93</fb>
    <v>14</v>
  </rv>
  <rv s="7">
    <fb>44683</fb>
    <v>15</v>
  </rv>
  <rv s="7">
    <fb>203.77</fb>
    <v>14</v>
  </rv>
  <rv s="7">
    <fb>114.77249999999999</fb>
    <v>14</v>
  </rv>
  <rv s="7">
    <fb>115.66</fb>
    <v>14</v>
  </rv>
  <rv s="7">
    <fb>48.92</fb>
    <v>14</v>
  </rv>
  <rv s="7">
    <fb>180.97</fb>
    <v>14</v>
  </rv>
  <rv s="7">
    <fb>50.762799999999999</fb>
    <v>14</v>
  </rv>
  <rv s="7">
    <fb>4123.34</fb>
    <v>14</v>
  </rv>
  <rv s="7">
    <fb>44690</fb>
    <v>15</v>
  </rv>
  <rv s="7">
    <fb>198.62</fb>
    <v>14</v>
  </rv>
  <rv s="7">
    <fb>113.05500000000001</fb>
    <v>14</v>
  </rv>
  <rv s="7">
    <fb>116.5155</fb>
    <v>14</v>
  </rv>
  <rv s="7">
    <fb>51.92</fb>
    <v>14</v>
  </rv>
  <rv s="7">
    <fb>187.64</fb>
    <v>14</v>
  </rv>
  <rv s="7">
    <fb>49.162799999999997</fb>
    <v>14</v>
  </rv>
  <rv s="7">
    <fb>4023.89</fb>
    <v>14</v>
  </rv>
  <rv s="7">
    <fb>44697</fb>
    <v>15</v>
  </rv>
  <rv s="7">
    <fb>193.54</fb>
    <v>14</v>
  </rv>
  <rv s="7">
    <fb>107.59099999999999</fb>
    <v>14</v>
  </rv>
  <rv s="7">
    <fb>109.313</fb>
    <v>14</v>
  </rv>
  <rv s="7">
    <fb>52.64</fb>
    <v>14</v>
  </rv>
  <rv s="7">
    <fb>186.35</fb>
    <v>14</v>
  </rv>
  <rv s="7">
    <fb>48.709499999999998</fb>
    <v>14</v>
  </rv>
  <rv s="7">
    <fb>3901.36</fb>
    <v>14</v>
  </rv>
  <rv s="7">
    <fb>44704</fb>
    <v>15</v>
  </rv>
  <rv s="7">
    <fb>195.13</fb>
    <v>14</v>
  </rv>
  <rv s="7">
    <fb>115.1465</fb>
    <v>14</v>
  </rv>
  <rv s="7">
    <fb>112.79900000000001</fb>
    <v>14</v>
  </rv>
  <rv s="7">
    <fb>52.49</fb>
    <v>14</v>
  </rv>
  <rv s="7">
    <fb>195.19</fb>
    <v>14</v>
  </rv>
  <rv s="7">
    <fb>51.8795</fb>
    <v>14</v>
  </rv>
  <rv s="7">
    <fb>4158.24</fb>
    <v>14</v>
  </rv>
  <rv s="7">
    <fb>44712</fb>
    <v>15</v>
  </rv>
  <rv s="7">
    <fb>190.78</fb>
    <v>14</v>
  </rv>
  <rv s="7">
    <fb>122.35</fb>
    <v>14</v>
  </rv>
  <rv s="7">
    <fb>114.56399999999999</fb>
    <v>14</v>
  </rv>
  <rv s="7">
    <fb>51.15</fb>
    <v>14</v>
  </rv>
  <rv s="7">
    <fb>198.98</fb>
    <v>14</v>
  </rv>
  <rv s="7">
    <fb>51.356200000000001</fb>
    <v>14</v>
  </rv>
  <rv s="7">
    <fb>4108.54</fb>
    <v>14</v>
  </rv>
  <rv s="7">
    <fb>44718</fb>
    <v>15</v>
  </rv>
  <rv s="7">
    <fb>175.57</fb>
    <v>14</v>
  </rv>
  <rv s="7">
    <fb>109.65</fb>
    <v>14</v>
  </rv>
  <rv s="7">
    <fb>111.42749999999999</fb>
    <v>14</v>
  </rv>
  <rv s="7">
    <fb>49.27</fb>
    <v>14</v>
  </rv>
  <rv s="7">
    <fb>182.94</fb>
    <v>14</v>
  </rv>
  <rv s="7">
    <fb>50.062800000000003</fb>
    <v>14</v>
  </rv>
  <rv s="7">
    <fb>3900.86</fb>
    <v>14</v>
  </rv>
  <rv s="7">
    <fb>44725</fb>
    <v>15</v>
  </rv>
  <rv s="7">
    <fb>163.74</fb>
    <v>14</v>
  </rv>
  <rv s="7">
    <fb>106.22</fb>
    <v>14</v>
  </rv>
  <rv s="7">
    <fb>107.8655</fb>
    <v>14</v>
  </rv>
  <rv s="7">
    <fb>46.3</fb>
    <v>14</v>
  </rv>
  <rv s="7">
    <fb>175.51</fb>
    <v>14</v>
  </rv>
  <rv s="7">
    <fb>49.616199999999999</fb>
    <v>14</v>
  </rv>
  <rv s="7">
    <fb>3674.84</fb>
    <v>14</v>
  </rv>
  <rv s="7">
    <fb>44733</fb>
    <v>15</v>
  </rv>
  <rv s="7">
    <fb>170.16</fb>
    <v>14</v>
  </rv>
  <rv s="7">
    <fb>116.46</fb>
    <v>14</v>
  </rv>
  <rv s="7">
    <fb>118.538</fb>
    <v>14</v>
  </rv>
  <rv s="7">
    <fb>49.49</fb>
    <v>14</v>
  </rv>
  <rv s="7">
    <fb>190.85</fb>
    <v>14</v>
  </rv>
  <rv s="7">
    <fb>53.092799999999997</fb>
    <v>14</v>
  </rv>
  <rv s="7">
    <fb>3911.74</fb>
    <v>14</v>
  </rv>
  <rv s="7">
    <fb>44739</fb>
    <v>15</v>
  </rv>
  <rv s="7">
    <fb>160.03</fb>
    <v>14</v>
  </rv>
  <rv s="7">
    <fb>109.56</fb>
    <v>14</v>
  </rv>
  <rv s="7">
    <fb>109.081</fb>
    <v>14</v>
  </rv>
  <rv s="7">
    <fb>41.66</fb>
    <v>14</v>
  </rv>
  <rv s="7">
    <fb>179.95</fb>
    <v>14</v>
  </rv>
  <rv s="7">
    <fb>51.8628</fb>
    <v>14</v>
  </rv>
  <rv s="7">
    <fb>3825.33</fb>
    <v>14</v>
  </rv>
  <rv s="7">
    <fb>44747</fb>
    <v>15</v>
  </rv>
  <rv s="7">
    <fb>170.88</fb>
    <v>14</v>
  </rv>
  <rv s="7">
    <fb>115.54</fb>
    <v>14</v>
  </rv>
  <rv s="7">
    <fb>120.16849999999999</fb>
    <v>14</v>
  </rv>
  <rv s="7">
    <fb>45.63</fb>
    <v>14</v>
  </rv>
  <rv s="7">
    <fb>186.97499999999999</fb>
    <v>14</v>
  </rv>
  <rv s="7">
    <fb>52.186100000000003</fb>
    <v>14</v>
  </rv>
  <rv s="7">
    <fb>3899.38</fb>
    <v>14</v>
  </rv>
  <rv s="7">
    <fb>44753</fb>
    <v>15</v>
  </rv>
  <rv s="7">
    <fb>164.7</fb>
    <v>14</v>
  </rv>
  <rv s="7">
    <fb>113.55</fb>
    <v>14</v>
  </rv>
  <rv s="7">
    <fb>112.767</fb>
    <v>14</v>
  </rv>
  <rv s="7">
    <fb>43.1</fb>
    <v>14</v>
  </rv>
  <rv s="7">
    <fb>189.11</fb>
    <v>14</v>
  </rv>
  <rv s="7">
    <fb>52.356099999999998</fb>
    <v>14</v>
  </rv>
  <rv s="7">
    <fb>3863.16</fb>
    <v>14</v>
  </rv>
  <rv s="7">
    <fb>44760</fb>
    <v>15</v>
  </rv>
  <rv s="7">
    <fb>169.27</fb>
    <v>14</v>
  </rv>
  <rv s="7">
    <fb>122.42</fb>
    <v>14</v>
  </rv>
  <rv s="7">
    <fb>108.36</fb>
    <v>14</v>
  </rv>
  <rv s="7">
    <fb>47.27</fb>
    <v>14</v>
  </rv>
  <rv s="7">
    <fb>220.44</fb>
    <v>14</v>
  </rv>
  <rv s="7">
    <fb>57.532800000000002</fb>
    <v>14</v>
  </rv>
  <rv s="7">
    <fb>3961.63</fb>
    <v>14</v>
  </rv>
  <rv s="7">
    <fb>44767</fb>
    <v>15</v>
  </rv>
  <rv s="7">
    <fb>159.1</fb>
    <v>14</v>
  </rv>
  <rv s="7">
    <fb>134.94999999999999</fb>
    <v>14</v>
  </rv>
  <rv s="7">
    <fb>116.64</fb>
    <v>14</v>
  </rv>
  <rv s="7">
    <fb>45</fb>
    <v>14</v>
  </rv>
  <rv s="7">
    <fb>224.9</fb>
    <v>14</v>
  </rv>
  <rv s="7">
    <fb>60.299399999999999</fb>
    <v>14</v>
  </rv>
  <rv s="7">
    <fb>4130.29</fb>
    <v>14</v>
  </rv>
  <rv s="7">
    <fb>44774</fb>
    <v>15</v>
  </rv>
  <rv s="7">
    <fb>167.11</fb>
    <v>14</v>
  </rv>
  <rv s="7">
    <fb>140.80000000000001</fb>
    <v>14</v>
  </rv>
  <rv s="7">
    <fb>118.22</fb>
    <v>14</v>
  </rv>
  <rv s="7">
    <fb>52.78</fb>
    <v>14</v>
  </rv>
  <rv s="7">
    <fb>226.78</fb>
    <v>14</v>
  </rv>
  <rv s="7">
    <fb>60.689399999999999</fb>
    <v>14</v>
  </rv>
  <rv s="7">
    <fb>4145.1899999999996</fb>
    <v>14</v>
  </rv>
  <rv s="7">
    <fb>44781</fb>
    <v>15</v>
  </rv>
  <rv s="7">
    <fb>180.5</fb>
    <v>14</v>
  </rv>
  <rv s="7">
    <fb>143.55000000000001</fb>
    <v>14</v>
  </rv>
  <rv s="7">
    <fb>122.65</fb>
    <v>14</v>
  </rv>
  <rv s="7">
    <fb>74.489999999999995</fb>
    <v>14</v>
  </rv>
  <rv s="7">
    <fb>249.3</fb>
    <v>14</v>
  </rv>
  <rv s="7">
    <fb>63.472700000000003</fb>
    <v>14</v>
  </rv>
  <rv s="7">
    <fb>4280.1499999999996</fb>
    <v>14</v>
  </rv>
  <rv s="7">
    <fb>44788</fb>
    <v>15</v>
  </rv>
  <rv s="7">
    <fb>167.96</fb>
    <v>14</v>
  </rv>
  <rv s="7">
    <fb>138.22999999999999</fb>
    <v>14</v>
  </rv>
  <rv s="7">
    <fb>118.12</fb>
    <v>14</v>
  </rv>
  <rv s="7">
    <fb>65.69</fb>
    <v>14</v>
  </rv>
  <rv s="7">
    <fb>241.16</fb>
    <v>14</v>
  </rv>
  <rv s="7">
    <fb>62.369399999999999</fb>
    <v>14</v>
  </rv>
  <rv s="7">
    <fb>4228.4799999999996</fb>
    <v>14</v>
  </rv>
  <rv s="7">
    <fb>44795</fb>
    <v>15</v>
  </rv>
  <rv s="7">
    <fb>161.78</fb>
    <v>14</v>
  </rv>
  <rv s="7">
    <fb>130.75</fb>
    <v>14</v>
  </rv>
  <rv s="7">
    <fb>111.3</fb>
    <v>14</v>
  </rv>
  <rv s="7">
    <fb>63.41</fb>
    <v>14</v>
  </rv>
  <rv s="7">
    <fb>223.28</fb>
    <v>14</v>
  </rv>
  <rv s="7">
    <fb>4057.66</fb>
    <v>14</v>
  </rv>
  <rv s="7">
    <fb>44802</fb>
    <v>15</v>
  </rv>
  <rv s="7">
    <fb>160.32</fb>
    <v>14</v>
  </rv>
  <rv s="7">
    <fb>127.51</fb>
    <v>14</v>
  </rv>
  <rv s="7">
    <fb>108.68</fb>
    <v>14</v>
  </rv>
  <rv s="7">
    <fb>61.27</fb>
    <v>14</v>
  </rv>
  <rv s="7">
    <fb>226.11</fb>
    <v>14</v>
  </rv>
  <rv s="7">
    <fb>59.68</fb>
    <v>14</v>
  </rv>
  <rv s="7">
    <fb>3924.26</fb>
    <v>14</v>
  </rv>
  <rv s="7">
    <fb>44810</fb>
    <v>15</v>
  </rv>
  <rv s="7">
    <fb>169.15</fb>
    <v>14</v>
  </rv>
  <rv s="7">
    <fb>133.27000000000001</fb>
    <v>14</v>
  </rv>
  <rv s="7">
    <fb>111.78</fb>
    <v>14</v>
  </rv>
  <rv s="7">
    <fb>66.88</fb>
    <v>14</v>
  </rv>
  <rv s="7">
    <fb>233.57</fb>
    <v>14</v>
  </rv>
  <rv s="7">
    <fb>63.26</fb>
    <v>14</v>
  </rv>
  <rv s="7">
    <fb>4067.36</fb>
    <v>14</v>
  </rv>
  <rv s="7">
    <fb>44816</fb>
    <v>15</v>
  </rv>
  <rv s="7">
    <fb>146.29</fb>
    <v>14</v>
  </rv>
  <rv s="7">
    <fb>123.53</fb>
    <v>14</v>
  </rv>
  <rv s="7">
    <fb>103.63</fb>
    <v>14</v>
  </rv>
  <rv s="7">
    <fb>61.89</fb>
    <v>14</v>
  </rv>
  <rv s="7">
    <fb>240.13</fb>
    <v>14</v>
  </rv>
  <rv s="7">
    <fb>61.01</fb>
    <v>14</v>
  </rv>
  <rv s="7">
    <fb>3873.33</fb>
    <v>14</v>
  </rv>
  <rv s="7">
    <fb>44823</fb>
    <v>15</v>
  </rv>
  <rv s="7">
    <fb>140.41</fb>
    <v>14</v>
  </rv>
  <rv s="7">
    <fb>113.78</fb>
    <v>14</v>
  </rv>
  <rv s="7">
    <fb>99.17</fb>
    <v>14</v>
  </rv>
  <rv s="7">
    <fb>57.7</fb>
    <v>14</v>
  </rv>
  <rv s="7">
    <fb>226.41</fb>
    <v>14</v>
  </rv>
  <rv s="7">
    <fb>56.93</fb>
    <v>14</v>
  </rv>
  <rv s="7">
    <fb>3693.23</fb>
    <v>14</v>
  </rv>
  <rv s="7">
    <fb>44830</fb>
    <v>15</v>
  </rv>
  <rv s="7">
    <fb>135.68</fb>
    <v>14</v>
  </rv>
  <rv s="7">
    <fb>113</fb>
    <v>14</v>
  </rv>
  <rv s="7">
    <fb>96.15</fb>
    <v>14</v>
  </rv>
  <rv s="7">
    <fb>59.75</fb>
    <v>14</v>
  </rv>
  <rv s="7">
    <fb>235.44</fb>
    <v>14</v>
  </rv>
  <rv s="7">
    <fb>56.68</fb>
    <v>14</v>
  </rv>
  <rv s="7">
    <fb>3585.62</fb>
    <v>14</v>
  </rv>
  <rv s="7">
    <fb>44837</fb>
    <v>15</v>
  </rv>
  <rv s="7">
    <fb>133.44999999999999</fb>
    <v>14</v>
  </rv>
  <rv s="7">
    <fb>114.56</fb>
    <v>14</v>
  </rv>
  <rv s="7">
    <fb>99.57</fb>
    <v>14</v>
  </rv>
  <rv s="7">
    <fb>56.79</fb>
    <v>14</v>
  </rv>
  <rv s="7">
    <fb>224.75</fb>
    <v>14</v>
  </rv>
  <rv s="7">
    <fb>57.66</fb>
    <v>14</v>
  </rv>
  <rv s="7">
    <fb>3790.93</fb>
    <v>14</v>
  </rv>
  <rv s="7">
    <fb>44844</fb>
    <v>15</v>
  </rv>
  <rv s="7">
    <fb>126.76</fb>
    <v>14</v>
  </rv>
  <rv s="7">
    <fb>106.9</fb>
    <v>14</v>
  </rv>
  <rv s="7">
    <fb>97.18</fb>
    <v>14</v>
  </rv>
  <rv s="7">
    <fb>50.6</fb>
    <v>14</v>
  </rv>
  <rv s="7">
    <fb>230</fb>
    <v>14</v>
  </rv>
  <rv s="7">
    <fb>54.75</fb>
    <v>14</v>
  </rv>
  <rv s="7">
    <fb>3583.07</fb>
    <v>14</v>
  </rv>
  <rv s="7">
    <fb>44851</fb>
    <v>15</v>
  </rv>
  <rv s="7">
    <fb>130.01</fb>
    <v>14</v>
  </rv>
  <rv s="7">
    <fb>119.32</fb>
    <v>14</v>
  </rv>
  <rv s="7">
    <fb>101.48</fb>
    <v>14</v>
  </rv>
  <rv s="7">
    <fb>289.57</fb>
    <v>14</v>
  </rv>
  <rv s="7">
    <fb>57.74</fb>
    <v>14</v>
  </rv>
  <rv s="7">
    <fb>3752.75</fb>
    <v>14</v>
  </rv>
  <rv s="7">
    <fb>44858</fb>
    <v>15</v>
  </rv>
  <rv s="7">
    <fb>99.2</fb>
    <v>14</v>
  </rv>
  <rv s="7">
    <fb>103.41</fb>
    <v>14</v>
  </rv>
  <rv s="7">
    <fb>96.58</fb>
    <v>14</v>
  </rv>
  <rv s="7">
    <fb>53.71</fb>
    <v>14</v>
  </rv>
  <rv s="7">
    <fb>295.72000000000003</fb>
    <v>14</v>
  </rv>
  <rv s="7">
    <fb>62.28</fb>
    <v>14</v>
  </rv>
  <rv s="7">
    <fb>3901.06</fb>
    <v>14</v>
  </rv>
  <rv s="7">
    <fb>44865</fb>
    <v>15</v>
  </rv>
  <rv s="7">
    <fb>90.79</fb>
    <v>14</v>
  </rv>
  <rv s="7">
    <fb>90.98</fb>
    <v>14</v>
  </rv>
  <rv s="7">
    <fb>86.7</fb>
    <v>14</v>
  </rv>
  <rv s="7">
    <fb>46.25</fb>
    <v>14</v>
  </rv>
  <rv s="7">
    <fb>260.79000000000002</fb>
    <v>14</v>
  </rv>
  <rv s="7">
    <fb>61.9</fb>
    <v>14</v>
  </rv>
  <rv s="7">
    <fb>3770.55</fb>
    <v>14</v>
  </rv>
  <rv s="7">
    <fb>44872</fb>
    <v>15</v>
  </rv>
  <rv s="7">
    <fb>113.02</fb>
    <v>14</v>
  </rv>
  <rv s="7">
    <fb>100.79</fb>
    <v>14</v>
  </rv>
  <rv s="7">
    <fb>96.73</fb>
    <v>14</v>
  </rv>
  <rv s="7">
    <fb>48.77</fb>
    <v>14</v>
  </rv>
  <rv s="7">
    <fb>290.13</fb>
    <v>14</v>
  </rv>
  <rv s="7">
    <fb>66.400000000000006</fb>
    <v>14</v>
  </rv>
  <rv s="7">
    <fb>3992.93</fb>
    <v>14</v>
  </rv>
  <rv s="7">
    <fb>44879</fb>
    <v>15</v>
  </rv>
  <rv s="7">
    <fb>112.05</fb>
    <v>14</v>
  </rv>
  <rv s="7">
    <fb>94.14</fb>
    <v>14</v>
  </rv>
  <rv s="7">
    <fb>97.8</fb>
    <v>14</v>
  </rv>
  <rv s="7">
    <fb>49.77</fb>
    <v>14</v>
  </rv>
  <rv s="7">
    <fb>287.98</fb>
    <v>14</v>
  </rv>
  <rv s="7">
    <fb>65.52</fb>
    <v>14</v>
  </rv>
  <rv s="7">
    <fb>3965.34</fb>
    <v>14</v>
  </rv>
  <rv s="7">
    <fb>44886</fb>
    <v>15</v>
  </rv>
  <rv s="7">
    <fb>111.41</fb>
    <v>14</v>
  </rv>
  <rv s="7">
    <fb>93.41</fb>
    <v>14</v>
  </rv>
  <rv s="7">
    <fb>97.6</fb>
    <v>14</v>
  </rv>
  <rv s="7">
    <fb>49.39</fb>
    <v>14</v>
  </rv>
  <rv s="7">
    <fb>285.54000000000002</fb>
    <v>14</v>
  </rv>
  <rv s="7">
    <fb>67.150000000000006</fb>
    <v>14</v>
  </rv>
  <rv s="7">
    <fb>4026.12</fb>
    <v>14</v>
  </rv>
  <rv s="7">
    <fb>44893</fb>
    <v>15</v>
  </rv>
  <rv s="7">
    <fb>123.49</fb>
    <v>14</v>
  </rv>
  <rv s="7">
    <fb>94.13</fb>
    <v>14</v>
  </rv>
  <rv s="7">
    <fb>100.83</fb>
    <v>14</v>
  </rv>
  <rv s="7">
    <fb>54.49</fb>
    <v>14</v>
  </rv>
  <rv s="7">
    <fb>320.41000000000003</fb>
    <v>14</v>
  </rv>
  <rv s="7">
    <fb>68.98</fb>
    <v>14</v>
  </rv>
  <rv s="7">
    <fb>4071.7</fb>
    <v>14</v>
  </rv>
  <rv s="7">
    <fb>44900</fb>
    <v>15</v>
  </rv>
  <rv s="7">
    <fb>115.9</fb>
    <v>14</v>
  </rv>
  <rv s="7">
    <fb>89.09</fb>
    <v>14</v>
  </rv>
  <rv s="7">
    <fb>93.07</fb>
    <v>14</v>
  </rv>
  <rv s="7">
    <fb>47.81</fb>
    <v>14</v>
  </rv>
  <rv s="7">
    <fb>320.01</fb>
    <v>14</v>
  </rv>
  <rv s="7">
    <fb>63.2</fb>
    <v>14</v>
  </rv>
  <rv s="7">
    <fb>3934.38</fb>
    <v>14</v>
  </rv>
  <rv s="7">
    <fb>44907</fb>
    <v>15</v>
  </rv>
  <rv s="7">
    <fb>119.43</fb>
    <v>14</v>
  </rv>
  <rv s="7">
    <fb>87.86</fb>
    <v>14</v>
  </rv>
  <rv s="7">
    <fb>90.86</fb>
    <v>14</v>
  </rv>
  <rv s="7">
    <fb>46.15</fb>
    <v>14</v>
  </rv>
  <rv s="7">
    <fb>290.70999999999998</fb>
    <v>14</v>
  </rv>
  <rv s="7">
    <fb>60.62</fb>
    <v>14</v>
  </rv>
  <rv s="7">
    <fb>3852.36</fb>
    <v>14</v>
  </rv>
  <rv s="7">
    <fb>44914</fb>
    <v>15</v>
  </rv>
  <rv s="7">
    <fb>118.04</fb>
    <v>14</v>
  </rv>
  <rv s="7">
    <fb>85.25</fb>
    <v>14</v>
  </rv>
  <rv s="7">
    <fb>89.81</fb>
    <v>14</v>
  </rv>
  <rv s="7">
    <fb>44.88</fb>
    <v>14</v>
  </rv>
  <rv s="7">
    <fb>294.96499999999997</fb>
    <v>14</v>
  </rv>
  <rv s="7">
    <fb>61.28</fb>
    <v>14</v>
  </rv>
  <rv s="7">
    <fb>3844.82</fb>
    <v>14</v>
  </rv>
  <rv s="7">
    <fb>44922</fb>
    <v>15</v>
  </rv>
  <rv s="7">
    <fb>120.34</fb>
    <v>14</v>
  </rv>
  <rv s="7">
    <fb>84</fb>
    <v>14</v>
  </rv>
  <rv s="7">
    <fb>88.73</fb>
    <v>14</v>
  </rv>
  <rv s="7">
    <fb>44.83</fb>
    <v>14</v>
  </rv>
  <rv s="7">
    <fb>294.88</fb>
    <v>14</v>
  </rv>
  <rv s="7">
    <fb>61.35</fb>
    <v>14</v>
  </rv>
  <rv s="7">
    <fb>3839.5</fb>
    <v>14</v>
  </rv>
  <rv s="7">
    <fb>44929</fb>
    <v>15</v>
  </rv>
  <rv s="7">
    <fb>130.02000000000001</fb>
    <v>14</v>
  </rv>
  <rv s="7">
    <fb>86.08</fb>
    <v>14</v>
  </rv>
  <rv s="7">
    <fb>88.16</fb>
    <v>14</v>
  </rv>
  <rv s="7">
    <fb>42.29</fb>
    <v>14</v>
  </rv>
  <rv s="7">
    <fb>315.55</fb>
    <v>14</v>
  </rv>
  <rv s="7">
    <fb>61.65</fb>
    <v>14</v>
  </rv>
  <rv s="7">
    <fb>3895.08</fb>
    <v>14</v>
  </rv>
  <rv s="7">
    <fb>44935</fb>
    <v>15</v>
  </rv>
  <rv s="7">
    <fb>136.97999999999999</fb>
    <v>14</v>
  </rv>
  <rv s="7">
    <fb>98.12</fb>
    <v>14</v>
  </rv>
  <rv s="7">
    <fb>92.8</fb>
    <v>14</v>
  </rv>
  <rv s="7">
    <fb>47.03</fb>
    <v>14</v>
  </rv>
  <rv s="7">
    <fb>332.82</fb>
    <v>14</v>
  </rv>
  <rv s="7">
    <fb>63.35</fb>
    <v>14</v>
  </rv>
  <rv s="7">
    <fb>3999.09</fb>
    <v>14</v>
  </rv>
  <rv s="7">
    <fb>44943</fb>
    <v>15</v>
  </rv>
  <rv s="7">
    <fb>139.37</fb>
    <v>14</v>
  </rv>
  <rv s="7">
    <fb>97.25</fb>
    <v>14</v>
  </rv>
  <rv s="7">
    <fb>99.28</fb>
    <v>14</v>
  </rv>
  <rv s="7">
    <fb>45.57</fb>
    <v>14</v>
  </rv>
  <rv s="7">
    <fb>342.5</fb>
    <v>14</v>
  </rv>
  <rv s="7">
    <fb>62.06</fb>
    <v>14</v>
  </rv>
  <rv s="7">
    <fb>3972.61</fb>
    <v>14</v>
  </rv>
  <rv s="7">
    <fb>44949</fb>
    <v>15</v>
  </rv>
  <rv s="7">
    <fb>151.74</fb>
    <v>14</v>
  </rv>
  <rv s="7">
    <fb>102.24</fb>
    <v>14</v>
  </rv>
  <rv s="7">
    <fb>100.71</fb>
    <v>14</v>
  </rv>
  <rv s="7">
    <fb>51.95</fb>
    <v>14</v>
  </rv>
  <rv s="7">
    <fb>360.77</fb>
    <v>14</v>
  </rv>
  <rv s="7">
    <fb>4070.56</fb>
    <v>14</v>
  </rv>
  <rv s="7">
    <fb>44956</fb>
    <v>15</v>
  </rv>
  <rv s="7">
    <fb>186.53</fb>
    <v>14</v>
  </rv>
  <rv s="7">
    <fb>103.39</fb>
    <v>14</v>
  </rv>
  <rv s="7">
    <fb>105.22</fb>
    <v>14</v>
  </rv>
  <rv s="7">
    <fb>53.1</fb>
    <v>14</v>
  </rv>
  <rv s="7">
    <fb>365.9</fb>
    <v>14</v>
  </rv>
  <rv s="7">
    <fb>60.55</fb>
    <v>14</v>
  </rv>
  <rv s="7">
    <fb>4136.4799999999996</fb>
    <v>14</v>
  </rv>
  <rv s="7">
    <fb>44963</fb>
    <v>15</v>
  </rv>
  <rv s="7">
    <fb>174.15</fb>
    <v>14</v>
  </rv>
  <rv s="7">
    <fb>97.61</fb>
    <v>14</v>
  </rv>
  <rv s="7">
    <fb>94.86</fb>
    <v>14</v>
  </rv>
  <rv s="7">
    <fb>48.69</fb>
    <v>14</v>
  </rv>
  <rv s="7">
    <fb>347.36</fb>
    <v>14</v>
  </rv>
  <rv s="7">
    <fb>59.62</fb>
    <v>14</v>
  </rv>
  <rv s="7">
    <fb>4090.46</fb>
    <v>14</v>
  </rv>
  <rv s="7">
    <fb>44970</fb>
    <v>15</v>
  </rv>
  <rv s="7">
    <fb>172.88</fb>
    <v>14</v>
  </rv>
  <rv s="7">
    <fb>97.2</fb>
    <v>14</v>
  </rv>
  <rv s="7">
    <fb>94.59</fb>
    <v>14</v>
  </rv>
  <rv s="7">
    <fb>60.3</fb>
    <v>14</v>
  </rv>
  <rv s="7">
    <fb>347.96</fb>
    <v>14</v>
  </rv>
  <rv s="7">
    <fb>58.56</fb>
    <v>14</v>
  </rv>
  <rv s="7">
    <fb>4079.09</fb>
    <v>14</v>
  </rv>
  <rv s="7">
    <fb>44978</fb>
    <v>15</v>
  </rv>
  <rv s="7">
    <fb>170.39</fb>
    <v>14</v>
  </rv>
  <rv s="7">
    <fb>93.5</fb>
    <v>14</v>
  </rv>
  <rv s="7">
    <fb>89.35</fb>
    <v>14</v>
  </rv>
  <rv s="7">
    <fb>54.97</fb>
    <v>14</v>
  </rv>
  <rv s="7">
    <fb>317.14999999999998</fb>
    <v>14</v>
  </rv>
  <rv s="7">
    <fb>57.05</fb>
    <v>14</v>
  </rv>
  <rv s="7">
    <fb>3970.04</fb>
    <v>14</v>
  </rv>
  <rv s="7">
    <fb>44984</fb>
    <v>15</v>
  </rv>
  <rv s="7">
    <fb>185.25</fb>
    <v>14</v>
  </rv>
  <rv s="7">
    <fb>94.9</fb>
    <v>14</v>
  </rv>
  <rv s="7">
    <fb>94.02</fb>
    <v>14</v>
  </rv>
  <rv s="7">
    <fb>57.29</fb>
    <v>14</v>
  </rv>
  <rv s="7">
    <fb>315.18</fb>
    <v>14</v>
  </rv>
  <rv s="7">
    <fb>56.22</fb>
    <v>14</v>
  </rv>
  <rv s="7">
    <fb>4045.64</fb>
    <v>14</v>
  </rv>
  <rv s="7">
    <fb>44991</fb>
    <v>15</v>
  </rv>
  <rv s="7">
    <fb>179.51</fb>
    <v>14</v>
  </rv>
  <rv s="7">
    <fb>90.73</fb>
    <v>14</v>
  </rv>
  <rv s="7">
    <fb>91.01</fb>
    <v>14</v>
  </rv>
  <rv s="7">
    <fb>53.35</fb>
    <v>14</v>
  </rv>
  <rv s="7">
    <fb>292.76</fb>
    <v>14</v>
  </rv>
  <rv s="7">
    <fb>52.6</fb>
    <v>14</v>
  </rv>
  <rv s="7">
    <fb>3861.59</fb>
    <v>14</v>
  </rv>
  <rv s="7">
    <fb>44998</fb>
    <v>15</v>
  </rv>
  <rv s="7">
    <fb>195.61</fb>
    <v>14</v>
  </rv>
  <rv s="7">
    <fb>98.95</fb>
    <v>14</v>
  </rv>
  <rv s="7">
    <fb>102.46</fb>
    <v>14</v>
  </rv>
  <rv s="7">
    <fb>58.51</fb>
    <v>14</v>
  </rv>
  <rv s="7">
    <fb>303.5</fb>
    <v>14</v>
  </rv>
  <rv s="7">
    <fb>52.75</fb>
    <v>14</v>
  </rv>
  <rv s="7">
    <fb>3916.64</fb>
    <v>14</v>
  </rv>
  <rv s="7">
    <fb>45005</fb>
    <v>15</v>
  </rv>
  <rv s="7">
    <fb>206.01</fb>
    <v>14</v>
  </rv>
  <rv s="7">
    <fb>98.13</fb>
    <v>14</v>
  </rv>
  <rv s="7">
    <fb>106.06</fb>
    <v>14</v>
  </rv>
  <rv s="7">
    <fb>60.45</fb>
    <v>14</v>
  </rv>
  <rv s="7">
    <fb>328.39</fb>
    <v>14</v>
  </rv>
  <rv s="7">
    <fb>53.07</fb>
    <v>14</v>
  </rv>
  <rv s="7">
    <fb>3970.99</fb>
    <v>14</v>
  </rv>
  <rv s="7">
    <fb>45012</fb>
    <v>15</v>
  </rv>
  <rv s="7">
    <fb>211.94</fb>
    <v>14</v>
  </rv>
  <rv s="7">
    <fb>103.29</fb>
    <v>14</v>
  </rv>
  <rv s="7">
    <fb>104</fb>
    <v>14</v>
  </rv>
  <rv s="7">
    <fb>60.91</fb>
    <v>14</v>
  </rv>
  <rv s="7">
    <fb>345.48</fb>
    <v>14</v>
  </rv>
  <rv s="7">
    <fb>54.67</fb>
    <v>14</v>
  </rv>
  <rv s="7">
    <fb>4109.3100000000004</fb>
    <v>14</v>
  </rv>
  <rv s="7">
    <fb>45019</fb>
    <v>15</v>
  </rv>
  <rv s="7">
    <fb>216.1</fb>
    <v>14</v>
  </rv>
  <rv s="7">
    <fb>102.06</fb>
    <v>14</v>
  </rv>
  <rv s="7">
    <fb>108.9</fb>
    <v>14</v>
  </rv>
  <rv s="7">
    <fb>60.85</fb>
    <v>14</v>
  </rv>
  <rv s="7">
    <fb>339.33</fb>
    <v>14</v>
  </rv>
  <rv s="7">
    <fb>54.9</fb>
    <v>14</v>
  </rv>
  <rv s="7">
    <fb>4105.0200000000004</fb>
    <v>14</v>
  </rv>
  <rv s="7">
    <fb>45026</fb>
    <v>15</v>
  </rv>
  <rv s="7">
    <fb>221.49</fb>
    <v>14</v>
  </rv>
  <rv s="7">
    <fb>102.51</fb>
    <v>14</v>
  </rv>
  <rv s="7">
    <fb>109.46</fb>
    <v>14</v>
  </rv>
  <rv s="7">
    <fb>60.69</fb>
    <v>14</v>
  </rv>
  <rv s="7">
    <fb>338.63</fb>
    <v>14</v>
  </rv>
  <rv s="7">
    <fb>55.16</fb>
    <v>14</v>
  </rv>
  <rv s="7">
    <fb>4137.6400000000003</fb>
    <v>14</v>
  </rv>
  <rv s="7">
    <fb>45033</fb>
    <v>15</v>
  </rv>
  <rv s="7">
    <fb>212.89</fb>
    <v>14</v>
  </rv>
  <rv s="7">
    <fb>106.96</fb>
    <v>14</v>
  </rv>
  <rv s="7">
    <fb>105.91</fb>
    <v>14</v>
  </rv>
  <rv s="7">
    <fb>62.19</fb>
    <v>14</v>
  </rv>
  <rv s="7">
    <fb>327.98</fb>
    <v>14</v>
  </rv>
  <rv s="7">
    <fb>56.97</fb>
    <v>14</v>
  </rv>
  <rv s="7">
    <fb>4133.5200000000004</fb>
    <v>14</v>
  </rv>
  <rv s="7">
    <fb>45040</fb>
    <v>15</v>
  </rv>
  <rv s="7">
    <fb>240.32</fb>
    <v>14</v>
  </rv>
  <rv s="7">
    <fb>105.45</fb>
    <v>14</v>
  </rv>
  <rv s="7">
    <fb>108.22</fb>
    <v>14</v>
  </rv>
  <rv s="7">
    <fb>64.34</fb>
    <v>14</v>
  </rv>
  <rv s="7">
    <fb>329.93</fb>
    <v>14</v>
  </rv>
  <rv s="7">
    <fb>55.37</fb>
    <v>14</v>
  </rv>
  <rv s="7">
    <fb>4169.4799999999996</fb>
    <v>14</v>
  </rv>
  <rv s="7">
    <fb>45047</fb>
    <v>15</v>
  </rv>
  <rv s="7">
    <fb>45054</fb>
    <v>15</v>
  </rv>
  <rv s="7">
    <fb>233.81</fb>
    <v>14</v>
  </rv>
  <rv s="7">
    <fb>110.26</fb>
    <v>14</v>
  </rv>
  <rv s="7">
    <fb>117.92</fb>
    <v>14</v>
  </rv>
  <rv s="7">
    <fb>62.3</fb>
    <v>14</v>
  </rv>
  <rv s="7">
    <fb>339.89</fb>
    <v>14</v>
  </rv>
  <rv s="7">
    <fb>55.14</fb>
    <v>14</v>
  </rv>
  <rv s="7">
    <fb>4124.08</fb>
    <v>14</v>
  </rv>
  <rv s="7">
    <fb>45061</fb>
    <v>15</v>
  </rv>
  <rv s="7">
    <fb>245.64</fb>
    <v>14</v>
  </rv>
  <rv s="7">
    <fb>116.25</fb>
    <v>14</v>
  </rv>
  <rv s="7">
    <fb>123.25</fb>
    <v>14</v>
  </rv>
  <rv s="7">
    <fb>66.819999999999993</fb>
    <v>14</v>
  </rv>
  <rv s="7">
    <fb>365.36</fb>
    <v>14</v>
  </rv>
  <rv s="7">
    <fb>55.32</fb>
    <v>14</v>
  </rv>
  <rv s="7">
    <fb>4191.9799999999996</fb>
    <v>14</v>
  </rv>
  <rv s="7">
    <fb>45068</fb>
    <v>15</v>
  </rv>
  <rv s="7">
    <fb>262.04000000000002</fb>
    <v>14</v>
  </rv>
  <rv s="7">
    <fb>120.11</fb>
    <v>14</v>
  </rv>
  <rv s="7">
    <fb>125.43</fb>
    <v>14</v>
  </rv>
  <rv s="7">
    <fb>67.67</fb>
    <v>14</v>
  </rv>
  <rv s="7">
    <fb>378.88</fb>
    <v>14</v>
  </rv>
  <rv s="7">
    <fb>54.22</fb>
    <v>14</v>
  </rv>
  <rv s="7">
    <fb>4205.45</fb>
    <v>14</v>
  </rv>
  <rv s="7">
    <fb>45076</fb>
    <v>15</v>
  </rv>
  <rv s="7">
    <fb>272.61</fb>
    <v>14</v>
  </rv>
  <rv s="7">
    <fb>124.25</fb>
    <v>14</v>
  </rv>
  <rv s="7">
    <fb>125.23</fb>
    <v>14</v>
  </rv>
  <rv s="7">
    <fb>74.239999999999995</fb>
    <v>14</v>
  </rv>
  <rv s="7">
    <fb>400.47</fb>
    <v>14</v>
  </rv>
  <rv s="7">
    <fb>56.33</fb>
    <v>14</v>
  </rv>
  <rv s="7">
    <fb>4282.37</fb>
    <v>14</v>
  </rv>
  <rv s="7">
    <fb>45082</fb>
    <v>15</v>
  </rv>
  <rv s="7">
    <fb>264.95</fb>
    <v>14</v>
  </rv>
  <rv s="7">
    <fb>123.43</fb>
    <v>14</v>
  </rv>
  <rv s="7">
    <fb>122.87</fb>
    <v>14</v>
  </rv>
  <rv s="7">
    <fb>74.58</fb>
    <v>14</v>
  </rv>
  <rv s="7">
    <fb>420.02</fb>
    <v>14</v>
  </rv>
  <rv s="7">
    <fb>57.83</fb>
    <v>14</v>
  </rv>
  <rv s="7">
    <fb>4298.8599999999997</fb>
    <v>14</v>
  </rv>
  <rv s="7">
    <fb>45089</fb>
    <v>15</v>
  </rv>
  <rv s="7">
    <fb>281</fb>
    <v>14</v>
  </rv>
  <rv s="7">
    <fb>125.49</fb>
    <v>14</v>
  </rv>
  <rv s="7">
    <fb>124.06</fb>
    <v>14</v>
  </rv>
  <rv s="7">
    <fb>76.430000000000007</fb>
    <v>14</v>
  </rv>
  <rv s="7">
    <fb>431.96</fb>
    <v>14</v>
  </rv>
  <rv s="7">
    <fb>51.22</fb>
    <v>14</v>
  </rv>
  <rv s="7">
    <fb>4409.59</fb>
    <v>14</v>
  </rv>
  <rv s="7">
    <fb>45097</fb>
    <v>15</v>
  </rv>
  <rv s="7">
    <fb>288.73</fb>
    <v>14</v>
  </rv>
  <rv s="7">
    <fb>129.33000000000001</fb>
    <v>14</v>
  </rv>
  <rv s="7">
    <fb>123.02</fb>
    <v>14</v>
  </rv>
  <rv s="7">
    <fb>76.239999999999995</fb>
    <v>14</v>
  </rv>
  <rv s="7">
    <fb>424.02</fb>
    <v>14</v>
  </rv>
  <rv s="7">
    <fb>49.64</fb>
    <v>14</v>
  </rv>
  <rv s="7">
    <fb>4348.33</fb>
    <v>14</v>
  </rv>
  <rv s="7">
    <fb>45103</fb>
    <v>15</v>
  </rv>
  <rv s="7">
    <fb>286.98</fb>
    <v>14</v>
  </rv>
  <rv s="7">
    <fb>130.36000000000001</fb>
    <v>14</v>
  </rv>
  <rv s="7">
    <fb>120.97</fb>
    <v>14</v>
  </rv>
  <rv s="7">
    <fb>77.22</fb>
    <v>14</v>
  </rv>
  <rv s="7">
    <fb>440.49</fb>
    <v>14</v>
  </rv>
  <rv s="7">
    <fb>49.85</fb>
    <v>14</v>
  </rv>
  <rv s="7">
    <fb>4450.38</fb>
    <v>14</v>
  </rv>
  <rv s="7">
    <fb>45110</fb>
    <v>15</v>
  </rv>
  <rv s="7">
    <fb>290.52999999999997</fb>
    <v>14</v>
  </rv>
  <rv s="7">
    <fb>129.78</fb>
    <v>14</v>
  </rv>
  <rv s="7">
    <fb>120.14</fb>
    <v>14</v>
  </rv>
  <rv s="7">
    <fb>75.8</fb>
    <v>14</v>
  </rv>
  <rv s="7">
    <fb>438.1</fb>
    <v>14</v>
  </rv>
  <rv s="7">
    <fb>48.97</fb>
    <v>14</v>
  </rv>
  <rv s="7">
    <fb>4398.95</fb>
    <v>14</v>
  </rv>
  <rv s="7">
    <fb>45117</fb>
    <v>15</v>
  </rv>
  <rv s="7">
    <fb>308.87</fb>
    <v>14</v>
  </rv>
  <rv s="7">
    <fb>134.68</fb>
    <v>14</v>
  </rv>
  <rv s="7">
    <fb>125.7</fb>
    <v>14</v>
  </rv>
  <rv s="7">
    <fb>88</fb>
    <v>14</v>
  </rv>
  <rv s="7">
    <fb>441.91</fb>
    <v>14</v>
  </rv>
  <rv s="7">
    <fb>50.61</fb>
    <v>14</v>
  </rv>
  <rv s="7">
    <fb>4505.42</fb>
    <v>14</v>
  </rv>
  <rv s="7">
    <fb>45124</fb>
    <v>15</v>
  </rv>
  <rv s="7">
    <fb>294.26</fb>
    <v>14</v>
  </rv>
  <rv s="7">
    <fb>130</fb>
    <v>14</v>
  </rv>
  <rv s="7">
    <fb>120.31</fb>
    <v>14</v>
  </rv>
  <rv s="7">
    <fb>84.16</fb>
    <v>14</v>
  </rv>
  <rv s="7">
    <fb>427.5</fb>
    <v>14</v>
  </rv>
  <rv s="7">
    <fb>50.71</fb>
    <v>14</v>
  </rv>
  <rv s="7">
    <fb>4536.34</fb>
    <v>14</v>
  </rv>
  <rv s="7">
    <fb>45131</fb>
    <v>15</v>
  </rv>
  <rv s="7">
    <fb>325.48</fb>
    <v>14</v>
  </rv>
  <rv s="7">
    <fb>132.21</fb>
    <v>14</v>
  </rv>
  <rv s="7">
    <fb>133.01</fb>
    <v>14</v>
  </rv>
  <rv s="7">
    <fb>90.45</fb>
    <v>14</v>
  </rv>
  <rv s="7">
    <fb>425.78</fb>
    <v>14</v>
  </rv>
  <rv s="7">
    <fb>50.49</fb>
    <v>14</v>
  </rv>
  <rv s="7">
    <fb>4582.2299999999996</fb>
    <v>14</v>
  </rv>
  <rv s="7">
    <fb>45138</fb>
    <v>15</v>
  </rv>
  <rv s="7">
    <fb>310.73</fb>
    <v>14</v>
  </rv>
  <rv s="7">
    <fb>139.57</fb>
    <v>14</v>
  </rv>
  <rv s="7">
    <fb>128.54</fb>
    <v>14</v>
  </rv>
  <rv s="7">
    <fb>84.84</fb>
    <v>14</v>
  </rv>
  <rv s="7">
    <fb>431.6</fb>
    <v>14</v>
  </rv>
  <rv s="7">
    <fb>49.45</fb>
    <v>14</v>
  </rv>
  <rv s="7">
    <fb>4478.03</fb>
    <v>14</v>
  </rv>
  <rv s="7">
    <fb>45145</fb>
    <v>15</v>
  </rv>
  <rv s="7">
    <fb>301.64</fb>
    <v>14</v>
  </rv>
  <rv s="7">
    <fb>138.41</fb>
    <v>14</v>
  </rv>
  <rv s="7">
    <fb>130.16999999999999</fb>
    <v>14</v>
  </rv>
  <rv s="7">
    <fb>74.62</fb>
    <v>14</v>
  </rv>
  <rv s="7">
    <fb>421.66</fb>
    <v>14</v>
  </rv>
  <rv s="7">
    <fb>50.96</fb>
    <v>14</v>
  </rv>
  <rv s="7">
    <fb>4464.05</fb>
    <v>14</v>
  </rv>
  <rv s="7">
    <fb>45152</fb>
    <v>15</v>
  </rv>
  <rv s="7">
    <fb>283.25</fb>
    <v>14</v>
  </rv>
  <rv s="7">
    <fb>133.22</fb>
    <v>14</v>
  </rv>
  <rv s="7">
    <fb>128.11000000000001</fb>
    <v>14</v>
  </rv>
  <rv s="7">
    <fb>72.180000000000007</fb>
    <v>14</v>
  </rv>
  <rv s="7">
    <fb>404.53</fb>
    <v>14</v>
  </rv>
  <rv s="7">
    <fb>51.8</fb>
    <v>14</v>
  </rv>
  <rv s="7">
    <fb>4369.71</fb>
    <v>14</v>
  </rv>
  <rv s="7">
    <fb>45159</fb>
    <v>15</v>
  </rv>
  <rv s="7">
    <fb>285.5</fb>
    <v>14</v>
  </rv>
  <rv s="7">
    <fb>133.26</fb>
    <v>14</v>
  </rv>
  <rv s="7">
    <fb>130.69</fb>
    <v>14</v>
  </rv>
  <rv s="7">
    <fb>75.91</fb>
    <v>14</v>
  </rv>
  <rv s="7">
    <fb>416.03</fb>
    <v>14</v>
  </rv>
  <rv s="7">
    <fb>52.73</fb>
    <v>14</v>
  </rv>
  <rv s="7">
    <fb>4405.71</fb>
    <v>14</v>
  </rv>
  <rv s="7">
    <fb>45166</fb>
    <v>15</v>
  </rv>
  <rv s="7">
    <fb>296.38</fb>
    <v>14</v>
  </rv>
  <rv s="7">
    <fb>138.12</fb>
    <v>14</v>
  </rv>
  <rv s="7">
    <fb>136.80000000000001</fb>
    <v>14</v>
  </rv>
  <rv s="7">
    <fb>79.930000000000007</fb>
    <v>14</v>
  </rv>
  <rv s="7">
    <fb>439.88</fb>
    <v>14</v>
  </rv>
  <rv s="7">
    <fb>51.94</fb>
    <v>14</v>
  </rv>
  <rv s="7">
    <fb>4515.7700000000004</fb>
    <v>14</v>
  </rv>
  <rv s="7">
    <fb>45174</fb>
    <v>15</v>
  </rv>
  <rv s="7">
    <fb>297.89</fb>
    <v>14</v>
  </rv>
  <rv s="7">
    <fb>137.19999999999999</fb>
    <v>14</v>
  </rv>
  <rv s="7">
    <fb>83.89</fb>
    <v>14</v>
  </rv>
  <rv s="7">
    <fb>442.8</fb>
    <v>14</v>
  </rv>
  <rv s="7">
    <fb>51.43</fb>
    <v>14</v>
  </rv>
  <rv s="7">
    <fb>4457.49</fb>
    <v>14</v>
  </rv>
  <rv s="7">
    <fb>45180</fb>
    <v>15</v>
  </rv>
  <rv s="7">
    <fb>300.31</fb>
    <v>14</v>
  </rv>
  <rv s="7">
    <fb>140.38999999999999</fb>
    <v>14</v>
  </rv>
  <rv s="7">
    <fb>138.30000000000001</fb>
    <v>14</v>
  </rv>
  <rv s="7">
    <fb>83.38</fb>
    <v>14</v>
  </rv>
  <rv s="7">
    <fb>396.94</fb>
    <v>14</v>
  </rv>
  <rv s="7">
    <fb>50.77</fb>
    <v>14</v>
  </rv>
  <rv s="7">
    <fb>4450.32</fb>
    <v>14</v>
  </rv>
  <rv s="7">
    <fb>45187</fb>
    <v>15</v>
  </rv>
  <rv s="7">
    <fb>299.08</fb>
    <v>14</v>
  </rv>
  <rv s="7">
    <fb>129.12</fb>
    <v>14</v>
  </rv>
  <rv s="7">
    <fb>131.25</fb>
    <v>14</v>
  </rv>
  <rv s="7">
    <fb>76.349999999999994</fb>
    <v>14</v>
  </rv>
  <rv s="7">
    <fb>379.81</fb>
    <v>14</v>
  </rv>
  <rv s="7">
    <fb>48.67</fb>
    <v>14</v>
  </rv>
  <rv s="7">
    <fb>4320.0600000000004</fb>
    <v>14</v>
  </rv>
  <rv s="7">
    <fb>45194</fb>
    <v>15</v>
  </rv>
  <rv s="7">
    <fb>300.20999999999998</fb>
    <v>14</v>
  </rv>
  <rv s="7">
    <fb>127.12</fb>
    <v>14</v>
  </rv>
  <rv s="7">
    <fb>131.85</fb>
    <v>14</v>
  </rv>
  <rv s="7">
    <fb>78.150000000000006</fb>
    <v>14</v>
  </rv>
  <rv s="7">
    <fb>377.6</fb>
    <v>14</v>
  </rv>
  <rv s="7">
    <fb>48.59</fb>
    <v>14</v>
  </rv>
  <rv s="7">
    <fb>4288.05</fb>
    <v>14</v>
  </rv>
  <rv s="7">
    <fb>45201</fb>
    <v>15</v>
  </rv>
  <rv s="7">
    <fb>315.43</fb>
    <v>14</v>
  </rv>
  <rv s="7">
    <fb>127.96</fb>
    <v>14</v>
  </rv>
  <rv s="7">
    <fb>138.72999999999999</fb>
    <v>14</v>
  </rv>
  <rv s="7">
    <fb>82.15</fb>
    <v>14</v>
  </rv>
  <rv s="7">
    <fb>381.51</fb>
    <v>14</v>
  </rv>
  <rv s="7">
    <fb>49.61</fb>
    <v>14</v>
  </rv>
  <rv s="7">
    <fb>4308.5</fb>
    <v>14</v>
  </rv>
  <rv s="7">
    <fb>45208</fb>
    <v>15</v>
  </rv>
  <rv s="7">
    <fb>314.69</fb>
    <v>14</v>
  </rv>
  <rv s="7">
    <fb>129.79</fb>
    <v>14</v>
  </rv>
  <rv s="7">
    <fb>138.58000000000001</fb>
    <v>14</v>
  </rv>
  <rv s="7">
    <fb>80.239999999999995</fb>
    <v>14</v>
  </rv>
  <rv s="7">
    <fb>355.68</fb>
    <v>14</v>
  </rv>
  <rv s="7">
    <fb>49.37</fb>
    <v>14</v>
  </rv>
  <rv s="7">
    <fb>4327.78</fb>
    <v>14</v>
  </rv>
  <rv s="7">
    <fb>45215</fb>
    <v>15</v>
  </rv>
  <rv s="7">
    <fb>308.64999999999998</fb>
    <v>14</v>
  </rv>
  <rv s="7">
    <fb>125.17</fb>
    <v>14</v>
  </rv>
  <rv s="7">
    <fb>136.74</fb>
    <v>14</v>
  </rv>
  <rv s="7">
    <fb>74.06</fb>
    <v>14</v>
  </rv>
  <rv s="7">
    <fb>400.96</fb>
    <v>14</v>
  </rv>
  <rv s="7">
    <fb>4224.16</fb>
    <v>14</v>
  </rv>
  <rv s="7">
    <fb>45222</fb>
    <v>15</v>
  </rv>
  <rv s="7">
    <fb>296.73</fb>
    <v>14</v>
  </rv>
  <rv s="7">
    <fb>127.74</fb>
    <v>14</v>
  </rv>
  <rv s="7">
    <fb>123.4</fb>
    <v>14</v>
  </rv>
  <rv s="7">
    <fb>66.86</fb>
    <v>14</v>
  </rv>
  <rv s="7">
    <fb>397.87</fb>
    <v>14</v>
  </rv>
  <rv s="7">
    <fb>47.59</fb>
    <v>14</v>
  </rv>
  <rv s="7">
    <fb>4117.37</fb>
    <v>14</v>
  </rv>
  <rv s="7">
    <fb>45229</fb>
    <v>15</v>
  </rv>
  <rv s="7">
    <fb>314.60000000000002</fb>
    <v>14</v>
  </rv>
  <rv s="7">
    <fb>138.6</fb>
    <v>14</v>
  </rv>
  <rv s="7">
    <fb>130.37</fb>
    <v>14</v>
  </rv>
  <rv s="7">
    <fb>79.08</fb>
    <v>14</v>
  </rv>
  <rv s="7">
    <fb>432.36</fb>
    <v>14</v>
  </rv>
  <rv s="7">
    <fb>50.22</fb>
    <v>14</v>
  </rv>
  <rv s="7">
    <fb>4358.34</fb>
    <v>14</v>
  </rv>
  <rv s="7">
    <fb>45236</fb>
    <v>15</v>
  </rv>
  <rv s="7">
    <fb>328.77</fb>
    <v>14</v>
  </rv>
  <rv s="7">
    <fb>143.56</fb>
    <v>14</v>
  </rv>
  <rv s="7">
    <fb>134.06</fb>
    <v>14</v>
  </rv>
  <rv s="7">
    <fb>64.010000000000005</fb>
    <v>14</v>
  </rv>
  <rv s="7">
    <fb>447.24</fb>
    <v>14</v>
  </rv>
  <rv s="7">
    <fb>52.11</fb>
    <v>14</v>
  </rv>
  <rv s="7">
    <fb>4415.24</fb>
    <v>14</v>
  </rv>
  <rv s="7">
    <fb>45243</fb>
    <v>15</v>
  </rv>
  <rv s="7">
    <fb>335.04</fb>
    <v>14</v>
  </rv>
  <rv s="7">
    <fb>145.18</fb>
    <v>14</v>
  </rv>
  <rv s="7">
    <fb>136.94</fb>
    <v>14</v>
  </rv>
  <rv s="7">
    <fb>66.47</fb>
    <v>14</v>
  </rv>
  <rv s="7">
    <fb>465.91</fb>
    <v>14</v>
  </rv>
  <rv s="7">
    <fb>53.48</fb>
    <v>14</v>
  </rv>
  <rv s="7">
    <fb>4514.0200000000004</fb>
    <v>14</v>
  </rv>
  <rv s="7">
    <fb>45250</fb>
    <v>15</v>
  </rv>
  <rv s="7">
    <fb>338.23</fb>
    <v>14</v>
  </rv>
  <rv s="7">
    <fb>146.74</fb>
    <v>14</v>
  </rv>
  <rv s="7">
    <fb>138.22</fb>
    <v>14</v>
  </rv>
  <rv s="7">
    <fb>67.27</fb>
    <v>14</v>
  </rv>
  <rv s="7">
    <fb>479.56</fb>
    <v>14</v>
  </rv>
  <rv s="7">
    <fb>55.3</fb>
    <v>14</v>
  </rv>
  <rv s="7">
    <fb>4559.34</fb>
    <v>14</v>
  </rv>
  <rv s="7">
    <fb>45257</fb>
    <v>15</v>
  </rv>
  <rv s="7">
    <fb>324.82</fb>
    <v>14</v>
  </rv>
  <rv s="7">
    <fb>147.03</fb>
    <v>14</v>
  </rv>
  <rv s="7">
    <fb>133.32</fb>
    <v>14</v>
  </rv>
  <rv s="7">
    <fb>71.599999999999994</fb>
    <v>14</v>
  </rv>
  <rv s="7">
    <fb>465.74</fb>
    <v>14</v>
  </rv>
  <rv s="7">
    <fb>55.9</fb>
    <v>14</v>
  </rv>
  <rv s="7">
    <fb>4594.63</fb>
    <v>14</v>
  </rv>
  <rv s="7">
    <fb>45264</fb>
    <v>15</v>
  </rv>
  <rv s="7">
    <fb>332.75</fb>
    <v>14</v>
  </rv>
  <rv s="7">
    <fb>147.41999999999999</fb>
    <v>14</v>
  </rv>
  <rv s="7">
    <fb>136.63999999999999</fb>
    <v>14</v>
  </rv>
  <rv s="7">
    <fb>70.63</fb>
    <v>14</v>
  </rv>
  <rv s="7">
    <fb>453.76</fb>
    <v>14</v>
  </rv>
  <rv s="7">
    <fb>53.97</fb>
    <v>14</v>
  </rv>
  <rv s="7">
    <fb>4604.37</fb>
    <v>14</v>
  </rv>
  <rv s="7">
    <fb>45271</fb>
    <v>15</v>
  </rv>
  <rv s="7">
    <fb>334.92</fb>
    <v>14</v>
  </rv>
  <rv s="7">
    <fb>149.97</fb>
    <v>14</v>
  </rv>
  <rv s="7">
    <fb>133.84</fb>
    <v>14</v>
  </rv>
  <rv s="7">
    <fb>74.89</fb>
    <v>14</v>
  </rv>
  <rv s="7">
    <fb>472.06</fb>
    <v>14</v>
  </rv>
  <rv s="7">
    <fb>54.74</fb>
    <v>14</v>
  </rv>
  <rv s="7">
    <fb>4719.1899999999996</fb>
    <v>14</v>
  </rv>
  <rv s="7">
    <fb>45278</fb>
    <v>15</v>
  </rv>
  <rv s="7">
    <fb>353.39</fb>
    <v>14</v>
  </rv>
  <rv s="7">
    <fb>153.41999999999999</fb>
    <v>14</v>
  </rv>
  <rv s="7">
    <fb>142.72</fb>
    <v>14</v>
  </rv>
  <rv s="7">
    <fb>73.430000000000007</fb>
    <v>14</v>
  </rv>
  <rv s="7">
    <fb>486.76</fb>
    <v>14</v>
  </rv>
  <rv s="7">
    <fb>57.04</fb>
    <v>14</v>
  </rv>
  <rv s="7">
    <fb>4754.63</fb>
    <v>14</v>
  </rv>
  <rv s="7">
    <fb>45286</fb>
    <v>15</v>
  </rv>
  <rv s="7">
    <fb>353.96</fb>
    <v>14</v>
  </rv>
  <rv s="7">
    <fb>151.94</fb>
    <v>14</v>
  </rv>
  <rv s="7">
    <fb>140.93</fb>
    <v>14</v>
  </rv>
  <rv s="7">
    <fb>71.959999999999994</fb>
    <v>14</v>
  </rv>
  <rv s="7">
    <fb>486.88</fb>
    <v>14</v>
  </rv>
  <rv s="7">
    <fb>58.14</fb>
    <v>14</v>
  </rv>
  <rv s="7">
    <fb>45285</fb>
    <v>15</v>
  </rv>
  <rv s="7">
    <fb>4769.83</fb>
    <v>14</v>
  </rv>
  <rv s="7">
    <fb>45293</fb>
    <v>15</v>
  </rv>
  <rv s="7">
    <fb>351.95</fb>
    <v>14</v>
  </rv>
  <rv s="7">
    <fb>145.24</fb>
    <v>14</v>
  </rv>
  <rv s="7">
    <fb>137.38999999999999</fb>
    <v>14</v>
  </rv>
  <rv s="7">
    <fb>67.64</fb>
    <v>14</v>
  </rv>
  <rv s="7">
    <fb>474.06</fb>
    <v>14</v>
  </rv>
  <rv s="7">
    <fb>55.67</fb>
    <v>14</v>
  </rv>
  <rv s="7">
    <fb>4697.24</fb>
    <v>14</v>
  </rv>
  <rv s="7">
    <fb>45299</fb>
    <v>15</v>
  </rv>
  <rv s="7">
    <fb>374.49</fb>
    <v>14</v>
  </rv>
  <rv s="7">
    <fb>154.62</fb>
    <v>14</v>
  </rv>
  <rv s="7">
    <fb>144.24</fb>
    <v>14</v>
  </rv>
  <rv s="7">
    <fb>66.959999999999994</fb>
    <v>14</v>
  </rv>
  <rv s="7">
    <fb>492.16</fb>
    <v>14</v>
  </rv>
  <rv s="7">
    <fb>4783.83</fb>
    <v>14</v>
  </rv>
  <rv s="7">
    <fb>45307</fb>
    <v>15</v>
  </rv>
  <rv s="7">
    <fb>383.45</fb>
    <v>14</v>
  </rv>
  <rv s="7">
    <fb>155.34</fb>
    <v>14</v>
  </rv>
  <rv s="7">
    <fb>147.97</fb>
    <v>14</v>
  </rv>
  <rv s="7">
    <fb>66.849999999999994</fb>
    <v>14</v>
  </rv>
  <rv s="7">
    <fb>482.95</fb>
    <v>14</v>
  </rv>
  <rv s="7">
    <fb>57.85</fb>
    <v>14</v>
  </rv>
  <rv s="7">
    <fb>4839.8100000000004</fb>
    <v>14</v>
  </rv>
  <rv s="7">
    <fb>45313</fb>
    <v>15</v>
  </rv>
  <rv s="7">
    <fb>394.14</fb>
    <v>14</v>
  </rv>
  <rv s="7">
    <fb>159.12</fb>
    <v>14</v>
  </rv>
  <rv s="7">
    <fb>153.79</fb>
    <v>14</v>
  </rv>
  <rv s="7">
    <fb>68.010000000000005</fb>
    <v>14</v>
  </rv>
  <rv s="7">
    <fb>570.41999999999996</fb>
    <v>14</v>
  </rv>
  <rv s="7">
    <fb>58.62</fb>
    <v>14</v>
  </rv>
  <rv s="7">
    <fb>4890.97</fb>
    <v>14</v>
  </rv>
  <rv s="7">
    <fb>45320</fb>
    <v>15</v>
  </rv>
  <rv s="7">
    <fb>474.99</fb>
    <v>14</v>
  </rv>
  <rv s="7">
    <fb>171.81</fb>
    <v>14</v>
  </rv>
  <rv s="7">
    <fb>143.54</fb>
    <v>14</v>
  </rv>
  <rv s="7">
    <fb>70</fb>
    <v>14</v>
  </rv>
  <rv s="7">
    <fb>564.64</fb>
    <v>14</v>
  </rv>
  <rv s="7">
    <fb>56.65</fb>
    <v>14</v>
  </rv>
  <rv s="7">
    <fb>4958.6099999999997</fb>
    <v>14</v>
  </rv>
  <rv s="7">
    <fb>45327</fb>
    <v>15</v>
  </rv>
  <rv s="7">
    <fb>468.11</fb>
    <v>14</v>
  </rv>
  <rv s="7">
    <fb>174.45</fb>
    <v>14</v>
  </rv>
  <rv s="7">
    <fb>150.22</fb>
    <v>14</v>
  </rv>
  <rv s="7">
    <fb>71.31</fb>
    <v>14</v>
  </rv>
  <rv s="7">
    <fb>561.32000000000005</fb>
    <v>14</v>
  </rv>
  <rv s="7">
    <fb>57.25</fb>
    <v>14</v>
  </rv>
  <rv s="7">
    <fb>5026.6099999999997</fb>
    <v>14</v>
  </rv>
  <rv s="7">
    <fb>45334</fb>
    <v>15</v>
  </rv>
  <rv s="7">
    <fb>473.32</fb>
    <v>14</v>
  </rv>
  <rv s="7">
    <fb>169.51</fb>
    <v>14</v>
  </rv>
  <rv s="7">
    <fb>141.76</fb>
    <v>14</v>
  </rv>
  <rv s="7">
    <fb>88.93</fb>
    <v>14</v>
  </rv>
  <rv s="7">
    <fb>583.95000000000005</fb>
    <v>14</v>
  </rv>
  <rv s="7">
    <fb>55.42</fb>
    <v>14</v>
  </rv>
  <rv s="7">
    <fb>5005.57</fb>
    <v>14</v>
  </rv>
  <rv s="7">
    <fb>45342</fb>
    <v>15</v>
  </rv>
  <rv s="7">
    <fb>484.03</fb>
    <v>14</v>
  </rv>
  <rv s="7">
    <fb>174.99</fb>
    <v>14</v>
  </rv>
  <rv s="7">
    <fb>145.29</fb>
    <v>14</v>
  </rv>
  <rv s="7">
    <fb>81.44</fb>
    <v>14</v>
  </rv>
  <rv s="7">
    <fb>583.55999999999995</fb>
    <v>14</v>
  </rv>
  <rv s="7">
    <fb>5088.8</fb>
    <v>14</v>
  </rv>
  <rv s="7">
    <fb>45348</fb>
    <v>15</v>
  </rv>
  <rv s="7">
    <fb>502.3</fb>
    <v>14</v>
  </rv>
  <rv s="7">
    <fb>178.22</fb>
    <v>14</v>
  </rv>
  <rv s="7">
    <fb>138.08000000000001</fb>
    <v>14</v>
  </rv>
  <rv s="7">
    <fb>619.34</fb>
    <v>14</v>
  </rv>
  <rv s="7">
    <fb>56.53</fb>
    <v>14</v>
  </rv>
  <rv s="7">
    <fb>5137.08</fb>
    <v>14</v>
  </rv>
  <rv s="7">
    <fb>45355</fb>
    <v>15</v>
  </rv>
  <rv s="7">
    <fb>505.95</fb>
    <v>14</v>
  </rv>
  <rv s="7">
    <fb>175.35</fb>
    <v>14</v>
  </rv>
  <rv s="7">
    <fb>136.29</fb>
    <v>14</v>
  </rv>
  <rv s="7">
    <fb>81.59</fb>
    <v>14</v>
  </rv>
  <rv s="7">
    <fb>604.82000000000005</fb>
    <v>14</v>
  </rv>
  <rv s="7">
    <fb>60.01</fb>
    <v>14</v>
  </rv>
  <rv s="7">
    <fb>5123.6899999999996</fb>
    <v>14</v>
  </rv>
  <rv s="7">
    <fb>45362</fb>
    <v>15</v>
  </rv>
  <rv s="7">
    <fb>484.1</fb>
    <v>14</v>
  </rv>
  <rv s="7">
    <fb>174.42</fb>
    <v>14</v>
  </rv>
  <rv s="7">
    <fb>142.16999999999999</fb>
    <v>14</v>
  </rv>
  <rv s="7">
    <fb>76.72</fb>
    <v>14</v>
  </rv>
  <rv s="7">
    <fb>605.88</fb>
    <v>14</v>
  </rv>
  <rv s="7">
    <fb>5117.09</fb>
    <v>14</v>
  </rv>
  <rv s="7">
    <fb>45369</fb>
    <v>15</v>
  </rv>
  <rv s="7">
    <fb>509.58</fb>
    <v>14</v>
  </rv>
  <rv s="7">
    <fb>178.87</fb>
    <v>14</v>
  </rv>
  <rv s="7">
    <fb>151.77000000000001</fb>
    <v>14</v>
  </rv>
  <rv s="7">
    <fb>85.06</fb>
    <v>14</v>
  </rv>
  <rv s="7">
    <fb>628.01</fb>
    <v>14</v>
  </rv>
  <rv s="7">
    <fb>61.63</fb>
    <v>14</v>
  </rv>
  <rv s="7">
    <fb>5234.18</fb>
    <v>14</v>
  </rv>
  <rv s="7">
    <fb>45376</fb>
    <v>15</v>
  </rv>
  <rv s="7">
    <fb>485.58</fb>
    <v>14</v>
  </rv>
  <rv s="7">
    <fb>180.38</fb>
    <v>14</v>
  </rv>
  <rv s="7">
    <fb>152.26</fb>
    <v>14</v>
  </rv>
  <rv s="7">
    <fb>87.42</fb>
    <v>14</v>
  </rv>
  <rv s="7">
    <fb>607.33000000000004</fb>
    <v>14</v>
  </rv>
  <rv s="7">
    <fb>63.1</fb>
    <v>14</v>
  </rv>
  <rv s="7">
    <fb>5254.35</fb>
    <v>14</v>
  </rv>
  <rv s="7">
    <fb>45383</fb>
    <v>15</v>
  </rv>
  <rv s="7">
    <fb>527.34</fb>
    <v>14</v>
  </rv>
  <rv s="7">
    <fb>185.07</fb>
    <v>14</v>
  </rv>
  <rv s="7">
    <fb>153.94</fb>
    <v>14</v>
  </rv>
  <rv s="7">
    <fb>85.83</fb>
    <v>14</v>
  </rv>
  <rv s="7">
    <fb>636.17999999999995</fb>
    <v>14</v>
  </rv>
  <rv s="7">
    <fb>62.04</fb>
    <v>14</v>
  </rv>
  <rv s="7">
    <fb>5204.34</fb>
    <v>14</v>
  </rv>
  <rv s="7">
    <fb>45390</fb>
    <v>15</v>
  </rv>
  <rv s="7">
    <fb>511.9</fb>
    <v>14</v>
  </rv>
  <rv s="7">
    <fb>186.13</fb>
    <v>14</v>
  </rv>
  <rv s="7">
    <fb>159.19</fb>
    <v>14</v>
  </rv>
  <rv s="7">
    <fb>86.37</fb>
    <v>14</v>
  </rv>
  <rv s="7">
    <fb>622.83000000000004</fb>
    <v>14</v>
  </rv>
  <rv s="7">
    <fb>61.52</fb>
    <v>14</v>
  </rv>
  <rv s="7">
    <fb>5123.41</fb>
    <v>14</v>
  </rv>
  <rv s="7">
    <fb>45397</fb>
    <v>15</v>
  </rv>
  <rv s="7">
    <fb>481.07</fb>
    <v>14</v>
  </rv>
  <rv s="7">
    <fb>174.63</fb>
    <v>14</v>
  </rv>
  <rv s="7">
    <fb>155.72</fb>
    <v>14</v>
  </rv>
  <rv s="7">
    <fb>77.3</fb>
    <v>14</v>
  </rv>
  <rv s="7">
    <fb>555.04</fb>
    <v>14</v>
  </rv>
  <rv s="7">
    <fb>60.35</fb>
    <v>14</v>
  </rv>
  <rv s="7">
    <fb>4967.2299999999996</fb>
    <v>14</v>
  </rv>
  <rv s="7">
    <fb>45404</fb>
    <v>15</v>
  </rv>
  <rv s="7">
    <fb>443.29</fb>
    <v>14</v>
  </rv>
  <rv s="7">
    <fb>179.62</fb>
    <v>14</v>
  </rv>
  <rv s="7">
    <fb>173.69</fb>
    <v>14</v>
  </rv>
  <rv s="7">
    <fb>84.73</fb>
    <v>14</v>
  </rv>
  <rv s="7">
    <fb>561.23</fb>
    <v>14</v>
  </rv>
  <rv s="7">
    <fb>60.12</fb>
    <v>14</v>
  </rv>
  <rv s="7">
    <fb>5099.96</fb>
    <v>14</v>
  </rv>
  <rv s="7">
    <fb>45411</fb>
    <v>15</v>
  </rv>
  <rv s="7">
    <fb>45418</fb>
    <v>15</v>
  </rv>
  <rv s="7">
    <fb>476.2</fb>
    <v>14</v>
  </rv>
  <rv s="7">
    <fb>187.48</fb>
    <v>14</v>
  </rv>
  <rv s="7">
    <fb>170.29</fb>
    <v>14</v>
  </rv>
  <rv s="7">
    <fb>87.26</fb>
    <v>14</v>
  </rv>
  <rv s="7">
    <fb>610.87</fb>
    <v>14</v>
  </rv>
  <rv s="7">
    <fb>60.66</fb>
    <v>14</v>
  </rv>
  <rv s="7">
    <fb>5222.68</fb>
    <v>14</v>
  </rv>
  <rv s="7">
    <fb>45425</fb>
    <v>15</v>
  </rv>
  <rv s="7">
    <fb>471.91</fb>
    <v>14</v>
  </rv>
  <rv s="7">
    <fb>184.7</fb>
    <v>14</v>
  </rv>
  <rv s="7">
    <fb>177.29</fb>
    <v>14</v>
  </rv>
  <rv s="7">
    <fb>94.78</fb>
    <v>14</v>
  </rv>
  <rv s="7">
    <fb>621.1</fb>
    <v>14</v>
  </rv>
  <rv s="7">
    <fb>62.76</fb>
    <v>14</v>
  </rv>
  <rv s="7">
    <fb>5303.27</fb>
    <v>14</v>
  </rv>
  <rv s="7">
    <fb>45432</fb>
    <v>15</v>
  </rv>
  <rv s="7">
    <fb>478.22</fb>
    <v>14</v>
  </rv>
  <rv s="7">
    <fb>180.75</fb>
    <v>14</v>
  </rv>
  <rv s="7">
    <fb>176.33</fb>
    <v>14</v>
  </rv>
  <rv s="7">
    <fb>94.75</fb>
    <v>14</v>
  </rv>
  <rv s="7">
    <fb>646.75</fb>
    <v>14</v>
  </rv>
  <rv s="7">
    <fb>62.23</fb>
    <v>14</v>
  </rv>
  <rv s="7">
    <fb>5304.72</fb>
    <v>14</v>
  </rv>
  <rv s="7">
    <fb>45440</fb>
    <v>15</v>
  </rv>
  <rv s="7">
    <fb>466.83</fb>
    <v>14</v>
  </rv>
  <rv s="7">
    <fb>176.44</fb>
    <v>14</v>
  </rv>
  <rv s="7">
    <fb>173.96</fb>
    <v>14</v>
  </rv>
  <rv s="7">
    <fb>92.78</fb>
    <v>14</v>
  </rv>
  <rv s="7">
    <fb>641.62</fb>
    <v>14</v>
  </rv>
  <rv s="7">
    <fb>59.03</fb>
    <v>14</v>
  </rv>
  <rv s="7">
    <fb>5277.51</fb>
    <v>14</v>
  </rv>
  <rv s="7">
    <fb>45446</fb>
    <v>15</v>
  </rv>
  <rv s="7">
    <fb>492.96</fb>
    <v>14</v>
  </rv>
  <rv s="7">
    <fb>184.3</fb>
    <v>14</v>
  </rv>
  <rv s="7">
    <fb>175.95</fb>
    <v>14</v>
  </rv>
  <rv s="7">
    <fb>94.17</fb>
    <v>14</v>
  </rv>
  <rv s="7">
    <fb>641.47</fb>
    <v>14</v>
  </rv>
  <rv s="7">
    <fb>58.78</fb>
    <v>14</v>
  </rv>
  <rv s="7">
    <fb>5346.99</fb>
    <v>14</v>
  </rv>
  <rv s="7">
    <fb>45453</fb>
    <v>15</v>
  </rv>
  <rv s="7">
    <fb>504.16</fb>
    <v>14</v>
  </rv>
  <rv s="7">
    <fb>183.66</fb>
    <v>14</v>
  </rv>
  <rv s="7">
    <fb>178.37</fb>
    <v>14</v>
  </rv>
  <rv s="7">
    <fb>95.66</fb>
    <v>14</v>
  </rv>
  <rv s="7">
    <fb>669.38</fb>
    <v>14</v>
  </rv>
  <rv s="7">
    <fb>58.6</fb>
    <v>14</v>
  </rv>
  <rv s="7">
    <fb>5431.6</fb>
    <v>14</v>
  </rv>
  <rv s="7">
    <fb>45460</fb>
    <v>15</v>
  </rv>
  <rv s="7">
    <fb>494.78</fb>
    <v>14</v>
  </rv>
  <rv s="7">
    <fb>189.08</fb>
    <v>14</v>
  </rv>
  <rv s="7">
    <fb>180.26</fb>
    <v>14</v>
  </rv>
  <rv s="7">
    <fb>97.71</fb>
    <v>14</v>
  </rv>
  <rv s="7">
    <fb>686.12</fb>
    <v>14</v>
  </rv>
  <rv s="7">
    <fb>60.25</fb>
    <v>14</v>
  </rv>
  <rv s="7">
    <fb>5464.62</fb>
    <v>14</v>
  </rv>
  <rv s="7">
    <fb>45467</fb>
    <v>15</v>
  </rv>
  <rv s="7">
    <fb>504.22</fb>
    <v>14</v>
  </rv>
  <rv s="7">
    <fb>193.25</fb>
    <v>14</v>
  </rv>
  <rv s="7">
    <fb>183.42</fb>
    <v>14</v>
  </rv>
  <rv s="7">
    <fb>97.67</fb>
    <v>14</v>
  </rv>
  <rv s="7">
    <fb>674.88</fb>
    <v>14</v>
  </rv>
  <rv s="7">
    <fb>60.26</fb>
    <v>14</v>
  </rv>
  <rv s="7">
    <fb>5460.48</fb>
    <v>14</v>
  </rv>
  <rv s="7">
    <fb>45474</fb>
    <v>15</v>
  </rv>
  <rv s="7">
    <fb>539.91</fb>
    <v>14</v>
  </rv>
  <rv s="7">
    <fb>200</fb>
    <v>14</v>
  </rv>
  <rv s="7">
    <fb>191.96</fb>
    <v>14</v>
  </rv>
  <rv s="7">
    <fb>99.9</fb>
    <v>14</v>
  </rv>
  <rv s="7">
    <fb>690.65</fb>
    <v>14</v>
  </rv>
  <rv s="7">
    <fb>60.38</fb>
    <v>14</v>
  </rv>
  <rv s="7">
    <fb>5567.19</fb>
    <v>14</v>
  </rv>
  <rv s="7">
    <fb>45481</fb>
    <v>15</v>
  </rv>
  <rv s="7">
    <fb>498.87</fb>
    <v>14</v>
  </rv>
  <rv s="7">
    <fb>194.49</fb>
    <v>14</v>
  </rv>
  <rv s="7">
    <fb>186.78</fb>
    <v>14</v>
  </rv>
  <rv s="7">
    <fb>99.48</fb>
    <v>14</v>
  </rv>
  <rv s="7">
    <fb>647.6</fb>
    <v>14</v>
  </rv>
  <rv s="7">
    <fb>5615.35</fb>
    <v>14</v>
  </rv>
  <rv s="7">
    <fb>45488</fb>
    <v>15</v>
  </rv>
  <rv s="7">
    <fb>476.79</fb>
    <v>14</v>
  </rv>
  <rv s="7">
    <fb>183.13</fb>
    <v>14</v>
  </rv>
  <rv s="7">
    <fb>179.39</fb>
    <v>14</v>
  </rv>
  <rv s="7">
    <fb>96.01</fb>
    <v>14</v>
  </rv>
  <rv s="7">
    <fb>633.34</fb>
    <v>14</v>
  </rv>
  <rv s="7">
    <fb>62.51</fb>
    <v>14</v>
  </rv>
  <rv s="7">
    <fb>5505</fb>
    <v>14</v>
  </rv>
  <rv s="7">
    <fb>45495</fb>
    <v>15</v>
  </rv>
  <rv s="7">
    <fb>465.7</fb>
    <v>14</v>
  </rv>
  <rv s="7">
    <fb>182.5</fb>
    <v>14</v>
  </rv>
  <rv s="7">
    <fb>168.68</fb>
    <v>14</v>
  </rv>
  <rv s="7">
    <fb>92.43</fb>
    <v>14</v>
  </rv>
  <rv s="7">
    <fb>631.37</fb>
    <v>14</v>
  </rv>
  <rv s="7">
    <fb>5459.1</fb>
    <v>14</v>
  </rv>
  <rv s="7">
    <fb>45502</fb>
    <v>15</v>
  </rv>
  <rv s="7">
    <fb>488.14</fb>
    <v>14</v>
  </rv>
  <rv s="7">
    <fb>167.9</fb>
    <v>14</v>
  </rv>
  <rv s="7">
    <fb>168.4</fb>
    <v>14</v>
  </rv>
  <rv s="7">
    <fb>83.08</fb>
    <v>14</v>
  </rv>
  <rv s="7">
    <fb>613.64</fb>
    <v>14</v>
  </rv>
  <rv s="7">
    <fb>5346.56</fb>
    <v>14</v>
  </rv>
  <rv s="7">
    <fb>45509</fb>
    <v>15</v>
  </rv>
  <rv s="7">
    <fb>517.77</fb>
    <v>14</v>
  </rv>
  <rv s="7">
    <fb>166.94</fb>
    <v>14</v>
  </rv>
  <rv s="7">
    <fb>165.39</fb>
    <v>14</v>
  </rv>
  <rv s="7">
    <fb>99.3</fb>
    <v>14</v>
  </rv>
  <rv s="7">
    <fb>633.94000000000005</fb>
    <v>14</v>
  </rv>
  <rv s="7">
    <fb>68.09</fb>
    <v>14</v>
  </rv>
  <rv s="7">
    <fb>5344.16</fb>
    <v>14</v>
  </rv>
  <rv s="7">
    <fb>45516</fb>
    <v>15</v>
  </rv>
  <rv s="7">
    <fb>527.41999999999996</fb>
    <v>14</v>
  </rv>
  <rv s="7">
    <fb>177.06</fb>
    <v>14</v>
  </rv>
  <rv s="7">
    <fb>164.74</fb>
    <v>14</v>
  </rv>
  <rv s="7">
    <fb>101.43</fb>
    <v>14</v>
  </rv>
  <rv s="7">
    <fb>674.07</fb>
    <v>14</v>
  </rv>
  <rv s="7">
    <fb>69.83</fb>
    <v>14</v>
  </rv>
  <rv s="7">
    <fb>5554.25</fb>
    <v>14</v>
  </rv>
  <rv s="7">
    <fb>45523</fb>
    <v>15</v>
  </rv>
  <rv s="7">
    <fb>528</fb>
    <v>14</v>
  </rv>
  <rv s="7">
    <fb>177.04</fb>
    <v>14</v>
  </rv>
  <rv s="7">
    <fb>167.43</fb>
    <v>14</v>
  </rv>
  <rv s="7">
    <fb>105</fb>
    <v>14</v>
  </rv>
  <rv s="7">
    <fb>686.73</fb>
    <v>14</v>
  </rv>
  <rv s="7">
    <fb>70.349999999999994</fb>
    <v>14</v>
  </rv>
  <rv s="7">
    <fb>5634.61</fb>
    <v>14</v>
  </rv>
  <rv s="7">
    <fb>45530</fb>
    <v>15</v>
  </rv>
  <rv s="7">
    <fb>521.30999999999995</fb>
    <v>14</v>
  </rv>
  <rv s="7">
    <fb>178.5</fb>
    <v>14</v>
  </rv>
  <rv s="7">
    <fb>165.11</fb>
    <v>14</v>
  </rv>
  <rv s="7">
    <fb>104.53</fb>
    <v>14</v>
  </rv>
  <rv s="7">
    <fb>701.35</fb>
    <v>14</v>
  </rv>
  <rv s="7">
    <fb>72.08</fb>
    <v>14</v>
  </rv>
  <rv s="7">
    <fb>5648.4</fb>
    <v>14</v>
  </rv>
  <rv s="7">
    <fb>45538</fb>
    <v>15</v>
  </rv>
  <rv s="7">
    <fb>500.27</fb>
    <v>14</v>
  </rv>
  <rv s="7">
    <fb>171.39</fb>
    <v>14</v>
  </rv>
  <rv s="7">
    <fb>152.13</fb>
    <v>14</v>
  </rv>
  <rv s="7">
    <fb>100.31</fb>
    <v>14</v>
  </rv>
  <rv s="7">
    <fb>665.77</fb>
    <v>14</v>
  </rv>
  <rv s="7">
    <fb>71.95</fb>
    <v>14</v>
  </rv>
  <rv s="7">
    <fb>5408.42</fb>
    <v>14</v>
  </rv>
  <rv s="7">
    <fb>45544</fb>
    <v>15</v>
  </rv>
  <rv s="7">
    <fb>524.62</fb>
    <v>14</v>
  </rv>
  <rv s="7">
    <fb>186.49</fb>
    <v>14</v>
  </rv>
  <rv s="7">
    <fb>158.37</fb>
    <v>14</v>
  </rv>
  <rv s="7">
    <fb>697.06</fb>
    <v>14</v>
  </rv>
  <rv s="7">
    <fb>73</fb>
    <v>14</v>
  </rv>
  <rv s="7">
    <fb>5626.02</fb>
    <v>14</v>
  </rv>
  <rv s="7">
    <fb>45551</fb>
    <v>15</v>
  </rv>
  <rv s="7">
    <fb>561.35</fb>
    <v>14</v>
  </rv>
  <rv s="7">
    <fb>191.6</fb>
    <v>14</v>
  </rv>
  <rv s="7">
    <fb>164.64</fb>
    <v>14</v>
  </rv>
  <rv s="7">
    <fb>109.51</fb>
    <v>14</v>
  </rv>
  <rv s="7">
    <fb>701.03</fb>
    <v>14</v>
  </rv>
  <rv s="7">
    <fb>74.290000000000006</fb>
    <v>14</v>
  </rv>
  <rv s="7">
    <fb>5702.55</fb>
    <v>14</v>
  </rv>
  <rv s="7">
    <fb>45558</fb>
    <v>15</v>
  </rv>
  <rv s="7">
    <fb>567.36</fb>
    <v>14</v>
  </rv>
  <rv s="7">
    <fb>187.97</fb>
    <v>14</v>
  </rv>
  <rv s="7">
    <fb>165.29</fb>
    <v>14</v>
  </rv>
  <rv s="7">
    <fb>109.45</fb>
    <v>14</v>
  </rv>
  <rv s="7">
    <fb>707.35</fb>
    <v>14</v>
  </rv>
  <rv s="7">
    <fb>72.599999999999994</fb>
    <v>14</v>
  </rv>
  <rv s="7">
    <fb>5738.17</fb>
    <v>14</v>
  </rv>
  <rv s="7">
    <fb>45565</fb>
    <v>15</v>
  </rv>
  <rv s="7">
    <fb>595.94000000000005</fb>
    <v>14</v>
  </rv>
  <rv s="7">
    <fb>186.51</fb>
    <v>14</v>
  </rv>
  <rv s="7">
    <fb>168.56</fb>
    <v>14</v>
  </rv>
  <rv s="7">
    <fb>719.7</fb>
    <v>14</v>
  </rv>
  <rv s="7">
    <fb>72.12</fb>
    <v>14</v>
  </rv>
  <rv s="7">
    <fb>5751.07</fb>
    <v>14</v>
  </rv>
  <rv s="7">
    <fb>45572</fb>
    <v>15</v>
  </rv>
  <rv s="7">
    <fb>589.95000000000005</fb>
    <v>14</v>
  </rv>
  <rv s="7">
    <fb>188.82</fb>
    <v>14</v>
  </rv>
  <rv s="7">
    <fb>164.52</fb>
    <v>14</v>
  </rv>
  <rv s="7">
    <fb>117.9</fb>
    <v>14</v>
  </rv>
  <rv s="7">
    <fb>722.79</fb>
    <v>14</v>
  </rv>
  <rv s="7">
    <fb>71.62</fb>
    <v>14</v>
  </rv>
  <rv s="7">
    <fb>5815.03</fb>
    <v>14</v>
  </rv>
  <rv s="7">
    <fb>45579</fb>
    <v>15</v>
  </rv>
  <rv s="7">
    <fb>576.47</fb>
    <v>14</v>
  </rv>
  <rv s="7">
    <fb>188.99</fb>
    <v>14</v>
  </rv>
  <rv s="7">
    <fb>165.05</fb>
    <v>14</v>
  </rv>
  <rv s="7">
    <fb>118.76</fb>
    <v>14</v>
  </rv>
  <rv s="7">
    <fb>763.89</fb>
    <v>14</v>
  </rv>
  <rv s="7">
    <fb>5864.67</fb>
    <v>14</v>
  </rv>
  <rv s="7">
    <fb>45586</fb>
    <v>15</v>
  </rv>
  <rv s="7">
    <fb>573.25</fb>
    <v>14</v>
  </rv>
  <rv s="7">
    <fb>187.83</fb>
    <v>14</v>
  </rv>
  <rv s="7">
    <fb>166.99</fb>
    <v>14</v>
  </rv>
  <rv s="7">
    <fb>119.47</fb>
    <v>14</v>
  </rv>
  <rv s="7">
    <fb>754.68</fb>
    <v>14</v>
  </rv>
  <rv s="7">
    <fb>74.69</fb>
    <v>14</v>
  </rv>
  <rv s="7">
    <fb>5808.12</fb>
    <v>14</v>
  </rv>
  <rv s="7">
    <fb>45593</fb>
    <v>15</v>
  </rv>
  <rv s="7">
    <fb>567.16</fb>
    <v>14</v>
  </rv>
  <rv s="7">
    <fb>197.93</fb>
    <v>14</v>
  </rv>
  <rv s="7">
    <fb>172.65</fb>
    <v>14</v>
  </rv>
  <rv s="7">
    <fb>119.19</fb>
    <v>14</v>
  </rv>
  <rv s="7">
    <fb>756.1</fb>
    <v>14</v>
  </rv>
  <rv s="7">
    <fb>74.319999999999993</fb>
    <v>14</v>
  </rv>
  <rv s="7">
    <fb>5728.8</fb>
    <v>14</v>
  </rv>
  <rv s="7">
    <fb>45600</fb>
    <v>15</v>
  </rv>
  <rv s="7">
    <fb>45607</fb>
    <v>15</v>
  </rv>
  <rv s="7">
    <fb>554.08000000000004</fb>
    <v>14</v>
  </rv>
  <rv s="7">
    <fb>202.61</fb>
    <v>14</v>
  </rv>
  <rv s="7">
    <fb>173.89</fb>
    <v>14</v>
  </rv>
  <rv s="7">
    <fb>118.15</fb>
    <v>14</v>
  </rv>
  <rv s="7">
    <fb>823.96</fb>
    <v>14</v>
  </rv>
  <rv s="7">
    <fb>78.760000000000005</fb>
    <v>14</v>
  </rv>
  <rv s="7">
    <fb>5870.62</fb>
    <v>14</v>
  </rv>
  <rv s="7">
    <fb>45614</fb>
    <v>15</v>
  </rv>
  <rv s="7">
    <fb>559.14</fb>
    <v>14</v>
  </rv>
  <rv s="7">
    <fb>197.12</fb>
    <v>14</v>
  </rv>
  <rv s="7">
    <fb>166.57</fb>
    <v>14</v>
  </rv>
  <rv s="7">
    <fb>129.69999999999999</fb>
    <v>14</v>
  </rv>
  <rv s="7">
    <fb>897.79</fb>
    <v>14</v>
  </rv>
  <rv s="7">
    <fb>81.069999999999993</fb>
    <v>14</v>
  </rv>
  <rv s="7">
    <fb>5969.34</fb>
    <v>14</v>
  </rv>
  <rv s="7">
    <fb>45621</fb>
    <v>15</v>
  </rv>
  <rv s="7">
    <fb>574.32000000000005</fb>
    <v>14</v>
  </rv>
  <rv s="7">
    <fb>207.89</fb>
    <v>14</v>
  </rv>
  <rv s="7">
    <fb>170.49</fb>
    <v>14</v>
  </rv>
  <rv s="7">
    <fb>128.55000000000001</fb>
    <v>14</v>
  </rv>
  <rv s="7">
    <fb>886.81</fb>
    <v>14</v>
  </rv>
  <rv s="7">
    <fb>82.99</fb>
    <v>14</v>
  </rv>
  <rv s="7">
    <fb>6032.38</fb>
    <v>14</v>
  </rv>
  <rv s="7">
    <fb>45628</fb>
    <v>15</v>
  </rv>
  <rv s="7">
    <fb>623.77</fb>
    <v>14</v>
  </rv>
  <rv s="7">
    <fb>227.03</fb>
    <v>14</v>
  </rv>
  <rv s="7">
    <fb>176.49</fb>
    <v>14</v>
  </rv>
  <rv s="7">
    <fb>139.11000000000001</fb>
    <v>14</v>
  </rv>
  <rv s="7">
    <fb>934.74</fb>
    <v>14</v>
  </rv>
  <rv s="7">
    <fb>81.14</fb>
    <v>14</v>
  </rv>
  <rv s="7">
    <fb>6090.27</fb>
    <v>14</v>
  </rv>
  <rv s="7">
    <fb>45635</fb>
    <v>15</v>
  </rv>
  <rv s="7">
    <fb>620.35</fb>
    <v>14</v>
  </rv>
  <rv s="7">
    <fb>227.46</fb>
    <v>14</v>
  </rv>
  <rv s="7">
    <fb>191.38</fb>
    <v>14</v>
  </rv>
  <rv s="7">
    <fb>132.41999999999999</fb>
    <v>14</v>
  </rv>
  <rv s="7">
    <fb>918.87</fb>
    <v>14</v>
  </rv>
  <rv s="7">
    <fb>80.12</fb>
    <v>14</v>
  </rv>
  <rv s="7">
    <fb>6051.09</fb>
    <v>14</v>
  </rv>
  <rv s="7">
    <fb>45642</fb>
    <v>15</v>
  </rv>
  <rv s="7">
    <fb>585.25</fb>
    <v>14</v>
  </rv>
  <rv s="7">
    <fb>224.92</fb>
    <v>14</v>
  </rv>
  <rv s="7">
    <fb>192.96</fb>
    <v>14</v>
  </rv>
  <rv s="7">
    <fb>125.01</fb>
    <v>14</v>
  </rv>
  <rv s="7">
    <fb>909.05</fb>
    <v>14</v>
  </rv>
  <rv s="7">
    <fb>77.7</fb>
    <v>14</v>
  </rv>
  <rv s="7">
    <fb>5930.85</fb>
    <v>14</v>
  </rv>
  <rv s="7">
    <fb>45649</fb>
    <v>15</v>
  </rv>
  <rv s="7">
    <fb>599.80999999999995</fb>
    <v>14</v>
  </rv>
  <rv s="7">
    <fb>223.75</fb>
    <v>14</v>
  </rv>
  <rv s="7">
    <fb>194.04</fb>
    <v>14</v>
  </rv>
  <rv s="7">
    <fb>121.39</fb>
    <v>14</v>
  </rv>
  <rv s="7">
    <fb>907.55</fb>
    <v>14</v>
  </rv>
  <rv s="7">
    <fb>78.42</fb>
    <v>14</v>
  </rv>
  <rv s="7">
    <fb>5970.84</fb>
    <v>14</v>
  </rv>
  <rv s="7">
    <fb>45656</fb>
    <v>15</v>
  </rv>
  <rv s="7">
    <fb>604.63</fb>
    <v>14</v>
  </rv>
  <rv s="7">
    <fb>224.19</fb>
    <v>14</v>
  </rv>
  <rv s="7">
    <fb>193.13</fb>
    <v>14</v>
  </rv>
  <rv s="7">
    <fb>121.84</fb>
    <v>14</v>
  </rv>
  <rv s="7">
    <fb>881.05</fb>
    <v>14</v>
  </rv>
  <rv s="7">
    <fb>78.22</fb>
    <v>14</v>
  </rv>
  <rv s="7">
    <fb>5942.47</fb>
    <v>14</v>
  </rv>
  <rv s="7">
    <fb>45663</fb>
    <v>15</v>
  </rv>
  <rv s="7">
    <fb>615.86</fb>
    <v>14</v>
  </rv>
  <rv s="7">
    <fb>218.94</fb>
    <v>14</v>
  </rv>
  <rv s="7">
    <fb>193.17</fb>
    <v>14</v>
  </rv>
  <rv s="7">
    <fb>118.8</fb>
    <v>14</v>
  </rv>
  <rv s="7">
    <fb>837.69</fb>
    <v>14</v>
  </rv>
  <rv s="7">
    <fb>75.88</fb>
    <v>14</v>
  </rv>
  <rv s="7">
    <fb>5827.04</fb>
    <v>14</v>
  </rv>
  <rv s="7">
    <fb>45670</fb>
    <v>15</v>
  </rv>
  <rv s="7">
    <fb>612.77</fb>
    <v>14</v>
  </rv>
  <rv s="7">
    <fb>225.94</fb>
    <v>14</v>
  </rv>
  <rv s="7">
    <fb>197.55</fb>
    <v>14</v>
  </rv>
  <rv s="7">
    <fb>124.42</fb>
    <v>14</v>
  </rv>
  <rv s="7">
    <fb>858.1</fb>
    <v>14</v>
  </rv>
  <rv s="7">
    <fb>78.83</fb>
    <v>14</v>
  </rv>
  <rv s="7">
    <fb>5996.66</fb>
    <v>14</v>
  </rv>
  <rv s="7">
    <fb>45678</fb>
    <v>15</v>
  </rv>
  <rv s="7">
    <fb>647.49</fb>
    <v>14</v>
  </rv>
  <rv s="7">
    <fb>234.85</fb>
    <v>14</v>
  </rv>
  <rv s="7">
    <fb>201.9</fb>
    <v>14</v>
  </rv>
  <rv s="7">
    <fb>119.96</fb>
    <v>14</v>
  </rv>
  <rv s="7">
    <fb>977.59</fb>
    <v>14</v>
  </rv>
  <rv s="7">
    <fb>6101.24</fb>
    <v>14</v>
  </rv>
  <rv s="7">
    <fb>45684</fb>
    <v>15</v>
  </rv>
  <rv s="7">
    <fb>689.18</fb>
    <v>14</v>
  </rv>
  <rv s="7">
    <fb>237.68</fb>
    <v>14</v>
  </rv>
  <rv s="7">
    <fb>205.6</fb>
    <v>14</v>
  </rv>
  <rv s="7">
    <fb>118.68</fb>
    <v>14</v>
  </rv>
  <rv s="7">
    <fb>976.76</fb>
    <v>14</v>
  </rv>
  <rv s="7">
    <fb>82.34</fb>
    <v>14</v>
  </rv>
  <rv s="7">
    <fb>6040.53</fb>
    <v>14</v>
  </rv>
  <rv s="7">
    <fb>45691</fb>
    <v>15</v>
  </rv>
  <rv s="7">
    <fb>714.52</fb>
    <v>14</v>
  </rv>
  <rv s="7">
    <fb>229.15</fb>
    <v>14</v>
  </rv>
  <rv s="7">
    <fb>187.14</fb>
    <v>14</v>
  </rv>
  <rv s="7">
    <fb>117.29</fb>
    <v>14</v>
  </rv>
  <rv s="7">
    <fb>1013.93</fb>
    <v>14</v>
  </rv>
  <rv s="7">
    <fb>82.82</fb>
    <v>14</v>
  </rv>
  <rv s="7">
    <fb>6025.99</fb>
    <v>14</v>
  </rv>
  <rv s="7">
    <fb>45698</fb>
    <v>15</v>
  </rv>
  <rv s="7">
    <fb>736.67</fb>
    <v>14</v>
  </rv>
  <rv s="7">
    <fb>228.68</fb>
    <v>14</v>
  </rv>
  <rv s="7">
    <fb>186.87</fb>
    <v>14</v>
  </rv>
  <rv s="7">
    <fb>80.16</fb>
    <v>14</v>
  </rv>
  <rv s="7">
    <fb>1058.5999999999999</fb>
    <v>14</v>
  </rv>
  <rv s="7">
    <fb>6114.63</fb>
    <v>14</v>
  </rv>
  <rv s="7">
    <fb>45706</fb>
    <v>15</v>
  </rv>
  <rv s="7">
    <fb>683.55</fb>
    <v>14</v>
  </rv>
  <rv s="7">
    <fb>216.58</fb>
    <v>14</v>
  </rv>
  <rv s="7">
    <fb>181.58</fb>
    <v>14</v>
  </rv>
  <rv s="7">
    <fb>72.06</fb>
    <v>14</v>
  </rv>
  <rv s="7">
    <fb>1003.15</fb>
    <v>14</v>
  </rv>
  <rv s="7">
    <fb>6013.13</fb>
    <v>14</v>
  </rv>
  <rv s="7">
    <fb>45712</fb>
    <v>15</v>
  </rv>
  <rv s="7">
    <fb>668.2</fb>
    <v>14</v>
  </rv>
  <rv s="7">
    <fb>212.28</fb>
    <v>14</v>
  </rv>
  <rv s="7">
    <fb>172.22</fb>
    <v>14</v>
  </rv>
  <rv s="7">
    <fb>70.319999999999993</fb>
    <v>14</v>
  </rv>
  <rv s="7">
    <fb>980.56</fb>
    <v>14</v>
  </rv>
  <rv s="7">
    <fb>82.78</fb>
    <v>14</v>
  </rv>
  <rv s="7">
    <fb>5954.5</fb>
    <v>14</v>
  </rv>
  <rv s="7">
    <fb>45719</fb>
    <v>15</v>
  </rv>
  <rv s="7">
    <fb>45726</fb>
    <v>15</v>
  </rv>
  <rv s="7">
    <fb>607.6</fb>
    <v>14</v>
  </rv>
  <rv s="7">
    <fb>197.95</fb>
    <v>14</v>
  </rv>
  <rv s="7">
    <fb>167.62</fb>
    <v>14</v>
  </rv>
  <rv s="7">
    <fb>53.94</fb>
    <v>14</v>
  </rv>
  <rv s="7">
    <fb>918</fb>
    <v>14</v>
  </rv>
  <rv s="7">
    <fb>73.260000000000005</fb>
    <v>14</v>
  </rv>
  <rv s="7">
    <fb>5638.94</fb>
    <v>14</v>
  </rv>
  <rv s="7">
    <fb>45733</fb>
    <v>15</v>
  </rv>
  <rv s="7">
    <fb>596.25</fb>
    <v>14</v>
  </rv>
  <rv s="7">
    <fb>196.21</fb>
    <v>14</v>
  </rv>
  <rv s="7">
    <fb>166.25</fb>
    <v>14</v>
  </rv>
  <rv s="7">
    <fb>56.31</fb>
    <v>14</v>
  </rv>
  <rv s="7">
    <fb>960.29</fb>
    <v>14</v>
  </rv>
  <rv s="7">
    <fb>75.55</fb>
    <v>14</v>
  </rv>
  <rv s="7">
    <fb>5667.56</fb>
    <v>14</v>
  </rv>
  <rv s="7">
    <fb>45740</fb>
    <v>15</v>
  </rv>
  <rv s="7">
    <fb>576.74</fb>
    <v>14</v>
  </rv>
  <rv s="7">
    <fb>192.72</fb>
    <v>14</v>
  </rv>
  <rv s="7">
    <fb>156.06</fb>
    <v>14</v>
  </rv>
  <rv s="7">
    <fb>55.85</fb>
    <v>14</v>
  </rv>
  <rv s="7">
    <fb>933.85</fb>
    <v>14</v>
  </rv>
  <rv s="7">
    <fb>5580.94</fb>
    <v>14</v>
  </rv>
  <rv s="7">
    <fb>45747</fb>
    <v>15</v>
  </rv>
  <rv s="7">
    <fb>45754</fb>
    <v>15</v>
  </rv>
  <rv s="7">
    <fb>543.57000000000005</fb>
    <v>14</v>
  </rv>
  <rv s="7">
    <fb>184.87</fb>
    <v>14</v>
  </rv>
  <rv s="7">
    <fb>159.4</fb>
    <v>14</v>
  </rv>
  <rv s="7">
    <fb>49.78</fb>
    <v>14</v>
  </rv>
  <rv s="7">
    <fb>918.29</fb>
    <v>14</v>
  </rv>
  <rv s="7">
    <fb>71.53</fb>
    <v>14</v>
  </rv>
  <rv s="7">
    <fb>5363.36</fb>
    <v>14</v>
  </rv>
  <rv s="7">
    <fb>45761</fb>
    <v>15</v>
  </rv>
  <rv s="7">
    <fb>501.48</fb>
    <v>14</v>
  </rv>
  <rv s="7">
    <fb>172.61</fb>
    <v>14</v>
  </rv>
  <rv s="7">
    <fb>153.36000000000001</fb>
    <v>14</v>
  </rv>
  <rv s="7">
    <fb>50.26</fb>
    <v>14</v>
  </rv>
  <rv s="7">
    <fb>973.03</fb>
    <v>14</v>
  </rv>
  <rv s="7">
    <fb>5282.7</fb>
    <v>14</v>
  </rv>
  <rv s="7">
    <fb>45768</fb>
    <v>15</v>
  </rv>
  <rv s="7">
    <fb>547.27</fb>
    <v>14</v>
  </rv>
  <rv s="7">
    <fb>163.85</fb>
    <v>14</v>
  </rv>
  <rv s="7">
    <fb>1101.53</fb>
    <v>14</v>
  </rv>
  <rv s="7">
    <fb>75.36</fb>
    <v>14</v>
  </rv>
  <rv s="7">
    <fb>5525.21</fb>
    <v>14</v>
  </rv>
  <rv s="7">
    <fb>45775</fb>
    <v>15</v>
  </rv>
  <rv s="7">
    <fb>597.02</fb>
    <v>14</v>
  </rv>
  <rv s="7">
    <fb>189.98</fb>
    <v>14</v>
  </rv>
  <rv s="7">
    <fb>165.81</fb>
    <v>14</v>
  </rv>
  <rv s="7">
    <fb>54.09</fb>
    <v>14</v>
  </rv>
  <rv s="7">
    <fb>1156.49</fb>
    <v>14</v>
  </rv>
  <rv s="7">
    <fb>78.180000000000007</fb>
    <v>14</v>
  </rv>
  <rv s="7">
    <fb>5686.67</fb>
    <v>14</v>
  </rv>
  <rv s="8">
    <v>16</v>
    <v>a1nhlh</v>
    <v>Weekly</v>
    <v>43828</v>
    <v>45787</v>
    <v>0</v>
    <v>1</v>
    <v>638817408000000000,638819369185807898,0</v>
    <v>0</v>
    <v>a1nhlh</v>
    <v>XNAS:AMZN</v>
    <v>1</v>
  </rv>
  <rv s="8">
    <v>16</v>
    <v>a1u3p2</v>
    <v>Weekly</v>
    <v>43828</v>
    <v>45787</v>
    <v>0</v>
    <v>1</v>
    <v>638817408000000000,638819369185821279,0</v>
    <v>0</v>
    <v>a1u3p2</v>
    <v>XNAS:GOOG</v>
    <v>2</v>
  </rv>
  <rv s="8">
    <v>16</v>
    <v>a1slm7</v>
    <v>Weekly</v>
    <v>43828</v>
    <v>45787</v>
    <v>0</v>
    <v>1</v>
    <v>638817408000000000,638819369185788449,0</v>
    <v>0</v>
    <v>a1slm7</v>
    <v>XNAS:META</v>
    <v>3</v>
  </rv>
  <rv s="8">
    <v>16</v>
    <v>a24lfr</v>
    <v>Weekly</v>
    <v>43828</v>
    <v>45787</v>
    <v>0</v>
    <v>1</v>
    <v>638817408000000000,638819369185845851,0</v>
    <v>0</v>
    <v>a24lfr</v>
    <v>XNAS:TTD</v>
    <v>4</v>
  </rv>
  <rv s="8">
    <v>16</v>
    <v>a1ygoc</v>
    <v>Weekly</v>
    <v>43828</v>
    <v>45787</v>
    <v>0</v>
    <v>1</v>
    <v>638817408000000000,638819369185887388,0</v>
    <v>0</v>
    <v>a1ygoc</v>
    <v>XNAS:NFLX</v>
    <v>5</v>
  </rv>
  <rv s="8">
    <v>16</v>
    <v>a1ydc7</v>
    <v>Weekly</v>
    <v>43828</v>
    <v>45787</v>
    <v>0</v>
    <v>1</v>
    <v>638817408000000000,638819369185912916,0</v>
    <v>0</v>
    <v>a1ydc7</v>
    <v>XNAS:NDAQ</v>
    <v>6</v>
  </rv>
  <rv s="8">
    <v>16</v>
    <v>a33k6h</v>
    <v>Weekly</v>
    <v>43828</v>
    <v>45787</v>
    <v>0</v>
    <v>1</v>
    <v>638817408000000000,638819369185935158,0</v>
    <v>7</v>
    <v>a33k6h</v>
    <v>INX</v>
    <v>8</v>
  </rv>
</rvData>
</file>

<file path=xl/richData/rdrichvaluestructure.xml><?xml version="1.0" encoding="utf-8"?>
<rvStructures xmlns="http://schemas.microsoft.com/office/spreadsheetml/2017/richdata" count="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formattednumber">
    <k n="_Format" t="sp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3">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spbArrays>
  <spbData count="17">
    <spb s="0">
      <v>0</v>
      <v>Name</v>
      <v>LearnMoreOnLink</v>
    </spb>
    <spb s="1">
      <v>0</v>
      <v>0</v>
      <v>0</v>
    </spb>
    <spb s="2">
      <v>1</v>
      <v>1</v>
      <v>1</v>
      <v>1</v>
    </spb>
    <spb s="3">
      <v>1</v>
      <v>2</v>
      <v>2</v>
      <v>1</v>
      <v>3</v>
      <v>1</v>
      <v>1</v>
      <v>1</v>
      <v>4</v>
      <v>4</v>
      <v>5</v>
      <v>6</v>
      <v>1</v>
      <v>1</v>
      <v>1</v>
      <v>4</v>
      <v>7</v>
      <v>8</v>
      <v>9</v>
      <v>4</v>
      <v>1</v>
      <v>1</v>
      <v>5</v>
    </spb>
    <spb s="4">
      <v>at close</v>
      <v>from previous close</v>
      <v>from previous close</v>
      <v>Source: Nasdaq</v>
      <v>GMT</v>
      <v>Delayed 15 minutes</v>
      <v>from close</v>
      <v>from close</v>
    </spb>
    <spb s="0">
      <v>1</v>
      <v>Name</v>
      <v>LearnMoreOnLink</v>
    </spb>
    <spb s="5">
      <v>0</v>
      <v>0</v>
    </spb>
    <spb s="6">
      <v>6</v>
      <v>1</v>
      <v>1</v>
      <v>1</v>
      <v>1</v>
    </spb>
    <spb s="7">
      <v>1</v>
      <v>2</v>
      <v>2</v>
      <v>1</v>
      <v>3</v>
      <v>1</v>
      <v>10</v>
      <v>1</v>
      <v>1</v>
      <v>4</v>
      <v>4</v>
      <v>5</v>
      <v>6</v>
      <v>1</v>
      <v>1</v>
      <v>1</v>
      <v>4</v>
      <v>7</v>
      <v>8</v>
      <v>9</v>
      <v>4</v>
      <v>1</v>
      <v>1</v>
      <v>5</v>
    </spb>
    <spb s="8">
      <v>Powered by Refinitiv</v>
    </spb>
    <spb s="0">
      <v>2</v>
      <v>Name</v>
      <v>LearnMoreOnLink</v>
    </spb>
    <spb s="9">
      <v>1</v>
      <v>1</v>
      <v>1</v>
    </spb>
    <spb s="10">
      <v>1</v>
      <v>1</v>
      <v>3</v>
      <v>1</v>
      <v>1</v>
      <v>1</v>
      <v>5</v>
      <v>1</v>
      <v>1</v>
      <v>1</v>
      <v>9</v>
    </spb>
    <spb s="11">
      <v>from previous close</v>
      <v>from previous close</v>
    </spb>
    <spb s="12">
      <v>1</v>
    </spb>
    <spb s="12">
      <v>11</v>
    </spb>
    <spb s="13">
      <v>11</v>
      <v>1</v>
    </spb>
  </spbData>
</supportingPropertyBags>
</file>

<file path=xl/richData/rdsupportingpropertybagstructure.xml><?xml version="1.0" encoding="utf-8"?>
<spbStructures xmlns="http://schemas.microsoft.com/office/spreadsheetml/2017/richdata2" count="14">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UniqueName" t="spb"/>
    <k n="`%ProviderInfo" t="spb"/>
    <k n="LearnMoreOnLink" t="spb"/>
  </s>
  <s>
    <k n="Low" t="i"/>
    <k n="High" t="i"/>
    <k n="Name" t="i"/>
    <k n="Open" t="i"/>
    <k n="Price" t="i"/>
    <k n="Change" t="i"/>
    <k n="Change (%)" t="i"/>
    <k n="52 week low" t="i"/>
    <k n="52 week high" t="i"/>
    <k n="Previous close" t="i"/>
    <k n="`%EntityServiceId" t="i"/>
  </s>
  <s>
    <k n="Change" t="s"/>
    <k n="Change (%)" t="s"/>
  </s>
  <s>
    <k n="_Self"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yyyy/mm/dd\ h:mm"/>
    </x:dxf>
    <x:dxf>
      <x:numFmt numFmtId="1" formatCode="0"/>
    </x:dxf>
    <x:dxf>
      <x:numFmt numFmtId="2" formatCode="0.00"/>
    </x:dxf>
    <x:dxf>
      <x:numFmt numFmtId="19" formatCode="yyyy/mm/dd"/>
    </x:dxf>
  </dxfs>
  <richProperties>
    <rPr n="NumberFormat" t="s"/>
    <rPr n="IsTitleField" t="b"/>
    <rPr n="IsHeroField" t="b"/>
  </richProperties>
  <richStyles>
    <rSty dxfid="0">
      <rpv i="0">_([$$-en-US]* #,##0.00_);_([$$-en-US]* (#,##0.00);_([$$-en-US]* "-"??_);_(@_)</rpv>
    </rSty>
    <rSty dxfid="1">
      <rpv i="0">#,##0.00</rpv>
    </rSty>
    <rSty>
      <rpv i="1">1</rpv>
    </rSty>
    <rSty dxfid="2">
      <rpv i="0">#,##0</rpv>
    </rSty>
    <rSty dxfid="3"/>
    <rSty dxfid="0">
      <rpv i="0">_([$$-en-US]* #,##0_);_([$$-en-US]* (#,##0);_([$$-en-US]* "-"_);_(@_)</rpv>
    </rSty>
    <rSty dxfid="4"/>
    <rSty dxfid="5">
      <rpv i="0">0</rpv>
    </rSty>
    <rSty dxfid="6">
      <rpv i="0">0.00</rpv>
    </rSty>
    <rSty>
      <rpv i="2">1</rpv>
    </rSty>
    <rSty dxfid="7"/>
  </richStyles>
</richStyleShee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3D77615-4E0D-4F0D-921A-146A30ED6BD9}">
  <we:reference id="wa200004041" version="3.1.1.0" store="en-US" storeType="OMEX"/>
  <we:alternateReferences>
    <we:reference id="wa200004041" version="3.1.1.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_xldudf_TEGUS_CD</we:customFunctionIds>
        <we:customFunctionIds>_xldudf_TEGUS_FX</we:customFunctionIds>
        <we:customFunctionIds>_xldudf_TEGUS_P</we:customFunctionIds>
        <we:customFunctionIds>_xldudf_TEGUS_MD</we:customFunctionIds>
        <we:customFunctionIds>_xldudf_TEGUS_CE</we:customFunctionIds>
      </we:customFunctionIdList>
    </a:ext>
    <a:ext xmlns:a="http://schemas.openxmlformats.org/drawingml/2006/main" uri="{0858819E-0033-43BF-8937-05EC82904868}">
      <we:backgroundApp state="1" runtimeId="Taskpane.Url"/>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upport@canalyst.com?subject=Canalyst%20Support:%20Facebook,%20Inc.%20FB%20US&amp;body=Model%20Version:%20Q2-2019.20" TargetMode="External"/><Relationship Id="rId1" Type="http://schemas.openxmlformats.org/officeDocument/2006/relationships/hyperlink" Target="mailto:support@canalyst.com?subject=Canalyst%20Support:%20Facebook,%20Inc.%20FB%20US&amp;body=Model%20Version:%20FY2018.20" TargetMode="External"/><Relationship Id="rId4"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11.bin"/><Relationship Id="rId1" Type="http://schemas.openxmlformats.org/officeDocument/2006/relationships/hyperlink" Target="http://investor.fb.com/" TargetMode="Externa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6" Type="http://schemas.openxmlformats.org/officeDocument/2006/relationships/hyperlink" Target="https://investor.fb.com/investor-news/press-release-details/2020/Facebook-Reports-Third-Quarter-2020-Results/default.aspx" TargetMode="External"/><Relationship Id="rId21" Type="http://schemas.openxmlformats.org/officeDocument/2006/relationships/hyperlink" Target="https://investor.fb.com/investor-news/press-release-details/2020/Facebook-Reports-Second-Quarter-2020-Results/default.aspx" TargetMode="External"/><Relationship Id="rId42" Type="http://schemas.openxmlformats.org/officeDocument/2006/relationships/hyperlink" Target="https://s21.q4cdn.com/399680738/files/doc_news/Facebook-Reports-Third-Quarter-2021-Results-2021.pdf" TargetMode="External"/><Relationship Id="rId47" Type="http://schemas.openxmlformats.org/officeDocument/2006/relationships/hyperlink" Target="https://s21.q4cdn.com/399680738/files/doc_news/Meta-Reports-Fourth-Quarter-and-Full-Year-2021-Results-2022.pdf" TargetMode="External"/><Relationship Id="rId63" Type="http://schemas.openxmlformats.org/officeDocument/2006/relationships/hyperlink" Target="https://investor.fb.com/investor-news/press-release-details/2023/Meta-Reports-Fourth-Quarter-and-Full-Year-2022-Results/default.aspx" TargetMode="External"/><Relationship Id="rId68" Type="http://schemas.openxmlformats.org/officeDocument/2006/relationships/hyperlink" Target="https://s21.q4cdn.com/399680738/files/doc_news/Meta-Reports-First-Quarter-2023-Results-2023.pdf" TargetMode="External"/><Relationship Id="rId84" Type="http://schemas.openxmlformats.org/officeDocument/2006/relationships/hyperlink" Target="https://investor.fb.com/files/doc_financials/2024/q1/Meta-03-31-2024-Exhibit-99-1_FINAL.pdf" TargetMode="External"/><Relationship Id="rId89" Type="http://schemas.openxmlformats.org/officeDocument/2006/relationships/hyperlink" Target="https://s21.q4cdn.com/399680738/files/doc_financials/2024/q2/Meta-06-30-2024-Exhibit-99-1_Final.pdf" TargetMode="External"/><Relationship Id="rId16" Type="http://schemas.openxmlformats.org/officeDocument/2006/relationships/hyperlink" Target="https://investor.fb.com/investor-news/press-release-details/2020/Facebook-Reports-First-Quarter-2020-Results/default.aspx" TargetMode="External"/><Relationship Id="rId107" Type="http://schemas.openxmlformats.org/officeDocument/2006/relationships/vmlDrawing" Target="../drawings/vmlDrawing5.vml"/><Relationship Id="rId11" Type="http://schemas.openxmlformats.org/officeDocument/2006/relationships/hyperlink" Target="https://s21.q4cdn.com/399680738/files/doc_financials/2019/q3/Q3-2019-FB-Prepared-Remarks.pdf" TargetMode="External"/><Relationship Id="rId32" Type="http://schemas.openxmlformats.org/officeDocument/2006/relationships/hyperlink" Target="https://investor.fb.com/investor-news/press-release-details/2021/Facebook-Reports-Fourth-Quarter-and-Full-Year-2020-Results/default.aspx" TargetMode="External"/><Relationship Id="rId37" Type="http://schemas.openxmlformats.org/officeDocument/2006/relationships/hyperlink" Target="https://s21.q4cdn.com/399680738/files/doc_news/Facebook-Reports-Second-Quarter-2021-Results-2021.pdf" TargetMode="External"/><Relationship Id="rId53" Type="http://schemas.openxmlformats.org/officeDocument/2006/relationships/hyperlink" Target="https://investor.fb.com/investor-news/press-release-details/2022/Meta-Reports-Second-Quarter-2022-Results/default.aspx" TargetMode="External"/><Relationship Id="rId58" Type="http://schemas.openxmlformats.org/officeDocument/2006/relationships/hyperlink" Target="https://s21.q4cdn.com/399680738/files/doc_news/Meta-Reports-Third-Quarter-2022-Results-2022.pdf" TargetMode="External"/><Relationship Id="rId74" Type="http://schemas.openxmlformats.org/officeDocument/2006/relationships/hyperlink" Target="https://s21.q4cdn.com/399680738/files/doc_news/Meta-Reports-Third-Quarter-2023-Results-2023.pdf" TargetMode="External"/><Relationship Id="rId79" Type="http://schemas.openxmlformats.org/officeDocument/2006/relationships/hyperlink" Target="https://s21.q4cdn.com/399680738/files/doc_news/Meta-Reports-Third-Quarter-2023-Results-2023.pdf" TargetMode="External"/><Relationship Id="rId102" Type="http://schemas.openxmlformats.org/officeDocument/2006/relationships/hyperlink" Target="https://investor.atmeta.com/investor-news/press-release-details/2025/Meta-Reports-First-Quarter-2025-Results/default.aspx" TargetMode="External"/><Relationship Id="rId5" Type="http://schemas.openxmlformats.org/officeDocument/2006/relationships/hyperlink" Target="https://s21.q4cdn.com/399680738/files/doc_financials/2019/q3/Q3-2019-FB-Prepared-Remarks.pdf" TargetMode="External"/><Relationship Id="rId90" Type="http://schemas.openxmlformats.org/officeDocument/2006/relationships/hyperlink" Target="https://s21.q4cdn.com/399680738/files/doc_financials/2024/q2/Meta-06-30-2024-Exhibit-99-1_Final.pdf" TargetMode="External"/><Relationship Id="rId95" Type="http://schemas.openxmlformats.org/officeDocument/2006/relationships/hyperlink" Target="https://investor.fb.com/files/doc_financials/2024/q3/Meta-09-30-2024-Exhibit-99-1_FINAL.pdf" TargetMode="External"/><Relationship Id="rId22" Type="http://schemas.openxmlformats.org/officeDocument/2006/relationships/hyperlink" Target="https://investor.fb.com/investor-news/press-release-details/2020/Facebook-Reports-Second-Quarter-2020-Results/default.aspx" TargetMode="External"/><Relationship Id="rId27" Type="http://schemas.openxmlformats.org/officeDocument/2006/relationships/hyperlink" Target="https://investor.fb.com/investor-news/press-release-details/2020/Facebook-Reports-Third-Quarter-2020-Results/default.aspx" TargetMode="External"/><Relationship Id="rId43" Type="http://schemas.openxmlformats.org/officeDocument/2006/relationships/hyperlink" Target="https://s21.q4cdn.com/399680738/files/doc_news/Facebook-Reports-Third-Quarter-2021-Results-2021.pdf" TargetMode="External"/><Relationship Id="rId48" Type="http://schemas.openxmlformats.org/officeDocument/2006/relationships/hyperlink" Target="https://s21.q4cdn.com/399680738/files/doc_news/Meta-Reports-Fourth-Quarter-and-Full-Year-2021-Results-2022.pdf" TargetMode="External"/><Relationship Id="rId64" Type="http://schemas.openxmlformats.org/officeDocument/2006/relationships/hyperlink" Target="https://s21.q4cdn.com/399680738/files/doc_news/Meta-Reports-First-Quarter-2023-Results-2023.pdf" TargetMode="External"/><Relationship Id="rId69" Type="http://schemas.openxmlformats.org/officeDocument/2006/relationships/hyperlink" Target="https://s21.q4cdn.com/399680738/files/doc_financials/2023/q2/Meta-06-30-2023-Exhibit-99-1-FINAL.pdf" TargetMode="External"/><Relationship Id="rId80" Type="http://schemas.openxmlformats.org/officeDocument/2006/relationships/hyperlink" Target="https://investor.fb.com/investor-news/press-release-details/2024/Meta-Reports-Fourth-Quarter-and-Full-Year-2023-Results-Initiates-Quarterly-Dividend/default.aspx" TargetMode="External"/><Relationship Id="rId85" Type="http://schemas.openxmlformats.org/officeDocument/2006/relationships/hyperlink" Target="https://investor.fb.com/files/doc_financials/2024/q1/Meta-03-31-2024-Exhibit-99-1_FINAL.pdf" TargetMode="External"/><Relationship Id="rId12" Type="http://schemas.openxmlformats.org/officeDocument/2006/relationships/hyperlink" Target="https://s21.q4cdn.com/399680738/files/doc_financials/2019/q4/Q4'19-FB-Earnings-Call-Transcript.pdf" TargetMode="External"/><Relationship Id="rId17" Type="http://schemas.openxmlformats.org/officeDocument/2006/relationships/hyperlink" Target="https://investor.fb.com/investor-news/press-release-details/2020/Facebook-Reports-First-Quarter-2020-Results/default.aspx" TargetMode="External"/><Relationship Id="rId33" Type="http://schemas.openxmlformats.org/officeDocument/2006/relationships/hyperlink" Target="https://investor.fb.com/investor-news/press-release-details/2021/Facebook-Reports-Fourth-Quarter-and-Full-Year-2020-Results/default.aspx" TargetMode="External"/><Relationship Id="rId38" Type="http://schemas.openxmlformats.org/officeDocument/2006/relationships/hyperlink" Target="https://s21.q4cdn.com/399680738/files/doc_news/Facebook-Reports-Second-Quarter-2021-Results-2021.pdf" TargetMode="External"/><Relationship Id="rId59" Type="http://schemas.openxmlformats.org/officeDocument/2006/relationships/hyperlink" Target="https://s21.q4cdn.com/399680738/files/doc_news/Meta-Reports-Third-Quarter-2022-Results-2022.pdf" TargetMode="External"/><Relationship Id="rId103" Type="http://schemas.openxmlformats.org/officeDocument/2006/relationships/hyperlink" Target="https://investor.atmeta.com/investor-news/press-release-details/2025/Meta-Reports-First-Quarter-2025-Results/default.aspx" TargetMode="External"/><Relationship Id="rId108" Type="http://schemas.openxmlformats.org/officeDocument/2006/relationships/comments" Target="../comments5.xml"/><Relationship Id="rId20" Type="http://schemas.openxmlformats.org/officeDocument/2006/relationships/hyperlink" Target="https://investor.fb.com/investor-news/press-release-details/2020/Facebook-Reports-Second-Quarter-2020-Results/default.aspx" TargetMode="External"/><Relationship Id="rId41" Type="http://schemas.openxmlformats.org/officeDocument/2006/relationships/hyperlink" Target="https://s21.q4cdn.com/399680738/files/doc_news/Facebook-Reports-Third-Quarter-2021-Results-2021.pdf" TargetMode="External"/><Relationship Id="rId54" Type="http://schemas.openxmlformats.org/officeDocument/2006/relationships/hyperlink" Target="https://investor.fb.com/investor-news/press-release-details/2022/Meta-Reports-Second-Quarter-2022-Results/default.aspx" TargetMode="External"/><Relationship Id="rId62" Type="http://schemas.openxmlformats.org/officeDocument/2006/relationships/hyperlink" Target="https://investor.fb.com/investor-news/press-release-details/2023/Meta-Reports-Fourth-Quarter-and-Full-Year-2022-Results/default.aspx" TargetMode="External"/><Relationship Id="rId70" Type="http://schemas.openxmlformats.org/officeDocument/2006/relationships/hyperlink" Target="https://s21.q4cdn.com/399680738/files/doc_news/Meta-Reports-First-Quarter-2023-Results-2023.pdf" TargetMode="External"/><Relationship Id="rId75" Type="http://schemas.openxmlformats.org/officeDocument/2006/relationships/hyperlink" Target="https://s21.q4cdn.com/399680738/files/doc_news/Meta-Reports-Third-Quarter-2023-Results-2023.pdf" TargetMode="External"/><Relationship Id="rId83" Type="http://schemas.openxmlformats.org/officeDocument/2006/relationships/hyperlink" Target="https://investor.fb.com/investor-news/press-release-details/2024/Meta-Reports-Fourth-Quarter-and-Full-Year-2023-Results-Initiates-Quarterly-Dividend/default.aspx" TargetMode="External"/><Relationship Id="rId88" Type="http://schemas.openxmlformats.org/officeDocument/2006/relationships/hyperlink" Target="https://s21.q4cdn.com/399680738/files/doc_financials/2024/q2/Meta-06-30-2024-Exhibit-99-1_Final.pdf" TargetMode="External"/><Relationship Id="rId91" Type="http://schemas.openxmlformats.org/officeDocument/2006/relationships/hyperlink" Target="https://investor.fb.com/files/doc_financials/2024/q3/Meta-09-30-2024-Exhibit-99-1_FINAL.pdf" TargetMode="External"/><Relationship Id="rId96" Type="http://schemas.openxmlformats.org/officeDocument/2006/relationships/hyperlink" Target="https://investor.fb.com/files/doc_financials/2024/q3/Meta-09-30-2024-Exhibit-99-1_FINAL.pdf" TargetMode="External"/><Relationship Id="rId1" Type="http://schemas.openxmlformats.org/officeDocument/2006/relationships/hyperlink" Target="https://s21.q4cdn.com/399680738/files/doc_financials/2019/Q2/Q2'19-Earnings-Call-Transcript.pdf" TargetMode="External"/><Relationship Id="rId6" Type="http://schemas.openxmlformats.org/officeDocument/2006/relationships/hyperlink" Target="https://s21.q4cdn.com/399680738/files/doc_financials/2019/q3/Q3-2019-FB-Prepared-Remarks.pdf" TargetMode="External"/><Relationship Id="rId15" Type="http://schemas.openxmlformats.org/officeDocument/2006/relationships/hyperlink" Target="https://s21.q4cdn.com/399680738/files/doc_financials/2019/q4/Q4'19-FB-Earnings-Call-Transcript.pdf" TargetMode="External"/><Relationship Id="rId23" Type="http://schemas.openxmlformats.org/officeDocument/2006/relationships/hyperlink" Target="https://investor.fb.com/investor-news/press-release-details/2020/Facebook-Reports-Third-Quarter-2020-Results/default.aspx" TargetMode="External"/><Relationship Id="rId28" Type="http://schemas.openxmlformats.org/officeDocument/2006/relationships/hyperlink" Target="https://investor.fb.com/investor-news/press-release-details/2020/Facebook-Reports-Third-Quarter-2020-Results/default.aspx" TargetMode="External"/><Relationship Id="rId36" Type="http://schemas.openxmlformats.org/officeDocument/2006/relationships/hyperlink" Target="https://s21.q4cdn.com/399680738/files/doc_news/Facebook-Reports-Second-Quarter-2021-Results-2021.pdf" TargetMode="External"/><Relationship Id="rId49" Type="http://schemas.openxmlformats.org/officeDocument/2006/relationships/hyperlink" Target="https://s21.q4cdn.com/399680738/files/doc_news/Meta-Reports-Fourth-Quarter-and-Full-Year-2021-Results-2022.pdf" TargetMode="External"/><Relationship Id="rId57" Type="http://schemas.openxmlformats.org/officeDocument/2006/relationships/hyperlink" Target="https://s21.q4cdn.com/399680738/files/doc_news/Meta-Reports-Third-Quarter-2022-Results-2022.pdf" TargetMode="External"/><Relationship Id="rId106" Type="http://schemas.openxmlformats.org/officeDocument/2006/relationships/printerSettings" Target="../printerSettings/printerSettings14.bin"/><Relationship Id="rId10" Type="http://schemas.openxmlformats.org/officeDocument/2006/relationships/hyperlink" Target="https://s21.q4cdn.com/399680738/files/doc_financials/2019/q3/Q3-2019-FB-Prepared-Remarks.pdf" TargetMode="External"/><Relationship Id="rId31" Type="http://schemas.openxmlformats.org/officeDocument/2006/relationships/hyperlink" Target="https://investor.fb.com/investor-news/press-release-details/2021/Facebook-Reports-Fourth-Quarter-and-Full-Year-2020-Results/default.aspx" TargetMode="External"/><Relationship Id="rId44" Type="http://schemas.openxmlformats.org/officeDocument/2006/relationships/hyperlink" Target="https://s21.q4cdn.com/399680738/files/doc_news/Facebook-Reports-Third-Quarter-2021-Results-2021.pdf" TargetMode="External"/><Relationship Id="rId52" Type="http://schemas.openxmlformats.org/officeDocument/2006/relationships/hyperlink" Target="https://s21.q4cdn.com/399680738/files/doc_news/Meta-Reports-First-Quarter-2022-Results-2022.pdf" TargetMode="External"/><Relationship Id="rId60" Type="http://schemas.openxmlformats.org/officeDocument/2006/relationships/hyperlink" Target="https://investor.fb.com/investor-news/press-release-details/2023/Meta-Reports-Fourth-Quarter-and-Full-Year-2022-Results/default.aspx" TargetMode="External"/><Relationship Id="rId65" Type="http://schemas.openxmlformats.org/officeDocument/2006/relationships/hyperlink" Target="https://investor.fb.com/investor-news/press-release-details/2023/Meta-Reports-Fourth-Quarter-and-Full-Year-2022-Results/default.aspx" TargetMode="External"/><Relationship Id="rId73" Type="http://schemas.openxmlformats.org/officeDocument/2006/relationships/hyperlink" Target="https://s21.q4cdn.com/399680738/files/doc_news/Meta-Reports-First-Quarter-2023-Results-2023.pdf" TargetMode="External"/><Relationship Id="rId78" Type="http://schemas.openxmlformats.org/officeDocument/2006/relationships/hyperlink" Target="https://s21.q4cdn.com/399680738/files/doc_news/Meta-Reports-Third-Quarter-2023-Results-2023.pdf" TargetMode="External"/><Relationship Id="rId81" Type="http://schemas.openxmlformats.org/officeDocument/2006/relationships/hyperlink" Target="https://investor.fb.com/investor-news/press-release-details/2024/Meta-Reports-Fourth-Quarter-and-Full-Year-2023-Results-Initiates-Quarterly-Dividend/default.aspx" TargetMode="External"/><Relationship Id="rId86" Type="http://schemas.openxmlformats.org/officeDocument/2006/relationships/hyperlink" Target="https://investor.fb.com/files/doc_financials/2024/q1/Meta-03-31-2024-Exhibit-99-1_FINAL.pdf" TargetMode="External"/><Relationship Id="rId94" Type="http://schemas.openxmlformats.org/officeDocument/2006/relationships/hyperlink" Target="https://investor.fb.com/files/doc_financials/2024/q3/Meta-09-30-2024-Exhibit-99-1_FINAL.pdf" TargetMode="External"/><Relationship Id="rId99" Type="http://schemas.openxmlformats.org/officeDocument/2006/relationships/hyperlink" Target="https://s21.q4cdn.com/399680738/files/doc_news/Meta-Reports-Fourth-Quarter-and-Full-Year-2024-Results-2025.pdf" TargetMode="External"/><Relationship Id="rId101" Type="http://schemas.openxmlformats.org/officeDocument/2006/relationships/hyperlink" Target="https://s21.q4cdn.com/399680738/files/doc_news/Meta-Reports-Fourth-Quarter-and-Full-Year-2024-Results-2025.pdf" TargetMode="External"/><Relationship Id="rId4" Type="http://schemas.openxmlformats.org/officeDocument/2006/relationships/hyperlink" Target="https://s21.q4cdn.com/399680738/files/doc_financials/2019/Q2/Q2'19-Earnings-Call-Transcript.pdf" TargetMode="External"/><Relationship Id="rId9" Type="http://schemas.openxmlformats.org/officeDocument/2006/relationships/hyperlink" Target="https://s21.q4cdn.com/399680738/files/doc_financials/2019/q3/Q3-2019-FB-Prepared-Remarks.pdf" TargetMode="External"/><Relationship Id="rId13" Type="http://schemas.openxmlformats.org/officeDocument/2006/relationships/hyperlink" Target="https://s21.q4cdn.com/399680738/files/doc_financials/2019/q4/Q4'19-FB-Earnings-Call-Transcript.pdf" TargetMode="External"/><Relationship Id="rId18" Type="http://schemas.openxmlformats.org/officeDocument/2006/relationships/hyperlink" Target="https://investor.fb.com/investor-news/press-release-details/2020/Facebook-Reports-First-Quarter-2020-Results/default.aspx" TargetMode="External"/><Relationship Id="rId39" Type="http://schemas.openxmlformats.org/officeDocument/2006/relationships/hyperlink" Target="https://s21.q4cdn.com/399680738/files/doc_news/Facebook-Reports-Third-Quarter-2021-Results-2021.pdf" TargetMode="External"/><Relationship Id="rId34" Type="http://schemas.openxmlformats.org/officeDocument/2006/relationships/hyperlink" Target="https://investor.fb.com/investor-news/press-release-details/2021/Facebook-Reports-Fourth-Quarter-and-Full-Year-2020-Results/default.aspx" TargetMode="External"/><Relationship Id="rId50" Type="http://schemas.openxmlformats.org/officeDocument/2006/relationships/hyperlink" Target="https://s21.q4cdn.com/399680738/files/doc_news/Meta-Reports-Fourth-Quarter-and-Full-Year-2021-Results-2022.pdf" TargetMode="External"/><Relationship Id="rId55" Type="http://schemas.openxmlformats.org/officeDocument/2006/relationships/hyperlink" Target="https://investor.fb.com/investor-news/press-release-details/2022/Meta-Reports-Second-Quarter-2022-Results/default.aspx" TargetMode="External"/><Relationship Id="rId76" Type="http://schemas.openxmlformats.org/officeDocument/2006/relationships/hyperlink" Target="https://s21.q4cdn.com/399680738/files/doc_news/Meta-Reports-Third-Quarter-2023-Results-2023.pdf" TargetMode="External"/><Relationship Id="rId97" Type="http://schemas.openxmlformats.org/officeDocument/2006/relationships/hyperlink" Target="https://investor.fb.com/files/doc_financials/2024/q3/Meta-09-30-2024-Exhibit-99-1_FINAL.pdf" TargetMode="External"/><Relationship Id="rId104" Type="http://schemas.openxmlformats.org/officeDocument/2006/relationships/hyperlink" Target="https://investor.atmeta.com/investor-news/press-release-details/2025/Meta-Reports-First-Quarter-2025-Results/default.aspx" TargetMode="External"/><Relationship Id="rId7" Type="http://schemas.openxmlformats.org/officeDocument/2006/relationships/hyperlink" Target="https://s21.q4cdn.com/399680738/files/doc_financials/2019/q3/Q3-2019-FB-Prepared-Remarks.pdf" TargetMode="External"/><Relationship Id="rId71" Type="http://schemas.openxmlformats.org/officeDocument/2006/relationships/hyperlink" Target="https://s21.q4cdn.com/399680738/files/doc_news/Meta-Reports-First-Quarter-2023-Results-2023.pdf" TargetMode="External"/><Relationship Id="rId92" Type="http://schemas.openxmlformats.org/officeDocument/2006/relationships/hyperlink" Target="https://investor.fb.com/files/doc_financials/2024/q3/Meta-09-30-2024-Exhibit-99-1_FINAL.pdf" TargetMode="External"/><Relationship Id="rId2" Type="http://schemas.openxmlformats.org/officeDocument/2006/relationships/hyperlink" Target="https://s21.q4cdn.com/399680738/files/doc_financials/2019/Q2/Q2'19-Earnings-Call-Transcript.pdf" TargetMode="External"/><Relationship Id="rId29" Type="http://schemas.openxmlformats.org/officeDocument/2006/relationships/hyperlink" Target="https://investor.fb.com/investor-news/press-release-details/2021/Facebook-Reports-Fourth-Quarter-and-Full-Year-2020-Results/default.aspx" TargetMode="External"/><Relationship Id="rId24" Type="http://schemas.openxmlformats.org/officeDocument/2006/relationships/hyperlink" Target="https://investor.fb.com/investor-news/press-release-details/2020/Facebook-Reports-Third-Quarter-2020-Results/default.aspx" TargetMode="External"/><Relationship Id="rId40" Type="http://schemas.openxmlformats.org/officeDocument/2006/relationships/hyperlink" Target="https://s21.q4cdn.com/399680738/files/doc_news/Facebook-Reports-Third-Quarter-2021-Results-2021.pdf" TargetMode="External"/><Relationship Id="rId45" Type="http://schemas.openxmlformats.org/officeDocument/2006/relationships/hyperlink" Target="https://s21.q4cdn.com/399680738/files/doc_news/Facebook-Reports-Third-Quarter-2021-Results-2021.pdf" TargetMode="External"/><Relationship Id="rId66" Type="http://schemas.openxmlformats.org/officeDocument/2006/relationships/hyperlink" Target="https://investor.fb.com/investor-news/press-release-details/2023/Meta-Reports-Fourth-Quarter-and-Full-Year-2022-Results/default.aspx" TargetMode="External"/><Relationship Id="rId87" Type="http://schemas.openxmlformats.org/officeDocument/2006/relationships/hyperlink" Target="https://investor.fb.com/files/doc_financials/2024/q1/Meta-03-31-2024-Exhibit-99-1_FINAL.pdf" TargetMode="External"/><Relationship Id="rId61" Type="http://schemas.openxmlformats.org/officeDocument/2006/relationships/hyperlink" Target="https://investor.fb.com/investor-news/press-release-details/2023/Meta-Reports-Fourth-Quarter-and-Full-Year-2022-Results/default.aspx" TargetMode="External"/><Relationship Id="rId82" Type="http://schemas.openxmlformats.org/officeDocument/2006/relationships/hyperlink" Target="https://investor.fb.com/investor-news/press-release-details/2024/Meta-Reports-Fourth-Quarter-and-Full-Year-2023-Results-Initiates-Quarterly-Dividend/default.aspx" TargetMode="External"/><Relationship Id="rId19" Type="http://schemas.openxmlformats.org/officeDocument/2006/relationships/hyperlink" Target="https://investor.fb.com/investor-news/press-release-details/2020/Facebook-Reports-Second-Quarter-2020-Results/default.aspx" TargetMode="External"/><Relationship Id="rId14" Type="http://schemas.openxmlformats.org/officeDocument/2006/relationships/hyperlink" Target="https://s21.q4cdn.com/399680738/files/doc_financials/2019/q4/Q4'19-FB-Earnings-Call-Transcript.pdf" TargetMode="External"/><Relationship Id="rId30" Type="http://schemas.openxmlformats.org/officeDocument/2006/relationships/hyperlink" Target="https://investor.fb.com/investor-news/press-release-details/2021/Facebook-Reports-Fourth-Quarter-and-Full-Year-2020-Results/default.aspx" TargetMode="External"/><Relationship Id="rId35" Type="http://schemas.openxmlformats.org/officeDocument/2006/relationships/hyperlink" Target="https://s21.q4cdn.com/399680738/files/doc_financials/2021/FB-03.31.2021-Exhibit-99.1_Final.pdf" TargetMode="External"/><Relationship Id="rId56" Type="http://schemas.openxmlformats.org/officeDocument/2006/relationships/hyperlink" Target="https://investor.fb.com/investor-news/press-release-details/2022/Meta-Reports-Second-Quarter-2022-Results/default.aspx" TargetMode="External"/><Relationship Id="rId77" Type="http://schemas.openxmlformats.org/officeDocument/2006/relationships/hyperlink" Target="https://s21.q4cdn.com/399680738/files/doc_news/Meta-Reports-Third-Quarter-2023-Results-2023.pdf" TargetMode="External"/><Relationship Id="rId100" Type="http://schemas.openxmlformats.org/officeDocument/2006/relationships/hyperlink" Target="https://s21.q4cdn.com/399680738/files/doc_news/Meta-Reports-Fourth-Quarter-and-Full-Year-2024-Results-2025.pdf" TargetMode="External"/><Relationship Id="rId105" Type="http://schemas.openxmlformats.org/officeDocument/2006/relationships/hyperlink" Target="https://investor.atmeta.com/investor-news/press-release-details/2025/Meta-Reports-First-Quarter-2025-Results/default.aspx" TargetMode="External"/><Relationship Id="rId8" Type="http://schemas.openxmlformats.org/officeDocument/2006/relationships/hyperlink" Target="https://s21.q4cdn.com/399680738/files/doc_financials/2019/q3/Q3-2019-FB-Prepared-Remarks.pdf" TargetMode="External"/><Relationship Id="rId51" Type="http://schemas.openxmlformats.org/officeDocument/2006/relationships/hyperlink" Target="https://s21.q4cdn.com/399680738/files/doc_news/Meta-Reports-First-Quarter-2022-Results-2022.pdf" TargetMode="External"/><Relationship Id="rId72" Type="http://schemas.openxmlformats.org/officeDocument/2006/relationships/hyperlink" Target="https://s21.q4cdn.com/399680738/files/doc_news/Meta-Reports-First-Quarter-2023-Results-2023.pdf" TargetMode="External"/><Relationship Id="rId93" Type="http://schemas.openxmlformats.org/officeDocument/2006/relationships/hyperlink" Target="https://investor.fb.com/files/doc_financials/2024/q3/Meta-09-30-2024-Exhibit-99-1_FINAL.pdf" TargetMode="External"/><Relationship Id="rId98" Type="http://schemas.openxmlformats.org/officeDocument/2006/relationships/hyperlink" Target="https://s21.q4cdn.com/399680738/files/doc_news/Meta-Reports-Fourth-Quarter-and-Full-Year-2024-Results-2025.pdf" TargetMode="External"/><Relationship Id="rId3" Type="http://schemas.openxmlformats.org/officeDocument/2006/relationships/hyperlink" Target="https://s21.q4cdn.com/399680738/files/doc_financials/2019/Q2/Q2'19-Earnings-Call-Transcript.pdf" TargetMode="External"/><Relationship Id="rId25" Type="http://schemas.openxmlformats.org/officeDocument/2006/relationships/hyperlink" Target="https://investor.fb.com/investor-news/press-release-details/2020/Facebook-Reports-Third-Quarter-2020-Results/default.aspx" TargetMode="External"/><Relationship Id="rId46" Type="http://schemas.openxmlformats.org/officeDocument/2006/relationships/hyperlink" Target="https://s21.q4cdn.com/399680738/files/doc_news/Meta-Reports-Fourth-Quarter-and-Full-Year-2021-Results-2022.pdf" TargetMode="External"/><Relationship Id="rId67" Type="http://schemas.openxmlformats.org/officeDocument/2006/relationships/hyperlink" Target="https://investor.fb.com/investor-news/press-release-details/2023/Meta-Reports-Fourth-Quarter-and-Full-Year-2022-Results/default.aspx"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3" Type="http://schemas.openxmlformats.org/officeDocument/2006/relationships/hyperlink" Target="https://investor.fb.com/investor-news/press-release-details/2019/Facebook-Reports-Third-Quarter-2019-Results/default.aspx" TargetMode="External"/><Relationship Id="rId18" Type="http://schemas.openxmlformats.org/officeDocument/2006/relationships/hyperlink" Target="https://investor.fb.com/investor-news/press-release-details/2020/Facebook-Reports-Second-Quarter-2020-Results/default.aspx" TargetMode="External"/><Relationship Id="rId26" Type="http://schemas.openxmlformats.org/officeDocument/2006/relationships/hyperlink" Target="https://investor.fb.com/investor-news/press-release-details/2021/Facebook-Reports-Second-Quarter-2021-Results/default.aspx" TargetMode="External"/><Relationship Id="rId39" Type="http://schemas.openxmlformats.org/officeDocument/2006/relationships/hyperlink" Target="https://investor.fb.com/investor-news/press-release-details/2023/Meta-Reports-Fourth-Quarter-and-Full-Year-2022-Results/default.aspx" TargetMode="External"/><Relationship Id="rId21" Type="http://schemas.openxmlformats.org/officeDocument/2006/relationships/hyperlink" Target="https://investor.fb.com/investor-news/press-release-details/2020/Facebook-Reports-Third-Quarter-2020-Results/default.aspx" TargetMode="External"/><Relationship Id="rId34" Type="http://schemas.openxmlformats.org/officeDocument/2006/relationships/hyperlink" Target="https://investor.fb.com/investor-news/press-release-details/2022/Meta-Reports-Second-Quarter-2022-Results/default.aspx" TargetMode="External"/><Relationship Id="rId42" Type="http://schemas.openxmlformats.org/officeDocument/2006/relationships/hyperlink" Target="https://investor.fb.com/investor-news/press-release-details/2023/Meta-Reports-Second-Quarter-2023-Results/default.aspx" TargetMode="External"/><Relationship Id="rId47" Type="http://schemas.openxmlformats.org/officeDocument/2006/relationships/hyperlink" Target="https://investor.fb.com/investor-news/press-release-details/2024/Meta-Reports-Fourth-Quarter-and-Full-Year-2023-Results-Initiates-Quarterly-Dividend/default.aspx" TargetMode="External"/><Relationship Id="rId50" Type="http://schemas.openxmlformats.org/officeDocument/2006/relationships/hyperlink" Target="https://s21.q4cdn.com/399680738/files/doc_financials/2024/q2/Meta-06-30-2024-Exhibit-99-1_Final.pdf" TargetMode="External"/><Relationship Id="rId55" Type="http://schemas.openxmlformats.org/officeDocument/2006/relationships/hyperlink" Target="https://investor.atmeta.com/investor-news/press-release-details/2025/Meta-Reports-Fourth-Quarter-and-Full-Year-2024-Results/default.aspx" TargetMode="External"/><Relationship Id="rId7" Type="http://schemas.openxmlformats.org/officeDocument/2006/relationships/hyperlink" Target="https://investor.fb.com/investor-news/press-release-details/2017/Facebook-Reports-Second-Quarter-2017-Results/default.aspx" TargetMode="External"/><Relationship Id="rId2" Type="http://schemas.openxmlformats.org/officeDocument/2006/relationships/hyperlink" Target="https://investor.fb.com/investor-news/press-release-details/2018/Facebook-Reports-Third-Quarter-2018-Results/default.aspx" TargetMode="External"/><Relationship Id="rId16" Type="http://schemas.openxmlformats.org/officeDocument/2006/relationships/hyperlink" Target="https://investor.fb.com/investor-news/press-release-details/2020/Facebook-Reports-First-Quarter-2020-Results/default.aspx" TargetMode="External"/><Relationship Id="rId29" Type="http://schemas.openxmlformats.org/officeDocument/2006/relationships/hyperlink" Target="https://s21.q4cdn.com/399680738/files/doc_news/Facebook-Reports-Third-Quarter-2021-Results-2021.pdf" TargetMode="External"/><Relationship Id="rId11" Type="http://schemas.openxmlformats.org/officeDocument/2006/relationships/hyperlink" Target="https://investor.fb.com/investor-news/press-release-details/2019/Facebook-Reports-First-Quarter-2019-Results/default.aspx" TargetMode="External"/><Relationship Id="rId24" Type="http://schemas.openxmlformats.org/officeDocument/2006/relationships/hyperlink" Target="https://s21.q4cdn.com/399680738/files/doc_financials/2021/FB-03.31.2021-Exhibit-99.1_Final.pdf" TargetMode="External"/><Relationship Id="rId32" Type="http://schemas.openxmlformats.org/officeDocument/2006/relationships/hyperlink" Target="https://s21.q4cdn.com/399680738/files/doc_news/Meta-Reports-First-Quarter-2022-Results-2022.pdf" TargetMode="External"/><Relationship Id="rId37" Type="http://schemas.openxmlformats.org/officeDocument/2006/relationships/hyperlink" Target="https://s21.q4cdn.com/399680738/files/doc_news/Meta-Reports-Third-Quarter-2022-Results-2022.pdf" TargetMode="External"/><Relationship Id="rId40" Type="http://schemas.openxmlformats.org/officeDocument/2006/relationships/hyperlink" Target="https://s21.q4cdn.com/399680738/files/doc_news/Meta-Reports-First-Quarter-2023-Results-2023.pdf" TargetMode="External"/><Relationship Id="rId45" Type="http://schemas.openxmlformats.org/officeDocument/2006/relationships/hyperlink" Target="https://investor.fb.com/investor-news/press-release-details/2023/Meta-Reports-Third-Quarter-2023-Results/default.aspx" TargetMode="External"/><Relationship Id="rId53" Type="http://schemas.openxmlformats.org/officeDocument/2006/relationships/hyperlink" Target="https://investor.fb.com/investor-news/press-release-details/2024/Meta-Reports-Third-Quarter-2024-Results/default.aspx" TargetMode="External"/><Relationship Id="rId5" Type="http://schemas.openxmlformats.org/officeDocument/2006/relationships/hyperlink" Target="https://s21.q4cdn.com/399680738/files/doc_financials/2017/Q4/Q4-2017-Press-Release.pdf" TargetMode="External"/><Relationship Id="rId19" Type="http://schemas.openxmlformats.org/officeDocument/2006/relationships/hyperlink" Target="https://investor.fb.com/investor-news/press-release-details/2020/Facebook-Reports-Second-Quarter-2020-Results/default.aspx" TargetMode="External"/><Relationship Id="rId4" Type="http://schemas.openxmlformats.org/officeDocument/2006/relationships/hyperlink" Target="https://investor.fb.com/investor-news/press-release-details/2018/Facebook-Reports-First-Quarter-2018-Results/default.aspx" TargetMode="External"/><Relationship Id="rId9" Type="http://schemas.openxmlformats.org/officeDocument/2006/relationships/hyperlink" Target="https://investor.fb.com/investor-news/press-release-details/2017/Facebook-Reports-Fourth-Quarter-and-Full-Year-2016-Results/default.aspx" TargetMode="External"/><Relationship Id="rId14" Type="http://schemas.openxmlformats.org/officeDocument/2006/relationships/hyperlink" Target="https://investor.fb.com/investor-news/press-release-details/2019/Facebook-Reports-Third-Quarter-2019-Results/default.aspx" TargetMode="External"/><Relationship Id="rId22" Type="http://schemas.openxmlformats.org/officeDocument/2006/relationships/hyperlink" Target="https://investor.fb.com/investor-news/press-release-details/2021/Facebook-Reports-Fourth-Quarter-and-Full-Year-2020-Results/default.aspx" TargetMode="External"/><Relationship Id="rId27" Type="http://schemas.openxmlformats.org/officeDocument/2006/relationships/hyperlink" Target="https://investor.fb.com/investor-news/press-release-details/2021/Facebook-Reports-Second-Quarter-2021-Results/default.aspx" TargetMode="External"/><Relationship Id="rId30" Type="http://schemas.openxmlformats.org/officeDocument/2006/relationships/hyperlink" Target="https://s21.q4cdn.com/399680738/files/doc_news/Meta-Reports-Fourth-Quarter-and-Full-Year-2021-Results-2022.pdf" TargetMode="External"/><Relationship Id="rId35" Type="http://schemas.openxmlformats.org/officeDocument/2006/relationships/hyperlink" Target="https://investor.fb.com/investor-news/press-release-details/2022/Meta-Reports-Second-Quarter-2022-Results/default.aspx" TargetMode="External"/><Relationship Id="rId43" Type="http://schemas.openxmlformats.org/officeDocument/2006/relationships/hyperlink" Target="https://investor.fb.com/investor-news/press-release-details/2023/Meta-Reports-Second-Quarter-2023-Results/default.aspx" TargetMode="External"/><Relationship Id="rId48" Type="http://schemas.openxmlformats.org/officeDocument/2006/relationships/hyperlink" Target="https://investor.fb.com/files/doc_financials/2024/q1/Meta-03-31-2024-Exhibit-99-1_FINAL.pdf" TargetMode="External"/><Relationship Id="rId56" Type="http://schemas.openxmlformats.org/officeDocument/2006/relationships/hyperlink" Target="https://investor.atmeta.com/investor-news/press-release-details/2025/Meta-Reports-First-Quarter-2025-Results/default.aspx" TargetMode="External"/><Relationship Id="rId8" Type="http://schemas.openxmlformats.org/officeDocument/2006/relationships/hyperlink" Target="https://investor.fb.com/investor-news/press-release-details/2017/Facebook-Reports-First-Quarter-2017-Results/default.aspx" TargetMode="External"/><Relationship Id="rId51" Type="http://schemas.openxmlformats.org/officeDocument/2006/relationships/hyperlink" Target="https://s21.q4cdn.com/399680738/files/doc_financials/2024/q2/Meta-06-30-2024-Exhibit-99-1_Final.pdf" TargetMode="External"/><Relationship Id="rId3" Type="http://schemas.openxmlformats.org/officeDocument/2006/relationships/hyperlink" Target="https://investor.fb.com/investor-news/press-release-details/2018/Facebook-Reports-Second-Quarter-2018-Results/default.aspx" TargetMode="External"/><Relationship Id="rId12" Type="http://schemas.openxmlformats.org/officeDocument/2006/relationships/hyperlink" Target="https://s21.q4cdn.com/399680738/files/doc_news/Facebook-Reports-Second-Quarter-2019-Results-2019.pdf" TargetMode="External"/><Relationship Id="rId17" Type="http://schemas.openxmlformats.org/officeDocument/2006/relationships/hyperlink" Target="https://investor.fb.com/investor-news/press-release-details/2020/Facebook-Reports-First-Quarter-2020-Results/default.aspx" TargetMode="External"/><Relationship Id="rId25" Type="http://schemas.openxmlformats.org/officeDocument/2006/relationships/hyperlink" Target="https://s21.q4cdn.com/399680738/files/doc_financials/2021/FB-03.31.2021-Exhibit-99.1_Final.pdf" TargetMode="External"/><Relationship Id="rId33" Type="http://schemas.openxmlformats.org/officeDocument/2006/relationships/hyperlink" Target="https://s21.q4cdn.com/399680738/files/doc_news/Meta-Reports-First-Quarter-2022-Results-2022.pdf" TargetMode="External"/><Relationship Id="rId38" Type="http://schemas.openxmlformats.org/officeDocument/2006/relationships/hyperlink" Target="https://investor.fb.com/investor-news/press-release-details/2023/Meta-Reports-Fourth-Quarter-and-Full-Year-2022-Results/default.aspx" TargetMode="External"/><Relationship Id="rId46" Type="http://schemas.openxmlformats.org/officeDocument/2006/relationships/hyperlink" Target="https://investor.fb.com/investor-news/press-release-details/2024/Meta-Reports-Fourth-Quarter-and-Full-Year-2023-Results-Initiates-Quarterly-Dividend/default.aspx" TargetMode="External"/><Relationship Id="rId20" Type="http://schemas.openxmlformats.org/officeDocument/2006/relationships/hyperlink" Target="https://investor.fb.com/investor-news/press-release-details/2020/Facebook-Reports-Third-Quarter-2020-Results/default.aspx" TargetMode="External"/><Relationship Id="rId41" Type="http://schemas.openxmlformats.org/officeDocument/2006/relationships/hyperlink" Target="https://s21.q4cdn.com/399680738/files/doc_news/Meta-Reports-First-Quarter-2023-Results-2023.pdf" TargetMode="External"/><Relationship Id="rId54" Type="http://schemas.openxmlformats.org/officeDocument/2006/relationships/hyperlink" Target="https://investor.atmeta.com/investor-news/press-release-details/2025/Meta-Reports-Fourth-Quarter-and-Full-Year-2024-Results/default.aspx" TargetMode="External"/><Relationship Id="rId1" Type="http://schemas.openxmlformats.org/officeDocument/2006/relationships/hyperlink" Target="https://s21.q4cdn.com/399680738/files/doc_financials/2018/Q4/Q4-2018-Earnings-Release.pdf" TargetMode="External"/><Relationship Id="rId6" Type="http://schemas.openxmlformats.org/officeDocument/2006/relationships/hyperlink" Target="https://investor.fb.com/investor-news/press-release-details/2017/Facebook-Reports-Third-Quarter-2017-Results/default.aspx" TargetMode="External"/><Relationship Id="rId15" Type="http://schemas.openxmlformats.org/officeDocument/2006/relationships/hyperlink" Target="https://s21.q4cdn.com/399680738/files/doc_financials/2019/q4/FB-12.31.2019-Exhibit-99.1-r61_final.pdf" TargetMode="External"/><Relationship Id="rId23" Type="http://schemas.openxmlformats.org/officeDocument/2006/relationships/hyperlink" Target="https://investor.fb.com/investor-news/press-release-details/2021/Facebook-Reports-Fourth-Quarter-and-Full-Year-2020-Results/default.aspx" TargetMode="External"/><Relationship Id="rId28" Type="http://schemas.openxmlformats.org/officeDocument/2006/relationships/hyperlink" Target="https://s21.q4cdn.com/399680738/files/doc_news/Facebook-Reports-Third-Quarter-2021-Results-2021.pdf" TargetMode="External"/><Relationship Id="rId36" Type="http://schemas.openxmlformats.org/officeDocument/2006/relationships/hyperlink" Target="https://s21.q4cdn.com/399680738/files/doc_news/Meta-Reports-Third-Quarter-2022-Results-2022.pdf" TargetMode="External"/><Relationship Id="rId49" Type="http://schemas.openxmlformats.org/officeDocument/2006/relationships/hyperlink" Target="https://investor.fb.com/files/doc_financials/2024/q1/Meta-03-31-2024-Exhibit-99-1_FINAL.pdf" TargetMode="External"/><Relationship Id="rId57" Type="http://schemas.openxmlformats.org/officeDocument/2006/relationships/drawing" Target="../drawings/drawing4.xml"/><Relationship Id="rId10" Type="http://schemas.openxmlformats.org/officeDocument/2006/relationships/hyperlink" Target="https://investor.fb.com/investor-news/press-release-details/2016/Facebook-Reports-Third-Quarter-2016-Results/default.aspx" TargetMode="External"/><Relationship Id="rId31" Type="http://schemas.openxmlformats.org/officeDocument/2006/relationships/hyperlink" Target="https://s21.q4cdn.com/399680738/files/doc_news/Meta-Reports-Fourth-Quarter-and-Full-Year-2021-Results-2022.pdf" TargetMode="External"/><Relationship Id="rId44" Type="http://schemas.openxmlformats.org/officeDocument/2006/relationships/hyperlink" Target="https://investor.fb.com/investor-news/press-release-details/2023/Meta-Reports-Third-Quarter-2023-Results/default.aspx" TargetMode="External"/><Relationship Id="rId52" Type="http://schemas.openxmlformats.org/officeDocument/2006/relationships/hyperlink" Target="https://investor.fb.com/investor-news/press-release-details/2024/Meta-Reports-Third-Quarter-2024-Results/default.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772C-8D63-42EF-9975-F89B41E8EED2}">
  <sheetPr>
    <tabColor theme="5"/>
    <outlinePr showOutlineSymbols="0"/>
    <pageSetUpPr fitToPage="1"/>
  </sheetPr>
  <dimension ref="A3:V137"/>
  <sheetViews>
    <sheetView showGridLines="0" showOutlineSymbols="0" view="pageBreakPreview" zoomScale="70" zoomScaleSheetLayoutView="70" workbookViewId="0">
      <pane xSplit="3" ySplit="5" topLeftCell="E6" activePane="bottomRight" state="frozen"/>
      <selection pane="topRight" activeCell="D1" sqref="D1"/>
      <selection pane="bottomLeft" activeCell="A6" sqref="A6"/>
      <selection pane="bottomRight" activeCell="U36" sqref="U36"/>
    </sheetView>
  </sheetViews>
  <sheetFormatPr defaultRowHeight="12.9" outlineLevelRow="2" outlineLevelCol="1" x14ac:dyDescent="0.5"/>
  <cols>
    <col min="1" max="2" width="2.89453125" style="1171" customWidth="1"/>
    <col min="3" max="3" width="32.20703125" style="1171" bestFit="1" customWidth="1"/>
    <col min="4" max="4" width="8.7890625" style="1171" hidden="1" customWidth="1"/>
    <col min="5" max="6" width="9.5234375" style="1171" customWidth="1" outlineLevel="1"/>
    <col min="7" max="7" width="2.89453125" style="1171" customWidth="1" outlineLevel="1"/>
    <col min="8" max="16" width="9.5234375" style="1171" customWidth="1"/>
    <col min="17" max="17" width="2.89453125" style="1171" customWidth="1"/>
    <col min="18" max="18" width="8.83984375" style="1171"/>
    <col min="19" max="20" width="2.89453125" style="1171" customWidth="1"/>
    <col min="21" max="22" width="22.7890625" style="1171" customWidth="1"/>
    <col min="23" max="23" width="2.89453125" style="1171" customWidth="1"/>
    <col min="24" max="16384" width="8.83984375" style="1171"/>
  </cols>
  <sheetData>
    <row r="3" spans="3:22" x14ac:dyDescent="0.5">
      <c r="C3" s="1536" t="s">
        <v>1554</v>
      </c>
      <c r="D3" s="1530" t="s">
        <v>1553</v>
      </c>
      <c r="E3" s="1535"/>
      <c r="F3" s="1528"/>
      <c r="G3" s="1534"/>
      <c r="H3" s="1530">
        <v>2025</v>
      </c>
      <c r="I3" s="1529"/>
      <c r="J3" s="1529"/>
      <c r="K3" s="1530">
        <v>2026</v>
      </c>
      <c r="L3" s="1529"/>
      <c r="M3" s="1529"/>
      <c r="N3" s="1530">
        <v>2027</v>
      </c>
      <c r="O3" s="1529"/>
      <c r="P3" s="1528"/>
    </row>
    <row r="4" spans="3:22" ht="4" customHeight="1" x14ac:dyDescent="0.5">
      <c r="C4" s="1449"/>
      <c r="E4" s="1533"/>
      <c r="F4" s="1532"/>
      <c r="P4" s="1448"/>
    </row>
    <row r="5" spans="3:22" ht="14.7" x14ac:dyDescent="0.8">
      <c r="C5" s="1531" t="s">
        <v>1552</v>
      </c>
      <c r="D5" s="1183" t="s">
        <v>1220</v>
      </c>
      <c r="E5" s="1184" t="s">
        <v>1219</v>
      </c>
      <c r="F5" s="1182" t="s">
        <v>1218</v>
      </c>
      <c r="G5" s="1183"/>
      <c r="H5" s="1184" t="s">
        <v>1135</v>
      </c>
      <c r="I5" s="1183" t="s">
        <v>1134</v>
      </c>
      <c r="J5" s="1182" t="s">
        <v>1133</v>
      </c>
      <c r="K5" s="1184" t="s">
        <v>1135</v>
      </c>
      <c r="L5" s="1183" t="s">
        <v>1134</v>
      </c>
      <c r="M5" s="1182" t="s">
        <v>1133</v>
      </c>
      <c r="N5" s="1184" t="s">
        <v>1135</v>
      </c>
      <c r="O5" s="1183" t="s">
        <v>1134</v>
      </c>
      <c r="P5" s="1182" t="s">
        <v>1133</v>
      </c>
    </row>
    <row r="6" spans="3:22" ht="4" customHeight="1" x14ac:dyDescent="0.5">
      <c r="C6" s="1449"/>
      <c r="E6" s="1247"/>
      <c r="F6" s="1474"/>
      <c r="G6" s="1192"/>
      <c r="H6" s="1247"/>
      <c r="I6" s="1192"/>
      <c r="J6" s="1474"/>
      <c r="K6" s="1247"/>
      <c r="L6" s="1192"/>
      <c r="M6" s="1474"/>
      <c r="N6" s="1247"/>
      <c r="O6" s="1192"/>
      <c r="P6" s="1474"/>
    </row>
    <row r="7" spans="3:22" s="1262" customFormat="1" ht="12.9" customHeight="1" x14ac:dyDescent="0.5">
      <c r="C7" s="1454" t="s">
        <v>1551</v>
      </c>
      <c r="D7" s="1282"/>
      <c r="E7" s="1265"/>
      <c r="F7" s="1473"/>
      <c r="G7" s="1272"/>
      <c r="H7" s="1265"/>
      <c r="I7" s="1264"/>
      <c r="J7" s="1473"/>
      <c r="K7" s="1265"/>
      <c r="L7" s="1264"/>
      <c r="M7" s="1473"/>
      <c r="N7" s="1265"/>
      <c r="O7" s="1264"/>
      <c r="P7" s="1473"/>
      <c r="T7" s="1530" t="s">
        <v>1550</v>
      </c>
      <c r="U7" s="1529"/>
      <c r="V7" s="1528"/>
    </row>
    <row r="8" spans="3:22" ht="4" customHeight="1" x14ac:dyDescent="0.5">
      <c r="C8" s="1449"/>
      <c r="E8" s="1247"/>
      <c r="F8" s="1474"/>
      <c r="G8" s="1192"/>
      <c r="H8" s="1247"/>
      <c r="I8" s="1192"/>
      <c r="J8" s="1474"/>
      <c r="K8" s="1247"/>
      <c r="L8" s="1192"/>
      <c r="M8" s="1474"/>
      <c r="N8" s="1247"/>
      <c r="O8" s="1192"/>
      <c r="P8" s="1474"/>
    </row>
    <row r="9" spans="3:22" ht="12.9" hidden="1" customHeight="1" outlineLevel="1" x14ac:dyDescent="0.5">
      <c r="C9" s="1449" t="s">
        <v>1549</v>
      </c>
      <c r="E9" s="1247"/>
      <c r="F9" s="1474"/>
      <c r="G9" s="1192"/>
      <c r="H9" s="1247"/>
      <c r="I9" s="1192"/>
      <c r="J9" s="1474"/>
      <c r="K9" s="1247"/>
      <c r="L9" s="1192"/>
      <c r="M9" s="1474"/>
      <c r="N9" s="1247"/>
      <c r="O9" s="1192"/>
      <c r="P9" s="1474"/>
      <c r="T9" s="1358">
        <v>1</v>
      </c>
      <c r="U9" s="1171" t="s">
        <v>1548</v>
      </c>
    </row>
    <row r="10" spans="3:22" s="1172" customFormat="1" ht="12.9" hidden="1" customHeight="1" outlineLevel="1" x14ac:dyDescent="0.5">
      <c r="C10" s="1476" t="s">
        <v>1544</v>
      </c>
      <c r="E10" s="1514"/>
      <c r="F10" s="1513"/>
      <c r="G10" s="1270"/>
      <c r="H10" s="1514"/>
      <c r="I10" s="1270"/>
      <c r="J10" s="1513"/>
      <c r="K10" s="1514"/>
      <c r="L10" s="1270"/>
      <c r="M10" s="1513"/>
      <c r="N10" s="1514"/>
      <c r="O10" s="1270"/>
      <c r="P10" s="1513"/>
      <c r="T10" s="1358">
        <f>T9+1</f>
        <v>2</v>
      </c>
      <c r="U10" s="1171" t="s">
        <v>1547</v>
      </c>
    </row>
    <row r="11" spans="3:22" ht="12.9" hidden="1" customHeight="1" outlineLevel="1" x14ac:dyDescent="0.5">
      <c r="C11" s="1449"/>
      <c r="E11" s="1247"/>
      <c r="F11" s="1474"/>
      <c r="G11" s="1192"/>
      <c r="H11" s="1247"/>
      <c r="I11" s="1192"/>
      <c r="J11" s="1474"/>
      <c r="K11" s="1247"/>
      <c r="L11" s="1192"/>
      <c r="M11" s="1474"/>
      <c r="N11" s="1247"/>
      <c r="O11" s="1192"/>
      <c r="P11" s="1474"/>
      <c r="T11" s="1358">
        <f>T10+1</f>
        <v>3</v>
      </c>
      <c r="U11" s="1171" t="s">
        <v>1546</v>
      </c>
    </row>
    <row r="12" spans="3:22" ht="12.9" hidden="1" customHeight="1" outlineLevel="1" x14ac:dyDescent="0.5">
      <c r="C12" s="1449" t="s">
        <v>1545</v>
      </c>
      <c r="E12" s="1247"/>
      <c r="F12" s="1474"/>
      <c r="G12" s="1192"/>
      <c r="H12" s="1247"/>
      <c r="I12" s="1192"/>
      <c r="J12" s="1474"/>
      <c r="K12" s="1247"/>
      <c r="L12" s="1192"/>
      <c r="M12" s="1474"/>
      <c r="N12" s="1247"/>
      <c r="O12" s="1192"/>
      <c r="P12" s="1474"/>
      <c r="T12" s="1358">
        <f>T11+1</f>
        <v>4</v>
      </c>
    </row>
    <row r="13" spans="3:22" s="1172" customFormat="1" ht="12.9" hidden="1" customHeight="1" outlineLevel="1" x14ac:dyDescent="0.5">
      <c r="C13" s="1476" t="s">
        <v>1544</v>
      </c>
      <c r="E13" s="1514"/>
      <c r="F13" s="1513"/>
      <c r="G13" s="1270"/>
      <c r="H13" s="1514"/>
      <c r="I13" s="1270"/>
      <c r="J13" s="1513"/>
      <c r="K13" s="1514"/>
      <c r="L13" s="1270"/>
      <c r="M13" s="1513"/>
      <c r="N13" s="1514"/>
      <c r="O13" s="1270"/>
      <c r="P13" s="1513"/>
      <c r="T13" s="1358">
        <f>T12+1</f>
        <v>5</v>
      </c>
      <c r="U13" s="1171"/>
    </row>
    <row r="14" spans="3:22" ht="12.9" hidden="1" customHeight="1" outlineLevel="1" x14ac:dyDescent="0.5">
      <c r="C14" s="1449"/>
      <c r="E14" s="1247"/>
      <c r="F14" s="1474"/>
      <c r="G14" s="1192"/>
      <c r="H14" s="1247"/>
      <c r="I14" s="1192"/>
      <c r="J14" s="1474"/>
      <c r="K14" s="1247"/>
      <c r="L14" s="1192"/>
      <c r="M14" s="1474"/>
      <c r="N14" s="1247"/>
      <c r="O14" s="1192"/>
      <c r="P14" s="1474"/>
    </row>
    <row r="15" spans="3:22" s="1262" customFormat="1" ht="12.9" customHeight="1" collapsed="1" x14ac:dyDescent="0.5">
      <c r="C15" s="1454" t="s">
        <v>1202</v>
      </c>
      <c r="D15" s="1282"/>
      <c r="E15" s="1265"/>
      <c r="F15" s="1473"/>
      <c r="G15" s="1272"/>
      <c r="H15" s="1265"/>
      <c r="I15" s="1264"/>
      <c r="J15" s="1473"/>
      <c r="K15" s="1265"/>
      <c r="L15" s="1264"/>
      <c r="M15" s="1473"/>
      <c r="N15" s="1265"/>
      <c r="O15" s="1264"/>
      <c r="P15" s="1473"/>
    </row>
    <row r="16" spans="3:22" ht="4" customHeight="1" x14ac:dyDescent="0.5">
      <c r="C16" s="1449"/>
      <c r="E16" s="1247"/>
      <c r="F16" s="1474"/>
      <c r="G16" s="1192"/>
      <c r="H16" s="1247"/>
      <c r="I16" s="1192"/>
      <c r="J16" s="1474"/>
      <c r="K16" s="1247"/>
      <c r="L16" s="1192"/>
      <c r="M16" s="1474"/>
      <c r="N16" s="1247"/>
      <c r="O16" s="1192"/>
      <c r="P16" s="1474"/>
    </row>
    <row r="17" spans="3:16" s="1197" customFormat="1" ht="12.9" customHeight="1" x14ac:dyDescent="0.5">
      <c r="C17" s="1457" t="s">
        <v>1543</v>
      </c>
      <c r="D17" s="1252">
        <f>[1]Model!H7</f>
        <v>2960</v>
      </c>
      <c r="E17" s="1253">
        <f>[1]Model!I7</f>
        <v>3190</v>
      </c>
      <c r="F17" s="1527">
        <f>[1]Model!J7</f>
        <v>3350</v>
      </c>
      <c r="G17" s="1225"/>
      <c r="H17" s="1253">
        <f>IF(Case=H$5,[1]Model!$K$7,H17)</f>
        <v>3450.5</v>
      </c>
      <c r="I17" s="1225">
        <f ca="1">IF(Case=I$5,[1]Model!$K$7,I17)</f>
        <v>3484</v>
      </c>
      <c r="J17" s="1225">
        <f ca="1">IF(Case=J$5,[1]Model!$K$7,J17)</f>
        <v>3417</v>
      </c>
      <c r="K17" s="1253">
        <f>IF(Case=K$5,[1]Model!$L$7,K17)</f>
        <v>3554.0149999999999</v>
      </c>
      <c r="L17" s="1225">
        <f ca="1">IF(Case=L$5,[1]Model!$L$7,L17)</f>
        <v>3623.36</v>
      </c>
      <c r="M17" s="1225">
        <f ca="1">IF(Case=M$5,[1]Model!$L$7,M17)</f>
        <v>3485.34</v>
      </c>
      <c r="N17" s="1253">
        <f>IF(Case=N$5,[1]Model!$M$7,N17)</f>
        <v>3625.0953</v>
      </c>
      <c r="O17" s="1225">
        <f ca="1">IF(Case=O$5,[1]Model!$M$7,O17)</f>
        <v>3732.0608000000002</v>
      </c>
      <c r="P17" s="1527">
        <f ca="1">IF(Case=P$5,[1]Model!$M$7,P17)</f>
        <v>3520.1934000000001</v>
      </c>
    </row>
    <row r="18" spans="3:16" x14ac:dyDescent="0.5">
      <c r="C18" s="1476" t="s">
        <v>1154</v>
      </c>
      <c r="D18" s="1174">
        <f>[1]Model!H8</f>
        <v>4.9645390070921946E-2</v>
      </c>
      <c r="E18" s="1246">
        <f>E17/D17-1</f>
        <v>7.7702702702702631E-2</v>
      </c>
      <c r="F18" s="1475">
        <f>F17/E17-1</f>
        <v>5.0156739811912265E-2</v>
      </c>
      <c r="G18" s="1210"/>
      <c r="H18" s="1246">
        <f>H17/$F17-1</f>
        <v>3.0000000000000027E-2</v>
      </c>
      <c r="I18" s="1210">
        <f ca="1">I17/$F17-1</f>
        <v>4.0000000000000036E-2</v>
      </c>
      <c r="J18" s="1475">
        <f ca="1">J17/$F17-1</f>
        <v>2.0000000000000018E-2</v>
      </c>
      <c r="K18" s="1246">
        <f t="shared" ref="K18:P18" si="0">K17/H17-1</f>
        <v>3.0000000000000027E-2</v>
      </c>
      <c r="L18" s="1210">
        <f t="shared" ca="1" si="0"/>
        <v>4.0000000000000036E-2</v>
      </c>
      <c r="M18" s="1475">
        <f t="shared" ca="1" si="0"/>
        <v>2.0000000000000018E-2</v>
      </c>
      <c r="N18" s="1246">
        <f t="shared" si="0"/>
        <v>2.0000000000000018E-2</v>
      </c>
      <c r="O18" s="1210">
        <f t="shared" ca="1" si="0"/>
        <v>3.0000000000000027E-2</v>
      </c>
      <c r="P18" s="1475">
        <f t="shared" ca="1" si="0"/>
        <v>1.0000000000000009E-2</v>
      </c>
    </row>
    <row r="19" spans="3:16" s="1172" customFormat="1" x14ac:dyDescent="0.5">
      <c r="C19" s="1476" t="s">
        <v>1225</v>
      </c>
      <c r="D19" s="1236"/>
      <c r="E19" s="1519"/>
      <c r="F19" s="1517"/>
      <c r="G19" s="1270"/>
      <c r="H19" s="1519"/>
      <c r="I19" s="1518"/>
      <c r="J19" s="1517"/>
      <c r="K19" s="1246">
        <f>(K17/$F17)^(1/2)-1</f>
        <v>3.0000000000000027E-2</v>
      </c>
      <c r="L19" s="1210">
        <f ca="1">(L17/$F17)^(1/2)-1</f>
        <v>4.0000000000000036E-2</v>
      </c>
      <c r="M19" s="1475">
        <f ca="1">(M17/$F17)^(1/2)-1</f>
        <v>2.0000000000000018E-2</v>
      </c>
      <c r="N19" s="1246">
        <f>(N17/$F17)^(1/3)-1</f>
        <v>2.6655820615915093E-2</v>
      </c>
      <c r="O19" s="1210">
        <f ca="1">(O17/$F17)^(1/3)-1</f>
        <v>3.6655925466170469E-2</v>
      </c>
      <c r="P19" s="1475">
        <f ca="1">(P17/$F17)^(1/3)-1</f>
        <v>1.6655713698476626E-2</v>
      </c>
    </row>
    <row r="20" spans="3:16" s="1197" customFormat="1" ht="12.9" customHeight="1" x14ac:dyDescent="0.5">
      <c r="C20" s="1457" t="s">
        <v>1311</v>
      </c>
      <c r="D20" s="1252">
        <f>[1]Model!H10</f>
        <v>39.602076124567475</v>
      </c>
      <c r="E20" s="1253">
        <f>[1]Model!I10</f>
        <v>43.253983739837402</v>
      </c>
      <c r="F20" s="1527">
        <f>[1]Model!J10</f>
        <v>49.649847094801224</v>
      </c>
      <c r="G20" s="1225"/>
      <c r="H20" s="1253">
        <f>IF(Case=H$5,[1]Model!$K$10,H20)</f>
        <v>51.635840978593272</v>
      </c>
      <c r="I20" s="1225">
        <f ca="1">IF(Case=I$5,[1]Model!$K$10,I20)</f>
        <v>52.628837920489303</v>
      </c>
      <c r="J20" s="1225">
        <f ca="1">IF(Case=J$5,[1]Model!$K$10,J20)</f>
        <v>47.663853211009176</v>
      </c>
      <c r="K20" s="1253">
        <f>IF(Case=K$5,[1]Model!$L$10,K20)</f>
        <v>55.250349847094803</v>
      </c>
      <c r="L20" s="1225">
        <f ca="1">IF(Case=L$5,[1]Model!$L$10,L20)</f>
        <v>56.83914495412845</v>
      </c>
      <c r="M20" s="1225">
        <f ca="1">IF(Case=M$5,[1]Model!$L$10,M20)</f>
        <v>47.663853211009176</v>
      </c>
      <c r="N20" s="1253">
        <f>IF(Case=N$5,[1]Model!$M$10,N20)</f>
        <v>59.117874336391445</v>
      </c>
      <c r="O20" s="1225">
        <f ca="1">IF(Case=O$5,[1]Model!$M$10,O20)</f>
        <v>61.386276550458732</v>
      </c>
      <c r="P20" s="1527">
        <f ca="1">IF(Case=P$5,[1]Model!$M$10,P20)</f>
        <v>49.570407339449545</v>
      </c>
    </row>
    <row r="21" spans="3:16" s="1172" customFormat="1" ht="12.9" customHeight="1" x14ac:dyDescent="0.5">
      <c r="C21" s="1476" t="s">
        <v>1154</v>
      </c>
      <c r="D21" s="1174">
        <f>[1]Model!H11</f>
        <v>-7.2053726189288403E-2</v>
      </c>
      <c r="E21" s="1246">
        <f>E20/D20-1</f>
        <v>9.2215054680035768E-2</v>
      </c>
      <c r="F21" s="1475">
        <f>F20/E20-1</f>
        <v>0.14786761361527856</v>
      </c>
      <c r="G21" s="1210"/>
      <c r="H21" s="1246">
        <f>H20/$F20-1</f>
        <v>4.0000000000000036E-2</v>
      </c>
      <c r="I21" s="1210">
        <f ca="1">I20/$F20-1</f>
        <v>6.0000000000000053E-2</v>
      </c>
      <c r="J21" s="1475">
        <f ca="1">J20/$F20-1</f>
        <v>-4.0000000000000036E-2</v>
      </c>
      <c r="K21" s="1246">
        <f t="shared" ref="K21:P21" si="1">K20/H20-1</f>
        <v>7.0000000000000062E-2</v>
      </c>
      <c r="L21" s="1210">
        <f t="shared" ca="1" si="1"/>
        <v>8.0000000000000071E-2</v>
      </c>
      <c r="M21" s="1475">
        <f t="shared" ca="1" si="1"/>
        <v>0</v>
      </c>
      <c r="N21" s="1246">
        <f t="shared" si="1"/>
        <v>7.0000000000000062E-2</v>
      </c>
      <c r="O21" s="1210">
        <f t="shared" ca="1" si="1"/>
        <v>8.0000000000000071E-2</v>
      </c>
      <c r="P21" s="1475">
        <f t="shared" ca="1" si="1"/>
        <v>4.0000000000000036E-2</v>
      </c>
    </row>
    <row r="22" spans="3:16" ht="12.9" customHeight="1" x14ac:dyDescent="0.5">
      <c r="C22" s="1476" t="s">
        <v>1225</v>
      </c>
      <c r="D22" s="1384"/>
      <c r="E22" s="1519"/>
      <c r="F22" s="1517"/>
      <c r="G22" s="1192"/>
      <c r="H22" s="1519"/>
      <c r="I22" s="1518"/>
      <c r="J22" s="1517"/>
      <c r="K22" s="1246">
        <f>(K20/$F20)^(1/2)-1</f>
        <v>5.4893359539247566E-2</v>
      </c>
      <c r="L22" s="1210">
        <f ca="1">(L20/$F20)^(1/2)-1</f>
        <v>6.9953270007620638E-2</v>
      </c>
      <c r="M22" s="1475">
        <f ca="1">(M20/$F20)^(1/2)-1</f>
        <v>-2.0204102886728803E-2</v>
      </c>
      <c r="N22" s="1246">
        <f>(N20/$F20)^(1/3)-1</f>
        <v>5.9905058542991885E-2</v>
      </c>
      <c r="O22" s="1210">
        <f ca="1">(O20/$F20)^(1/3)-1</f>
        <v>7.329175239386454E-2</v>
      </c>
      <c r="P22" s="1475">
        <f ca="1">(P20/$F20)^(1/3)-1</f>
        <v>-5.3361803088725068E-4</v>
      </c>
    </row>
    <row r="23" spans="3:16" s="1197" customFormat="1" ht="12.9" customHeight="1" x14ac:dyDescent="0.5">
      <c r="C23" s="1457" t="s">
        <v>1187</v>
      </c>
      <c r="D23" s="1295">
        <f>[1]Model!H14</f>
        <v>114450</v>
      </c>
      <c r="E23" s="1260">
        <f>E20*AVERAGE(D17:E17)</f>
        <v>133006</v>
      </c>
      <c r="F23" s="1499">
        <f>F20*AVERAGE(E17:F17)</f>
        <v>162355</v>
      </c>
      <c r="G23" s="1199"/>
      <c r="H23" s="1260">
        <f>IF(Case=H$5,[1]Model!$K$14,H23)</f>
        <v>175574.76828746177</v>
      </c>
      <c r="I23" s="1199">
        <f ca="1">IF(Case=I$5,[1]Model!$K$14,I23)</f>
        <v>179832.73917431195</v>
      </c>
      <c r="J23" s="1499">
        <f ca="1">IF(Case=J$5,[1]Model!$K$14,J23)</f>
        <v>161270.64733944956</v>
      </c>
      <c r="K23" s="1260">
        <f t="shared" ref="K23:P23" si="2">K20*AVERAGE(K17,H17)</f>
        <v>193500.9521296116</v>
      </c>
      <c r="L23" s="1199">
        <f t="shared" ca="1" si="2"/>
        <v>201988.1326405872</v>
      </c>
      <c r="M23" s="1499">
        <f t="shared" ca="1" si="2"/>
        <v>164496.06028623853</v>
      </c>
      <c r="N23" s="1260">
        <f t="shared" si="2"/>
        <v>212206.87028124675</v>
      </c>
      <c r="O23" s="1199">
        <f t="shared" ca="1" si="2"/>
        <v>225760.9476868982</v>
      </c>
      <c r="P23" s="1499">
        <f t="shared" ca="1" si="2"/>
        <v>173633.57213405948</v>
      </c>
    </row>
    <row r="24" spans="3:16" x14ac:dyDescent="0.5">
      <c r="C24" s="1476" t="s">
        <v>1154</v>
      </c>
      <c r="D24" s="1174">
        <f>[1]Model!H16</f>
        <v>-0.155</v>
      </c>
      <c r="E24" s="1246">
        <f>E23/D23-1</f>
        <v>0.16213193534294446</v>
      </c>
      <c r="F24" s="1475">
        <f>F23/E23-1</f>
        <v>0.22065921838112557</v>
      </c>
      <c r="G24" s="1210"/>
      <c r="H24" s="1246">
        <f>H23/$F23-1</f>
        <v>8.1425076452599443E-2</v>
      </c>
      <c r="I24" s="1210">
        <f ca="1">I23/$F23-1</f>
        <v>0.10765137614678921</v>
      </c>
      <c r="J24" s="1475">
        <f ca="1">J23/$F23-1</f>
        <v>-6.67889908256869E-3</v>
      </c>
      <c r="K24" s="1246">
        <f t="shared" ref="K24:P24" si="3">K23/H23-1</f>
        <v>0.10209999999999986</v>
      </c>
      <c r="L24" s="1210">
        <f t="shared" ca="1" si="3"/>
        <v>0.12319999999999998</v>
      </c>
      <c r="M24" s="1475">
        <f t="shared" ca="1" si="3"/>
        <v>1.9999999999999796E-2</v>
      </c>
      <c r="N24" s="1246">
        <f t="shared" si="3"/>
        <v>9.6670935960591509E-2</v>
      </c>
      <c r="O24" s="1210">
        <f t="shared" ca="1" si="3"/>
        <v>0.11769411764705895</v>
      </c>
      <c r="P24" s="1475">
        <f t="shared" ca="1" si="3"/>
        <v>5.5548514851485375E-2</v>
      </c>
    </row>
    <row r="25" spans="3:16" x14ac:dyDescent="0.5">
      <c r="C25" s="1476" t="s">
        <v>1225</v>
      </c>
      <c r="D25" s="1384"/>
      <c r="E25" s="1519"/>
      <c r="F25" s="1517"/>
      <c r="G25" s="1192"/>
      <c r="H25" s="1519"/>
      <c r="I25" s="1518"/>
      <c r="J25" s="1517"/>
      <c r="K25" s="1246">
        <f>(K23/$F23)^(1/2)-1</f>
        <v>9.1713596488753879E-2</v>
      </c>
      <c r="L25" s="1210">
        <f ca="1">(L23/$F23)^(1/2)-1</f>
        <v>0.11539859498211391</v>
      </c>
      <c r="M25" s="1475">
        <f ca="1">(M23/$F23)^(1/2)-1</f>
        <v>6.5721647928576044E-3</v>
      </c>
      <c r="N25" s="1246">
        <f>(N23/$F23)^(1/3)-1</f>
        <v>9.3363548083511549E-2</v>
      </c>
      <c r="O25" s="1210">
        <f ca="1">(O23/$F23)^(1/3)-1</f>
        <v>0.11616324488618845</v>
      </c>
      <c r="P25" s="1475">
        <f ca="1">(P23/$F23)^(1/3)-1</f>
        <v>2.2639767871432959E-2</v>
      </c>
    </row>
    <row r="26" spans="3:16" hidden="1" outlineLevel="2" x14ac:dyDescent="0.5">
      <c r="C26" s="1476" t="s">
        <v>1542</v>
      </c>
      <c r="D26" s="1174">
        <f>[1]Historicals!BU291</f>
        <v>0</v>
      </c>
      <c r="E26" s="1246">
        <f>[1]Historicals!BV291</f>
        <v>0.28000000000000003</v>
      </c>
      <c r="F26" s="1475">
        <f>[1]Historicals!BW291</f>
        <v>0.11</v>
      </c>
      <c r="G26" s="1210"/>
      <c r="H26" s="1522"/>
      <c r="I26" s="1251"/>
      <c r="J26" s="1521"/>
      <c r="K26" s="1522"/>
      <c r="L26" s="1251"/>
      <c r="M26" s="1521"/>
      <c r="N26" s="1522"/>
      <c r="O26" s="1251"/>
      <c r="P26" s="1521"/>
    </row>
    <row r="27" spans="3:16" hidden="1" outlineLevel="2" x14ac:dyDescent="0.5">
      <c r="C27" s="1476" t="s">
        <v>1541</v>
      </c>
      <c r="D27" s="1174">
        <f>[1]Historicals!BU297</f>
        <v>0</v>
      </c>
      <c r="E27" s="1246">
        <f>[1]Historicals!BV297</f>
        <v>-0.09</v>
      </c>
      <c r="F27" s="1475">
        <f>[1]Historicals!BW297</f>
        <v>0.1</v>
      </c>
      <c r="G27" s="1210"/>
      <c r="H27" s="1522"/>
      <c r="I27" s="1251"/>
      <c r="J27" s="1521"/>
      <c r="K27" s="1522"/>
      <c r="L27" s="1251"/>
      <c r="M27" s="1521"/>
      <c r="N27" s="1522"/>
      <c r="O27" s="1251"/>
      <c r="P27" s="1521"/>
    </row>
    <row r="28" spans="3:16" s="1197" customFormat="1" ht="12.9" customHeight="1" collapsed="1" x14ac:dyDescent="0.5">
      <c r="C28" s="1457" t="s">
        <v>1540</v>
      </c>
      <c r="D28" s="1252">
        <f>[1]Model!H18</f>
        <v>2159</v>
      </c>
      <c r="E28" s="1253">
        <f>[1]Model!I18</f>
        <v>1896</v>
      </c>
      <c r="F28" s="1527">
        <f>[1]Model!J18</f>
        <v>2146</v>
      </c>
      <c r="G28" s="1225"/>
      <c r="H28" s="1253">
        <f>IF(Case=H$5,[1]Model!$K$18,H28)</f>
        <v>2467.8999999999996</v>
      </c>
      <c r="I28" s="1225">
        <f ca="1">IF(Case=I$5,[1]Model!$K$18,I28)</f>
        <v>2532.2799999999997</v>
      </c>
      <c r="J28" s="1225">
        <f ca="1">IF(Case=J$5,[1]Model!$K$18,J28)</f>
        <v>2146</v>
      </c>
      <c r="K28" s="1253">
        <f>IF(Case=K$5,[1]Model!$L$18,K28)</f>
        <v>2838.0849999999996</v>
      </c>
      <c r="L28" s="1225">
        <f ca="1">IF(Case=L$5,[1]Model!$L$18,L28)</f>
        <v>2861.4763999999996</v>
      </c>
      <c r="M28" s="1225">
        <f ca="1">IF(Case=M$5,[1]Model!$L$18,M28)</f>
        <v>2360.6000000000004</v>
      </c>
      <c r="N28" s="1253">
        <f>IF(Case=N$5,[1]Model!$M$18,N28)</f>
        <v>3263.7977499999993</v>
      </c>
      <c r="O28" s="1225">
        <f ca="1">IF(Case=O$5,[1]Model!$M$18,O28)</f>
        <v>3233.468331999999</v>
      </c>
      <c r="P28" s="1527">
        <f ca="1">IF(Case=P$5,[1]Model!$M$18,P28)</f>
        <v>2596.6600000000008</v>
      </c>
    </row>
    <row r="29" spans="3:16" x14ac:dyDescent="0.5">
      <c r="C29" s="1476" t="s">
        <v>1154</v>
      </c>
      <c r="D29" s="1174">
        <f>[1]Model!H19</f>
        <v>-5.0571679859278795E-2</v>
      </c>
      <c r="E29" s="1246">
        <f>E28/D28-1</f>
        <v>-0.12181565539601669</v>
      </c>
      <c r="F29" s="1475">
        <f>F28/E28-1</f>
        <v>0.1318565400843883</v>
      </c>
      <c r="G29" s="1210"/>
      <c r="H29" s="1246">
        <f>H28/$F28-1</f>
        <v>0.14999999999999991</v>
      </c>
      <c r="I29" s="1210">
        <f ca="1">I28/$F28-1</f>
        <v>0.17999999999999994</v>
      </c>
      <c r="J29" s="1475">
        <f ca="1">J28/$F28-1</f>
        <v>0</v>
      </c>
      <c r="K29" s="1246">
        <f t="shared" ref="K29:P29" si="4">K28/H28-1</f>
        <v>0.14999999999999991</v>
      </c>
      <c r="L29" s="1210">
        <f t="shared" ca="1" si="4"/>
        <v>0.12999999999999989</v>
      </c>
      <c r="M29" s="1475">
        <f t="shared" ca="1" si="4"/>
        <v>0.10000000000000009</v>
      </c>
      <c r="N29" s="1246">
        <f t="shared" si="4"/>
        <v>0.14999999999999991</v>
      </c>
      <c r="O29" s="1210">
        <f t="shared" ca="1" si="4"/>
        <v>0.12999999999999989</v>
      </c>
      <c r="P29" s="1475">
        <f t="shared" ca="1" si="4"/>
        <v>0.10000000000000009</v>
      </c>
    </row>
    <row r="30" spans="3:16" ht="12.9" hidden="1" customHeight="1" outlineLevel="1" x14ac:dyDescent="0.5">
      <c r="C30" s="1459"/>
      <c r="D30" s="1201"/>
      <c r="E30" s="1526"/>
      <c r="F30" s="1525"/>
      <c r="G30" s="1259"/>
      <c r="H30" s="1526"/>
      <c r="I30" s="1259"/>
      <c r="J30" s="1525"/>
      <c r="K30" s="1526"/>
      <c r="L30" s="1259"/>
      <c r="M30" s="1525"/>
      <c r="N30" s="1526"/>
      <c r="O30" s="1259"/>
      <c r="P30" s="1525"/>
    </row>
    <row r="31" spans="3:16" s="1197" customFormat="1" ht="12.9" hidden="1" customHeight="1" outlineLevel="1" x14ac:dyDescent="0.5">
      <c r="C31" s="1457" t="s">
        <v>40</v>
      </c>
      <c r="D31" s="1295">
        <f>D23+D28</f>
        <v>116609</v>
      </c>
      <c r="E31" s="1260">
        <f>E23+E28</f>
        <v>134902</v>
      </c>
      <c r="F31" s="1499">
        <f>F23+F28</f>
        <v>164501</v>
      </c>
      <c r="G31" s="1199"/>
      <c r="H31" s="1260">
        <f t="shared" ref="H31:P31" si="5">H23+H28</f>
        <v>178042.66828746177</v>
      </c>
      <c r="I31" s="1199">
        <f t="shared" ca="1" si="5"/>
        <v>182365.01917431195</v>
      </c>
      <c r="J31" s="1499">
        <f t="shared" ca="1" si="5"/>
        <v>163416.64733944956</v>
      </c>
      <c r="K31" s="1260">
        <f t="shared" si="5"/>
        <v>196339.03712961159</v>
      </c>
      <c r="L31" s="1199">
        <f t="shared" ca="1" si="5"/>
        <v>204849.60904058721</v>
      </c>
      <c r="M31" s="1499">
        <f t="shared" ca="1" si="5"/>
        <v>166856.66028623853</v>
      </c>
      <c r="N31" s="1260">
        <f t="shared" si="5"/>
        <v>215470.66803124675</v>
      </c>
      <c r="O31" s="1199">
        <f t="shared" ca="1" si="5"/>
        <v>228994.41601889819</v>
      </c>
      <c r="P31" s="1499">
        <f t="shared" ca="1" si="5"/>
        <v>176230.23213405948</v>
      </c>
    </row>
    <row r="32" spans="3:16" ht="12.9" customHeight="1" collapsed="1" x14ac:dyDescent="0.5">
      <c r="C32" s="1449"/>
      <c r="E32" s="1261"/>
      <c r="F32" s="1477"/>
      <c r="G32" s="1192"/>
      <c r="H32" s="1261"/>
      <c r="I32" s="1203"/>
      <c r="J32" s="1477"/>
      <c r="K32" s="1261"/>
      <c r="L32" s="1203"/>
      <c r="M32" s="1477"/>
      <c r="N32" s="1261"/>
      <c r="O32" s="1203"/>
      <c r="P32" s="1477"/>
    </row>
    <row r="33" spans="3:21" s="1262" customFormat="1" ht="12.9" customHeight="1" x14ac:dyDescent="0.5">
      <c r="C33" s="1454" t="s">
        <v>1189</v>
      </c>
      <c r="D33" s="1282"/>
      <c r="E33" s="1265"/>
      <c r="F33" s="1473"/>
      <c r="G33" s="1272"/>
      <c r="H33" s="1265"/>
      <c r="I33" s="1264"/>
      <c r="J33" s="1473"/>
      <c r="K33" s="1265"/>
      <c r="L33" s="1264"/>
      <c r="M33" s="1473"/>
      <c r="N33" s="1265"/>
      <c r="O33" s="1264"/>
      <c r="P33" s="1473"/>
    </row>
    <row r="34" spans="3:21" ht="4" customHeight="1" x14ac:dyDescent="0.5">
      <c r="C34" s="1449"/>
      <c r="E34" s="1247"/>
      <c r="F34" s="1474"/>
      <c r="G34" s="1192"/>
      <c r="H34" s="1247"/>
      <c r="I34" s="1192"/>
      <c r="J34" s="1474"/>
      <c r="K34" s="1247"/>
      <c r="L34" s="1192"/>
      <c r="M34" s="1474"/>
      <c r="N34" s="1247"/>
      <c r="O34" s="1192"/>
      <c r="P34" s="1474"/>
    </row>
    <row r="35" spans="3:21" s="1197" customFormat="1" x14ac:dyDescent="0.5">
      <c r="C35" s="1222" t="s">
        <v>40</v>
      </c>
      <c r="D35" s="1343">
        <f>[1]Model!H22</f>
        <v>116609</v>
      </c>
      <c r="E35" s="1221">
        <f>[1]Model!I22</f>
        <v>134902</v>
      </c>
      <c r="F35" s="1250">
        <f>[1]Model!J22</f>
        <v>164501</v>
      </c>
      <c r="G35" s="1199"/>
      <c r="H35" s="1520">
        <f>IF(Case=H$5,[1]Model!$K$22,H35)</f>
        <v>178042.66828746177</v>
      </c>
      <c r="I35" s="1221">
        <f ca="1">IF(Case=I$5,[1]Model!$K$22,I35)</f>
        <v>182365.01917431195</v>
      </c>
      <c r="J35" s="1250">
        <f ca="1">IF(Case=J$5,[1]Model!$K$22,J35)</f>
        <v>163416.64733944956</v>
      </c>
      <c r="K35" s="1520">
        <f>IF(Case=K$5,[1]Model!$L$22,K35)</f>
        <v>196339.03712961159</v>
      </c>
      <c r="L35" s="1221">
        <f ca="1">IF(Case=L$5,[1]Model!$L$22,L35)</f>
        <v>204849.60904058721</v>
      </c>
      <c r="M35" s="1250">
        <f ca="1">IF(Case=M$5,[1]Model!$L$22,M35)</f>
        <v>166856.66028623853</v>
      </c>
      <c r="N35" s="1520">
        <f>IF(Case=N$5,[1]Model!$M$22,N35)</f>
        <v>215470.66803124675</v>
      </c>
      <c r="O35" s="1221">
        <f ca="1">IF(Case=O$5,[1]Model!$M$22,O35)</f>
        <v>228994.41601889819</v>
      </c>
      <c r="P35" s="1250">
        <f ca="1">IF(Case=P$5,[1]Model!$M$22,P35)</f>
        <v>176230.23213405948</v>
      </c>
    </row>
    <row r="36" spans="3:21" x14ac:dyDescent="0.5">
      <c r="C36" s="1476" t="s">
        <v>1154</v>
      </c>
      <c r="D36" s="1174">
        <f>[1]Model!H23</f>
        <v>-1.1193175554782941E-2</v>
      </c>
      <c r="E36" s="1246">
        <f>[1]Model!I23</f>
        <v>0.15687468377226454</v>
      </c>
      <c r="F36" s="1475">
        <f>[1]Model!J23</f>
        <v>0.21941112807816054</v>
      </c>
      <c r="G36" s="1210"/>
      <c r="H36" s="1246">
        <f>H35/[1]Model!$J$22-1</f>
        <v>8.2319671536718708E-2</v>
      </c>
      <c r="I36" s="1210">
        <f ca="1">I35/[1]Model!$J$22-1</f>
        <v>0.10859520108881981</v>
      </c>
      <c r="J36" s="1475">
        <f ca="1">J35/[1]Model!$J$22-1</f>
        <v>-6.5917694150822159E-3</v>
      </c>
      <c r="K36" s="1246">
        <f>K35/[1]Model!$J$22-1</f>
        <v>0.19354312210631908</v>
      </c>
      <c r="L36" s="1210">
        <f ca="1">L35/[1]Model!$J$22-1</f>
        <v>0.24527880706249339</v>
      </c>
      <c r="M36" s="1475">
        <f ca="1">M35/[1]Model!$J$22-1</f>
        <v>1.4320036268706815E-2</v>
      </c>
      <c r="N36" s="1246">
        <f>N35/[1]Model!$J$22-1</f>
        <v>0.30984412271807926</v>
      </c>
      <c r="O36" s="1210">
        <f ca="1">O35/[1]Model!$J$22-1</f>
        <v>0.39205485692426301</v>
      </c>
      <c r="P36" s="1475">
        <f ca="1">P35/[1]Model!$J$22-1</f>
        <v>7.1301889557263909E-2</v>
      </c>
      <c r="U36" s="1561"/>
    </row>
    <row r="37" spans="3:21" s="1172" customFormat="1" x14ac:dyDescent="0.5">
      <c r="C37" s="1476" t="s">
        <v>1225</v>
      </c>
      <c r="D37" s="1236"/>
      <c r="E37" s="1519"/>
      <c r="F37" s="1517"/>
      <c r="G37" s="1270"/>
      <c r="H37" s="1519"/>
      <c r="I37" s="1518"/>
      <c r="J37" s="1517"/>
      <c r="K37" s="1246">
        <f>(K35/$F$35)^(1/2)-1</f>
        <v>9.2493991794151187E-2</v>
      </c>
      <c r="L37" s="1210">
        <f ca="1">(L35/$F$35)^(1/2)-1</f>
        <v>0.11592060965934903</v>
      </c>
      <c r="M37" s="1475">
        <f ca="1">(M35/$F$35)^(1/2)-1</f>
        <v>7.1345671104268149E-3</v>
      </c>
      <c r="N37" s="1246">
        <f>(N35/$F$35)^(1/3)-1</f>
        <v>9.4140780543811919E-2</v>
      </c>
      <c r="O37" s="1210">
        <f ca="1">(O35/$F$35)^(1/3)-1</f>
        <v>0.11656870145704668</v>
      </c>
      <c r="P37" s="1475">
        <f ca="1">(P35/$F$35)^(1/3)-1</f>
        <v>2.3223777478282859E-2</v>
      </c>
    </row>
    <row r="38" spans="3:21" s="1197" customFormat="1" x14ac:dyDescent="0.5">
      <c r="C38" s="1457" t="s">
        <v>42</v>
      </c>
      <c r="D38" s="1295">
        <f>[1]Model!H26</f>
        <v>91360</v>
      </c>
      <c r="E38" s="1260">
        <f>[1]Model!I26</f>
        <v>108943</v>
      </c>
      <c r="F38" s="1499">
        <f>[1]Model!J26</f>
        <v>134340</v>
      </c>
      <c r="G38" s="1199"/>
      <c r="H38" s="1260">
        <f>IF(Case=H$5,[1]Model!$K$26,H38)</f>
        <v>144214.56131284405</v>
      </c>
      <c r="I38" s="1199">
        <f ca="1">IF(Case=I$5,[1]Model!$K$26,I38)</f>
        <v>148627.49062706425</v>
      </c>
      <c r="J38" s="1499">
        <f ca="1">IF(Case=J$5,[1]Model!$K$26,J38)</f>
        <v>131550.40110825689</v>
      </c>
      <c r="K38" s="1260">
        <f>IF(Case=K$5,[1]Model!$L$26,K38)</f>
        <v>159034.6200749854</v>
      </c>
      <c r="L38" s="1199">
        <f ca="1">IF(Case=L$5,[1]Model!$L$26,L38)</f>
        <v>166952.4313680786</v>
      </c>
      <c r="M38" s="1499">
        <f ca="1">IF(Case=M$5,[1]Model!$L$26,M38)</f>
        <v>134319.61153042203</v>
      </c>
      <c r="N38" s="1260">
        <f>IF(Case=N$5,[1]Model!$M$26,N38)</f>
        <v>174531.24110530989</v>
      </c>
      <c r="O38" s="1199">
        <f ca="1">IF(Case=O$5,[1]Model!$M$26,O38)</f>
        <v>186630.44905540204</v>
      </c>
      <c r="P38" s="1499">
        <f ca="1">IF(Case=P$5,[1]Model!$M$26,P38)</f>
        <v>141865.33686791788</v>
      </c>
    </row>
    <row r="39" spans="3:21" s="1172" customFormat="1" x14ac:dyDescent="0.5">
      <c r="C39" s="1476" t="s">
        <v>1185</v>
      </c>
      <c r="D39" s="1174">
        <f>D38/D35</f>
        <v>0.78347297378418479</v>
      </c>
      <c r="E39" s="1246">
        <f>E38/E35</f>
        <v>0.8075714222176098</v>
      </c>
      <c r="F39" s="1475">
        <f>F38/F35</f>
        <v>0.81665157050717019</v>
      </c>
      <c r="G39" s="1210"/>
      <c r="H39" s="1246">
        <f t="shared" ref="H39:P39" si="6">H38/H35</f>
        <v>0.81</v>
      </c>
      <c r="I39" s="1210">
        <f t="shared" ca="1" si="6"/>
        <v>0.81500000000000006</v>
      </c>
      <c r="J39" s="1475">
        <f t="shared" ca="1" si="6"/>
        <v>0.80499999999999994</v>
      </c>
      <c r="K39" s="1246">
        <f t="shared" si="6"/>
        <v>0.81</v>
      </c>
      <c r="L39" s="1210">
        <f t="shared" ca="1" si="6"/>
        <v>0.81500000000000017</v>
      </c>
      <c r="M39" s="1475">
        <f t="shared" ca="1" si="6"/>
        <v>0.80500000000000005</v>
      </c>
      <c r="N39" s="1246">
        <f t="shared" si="6"/>
        <v>0.81</v>
      </c>
      <c r="O39" s="1210">
        <f t="shared" ca="1" si="6"/>
        <v>0.81500000000000006</v>
      </c>
      <c r="P39" s="1475">
        <f t="shared" ca="1" si="6"/>
        <v>0.80500000000000005</v>
      </c>
    </row>
    <row r="40" spans="3:21" s="1197" customFormat="1" x14ac:dyDescent="0.5">
      <c r="C40" s="1457" t="s">
        <v>72</v>
      </c>
      <c r="D40" s="1295">
        <f>[1]Model!H29</f>
        <v>35338</v>
      </c>
      <c r="E40" s="1260">
        <f>[1]Model!I29</f>
        <v>38483</v>
      </c>
      <c r="F40" s="1499">
        <f>[1]Model!J29</f>
        <v>43873</v>
      </c>
      <c r="G40" s="1199"/>
      <c r="H40" s="1260">
        <f>IF(Case=H$5,[1]Model!$K$29,H40)</f>
        <v>55373</v>
      </c>
      <c r="I40" s="1199">
        <f ca="1">IF(Case=I$5,[1]Model!$K$29,I40)</f>
        <v>55173</v>
      </c>
      <c r="J40" s="1499">
        <f ca="1">IF(Case=J$5,[1]Model!$K$29,J40)</f>
        <v>51373</v>
      </c>
      <c r="K40" s="1260">
        <f>IF(Case=K$5,[1]Model!$L$29,K40)</f>
        <v>63373</v>
      </c>
      <c r="L40" s="1199">
        <f ca="1">IF(Case=L$5,[1]Model!$L$29,L40)</f>
        <v>62773</v>
      </c>
      <c r="M40" s="1499">
        <f ca="1">IF(Case=M$5,[1]Model!$L$29,M40)</f>
        <v>54373</v>
      </c>
      <c r="N40" s="1260">
        <f>IF(Case=N$5,[1]Model!$M$29,N40)</f>
        <v>71373</v>
      </c>
      <c r="O40" s="1199">
        <f ca="1">IF(Case=O$5,[1]Model!$M$29,O40)</f>
        <v>70373</v>
      </c>
      <c r="P40" s="1499">
        <f ca="1">IF(Case=P$5,[1]Model!$M$29,P40)</f>
        <v>57373</v>
      </c>
    </row>
    <row r="41" spans="3:21" outlineLevel="1" x14ac:dyDescent="0.5">
      <c r="C41" s="1476" t="s">
        <v>1154</v>
      </c>
      <c r="D41" s="1174">
        <f>D40/[1]Model!G29-1</f>
        <v>0.43329953356317175</v>
      </c>
      <c r="E41" s="1246">
        <f>E40/D40-1</f>
        <v>8.8997679551757303E-2</v>
      </c>
      <c r="F41" s="1475">
        <f>F40/E40-1</f>
        <v>0.1400618454902165</v>
      </c>
      <c r="G41" s="1210"/>
      <c r="H41" s="1246">
        <f>H40/$F40-1</f>
        <v>0.26212021060789104</v>
      </c>
      <c r="I41" s="1210">
        <f ca="1">I40/$F40-1</f>
        <v>0.25756159824949276</v>
      </c>
      <c r="J41" s="1475">
        <f ca="1">J40/$F40-1</f>
        <v>0.17094796343992891</v>
      </c>
      <c r="K41" s="1246">
        <f t="shared" ref="K41:P41" si="7">K40/H40-1</f>
        <v>0.14447474400881299</v>
      </c>
      <c r="L41" s="1210">
        <f t="shared" ca="1" si="7"/>
        <v>0.13774853642180052</v>
      </c>
      <c r="M41" s="1475">
        <f t="shared" ca="1" si="7"/>
        <v>5.8396433924434943E-2</v>
      </c>
      <c r="N41" s="1246">
        <f t="shared" si="7"/>
        <v>0.12623672541934261</v>
      </c>
      <c r="O41" s="1210">
        <f t="shared" ca="1" si="7"/>
        <v>0.12107116116801819</v>
      </c>
      <c r="P41" s="1475">
        <f t="shared" ca="1" si="7"/>
        <v>5.517444319791065E-2</v>
      </c>
    </row>
    <row r="42" spans="3:21" s="1172" customFormat="1" x14ac:dyDescent="0.5">
      <c r="C42" s="1476" t="s">
        <v>1129</v>
      </c>
      <c r="D42" s="1174">
        <f>D40/D$35</f>
        <v>0.30304693462768739</v>
      </c>
      <c r="E42" s="1246">
        <f>E40/E$35</f>
        <v>0.28526634149234259</v>
      </c>
      <c r="F42" s="1475">
        <f>F40/F$35</f>
        <v>0.26670354587510109</v>
      </c>
      <c r="G42" s="1210"/>
      <c r="H42" s="1246">
        <f t="shared" ref="H42:P42" si="8">H40/H$35</f>
        <v>0.31100971768518204</v>
      </c>
      <c r="I42" s="1210">
        <f t="shared" ca="1" si="8"/>
        <v>0.30254157430961792</v>
      </c>
      <c r="J42" s="1475">
        <f t="shared" ca="1" si="8"/>
        <v>0.31436821668044534</v>
      </c>
      <c r="K42" s="1246">
        <f t="shared" si="8"/>
        <v>0.32277330543372706</v>
      </c>
      <c r="L42" s="1210">
        <f t="shared" ca="1" si="8"/>
        <v>0.30643456091518667</v>
      </c>
      <c r="M42" s="1475">
        <f t="shared" ca="1" si="8"/>
        <v>0.32586652463692156</v>
      </c>
      <c r="N42" s="1246">
        <f t="shared" si="8"/>
        <v>0.33124230157234097</v>
      </c>
      <c r="O42" s="1210">
        <f t="shared" ca="1" si="8"/>
        <v>0.30731317044076889</v>
      </c>
      <c r="P42" s="1475">
        <f t="shared" ca="1" si="8"/>
        <v>0.32555708124106647</v>
      </c>
    </row>
    <row r="43" spans="3:21" s="1172" customFormat="1" x14ac:dyDescent="0.5">
      <c r="C43" s="1476" t="s">
        <v>1539</v>
      </c>
      <c r="D43" s="1236"/>
      <c r="E43" s="1524"/>
      <c r="F43" s="1523"/>
      <c r="G43" s="1270"/>
      <c r="H43" s="1258">
        <f t="shared" ref="H43:P43" si="9">H40-$F40</f>
        <v>11500</v>
      </c>
      <c r="I43" s="1213">
        <f t="shared" ca="1" si="9"/>
        <v>11300</v>
      </c>
      <c r="J43" s="1515">
        <f t="shared" ca="1" si="9"/>
        <v>7500</v>
      </c>
      <c r="K43" s="1258">
        <f t="shared" si="9"/>
        <v>19500</v>
      </c>
      <c r="L43" s="1213">
        <f t="shared" ca="1" si="9"/>
        <v>18900</v>
      </c>
      <c r="M43" s="1515">
        <f t="shared" ca="1" si="9"/>
        <v>10500</v>
      </c>
      <c r="N43" s="1258">
        <f t="shared" si="9"/>
        <v>27500</v>
      </c>
      <c r="O43" s="1213">
        <f t="shared" ca="1" si="9"/>
        <v>26500</v>
      </c>
      <c r="P43" s="1515">
        <f t="shared" ca="1" si="9"/>
        <v>13500</v>
      </c>
    </row>
    <row r="44" spans="3:21" s="1197" customFormat="1" x14ac:dyDescent="0.5">
      <c r="C44" s="1457" t="s">
        <v>71</v>
      </c>
      <c r="D44" s="1295">
        <f>[1]Model!H33</f>
        <v>15262</v>
      </c>
      <c r="E44" s="1260">
        <f>[1]Model!I33</f>
        <v>12301</v>
      </c>
      <c r="F44" s="1499">
        <f>[1]Model!J33</f>
        <v>11347</v>
      </c>
      <c r="G44" s="1199"/>
      <c r="H44" s="1260">
        <f>IF(Case=H$5,[1]Model!$K$33,H44)</f>
        <v>11947</v>
      </c>
      <c r="I44" s="1199">
        <f ca="1">IF(Case=I$5,[1]Model!$K$33,I44)</f>
        <v>11847</v>
      </c>
      <c r="J44" s="1499">
        <f ca="1">IF(Case=J$5,[1]Model!$K$33,J44)</f>
        <v>11347</v>
      </c>
      <c r="K44" s="1260">
        <f>IF(Case=K$5,[1]Model!$L$33,K44)</f>
        <v>12247</v>
      </c>
      <c r="L44" s="1199">
        <f ca="1">IF(Case=L$5,[1]Model!$L$33,L44)</f>
        <v>12047</v>
      </c>
      <c r="M44" s="1499">
        <f ca="1">IF(Case=M$5,[1]Model!$L$33,M44)</f>
        <v>11647</v>
      </c>
      <c r="N44" s="1260">
        <f>IF(Case=N$5,[1]Model!$M$33,N44)</f>
        <v>12547</v>
      </c>
      <c r="O44" s="1199">
        <f ca="1">IF(Case=O$5,[1]Model!$M$33,O44)</f>
        <v>12247</v>
      </c>
      <c r="P44" s="1499">
        <f ca="1">IF(Case=P$5,[1]Model!$M$33,P44)</f>
        <v>11947</v>
      </c>
    </row>
    <row r="45" spans="3:21" x14ac:dyDescent="0.5">
      <c r="C45" s="1476" t="s">
        <v>1154</v>
      </c>
      <c r="D45" s="1174">
        <f>D44/[1]Model!G33-1</f>
        <v>8.6804813786228063E-2</v>
      </c>
      <c r="E45" s="1246">
        <f>E44/D44-1</f>
        <v>-0.19401126982046912</v>
      </c>
      <c r="F45" s="1475">
        <f>F44/E44-1</f>
        <v>-7.7554670352003918E-2</v>
      </c>
      <c r="G45" s="1210"/>
      <c r="H45" s="1246">
        <f>H44/$F44-1</f>
        <v>5.2877412531946666E-2</v>
      </c>
      <c r="I45" s="1210">
        <f ca="1">I44/$F44-1</f>
        <v>4.4064510443289073E-2</v>
      </c>
      <c r="J45" s="1475">
        <f ca="1">J44/$F44-1</f>
        <v>0</v>
      </c>
      <c r="K45" s="1246">
        <f t="shared" ref="K45:P45" si="10">K44/H44-1</f>
        <v>2.5110906503724717E-2</v>
      </c>
      <c r="L45" s="1210">
        <f t="shared" ca="1" si="10"/>
        <v>1.6881911032328833E-2</v>
      </c>
      <c r="M45" s="1475">
        <f t="shared" ca="1" si="10"/>
        <v>2.6438706265973444E-2</v>
      </c>
      <c r="N45" s="1246">
        <f t="shared" si="10"/>
        <v>2.4495794888544031E-2</v>
      </c>
      <c r="O45" s="1210">
        <f t="shared" ca="1" si="10"/>
        <v>1.6601643562712765E-2</v>
      </c>
      <c r="P45" s="1475">
        <f t="shared" ca="1" si="10"/>
        <v>2.5757705846999324E-2</v>
      </c>
    </row>
    <row r="46" spans="3:21" s="1172" customFormat="1" x14ac:dyDescent="0.5">
      <c r="C46" s="1476" t="s">
        <v>1129</v>
      </c>
      <c r="D46" s="1174">
        <f>D44/D$35</f>
        <v>0.13088183587887728</v>
      </c>
      <c r="E46" s="1246">
        <f>E44/E$35</f>
        <v>9.118471186490934E-2</v>
      </c>
      <c r="F46" s="1475">
        <f>F44/F$35</f>
        <v>6.8978304083257849E-2</v>
      </c>
      <c r="G46" s="1210"/>
      <c r="H46" s="1246">
        <f t="shared" ref="H46:P46" si="11">H44/H$35</f>
        <v>6.710189256830712E-2</v>
      </c>
      <c r="I46" s="1210">
        <f t="shared" ca="1" si="11"/>
        <v>6.4963116575970925E-2</v>
      </c>
      <c r="J46" s="1475">
        <f t="shared" ca="1" si="11"/>
        <v>6.9436010251941946E-2</v>
      </c>
      <c r="K46" s="1246">
        <f t="shared" si="11"/>
        <v>6.2376795664507836E-2</v>
      </c>
      <c r="L46" s="1210">
        <f t="shared" ca="1" si="11"/>
        <v>5.8808996787556023E-2</v>
      </c>
      <c r="M46" s="1475">
        <f t="shared" ca="1" si="11"/>
        <v>6.9802427904405231E-2</v>
      </c>
      <c r="N46" s="1246">
        <f t="shared" si="11"/>
        <v>5.8230663665926358E-2</v>
      </c>
      <c r="O46" s="1210">
        <f t="shared" ca="1" si="11"/>
        <v>5.3481653452149218E-2</v>
      </c>
      <c r="P46" s="1475">
        <f t="shared" ca="1" si="11"/>
        <v>6.779200058541511E-2</v>
      </c>
    </row>
    <row r="47" spans="3:21" s="1172" customFormat="1" x14ac:dyDescent="0.5">
      <c r="C47" s="1476" t="s">
        <v>1539</v>
      </c>
      <c r="D47" s="1236"/>
      <c r="E47" s="1524"/>
      <c r="F47" s="1523"/>
      <c r="G47" s="1270"/>
      <c r="H47" s="1258">
        <f t="shared" ref="H47:P47" si="12">H44-$F44</f>
        <v>600</v>
      </c>
      <c r="I47" s="1213">
        <f t="shared" ca="1" si="12"/>
        <v>500</v>
      </c>
      <c r="J47" s="1515">
        <f t="shared" ca="1" si="12"/>
        <v>0</v>
      </c>
      <c r="K47" s="1258">
        <f t="shared" si="12"/>
        <v>900</v>
      </c>
      <c r="L47" s="1213">
        <f t="shared" ca="1" si="12"/>
        <v>700</v>
      </c>
      <c r="M47" s="1515">
        <f t="shared" ca="1" si="12"/>
        <v>300</v>
      </c>
      <c r="N47" s="1258">
        <f t="shared" si="12"/>
        <v>1200</v>
      </c>
      <c r="O47" s="1213">
        <f t="shared" ca="1" si="12"/>
        <v>900</v>
      </c>
      <c r="P47" s="1515">
        <f t="shared" ca="1" si="12"/>
        <v>600</v>
      </c>
    </row>
    <row r="48" spans="3:21" s="1197" customFormat="1" x14ac:dyDescent="0.5">
      <c r="C48" s="1457" t="s">
        <v>70</v>
      </c>
      <c r="D48" s="1295">
        <f>[1]Model!H37</f>
        <v>11816</v>
      </c>
      <c r="E48" s="1260">
        <f>[1]Model!I37</f>
        <v>11408</v>
      </c>
      <c r="F48" s="1499">
        <f>[1]Model!J37</f>
        <v>9740</v>
      </c>
      <c r="G48" s="1199"/>
      <c r="H48" s="1260">
        <f>IF(Case=H$5,[1]Model!$K$37,H48)</f>
        <v>10340</v>
      </c>
      <c r="I48" s="1199">
        <f ca="1">IF(Case=I$5,[1]Model!$K$37,I48)</f>
        <v>10240</v>
      </c>
      <c r="J48" s="1499">
        <f ca="1">IF(Case=J$5,[1]Model!$K$37,J48)</f>
        <v>9740</v>
      </c>
      <c r="K48" s="1260">
        <f>IF(Case=K$5,[1]Model!$L$37,K48)</f>
        <v>10540</v>
      </c>
      <c r="L48" s="1199">
        <f ca="1">IF(Case=L$5,[1]Model!$L$37,L48)</f>
        <v>10340</v>
      </c>
      <c r="M48" s="1499">
        <f ca="1">IF(Case=M$5,[1]Model!$L$37,M48)</f>
        <v>9890</v>
      </c>
      <c r="N48" s="1260">
        <f>IF(Case=N$5,[1]Model!$M$37,N48)</f>
        <v>10640</v>
      </c>
      <c r="O48" s="1199">
        <f ca="1">IF(Case=O$5,[1]Model!$M$37,O48)</f>
        <v>10340</v>
      </c>
      <c r="P48" s="1499">
        <f ca="1">IF(Case=P$5,[1]Model!$M$37,P48)</f>
        <v>10040</v>
      </c>
    </row>
    <row r="49" spans="3:16" x14ac:dyDescent="0.5">
      <c r="C49" s="1476" t="s">
        <v>1154</v>
      </c>
      <c r="D49" s="1174">
        <f>D48/[1]Model!G37-1</f>
        <v>0.20215688269406851</v>
      </c>
      <c r="E49" s="1246">
        <f>E48/D48-1</f>
        <v>-3.4529451591063021E-2</v>
      </c>
      <c r="F49" s="1475">
        <f>F48/E48-1</f>
        <v>-0.14621318373071523</v>
      </c>
      <c r="G49" s="1210"/>
      <c r="H49" s="1246">
        <f>H48/$F48-1</f>
        <v>6.1601642710472193E-2</v>
      </c>
      <c r="I49" s="1210">
        <f ca="1">I48/$F48-1</f>
        <v>5.1334702258726939E-2</v>
      </c>
      <c r="J49" s="1475">
        <f ca="1">J48/$F48-1</f>
        <v>0</v>
      </c>
      <c r="K49" s="1246">
        <f t="shared" ref="K49:P49" si="13">K48/H48-1</f>
        <v>1.934235976789167E-2</v>
      </c>
      <c r="L49" s="1210">
        <f t="shared" ca="1" si="13"/>
        <v>9.765625E-3</v>
      </c>
      <c r="M49" s="1475">
        <f t="shared" ca="1" si="13"/>
        <v>1.5400410677617993E-2</v>
      </c>
      <c r="N49" s="1246">
        <f t="shared" si="13"/>
        <v>9.4876660341556285E-3</v>
      </c>
      <c r="O49" s="1210">
        <f t="shared" ca="1" si="13"/>
        <v>0</v>
      </c>
      <c r="P49" s="1475">
        <f t="shared" ca="1" si="13"/>
        <v>1.5166835187057526E-2</v>
      </c>
    </row>
    <row r="50" spans="3:16" s="1172" customFormat="1" x14ac:dyDescent="0.5">
      <c r="C50" s="1476" t="s">
        <v>1129</v>
      </c>
      <c r="D50" s="1174">
        <f>D48/D$35</f>
        <v>0.10133008601394404</v>
      </c>
      <c r="E50" s="1246">
        <f>E48/E$35</f>
        <v>8.4565091696194278E-2</v>
      </c>
      <c r="F50" s="1475">
        <f>F48/F$35</f>
        <v>5.9209366508410285E-2</v>
      </c>
      <c r="G50" s="1210"/>
      <c r="H50" s="1246">
        <f t="shared" ref="H50:P50" si="14">H48/H$35</f>
        <v>5.8075966280764675E-2</v>
      </c>
      <c r="I50" s="1210">
        <f t="shared" ca="1" si="14"/>
        <v>5.6151119586219489E-2</v>
      </c>
      <c r="J50" s="1475">
        <f t="shared" ca="1" si="14"/>
        <v>5.9602250802319075E-2</v>
      </c>
      <c r="K50" s="1246">
        <f t="shared" si="14"/>
        <v>5.3682650959738107E-2</v>
      </c>
      <c r="L50" s="1210">
        <f t="shared" ca="1" si="14"/>
        <v>5.0476054352397215E-2</v>
      </c>
      <c r="M50" s="1475">
        <f t="shared" ca="1" si="14"/>
        <v>5.9272431696966402E-2</v>
      </c>
      <c r="N50" s="1246">
        <f t="shared" si="14"/>
        <v>4.9380271093126357E-2</v>
      </c>
      <c r="O50" s="1210">
        <f t="shared" ca="1" si="14"/>
        <v>4.5153939470500767E-2</v>
      </c>
      <c r="P50" s="1475">
        <f t="shared" ca="1" si="14"/>
        <v>5.6970928758480595E-2</v>
      </c>
    </row>
    <row r="51" spans="3:16" s="1172" customFormat="1" x14ac:dyDescent="0.5">
      <c r="C51" s="1476" t="s">
        <v>1539</v>
      </c>
      <c r="D51" s="1236"/>
      <c r="E51" s="1258"/>
      <c r="F51" s="1515"/>
      <c r="G51" s="1270"/>
      <c r="H51" s="1258">
        <f t="shared" ref="H51:P51" si="15">H48-$F48</f>
        <v>600</v>
      </c>
      <c r="I51" s="1213">
        <f t="shared" ca="1" si="15"/>
        <v>500</v>
      </c>
      <c r="J51" s="1515">
        <f t="shared" ca="1" si="15"/>
        <v>0</v>
      </c>
      <c r="K51" s="1258">
        <f t="shared" si="15"/>
        <v>800</v>
      </c>
      <c r="L51" s="1213">
        <f t="shared" ca="1" si="15"/>
        <v>600</v>
      </c>
      <c r="M51" s="1515">
        <f t="shared" ca="1" si="15"/>
        <v>150</v>
      </c>
      <c r="N51" s="1258">
        <f t="shared" si="15"/>
        <v>900</v>
      </c>
      <c r="O51" s="1213">
        <f t="shared" ca="1" si="15"/>
        <v>600</v>
      </c>
      <c r="P51" s="1515">
        <f t="shared" ca="1" si="15"/>
        <v>300</v>
      </c>
    </row>
    <row r="52" spans="3:16" s="1197" customFormat="1" x14ac:dyDescent="0.5">
      <c r="C52" s="1222" t="s">
        <v>77</v>
      </c>
      <c r="D52" s="1343">
        <f>D38-D40-D44-D48</f>
        <v>28944</v>
      </c>
      <c r="E52" s="1221">
        <f>E38-E40-E44-E48</f>
        <v>46751</v>
      </c>
      <c r="F52" s="1250">
        <f>F38-F40-F44-F48</f>
        <v>69380</v>
      </c>
      <c r="G52" s="1199"/>
      <c r="H52" s="1520">
        <f>IF('[1]Memo - A'!$AC$4=H$5,[1]Model!$K$41,H52)</f>
        <v>66554.561312844045</v>
      </c>
      <c r="I52" s="1221">
        <f ca="1">IF('[1]Memo - A'!$AC$4=I$5,[1]Model!$K$41,I52)</f>
        <v>71367.490627064253</v>
      </c>
      <c r="J52" s="1250">
        <f ca="1">IF('[1]Memo - A'!$AC$4=J$5,[1]Model!$K$41,J52)</f>
        <v>59090.40110825689</v>
      </c>
      <c r="K52" s="1520">
        <f>IF('[1]Memo - A'!$AC$4=K$5,[1]Model!$L$41,K52)</f>
        <v>72874.620074985403</v>
      </c>
      <c r="L52" s="1221">
        <f ca="1">IF('[1]Memo - A'!$AC$4=L$5,[1]Model!$L$41,L52)</f>
        <v>81792.4313680786</v>
      </c>
      <c r="M52" s="1250">
        <f ca="1">IF('[1]Memo - A'!$AC$4=M$5,[1]Model!$L$41,M52)</f>
        <v>58409.611530422029</v>
      </c>
      <c r="N52" s="1520">
        <f>IF('[1]Memo - A'!$AC$4=N$5,[1]Model!$M$41,N52)</f>
        <v>79971.241105309891</v>
      </c>
      <c r="O52" s="1221">
        <f ca="1">IF('[1]Memo - A'!$AC$4=O$5,[1]Model!$M$41,O52)</f>
        <v>93670.449055402045</v>
      </c>
      <c r="P52" s="1250">
        <f ca="1">IF('[1]Memo - A'!$AC$4=P$5,[1]Model!$M$41,P52)</f>
        <v>62505.336867917882</v>
      </c>
    </row>
    <row r="53" spans="3:16" x14ac:dyDescent="0.5">
      <c r="C53" s="1476" t="s">
        <v>1530</v>
      </c>
      <c r="D53" s="1174">
        <f>D52/D$35</f>
        <v>0.24821411726367604</v>
      </c>
      <c r="E53" s="1246">
        <f>E52/E$35</f>
        <v>0.34655527716416362</v>
      </c>
      <c r="F53" s="1475">
        <f>F52/F$35</f>
        <v>0.42176035404040096</v>
      </c>
      <c r="G53" s="1210"/>
      <c r="H53" s="1246">
        <f t="shared" ref="H53:P53" si="16">H52/H$35</f>
        <v>0.37381242346574622</v>
      </c>
      <c r="I53" s="1210">
        <f t="shared" ca="1" si="16"/>
        <v>0.39134418952819172</v>
      </c>
      <c r="J53" s="1475">
        <f t="shared" ca="1" si="16"/>
        <v>0.36159352226529362</v>
      </c>
      <c r="K53" s="1246">
        <f t="shared" si="16"/>
        <v>0.37116724794202705</v>
      </c>
      <c r="L53" s="1210">
        <f t="shared" ca="1" si="16"/>
        <v>0.3992803879448602</v>
      </c>
      <c r="M53" s="1475">
        <f t="shared" ca="1" si="16"/>
        <v>0.35005861576170688</v>
      </c>
      <c r="N53" s="1246">
        <f t="shared" si="16"/>
        <v>0.37114676366860644</v>
      </c>
      <c r="O53" s="1210">
        <f t="shared" ca="1" si="16"/>
        <v>0.40905123663658122</v>
      </c>
      <c r="P53" s="1475">
        <f t="shared" ca="1" si="16"/>
        <v>0.35467998941503787</v>
      </c>
    </row>
    <row r="54" spans="3:16" s="1172" customFormat="1" x14ac:dyDescent="0.5">
      <c r="C54" s="1476" t="s">
        <v>1538</v>
      </c>
      <c r="D54" s="1236"/>
      <c r="E54" s="1522"/>
      <c r="F54" s="1521"/>
      <c r="G54" s="1270"/>
      <c r="H54" s="1246">
        <f t="shared" ref="H54:P54" si="17">H53-$F$53</f>
        <v>-4.794793057465474E-2</v>
      </c>
      <c r="I54" s="1210">
        <f t="shared" ca="1" si="17"/>
        <v>-3.0416164512209243E-2</v>
      </c>
      <c r="J54" s="1475">
        <f t="shared" ca="1" si="17"/>
        <v>-6.0166831775107343E-2</v>
      </c>
      <c r="K54" s="1246">
        <f t="shared" si="17"/>
        <v>-5.0593106098373919E-2</v>
      </c>
      <c r="L54" s="1210">
        <f t="shared" ca="1" si="17"/>
        <v>-2.247996609554076E-2</v>
      </c>
      <c r="M54" s="1475">
        <f t="shared" ca="1" si="17"/>
        <v>-7.1701738278694083E-2</v>
      </c>
      <c r="N54" s="1246">
        <f t="shared" si="17"/>
        <v>-5.0613590371794526E-2</v>
      </c>
      <c r="O54" s="1210">
        <f t="shared" ca="1" si="17"/>
        <v>-1.2709117403819747E-2</v>
      </c>
      <c r="P54" s="1475">
        <f t="shared" ca="1" si="17"/>
        <v>-6.7080364625363098E-2</v>
      </c>
    </row>
    <row r="55" spans="3:16" x14ac:dyDescent="0.5">
      <c r="C55" s="1449"/>
      <c r="E55" s="1247"/>
      <c r="F55" s="1474"/>
      <c r="G55" s="1192"/>
      <c r="H55" s="1247"/>
      <c r="I55" s="1192"/>
      <c r="J55" s="1474"/>
      <c r="K55" s="1247"/>
      <c r="L55" s="1192"/>
      <c r="M55" s="1474"/>
      <c r="N55" s="1247"/>
      <c r="O55" s="1192"/>
      <c r="P55" s="1474"/>
    </row>
    <row r="56" spans="3:16" s="1197" customFormat="1" x14ac:dyDescent="0.5">
      <c r="C56" s="1222" t="s">
        <v>51</v>
      </c>
      <c r="D56" s="1343">
        <f>[1]Model!H59</f>
        <v>23200</v>
      </c>
      <c r="E56" s="1221">
        <f>[1]Model!I59</f>
        <v>39098</v>
      </c>
      <c r="F56" s="1250">
        <f>[1]Model!J59</f>
        <v>62360</v>
      </c>
      <c r="G56" s="1199"/>
      <c r="H56" s="1520">
        <f>IF('[1]Memo - A'!$AC$4=H$5,[1]Model!$K$59,H52)</f>
        <v>58716.541377539921</v>
      </c>
      <c r="I56" s="1221">
        <f ca="1">IF('[1]Memo - A'!$AC$4=I$5,[1]Model!$K$59,I52)</f>
        <v>71367.490627064253</v>
      </c>
      <c r="J56" s="1250">
        <f ca="1">IF('[1]Memo - A'!$AC$4=J$5,[1]Model!$K$59,J52)</f>
        <v>59090.40110825689</v>
      </c>
      <c r="K56" s="1520">
        <f>IF('[1]Memo - A'!$AC$4=K$5,[1]Model!$L$59,K52)</f>
        <v>64981.466187415383</v>
      </c>
      <c r="L56" s="1221">
        <f ca="1">IF('[1]Memo - A'!$AC$4=L$5,[1]Model!$L$59,L52)</f>
        <v>81792.4313680786</v>
      </c>
      <c r="M56" s="1250">
        <f ca="1">IF('[1]Memo - A'!$AC$4=M$5,[1]Model!$L$59,M52)</f>
        <v>58409.611530422029</v>
      </c>
      <c r="N56" s="1520">
        <f>IF('[1]Memo - A'!$AC$4=N$5,[1]Model!$M$59,N52)</f>
        <v>72135.762872323452</v>
      </c>
      <c r="O56" s="1221">
        <f ca="1">IF('[1]Memo - A'!$AC$4=O$5,[1]Model!$M$59,O52)</f>
        <v>93670.449055402045</v>
      </c>
      <c r="P56" s="1250">
        <f ca="1">IF('[1]Memo - A'!$AC$4=P$5,[1]Model!$M$59,P52)</f>
        <v>62505.336867917882</v>
      </c>
    </row>
    <row r="57" spans="3:16" x14ac:dyDescent="0.5">
      <c r="C57" s="1476" t="s">
        <v>1154</v>
      </c>
      <c r="D57" s="1174">
        <f>[1]Model!H31</f>
        <v>0.30304693462768739</v>
      </c>
      <c r="E57" s="1246">
        <f>[1]Model!I31</f>
        <v>0.28526634149234259</v>
      </c>
      <c r="F57" s="1475">
        <f>[1]Model!J31</f>
        <v>0.26670354587510109</v>
      </c>
      <c r="G57" s="1210"/>
      <c r="H57" s="1246">
        <f>H56/$F56-1</f>
        <v>-5.8426212675754985E-2</v>
      </c>
      <c r="I57" s="1210">
        <f ca="1">I56/$F56-1</f>
        <v>0.14444340325632221</v>
      </c>
      <c r="J57" s="1475">
        <f ca="1">J56/$F56-1</f>
        <v>-5.2431027770094785E-2</v>
      </c>
      <c r="K57" s="1246">
        <f t="shared" ref="K57:P57" si="18">K56/H56-1</f>
        <v>0.10669778333149416</v>
      </c>
      <c r="L57" s="1210">
        <f t="shared" ca="1" si="18"/>
        <v>0.14607408288306778</v>
      </c>
      <c r="M57" s="1475">
        <f t="shared" ca="1" si="18"/>
        <v>-1.1521153437215936E-2</v>
      </c>
      <c r="N57" s="1246">
        <f t="shared" si="18"/>
        <v>0.11009749555779647</v>
      </c>
      <c r="O57" s="1210">
        <f t="shared" ca="1" si="18"/>
        <v>0.14522147695879739</v>
      </c>
      <c r="P57" s="1475">
        <f t="shared" ca="1" si="18"/>
        <v>7.0120742634328881E-2</v>
      </c>
    </row>
    <row r="58" spans="3:16" s="1172" customFormat="1" x14ac:dyDescent="0.5">
      <c r="C58" s="1476" t="s">
        <v>1225</v>
      </c>
      <c r="D58" s="1236"/>
      <c r="E58" s="1519"/>
      <c r="F58" s="1517"/>
      <c r="G58" s="1270"/>
      <c r="H58" s="1519"/>
      <c r="I58" s="1518"/>
      <c r="J58" s="1517"/>
      <c r="K58" s="1246">
        <f>(K56/$F$35)^(1/2)-1</f>
        <v>-0.3714924748151226</v>
      </c>
      <c r="L58" s="1210">
        <f ca="1">(L56/$F$35)^(1/2)-1</f>
        <v>-0.29486497379336984</v>
      </c>
      <c r="M58" s="1475">
        <f ca="1">(M56/$F$35)^(1/2)-1</f>
        <v>-0.40412126415218697</v>
      </c>
      <c r="N58" s="1246">
        <f>(N56/$F$35)^(1/3)-1</f>
        <v>-0.24026751677061375</v>
      </c>
      <c r="O58" s="1210">
        <f ca="1">(O56/$F$35)^(1/3)-1</f>
        <v>-0.17114603384816107</v>
      </c>
      <c r="P58" s="1475">
        <f ca="1">(P56/$F$35)^(1/3)-1</f>
        <v>-0.27570383464849058</v>
      </c>
    </row>
    <row r="59" spans="3:16" x14ac:dyDescent="0.5">
      <c r="C59" s="1476" t="s">
        <v>1530</v>
      </c>
      <c r="D59" s="1174">
        <f>D56/D$35</f>
        <v>0.19895548371051977</v>
      </c>
      <c r="E59" s="1246">
        <f>E56/E$35</f>
        <v>0.28982520644616094</v>
      </c>
      <c r="F59" s="1475">
        <f>F56/F$35</f>
        <v>0.37908584142345642</v>
      </c>
      <c r="G59" s="1210"/>
      <c r="H59" s="1246">
        <f t="shared" ref="H59:P59" si="19">H56/H$35</f>
        <v>0.32978915639894896</v>
      </c>
      <c r="I59" s="1210">
        <f t="shared" ca="1" si="19"/>
        <v>0.39134418952819172</v>
      </c>
      <c r="J59" s="1475">
        <f t="shared" ca="1" si="19"/>
        <v>0.36159352226529362</v>
      </c>
      <c r="K59" s="1246">
        <f t="shared" si="19"/>
        <v>0.33096559470503262</v>
      </c>
      <c r="L59" s="1210">
        <f t="shared" ca="1" si="19"/>
        <v>0.3992803879448602</v>
      </c>
      <c r="M59" s="1475">
        <f t="shared" ca="1" si="19"/>
        <v>0.35005861576170688</v>
      </c>
      <c r="N59" s="1246">
        <f t="shared" si="19"/>
        <v>0.33478228629180556</v>
      </c>
      <c r="O59" s="1210">
        <f t="shared" ca="1" si="19"/>
        <v>0.40905123663658122</v>
      </c>
      <c r="P59" s="1475">
        <f t="shared" ca="1" si="19"/>
        <v>0.35467998941503787</v>
      </c>
    </row>
    <row r="60" spans="3:16" x14ac:dyDescent="0.5">
      <c r="C60" s="1449"/>
      <c r="E60" s="1247"/>
      <c r="F60" s="1474"/>
      <c r="G60" s="1192"/>
      <c r="H60" s="1247"/>
      <c r="I60" s="1192"/>
      <c r="J60" s="1474"/>
      <c r="K60" s="1247"/>
      <c r="L60" s="1192"/>
      <c r="M60" s="1474"/>
      <c r="N60" s="1247"/>
      <c r="O60" s="1192"/>
      <c r="P60" s="1474"/>
    </row>
    <row r="61" spans="3:16" hidden="1" outlineLevel="1" x14ac:dyDescent="0.5">
      <c r="C61" s="1171" t="s">
        <v>1179</v>
      </c>
      <c r="D61" s="1180">
        <f>[1]Model!H81</f>
        <v>18194</v>
      </c>
      <c r="E61" s="1261">
        <f>[1]Model!I81</f>
        <v>42789</v>
      </c>
      <c r="F61" s="1477">
        <f>[1]Model!J81</f>
        <v>52103</v>
      </c>
      <c r="G61" s="1203"/>
      <c r="H61" s="1192"/>
      <c r="I61" s="1192"/>
      <c r="J61" s="1192"/>
      <c r="K61" s="1192"/>
      <c r="L61" s="1192"/>
      <c r="M61" s="1192"/>
      <c r="N61" s="1192"/>
      <c r="O61" s="1192"/>
      <c r="P61" s="1192"/>
    </row>
    <row r="62" spans="3:16" hidden="1" outlineLevel="1" x14ac:dyDescent="0.5">
      <c r="C62" s="1476" t="s">
        <v>1530</v>
      </c>
      <c r="D62" s="1174">
        <f>D61/D$35</f>
        <v>0.15602569269953434</v>
      </c>
      <c r="E62" s="1246">
        <f>E61/E$35</f>
        <v>0.31718580895761367</v>
      </c>
      <c r="F62" s="1475">
        <f>F61/F$35</f>
        <v>0.31673363687758738</v>
      </c>
      <c r="G62" s="1210"/>
      <c r="H62" s="1246">
        <f t="shared" ref="H62:P62" si="20">H61/H$35</f>
        <v>0</v>
      </c>
      <c r="I62" s="1210">
        <f t="shared" ca="1" si="20"/>
        <v>0</v>
      </c>
      <c r="J62" s="1475">
        <f t="shared" ca="1" si="20"/>
        <v>0</v>
      </c>
      <c r="K62" s="1246">
        <f t="shared" si="20"/>
        <v>0</v>
      </c>
      <c r="L62" s="1210">
        <f t="shared" ca="1" si="20"/>
        <v>0</v>
      </c>
      <c r="M62" s="1475">
        <f t="shared" ca="1" si="20"/>
        <v>0</v>
      </c>
      <c r="N62" s="1246">
        <f t="shared" si="20"/>
        <v>0</v>
      </c>
      <c r="O62" s="1210">
        <f t="shared" ca="1" si="20"/>
        <v>0</v>
      </c>
      <c r="P62" s="1475">
        <f t="shared" ca="1" si="20"/>
        <v>0</v>
      </c>
    </row>
    <row r="63" spans="3:16" s="1172" customFormat="1" hidden="1" outlineLevel="1" x14ac:dyDescent="0.5">
      <c r="C63" s="1516" t="s">
        <v>1537</v>
      </c>
      <c r="D63" s="1245">
        <f>[1]Model!H73+[1]Model!H78</f>
        <v>32281</v>
      </c>
      <c r="E63" s="1258">
        <f>[1]Model!I73+[1]Model!I78</f>
        <v>28324</v>
      </c>
      <c r="F63" s="1515">
        <f>[1]Model!J73+[1]Model!J78</f>
        <v>39225</v>
      </c>
      <c r="G63" s="1213"/>
      <c r="H63" s="1514"/>
      <c r="I63" s="1270"/>
      <c r="J63" s="1513"/>
      <c r="K63" s="1514"/>
      <c r="L63" s="1270"/>
      <c r="M63" s="1513"/>
      <c r="N63" s="1514"/>
      <c r="O63" s="1270"/>
      <c r="P63" s="1513"/>
    </row>
    <row r="64" spans="3:16" hidden="1" outlineLevel="1" x14ac:dyDescent="0.5">
      <c r="C64" s="1449"/>
      <c r="D64" s="1180"/>
      <c r="E64" s="1261"/>
      <c r="F64" s="1477"/>
      <c r="G64" s="1203"/>
      <c r="H64" s="1247"/>
      <c r="I64" s="1192"/>
      <c r="J64" s="1192"/>
      <c r="K64" s="1247"/>
      <c r="L64" s="1192"/>
      <c r="M64" s="1192"/>
      <c r="N64" s="1247"/>
      <c r="O64" s="1192"/>
      <c r="P64" s="1474"/>
    </row>
    <row r="65" spans="3:16" s="1262" customFormat="1" outlineLevel="1" x14ac:dyDescent="0.5">
      <c r="C65" s="1454" t="s">
        <v>1536</v>
      </c>
      <c r="D65" s="1282"/>
      <c r="E65" s="1265"/>
      <c r="F65" s="1473"/>
      <c r="G65" s="1272"/>
      <c r="H65" s="1265"/>
      <c r="I65" s="1264"/>
      <c r="J65" s="1264"/>
      <c r="K65" s="1265"/>
      <c r="L65" s="1264"/>
      <c r="M65" s="1264"/>
      <c r="N65" s="1265"/>
      <c r="O65" s="1264"/>
      <c r="P65" s="1473"/>
    </row>
    <row r="66" spans="3:16" ht="4" customHeight="1" outlineLevel="1" x14ac:dyDescent="0.5">
      <c r="C66" s="1449"/>
      <c r="E66" s="1247"/>
      <c r="F66" s="1474"/>
      <c r="G66" s="1192"/>
      <c r="H66" s="1247"/>
      <c r="I66" s="1192"/>
      <c r="J66" s="1192"/>
      <c r="K66" s="1247"/>
      <c r="L66" s="1192"/>
      <c r="M66" s="1192"/>
      <c r="N66" s="1247"/>
      <c r="O66" s="1192"/>
      <c r="P66" s="1474"/>
    </row>
    <row r="67" spans="3:16" outlineLevel="1" x14ac:dyDescent="0.5">
      <c r="C67" s="1449" t="s">
        <v>1535</v>
      </c>
      <c r="D67" s="1384"/>
      <c r="E67" s="1481"/>
      <c r="F67" s="1480"/>
      <c r="G67" s="1192"/>
      <c r="H67" s="1495">
        <v>0.5</v>
      </c>
      <c r="I67" s="1360">
        <v>0.25</v>
      </c>
      <c r="J67" s="1360">
        <v>0.25</v>
      </c>
      <c r="K67" s="1495">
        <v>0.5</v>
      </c>
      <c r="L67" s="1360">
        <v>0.25</v>
      </c>
      <c r="M67" s="1360">
        <v>0.25</v>
      </c>
      <c r="N67" s="1495">
        <v>0.5</v>
      </c>
      <c r="O67" s="1360">
        <v>0.25</v>
      </c>
      <c r="P67" s="1494">
        <v>0.25</v>
      </c>
    </row>
    <row r="68" spans="3:16" ht="12.9" customHeight="1" outlineLevel="1" x14ac:dyDescent="0.5">
      <c r="C68" s="1449" t="str">
        <f>C56</f>
        <v>Net income</v>
      </c>
      <c r="D68" s="1512"/>
      <c r="E68" s="1511"/>
      <c r="F68" s="1510"/>
      <c r="G68" s="1203"/>
      <c r="H68" s="1261">
        <f t="shared" ref="H68:P68" si="21">H56</f>
        <v>58716.541377539921</v>
      </c>
      <c r="I68" s="1203">
        <f t="shared" ca="1" si="21"/>
        <v>71367.490627064253</v>
      </c>
      <c r="J68" s="1203">
        <f t="shared" ca="1" si="21"/>
        <v>59090.40110825689</v>
      </c>
      <c r="K68" s="1261">
        <f t="shared" si="21"/>
        <v>64981.466187415383</v>
      </c>
      <c r="L68" s="1203">
        <f t="shared" ca="1" si="21"/>
        <v>81792.4313680786</v>
      </c>
      <c r="M68" s="1203">
        <f t="shared" ca="1" si="21"/>
        <v>58409.611530422029</v>
      </c>
      <c r="N68" s="1261">
        <f t="shared" si="21"/>
        <v>72135.762872323452</v>
      </c>
      <c r="O68" s="1203">
        <f t="shared" ca="1" si="21"/>
        <v>93670.449055402045</v>
      </c>
      <c r="P68" s="1477">
        <f t="shared" ca="1" si="21"/>
        <v>62505.336867917882</v>
      </c>
    </row>
    <row r="69" spans="3:16" outlineLevel="1" x14ac:dyDescent="0.5">
      <c r="C69" s="1459" t="s">
        <v>1144</v>
      </c>
      <c r="D69" s="1509"/>
      <c r="E69" s="1508"/>
      <c r="F69" s="1507"/>
      <c r="G69" s="1506"/>
      <c r="H69" s="1505">
        <v>21</v>
      </c>
      <c r="I69" s="1504">
        <v>24</v>
      </c>
      <c r="J69" s="1504">
        <v>17</v>
      </c>
      <c r="K69" s="1505">
        <v>21</v>
      </c>
      <c r="L69" s="1504">
        <v>24</v>
      </c>
      <c r="M69" s="1504">
        <v>17</v>
      </c>
      <c r="N69" s="1505">
        <v>21</v>
      </c>
      <c r="O69" s="1504">
        <v>24</v>
      </c>
      <c r="P69" s="1503">
        <v>17</v>
      </c>
    </row>
    <row r="70" spans="3:16" s="1197" customFormat="1" outlineLevel="1" x14ac:dyDescent="0.5">
      <c r="C70" s="1457" t="s">
        <v>1528</v>
      </c>
      <c r="D70" s="1502"/>
      <c r="E70" s="1501"/>
      <c r="F70" s="1500"/>
      <c r="G70" s="1199"/>
      <c r="H70" s="1260">
        <f t="shared" ref="H70:P70" si="22">H69*H56</f>
        <v>1233047.3689283384</v>
      </c>
      <c r="I70" s="1199">
        <f t="shared" ca="1" si="22"/>
        <v>1712819.7750495421</v>
      </c>
      <c r="J70" s="1199">
        <f t="shared" ca="1" si="22"/>
        <v>1004536.8188403671</v>
      </c>
      <c r="K70" s="1260">
        <f t="shared" si="22"/>
        <v>1364610.7899357229</v>
      </c>
      <c r="L70" s="1199">
        <f t="shared" ca="1" si="22"/>
        <v>1963018.3528338864</v>
      </c>
      <c r="M70" s="1199">
        <f t="shared" ca="1" si="22"/>
        <v>992963.39601717447</v>
      </c>
      <c r="N70" s="1260">
        <f t="shared" si="22"/>
        <v>1514851.0203187924</v>
      </c>
      <c r="O70" s="1199">
        <f t="shared" ca="1" si="22"/>
        <v>2248090.7773296488</v>
      </c>
      <c r="P70" s="1499">
        <f t="shared" ca="1" si="22"/>
        <v>1062590.7267546039</v>
      </c>
    </row>
    <row r="71" spans="3:16" outlineLevel="1" x14ac:dyDescent="0.5">
      <c r="C71" s="1449"/>
      <c r="E71" s="1247"/>
      <c r="F71" s="1474"/>
      <c r="G71" s="1192"/>
      <c r="H71" s="1247"/>
      <c r="I71" s="1192"/>
      <c r="J71" s="1192"/>
      <c r="K71" s="1247"/>
      <c r="L71" s="1192"/>
      <c r="M71" s="1192"/>
      <c r="N71" s="1247"/>
      <c r="O71" s="1192"/>
      <c r="P71" s="1474"/>
    </row>
    <row r="72" spans="3:16" s="1197" customFormat="1" outlineLevel="1" x14ac:dyDescent="0.5">
      <c r="C72" s="1493" t="s">
        <v>1534</v>
      </c>
      <c r="D72" s="1238"/>
      <c r="E72" s="1492"/>
      <c r="F72" s="1491"/>
      <c r="G72" s="1490"/>
      <c r="H72" s="1498">
        <f t="shared" ref="H72:P72" ca="1" si="23">H70/$C$136-1</f>
        <v>-0.17857299099307011</v>
      </c>
      <c r="I72" s="1497">
        <f t="shared" ca="1" si="23"/>
        <v>0.14104004456023178</v>
      </c>
      <c r="J72" s="1497">
        <f t="shared" ca="1" si="23"/>
        <v>-0.33080131766995013</v>
      </c>
      <c r="K72" s="1498">
        <f t="shared" ca="1" si="23"/>
        <v>-9.0928549963411598E-2</v>
      </c>
      <c r="L72" s="1497">
        <f t="shared" ca="1" si="23"/>
        <v>0.30771642260222243</v>
      </c>
      <c r="M72" s="1497">
        <f t="shared" ca="1" si="23"/>
        <v>-0.33851125836905738</v>
      </c>
      <c r="N72" s="1498">
        <f t="shared" ca="1" si="23"/>
        <v>9.1579399687113927E-3</v>
      </c>
      <c r="O72" s="1497">
        <f t="shared" ca="1" si="23"/>
        <v>0.4976249329357918</v>
      </c>
      <c r="P72" s="1496">
        <f t="shared" ca="1" si="23"/>
        <v>-0.29212717656164799</v>
      </c>
    </row>
    <row r="73" spans="3:16" ht="4" customHeight="1" outlineLevel="1" x14ac:dyDescent="0.5">
      <c r="C73" s="1449"/>
      <c r="E73" s="1247"/>
      <c r="F73" s="1474"/>
      <c r="G73" s="1192"/>
      <c r="H73" s="1495"/>
      <c r="I73" s="1360"/>
      <c r="J73" s="1360"/>
      <c r="K73" s="1495"/>
      <c r="L73" s="1360"/>
      <c r="M73" s="1360"/>
      <c r="N73" s="1495"/>
      <c r="O73" s="1360"/>
      <c r="P73" s="1494"/>
    </row>
    <row r="74" spans="3:16" s="1197" customFormat="1" outlineLevel="1" x14ac:dyDescent="0.5">
      <c r="C74" s="1493" t="s">
        <v>1533</v>
      </c>
      <c r="D74" s="1238"/>
      <c r="E74" s="1492"/>
      <c r="F74" s="1491"/>
      <c r="G74" s="1490"/>
      <c r="H74" s="1489">
        <f ca="1">SUMPRODUCT(H72:J72,H67:J67)</f>
        <v>-0.13672681377396464</v>
      </c>
      <c r="I74" s="1319"/>
      <c r="J74" s="1319"/>
      <c r="K74" s="1489">
        <f ca="1">SUMPRODUCT(K72:M72,K67:M67)</f>
        <v>-5.3162983923414536E-2</v>
      </c>
      <c r="L74" s="1319"/>
      <c r="M74" s="1319"/>
      <c r="N74" s="1489">
        <f ca="1">SUMPRODUCT(N72:P72,N67:P67)</f>
        <v>5.5953409077891647E-2</v>
      </c>
      <c r="O74" s="1319"/>
      <c r="P74" s="1488"/>
    </row>
    <row r="75" spans="3:16" outlineLevel="1" x14ac:dyDescent="0.5">
      <c r="C75" s="1449"/>
      <c r="E75" s="1247"/>
      <c r="F75" s="1474"/>
      <c r="G75" s="1192"/>
      <c r="H75" s="1247"/>
      <c r="I75" s="1192"/>
      <c r="J75" s="1192"/>
      <c r="K75" s="1247"/>
      <c r="L75" s="1192"/>
      <c r="M75" s="1192"/>
      <c r="N75" s="1247"/>
      <c r="O75" s="1192"/>
      <c r="P75" s="1474"/>
    </row>
    <row r="76" spans="3:16" s="1262" customFormat="1" ht="14.7" x14ac:dyDescent="0.8">
      <c r="C76" s="1454" t="s">
        <v>1532</v>
      </c>
      <c r="D76" s="1282"/>
      <c r="E76" s="1265"/>
      <c r="F76" s="1473"/>
      <c r="G76" s="1272"/>
      <c r="H76" s="1472"/>
      <c r="I76" s="1471"/>
      <c r="J76" s="1471"/>
      <c r="K76" s="1472"/>
      <c r="L76" s="1471"/>
      <c r="M76" s="1471"/>
      <c r="N76" s="1472"/>
      <c r="O76" s="1471"/>
      <c r="P76" s="1470"/>
    </row>
    <row r="77" spans="3:16" ht="4" customHeight="1" x14ac:dyDescent="0.5">
      <c r="C77" s="1449"/>
      <c r="E77" s="1247"/>
      <c r="F77" s="1474"/>
      <c r="G77" s="1192"/>
      <c r="H77" s="1247"/>
      <c r="I77" s="1192"/>
      <c r="J77" s="1192"/>
      <c r="K77" s="1247"/>
      <c r="L77" s="1192"/>
      <c r="M77" s="1192"/>
      <c r="N77" s="1247"/>
      <c r="O77" s="1192"/>
      <c r="P77" s="1474"/>
    </row>
    <row r="78" spans="3:16" x14ac:dyDescent="0.5">
      <c r="C78" s="1482">
        <v>16</v>
      </c>
      <c r="D78" s="1384"/>
      <c r="E78" s="1481"/>
      <c r="F78" s="1480"/>
      <c r="G78" s="1192"/>
      <c r="H78" s="1487">
        <f t="shared" ref="H78:P82" ca="1" si="24">$C78*H$68/$C$136-1</f>
        <v>-0.37415085028043449</v>
      </c>
      <c r="I78" s="1486">
        <f t="shared" ca="1" si="24"/>
        <v>-0.23930663695984555</v>
      </c>
      <c r="J78" s="1486">
        <f t="shared" ca="1" si="24"/>
        <v>-0.37016594604230602</v>
      </c>
      <c r="K78" s="1487">
        <f t="shared" ca="1" si="24"/>
        <v>-0.30737413330545649</v>
      </c>
      <c r="L78" s="1486">
        <f t="shared" ca="1" si="24"/>
        <v>-0.12818905159851846</v>
      </c>
      <c r="M78" s="1486">
        <f t="shared" ca="1" si="24"/>
        <v>-0.37742236081793634</v>
      </c>
      <c r="N78" s="1487">
        <f t="shared" ca="1" si="24"/>
        <v>-0.23111776002383899</v>
      </c>
      <c r="O78" s="1486">
        <f t="shared" ca="1" si="24"/>
        <v>-1.5833780428053945E-3</v>
      </c>
      <c r="P78" s="1485">
        <f t="shared" ca="1" si="24"/>
        <v>-0.33376675441096282</v>
      </c>
    </row>
    <row r="79" spans="3:16" x14ac:dyDescent="0.5">
      <c r="C79" s="1482">
        <f>C78+4</f>
        <v>20</v>
      </c>
      <c r="D79" s="1384"/>
      <c r="E79" s="1481"/>
      <c r="F79" s="1480"/>
      <c r="G79" s="1192"/>
      <c r="H79" s="1484">
        <f t="shared" ca="1" si="24"/>
        <v>-0.21768856285054305</v>
      </c>
      <c r="I79" s="1289">
        <f t="shared" ca="1" si="24"/>
        <v>-4.9133296199806886E-2</v>
      </c>
      <c r="J79" s="1289">
        <f t="shared" ca="1" si="24"/>
        <v>-0.21270743255288249</v>
      </c>
      <c r="K79" s="1484">
        <f t="shared" ca="1" si="24"/>
        <v>-0.13421766663182044</v>
      </c>
      <c r="L79" s="1289">
        <f t="shared" ca="1" si="24"/>
        <v>8.9763685501851986E-2</v>
      </c>
      <c r="M79" s="1289">
        <f t="shared" ca="1" si="24"/>
        <v>-0.22177795102242048</v>
      </c>
      <c r="N79" s="1484">
        <f t="shared" ca="1" si="24"/>
        <v>-3.8897200029798684E-2</v>
      </c>
      <c r="O79" s="1289">
        <f t="shared" ca="1" si="24"/>
        <v>0.24802077744649331</v>
      </c>
      <c r="P79" s="1483">
        <f t="shared" ca="1" si="24"/>
        <v>-0.16720844301370341</v>
      </c>
    </row>
    <row r="80" spans="3:16" x14ac:dyDescent="0.5">
      <c r="C80" s="1482">
        <f>C79+4</f>
        <v>24</v>
      </c>
      <c r="D80" s="1384"/>
      <c r="E80" s="1481"/>
      <c r="F80" s="1480"/>
      <c r="G80" s="1192"/>
      <c r="H80" s="1484">
        <f t="shared" ca="1" si="24"/>
        <v>-6.1226275420651621E-2</v>
      </c>
      <c r="I80" s="1289">
        <f t="shared" ca="1" si="24"/>
        <v>0.14104004456023178</v>
      </c>
      <c r="J80" s="1289">
        <f t="shared" ca="1" si="24"/>
        <v>-5.5248919063459079E-2</v>
      </c>
      <c r="K80" s="1484">
        <f t="shared" ca="1" si="24"/>
        <v>3.893880004181538E-2</v>
      </c>
      <c r="L80" s="1289">
        <f t="shared" ca="1" si="24"/>
        <v>0.30771642260222243</v>
      </c>
      <c r="M80" s="1289">
        <f t="shared" ca="1" si="24"/>
        <v>-6.6133541226904513E-2</v>
      </c>
      <c r="N80" s="1484">
        <f t="shared" ca="1" si="24"/>
        <v>0.15332335996424162</v>
      </c>
      <c r="O80" s="1289">
        <f t="shared" ca="1" si="24"/>
        <v>0.4976249329357918</v>
      </c>
      <c r="P80" s="1483">
        <f t="shared" ca="1" si="24"/>
        <v>-6.5013161644422723E-4</v>
      </c>
    </row>
    <row r="81" spans="3:16" x14ac:dyDescent="0.5">
      <c r="C81" s="1482">
        <f>C80+4</f>
        <v>28</v>
      </c>
      <c r="D81" s="1384"/>
      <c r="E81" s="1481"/>
      <c r="F81" s="1480"/>
      <c r="G81" s="1192"/>
      <c r="H81" s="1484">
        <f t="shared" ca="1" si="24"/>
        <v>9.5236012009239701E-2</v>
      </c>
      <c r="I81" s="1289">
        <f t="shared" ca="1" si="24"/>
        <v>0.33121338532027034</v>
      </c>
      <c r="J81" s="1289">
        <f t="shared" ca="1" si="24"/>
        <v>0.10220959442596445</v>
      </c>
      <c r="K81" s="1484">
        <f t="shared" ca="1" si="24"/>
        <v>0.2120952667154512</v>
      </c>
      <c r="L81" s="1289">
        <f t="shared" ca="1" si="24"/>
        <v>0.52566915970259287</v>
      </c>
      <c r="M81" s="1289">
        <f t="shared" ca="1" si="24"/>
        <v>8.9510868568611457E-2</v>
      </c>
      <c r="N81" s="1484">
        <f t="shared" ca="1" si="24"/>
        <v>0.34554391995828171</v>
      </c>
      <c r="O81" s="1289">
        <f t="shared" ca="1" si="24"/>
        <v>0.7472290884250905</v>
      </c>
      <c r="P81" s="1483">
        <f t="shared" ca="1" si="24"/>
        <v>0.16590817978081507</v>
      </c>
    </row>
    <row r="82" spans="3:16" x14ac:dyDescent="0.5">
      <c r="C82" s="1482">
        <f>C81+4</f>
        <v>32</v>
      </c>
      <c r="D82" s="1384"/>
      <c r="E82" s="1481"/>
      <c r="F82" s="1480"/>
      <c r="G82" s="1192"/>
      <c r="H82" s="1479">
        <f t="shared" ca="1" si="24"/>
        <v>0.25169829943913102</v>
      </c>
      <c r="I82" s="1300">
        <f t="shared" ca="1" si="24"/>
        <v>0.52138672608030889</v>
      </c>
      <c r="J82" s="1300">
        <f t="shared" ca="1" si="24"/>
        <v>0.25966810791538797</v>
      </c>
      <c r="K82" s="1479">
        <f t="shared" ca="1" si="24"/>
        <v>0.38525173338908703</v>
      </c>
      <c r="L82" s="1300">
        <f t="shared" ca="1" si="24"/>
        <v>0.74362189680296309</v>
      </c>
      <c r="M82" s="1300">
        <f t="shared" ca="1" si="24"/>
        <v>0.24515527836412732</v>
      </c>
      <c r="N82" s="1479">
        <f t="shared" ca="1" si="24"/>
        <v>0.53776447995232202</v>
      </c>
      <c r="O82" s="1300">
        <f t="shared" ca="1" si="24"/>
        <v>0.99683324391438921</v>
      </c>
      <c r="P82" s="1478">
        <f t="shared" ca="1" si="24"/>
        <v>0.33246649117807436</v>
      </c>
    </row>
    <row r="83" spans="3:16" x14ac:dyDescent="0.5">
      <c r="C83" s="1449"/>
      <c r="E83" s="1247"/>
      <c r="F83" s="1474"/>
      <c r="G83" s="1192"/>
      <c r="H83" s="1192"/>
      <c r="I83" s="1192"/>
      <c r="J83" s="1192"/>
      <c r="K83" s="1192"/>
      <c r="L83" s="1192"/>
      <c r="M83" s="1192"/>
      <c r="N83" s="1192"/>
      <c r="O83" s="1192"/>
      <c r="P83" s="1474"/>
    </row>
    <row r="84" spans="3:16" s="1262" customFormat="1" ht="14.7" x14ac:dyDescent="0.8">
      <c r="C84" s="1454" t="s">
        <v>1531</v>
      </c>
      <c r="D84" s="1282"/>
      <c r="E84" s="1265"/>
      <c r="F84" s="1473"/>
      <c r="G84" s="1272"/>
      <c r="H84" s="1472"/>
      <c r="I84" s="1471"/>
      <c r="J84" s="1471"/>
      <c r="K84" s="1472"/>
      <c r="L84" s="1471"/>
      <c r="M84" s="1471"/>
      <c r="N84" s="1472"/>
      <c r="O84" s="1471"/>
      <c r="P84" s="1470"/>
    </row>
    <row r="85" spans="3:16" x14ac:dyDescent="0.5">
      <c r="C85" s="1449"/>
      <c r="E85" s="1247"/>
      <c r="F85" s="1474"/>
      <c r="G85" s="1192"/>
      <c r="H85" s="1192"/>
      <c r="I85" s="1192"/>
      <c r="J85" s="1192"/>
      <c r="K85" s="1192"/>
      <c r="L85" s="1192"/>
      <c r="M85" s="1192"/>
      <c r="N85" s="1192"/>
      <c r="O85" s="1192"/>
      <c r="P85" s="1474"/>
    </row>
    <row r="86" spans="3:16" x14ac:dyDescent="0.5">
      <c r="C86" s="1449" t="s">
        <v>73</v>
      </c>
      <c r="D86" s="1180">
        <f>[1]Model!H93</f>
        <v>37630</v>
      </c>
      <c r="E86" s="1261">
        <f>[1]Model!I93</f>
        <v>57929</v>
      </c>
      <c r="F86" s="1477">
        <f>[1]Model!J93</f>
        <v>84878</v>
      </c>
      <c r="G86" s="1203"/>
      <c r="H86" s="1247"/>
      <c r="I86" s="1192"/>
      <c r="J86" s="1474"/>
      <c r="K86" s="1247"/>
      <c r="L86" s="1192"/>
      <c r="M86" s="1474"/>
      <c r="N86" s="1247"/>
      <c r="O86" s="1192"/>
      <c r="P86" s="1474"/>
    </row>
    <row r="87" spans="3:16" x14ac:dyDescent="0.5">
      <c r="C87" s="1476" t="s">
        <v>1530</v>
      </c>
      <c r="D87" s="1174">
        <f>D86/D$35</f>
        <v>0.32270236431150257</v>
      </c>
      <c r="E87" s="1246">
        <f>E86/E$35</f>
        <v>0.42941542749551526</v>
      </c>
      <c r="F87" s="1475">
        <f>F86/F$35</f>
        <v>0.51597254727934783</v>
      </c>
      <c r="G87" s="1210"/>
      <c r="H87" s="1246">
        <f t="shared" ref="H87:P87" si="25">H86/H$35</f>
        <v>0</v>
      </c>
      <c r="I87" s="1210">
        <f t="shared" ca="1" si="25"/>
        <v>0</v>
      </c>
      <c r="J87" s="1475">
        <f t="shared" ca="1" si="25"/>
        <v>0</v>
      </c>
      <c r="K87" s="1246">
        <f t="shared" si="25"/>
        <v>0</v>
      </c>
      <c r="L87" s="1210">
        <f t="shared" ca="1" si="25"/>
        <v>0</v>
      </c>
      <c r="M87" s="1475">
        <f t="shared" ca="1" si="25"/>
        <v>0</v>
      </c>
      <c r="N87" s="1246">
        <f t="shared" si="25"/>
        <v>0</v>
      </c>
      <c r="O87" s="1210">
        <f t="shared" ca="1" si="25"/>
        <v>0</v>
      </c>
      <c r="P87" s="1475">
        <f t="shared" ca="1" si="25"/>
        <v>0</v>
      </c>
    </row>
    <row r="88" spans="3:16" x14ac:dyDescent="0.5">
      <c r="C88" s="1449"/>
      <c r="E88" s="1247"/>
      <c r="F88" s="1474"/>
      <c r="G88" s="1192"/>
      <c r="H88" s="1192"/>
      <c r="I88" s="1192"/>
      <c r="J88" s="1192"/>
      <c r="K88" s="1192"/>
      <c r="L88" s="1192"/>
      <c r="M88" s="1192"/>
      <c r="N88" s="1192"/>
      <c r="O88" s="1192"/>
      <c r="P88" s="1474"/>
    </row>
    <row r="89" spans="3:16" x14ac:dyDescent="0.5">
      <c r="C89" s="1449"/>
      <c r="E89" s="1247"/>
      <c r="F89" s="1474"/>
      <c r="G89" s="1192"/>
      <c r="H89" s="1192"/>
      <c r="I89" s="1192"/>
      <c r="J89" s="1192"/>
      <c r="K89" s="1192"/>
      <c r="L89" s="1192"/>
      <c r="M89" s="1192"/>
      <c r="N89" s="1192"/>
      <c r="O89" s="1192"/>
      <c r="P89" s="1474"/>
    </row>
    <row r="90" spans="3:16" x14ac:dyDescent="0.5">
      <c r="C90" s="1449"/>
      <c r="E90" s="1247"/>
      <c r="F90" s="1474"/>
      <c r="G90" s="1192"/>
      <c r="H90" s="1192"/>
      <c r="I90" s="1192"/>
      <c r="J90" s="1192"/>
      <c r="K90" s="1192"/>
      <c r="L90" s="1192"/>
      <c r="M90" s="1192"/>
      <c r="N90" s="1192"/>
      <c r="O90" s="1192"/>
      <c r="P90" s="1474"/>
    </row>
    <row r="91" spans="3:16" s="1262" customFormat="1" ht="14.7" x14ac:dyDescent="0.8">
      <c r="C91" s="1454" t="s">
        <v>1529</v>
      </c>
      <c r="D91" s="1282"/>
      <c r="E91" s="1265"/>
      <c r="F91" s="1473"/>
      <c r="G91" s="1272"/>
      <c r="H91" s="1472"/>
      <c r="I91" s="1471"/>
      <c r="J91" s="1471"/>
      <c r="K91" s="1472"/>
      <c r="L91" s="1471"/>
      <c r="M91" s="1471"/>
      <c r="N91" s="1472"/>
      <c r="O91" s="1471"/>
      <c r="P91" s="1470"/>
    </row>
    <row r="92" spans="3:16" ht="4" customHeight="1" x14ac:dyDescent="0.5">
      <c r="C92" s="1449"/>
      <c r="E92" s="1449"/>
      <c r="F92" s="1448"/>
      <c r="P92" s="1448"/>
    </row>
    <row r="93" spans="3:16" x14ac:dyDescent="0.5">
      <c r="C93" s="1449" t="s">
        <v>1136</v>
      </c>
      <c r="D93" s="1384"/>
      <c r="E93" s="1469"/>
      <c r="F93" s="1468"/>
      <c r="H93" s="1180" cm="1">
        <f t="array" aca="1" ref="H93" ca="1">_FV(C135,"Price")</f>
        <v>597.02</v>
      </c>
      <c r="P93" s="1448"/>
    </row>
    <row r="94" spans="3:16" x14ac:dyDescent="0.5">
      <c r="C94" s="1459" t="s">
        <v>1139</v>
      </c>
      <c r="D94" s="1467"/>
      <c r="E94" s="1466"/>
      <c r="F94" s="1465"/>
      <c r="G94" s="1201"/>
      <c r="H94" s="1312">
        <f>[1]Historicals!BW464</f>
        <v>2614</v>
      </c>
      <c r="P94" s="1448"/>
    </row>
    <row r="95" spans="3:16" s="1197" customFormat="1" x14ac:dyDescent="0.5">
      <c r="C95" s="1457" t="s">
        <v>1528</v>
      </c>
      <c r="D95" s="1464"/>
      <c r="E95" s="1463"/>
      <c r="F95" s="1462"/>
      <c r="H95" s="1295">
        <f ca="1">H93*H94</f>
        <v>1560610.28</v>
      </c>
      <c r="P95" s="1461"/>
    </row>
    <row r="96" spans="3:16" x14ac:dyDescent="0.5">
      <c r="C96" s="1449" t="s">
        <v>114</v>
      </c>
      <c r="D96" s="1384"/>
      <c r="E96" s="1469"/>
      <c r="F96" s="1468"/>
      <c r="H96" s="1180">
        <f>-[1]Historicals!BW946-[1]Historicals!BW947-[1]Historicals!BW960</f>
        <v>-79011</v>
      </c>
      <c r="P96" s="1448"/>
    </row>
    <row r="97" spans="3:16" x14ac:dyDescent="0.5">
      <c r="C97" s="1459" t="s">
        <v>115</v>
      </c>
      <c r="D97" s="1467"/>
      <c r="E97" s="1466"/>
      <c r="F97" s="1465"/>
      <c r="G97" s="1201"/>
      <c r="H97" s="1312">
        <f>[1]Historicals!BW983</f>
        <v>28826</v>
      </c>
      <c r="P97" s="1448"/>
    </row>
    <row r="98" spans="3:16" s="1197" customFormat="1" x14ac:dyDescent="0.5">
      <c r="C98" s="1457" t="s">
        <v>1174</v>
      </c>
      <c r="D98" s="1464"/>
      <c r="E98" s="1463"/>
      <c r="F98" s="1462"/>
      <c r="H98" s="1295">
        <f ca="1">SUM(H95:H97)</f>
        <v>1510425.28</v>
      </c>
      <c r="P98" s="1461"/>
    </row>
    <row r="99" spans="3:16" x14ac:dyDescent="0.5">
      <c r="C99" s="1449"/>
      <c r="E99" s="1449"/>
      <c r="F99" s="1448"/>
      <c r="P99" s="1448"/>
    </row>
    <row r="100" spans="3:16" x14ac:dyDescent="0.5">
      <c r="C100" s="1449" t="s">
        <v>73</v>
      </c>
      <c r="D100" s="1180">
        <f>[1]Model!H95</f>
        <v>49622</v>
      </c>
      <c r="E100" s="1460">
        <f>[1]Model!I95</f>
        <v>71956</v>
      </c>
      <c r="F100" s="1434">
        <f>[1]Model!J95</f>
        <v>101568</v>
      </c>
      <c r="G100" s="1180"/>
      <c r="H100" s="1180"/>
      <c r="I100" s="1180"/>
      <c r="J100" s="1180"/>
      <c r="K100" s="1180"/>
      <c r="L100" s="1180"/>
      <c r="M100" s="1180"/>
      <c r="N100" s="1180"/>
      <c r="O100" s="1180"/>
      <c r="P100" s="1434"/>
    </row>
    <row r="101" spans="3:16" x14ac:dyDescent="0.5">
      <c r="C101" s="1449" t="s">
        <v>1527</v>
      </c>
      <c r="P101" s="1448"/>
    </row>
    <row r="102" spans="3:16" x14ac:dyDescent="0.5">
      <c r="C102" s="1449"/>
      <c r="P102" s="1448"/>
    </row>
    <row r="103" spans="3:16" x14ac:dyDescent="0.5">
      <c r="C103" s="1449"/>
      <c r="P103" s="1448"/>
    </row>
    <row r="104" spans="3:16" x14ac:dyDescent="0.5">
      <c r="C104" s="1449"/>
      <c r="P104" s="1448"/>
    </row>
    <row r="105" spans="3:16" x14ac:dyDescent="0.5">
      <c r="C105" s="1449"/>
      <c r="P105" s="1448"/>
    </row>
    <row r="106" spans="3:16" x14ac:dyDescent="0.5">
      <c r="C106" s="1449"/>
      <c r="P106" s="1448"/>
    </row>
    <row r="107" spans="3:16" s="1262" customFormat="1" ht="14.7" x14ac:dyDescent="0.8">
      <c r="C107" s="1454" t="s">
        <v>1526</v>
      </c>
      <c r="D107" s="1282"/>
      <c r="E107" s="1280"/>
      <c r="F107" s="1280"/>
      <c r="G107" s="1453"/>
      <c r="H107" s="1452"/>
      <c r="I107" s="1451"/>
      <c r="J107" s="1451"/>
      <c r="K107" s="1452"/>
      <c r="L107" s="1451"/>
      <c r="M107" s="1451"/>
      <c r="N107" s="1452"/>
      <c r="O107" s="1451"/>
      <c r="P107" s="1450"/>
    </row>
    <row r="108" spans="3:16" ht="4" customHeight="1" x14ac:dyDescent="0.5">
      <c r="C108" s="1449"/>
      <c r="P108" s="1448"/>
    </row>
    <row r="109" spans="3:16" ht="12.9" hidden="1" customHeight="1" outlineLevel="1" x14ac:dyDescent="0.5">
      <c r="C109" s="1449" t="s">
        <v>1282</v>
      </c>
      <c r="D109" s="1178">
        <f>[1]Historicals!BU123</f>
        <v>54591</v>
      </c>
      <c r="E109" s="1178">
        <f>[1]Historicals!BV123</f>
        <v>61245</v>
      </c>
      <c r="F109" s="1178">
        <f>[1]Historicals!BW123</f>
        <v>72063</v>
      </c>
      <c r="G109" s="1178"/>
      <c r="H109" s="1449"/>
      <c r="J109" s="1448"/>
      <c r="K109" s="1449"/>
      <c r="M109" s="1448"/>
      <c r="N109" s="1449"/>
      <c r="P109" s="1448"/>
    </row>
    <row r="110" spans="3:16" ht="12.9" hidden="1" customHeight="1" outlineLevel="1" x14ac:dyDescent="0.5">
      <c r="C110" s="1449" t="s">
        <v>1279</v>
      </c>
      <c r="D110" s="1178">
        <f>[1]Historicals!BU124</f>
        <v>25785</v>
      </c>
      <c r="E110" s="1178">
        <f>[1]Historicals!BV124</f>
        <v>30886</v>
      </c>
      <c r="F110" s="1178">
        <f>[1]Historicals!BW124</f>
        <v>38778</v>
      </c>
      <c r="G110" s="1178"/>
      <c r="H110" s="1449"/>
      <c r="J110" s="1448"/>
      <c r="K110" s="1449"/>
      <c r="M110" s="1448"/>
      <c r="N110" s="1449"/>
      <c r="P110" s="1448"/>
    </row>
    <row r="111" spans="3:16" ht="12.9" hidden="1" customHeight="1" outlineLevel="1" x14ac:dyDescent="0.5">
      <c r="C111" s="1449" t="s">
        <v>1525</v>
      </c>
      <c r="D111" s="1178">
        <f>[1]Historicals!BU125</f>
        <v>23499</v>
      </c>
      <c r="E111" s="1178">
        <f>[1]Historicals!BV125</f>
        <v>26915</v>
      </c>
      <c r="F111" s="1178">
        <f>[1]Historicals!BW125</f>
        <v>32834</v>
      </c>
      <c r="G111" s="1178"/>
      <c r="H111" s="1449"/>
      <c r="J111" s="1448"/>
      <c r="K111" s="1449"/>
      <c r="M111" s="1448"/>
      <c r="N111" s="1449"/>
      <c r="P111" s="1448"/>
    </row>
    <row r="112" spans="3:16" ht="12.9" hidden="1" customHeight="1" outlineLevel="1" x14ac:dyDescent="0.5">
      <c r="C112" s="1459" t="s">
        <v>1524</v>
      </c>
      <c r="D112" s="1315">
        <f>[1]Historicals!BU126</f>
        <v>12734</v>
      </c>
      <c r="E112" s="1315">
        <f>[1]Historicals!BV126</f>
        <v>15855</v>
      </c>
      <c r="F112" s="1458">
        <f>[1]Historicals!BW126</f>
        <v>20825</v>
      </c>
      <c r="G112" s="1178"/>
      <c r="H112" s="1449"/>
      <c r="J112" s="1448"/>
      <c r="K112" s="1449"/>
      <c r="M112" s="1448"/>
      <c r="N112" s="1449"/>
      <c r="P112" s="1448"/>
    </row>
    <row r="113" spans="1:16" s="1362" customFormat="1" ht="12.9" hidden="1" customHeight="1" outlineLevel="1" x14ac:dyDescent="0.5">
      <c r="A113" s="1197"/>
      <c r="B113" s="1197"/>
      <c r="C113" s="1457" t="s">
        <v>40</v>
      </c>
      <c r="D113" s="1295">
        <f>SUM(D109:D112)</f>
        <v>116609</v>
      </c>
      <c r="E113" s="1295">
        <f>SUM(E109:E112)</f>
        <v>134901</v>
      </c>
      <c r="F113" s="1295">
        <f>SUM(F109:F112)</f>
        <v>164500</v>
      </c>
      <c r="G113" s="1295"/>
      <c r="H113" s="1456"/>
      <c r="J113" s="1455"/>
      <c r="K113" s="1456"/>
      <c r="M113" s="1455"/>
      <c r="N113" s="1456"/>
      <c r="P113" s="1455"/>
    </row>
    <row r="114" spans="1:16" ht="12.9" hidden="1" customHeight="1" outlineLevel="1" x14ac:dyDescent="0.5">
      <c r="C114" s="1449"/>
      <c r="H114" s="1449"/>
      <c r="J114" s="1448"/>
      <c r="K114" s="1449"/>
      <c r="M114" s="1448"/>
      <c r="N114" s="1449"/>
      <c r="P114" s="1448"/>
    </row>
    <row r="115" spans="1:16" ht="12.9" hidden="1" customHeight="1" outlineLevel="1" x14ac:dyDescent="0.5">
      <c r="C115" s="1449" t="str">
        <f>C109</f>
        <v>US &amp; Canada revenue</v>
      </c>
      <c r="D115" s="1176">
        <f t="shared" ref="D115:F118" si="26">D109/D$113</f>
        <v>0.46815425910521485</v>
      </c>
      <c r="E115" s="1176">
        <f t="shared" si="26"/>
        <v>0.45399959970645137</v>
      </c>
      <c r="F115" s="1176">
        <f t="shared" si="26"/>
        <v>0.43807294832826749</v>
      </c>
      <c r="G115" s="1176"/>
      <c r="H115" s="1449"/>
      <c r="J115" s="1448"/>
      <c r="K115" s="1449"/>
      <c r="M115" s="1448"/>
      <c r="N115" s="1449"/>
      <c r="P115" s="1448"/>
    </row>
    <row r="116" spans="1:16" ht="12.9" hidden="1" customHeight="1" outlineLevel="1" x14ac:dyDescent="0.5">
      <c r="C116" s="1449" t="str">
        <f>C110</f>
        <v>Europe revenue</v>
      </c>
      <c r="D116" s="1176">
        <f t="shared" si="26"/>
        <v>0.22112358394292037</v>
      </c>
      <c r="E116" s="1176">
        <f t="shared" si="26"/>
        <v>0.2289530841135351</v>
      </c>
      <c r="F116" s="1176">
        <f t="shared" si="26"/>
        <v>0.23573252279635259</v>
      </c>
      <c r="G116" s="1176"/>
      <c r="H116" s="1449"/>
      <c r="J116" s="1448"/>
      <c r="K116" s="1449"/>
      <c r="M116" s="1448"/>
      <c r="N116" s="1449"/>
      <c r="P116" s="1448"/>
    </row>
    <row r="117" spans="1:16" ht="12.9" hidden="1" customHeight="1" outlineLevel="1" x14ac:dyDescent="0.5">
      <c r="C117" s="1449" t="str">
        <f>C111</f>
        <v>Asia-Pacific revenue</v>
      </c>
      <c r="D117" s="1176">
        <f t="shared" si="26"/>
        <v>0.20151960826351312</v>
      </c>
      <c r="E117" s="1176">
        <f t="shared" si="26"/>
        <v>0.19951668260428018</v>
      </c>
      <c r="F117" s="1176">
        <f t="shared" si="26"/>
        <v>0.19959878419452887</v>
      </c>
      <c r="G117" s="1176"/>
      <c r="H117" s="1449"/>
      <c r="J117" s="1448"/>
      <c r="K117" s="1449"/>
      <c r="M117" s="1448"/>
      <c r="N117" s="1449"/>
      <c r="P117" s="1448"/>
    </row>
    <row r="118" spans="1:16" ht="12.9" hidden="1" customHeight="1" outlineLevel="1" x14ac:dyDescent="0.5">
      <c r="C118" s="1449" t="str">
        <f>C112</f>
        <v>Rest of world revenue</v>
      </c>
      <c r="D118" s="1176">
        <f t="shared" si="26"/>
        <v>0.10920254868835168</v>
      </c>
      <c r="E118" s="1176">
        <f t="shared" si="26"/>
        <v>0.11753063357573332</v>
      </c>
      <c r="F118" s="1176">
        <f t="shared" si="26"/>
        <v>0.12659574468085105</v>
      </c>
      <c r="G118" s="1176"/>
      <c r="H118" s="1449"/>
      <c r="J118" s="1448"/>
      <c r="K118" s="1449"/>
      <c r="M118" s="1448"/>
      <c r="N118" s="1449"/>
      <c r="P118" s="1448"/>
    </row>
    <row r="119" spans="1:16" hidden="1" outlineLevel="1" x14ac:dyDescent="0.5">
      <c r="C119" s="1449"/>
      <c r="P119" s="1448"/>
    </row>
    <row r="120" spans="1:16" s="1262" customFormat="1" ht="14.7" collapsed="1" x14ac:dyDescent="0.8">
      <c r="C120" s="1454" t="s">
        <v>1523</v>
      </c>
      <c r="D120" s="1282"/>
      <c r="E120" s="1280"/>
      <c r="F120" s="1280"/>
      <c r="G120" s="1453"/>
      <c r="H120" s="1452"/>
      <c r="I120" s="1451"/>
      <c r="J120" s="1451"/>
      <c r="K120" s="1452"/>
      <c r="L120" s="1451"/>
      <c r="M120" s="1451"/>
      <c r="N120" s="1452"/>
      <c r="O120" s="1451"/>
      <c r="P120" s="1450"/>
    </row>
    <row r="121" spans="1:16" x14ac:dyDescent="0.5">
      <c r="C121" s="1449"/>
      <c r="P121" s="1448"/>
    </row>
    <row r="122" spans="1:16" ht="100" customHeight="1" x14ac:dyDescent="0.5">
      <c r="C122" s="1447" t="s">
        <v>1522</v>
      </c>
      <c r="D122" s="1446"/>
      <c r="E122" s="1446"/>
      <c r="F122" s="1446"/>
      <c r="G122" s="1446"/>
      <c r="H122" s="1543"/>
      <c r="I122" s="1543"/>
      <c r="J122" s="1543"/>
      <c r="K122" s="1543"/>
      <c r="L122" s="1543"/>
      <c r="M122" s="1543"/>
      <c r="N122" s="1543"/>
      <c r="O122" s="1543"/>
      <c r="P122" s="1544"/>
    </row>
    <row r="123" spans="1:16" ht="100" customHeight="1" x14ac:dyDescent="0.5">
      <c r="C123" s="1447" t="s">
        <v>1521</v>
      </c>
      <c r="D123" s="1446"/>
      <c r="E123" s="1446"/>
      <c r="F123" s="1446"/>
      <c r="G123" s="1446"/>
      <c r="H123" s="1446"/>
      <c r="I123" s="1446"/>
      <c r="J123" s="1446"/>
      <c r="K123" s="1446"/>
      <c r="L123" s="1446"/>
      <c r="M123" s="1446"/>
      <c r="N123" s="1446"/>
      <c r="O123" s="1446"/>
      <c r="P123" s="1445"/>
    </row>
    <row r="135" spans="3:3" x14ac:dyDescent="0.5">
      <c r="C135" s="1185" t="e" vm="1">
        <v>#VALUE!</v>
      </c>
    </row>
    <row r="136" spans="3:3" x14ac:dyDescent="0.5">
      <c r="C136" s="1230" cm="1">
        <f t="array" aca="1" ref="C136" ca="1">_FV(C135,"Market cap",TRUE)/1000000</f>
        <v>1501104</v>
      </c>
    </row>
    <row r="137" spans="3:3" x14ac:dyDescent="0.5">
      <c r="C137" s="1229" cm="1">
        <f t="array" aca="1" ref="C137" ca="1">_FV(C135,"Change (%)",TRUE)</f>
        <v>4.3358000000000001E-2</v>
      </c>
    </row>
  </sheetData>
  <mergeCells count="3">
    <mergeCell ref="H122:J122"/>
    <mergeCell ref="K122:M122"/>
    <mergeCell ref="N122:P122"/>
  </mergeCells>
  <conditionalFormatting sqref="H78:J82">
    <cfRule type="colorScale" priority="3">
      <colorScale>
        <cfvo type="min"/>
        <cfvo type="percentile" val="50"/>
        <cfvo type="max"/>
        <color rgb="FFF8696B"/>
        <color rgb="FFFCFCFF"/>
        <color rgb="FF63BE7B"/>
      </colorScale>
    </cfRule>
  </conditionalFormatting>
  <conditionalFormatting sqref="K78:M82">
    <cfRule type="colorScale" priority="2">
      <colorScale>
        <cfvo type="min"/>
        <cfvo type="percentile" val="50"/>
        <cfvo type="max"/>
        <color rgb="FFF8696B"/>
        <color rgb="FFFCFCFF"/>
        <color rgb="FF63BE7B"/>
      </colorScale>
    </cfRule>
  </conditionalFormatting>
  <conditionalFormatting sqref="N78:P82">
    <cfRule type="colorScale" priority="1">
      <colorScale>
        <cfvo type="min"/>
        <cfvo type="percentile" val="50"/>
        <cfvo type="max"/>
        <color rgb="FFF8696B"/>
        <color rgb="FFFCFCFF"/>
        <color rgb="FF63BE7B"/>
      </colorScale>
    </cfRule>
  </conditionalFormatting>
  <pageMargins left="0.7" right="0.7" top="0.75" bottom="0.75" header="0.3" footer="0.3"/>
  <pageSetup scale="34"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F59F8-3EDA-4C87-8CBC-E38F4A6CA1AF}">
  <sheetPr>
    <tabColor rgb="FF0E2841"/>
    <pageSetUpPr fitToPage="1"/>
  </sheetPr>
  <dimension ref="D3:AG219"/>
  <sheetViews>
    <sheetView showGridLines="0" tabSelected="1" view="pageBreakPreview" zoomScale="70" zoomScaleSheetLayoutView="70" workbookViewId="0">
      <pane xSplit="4" ySplit="6" topLeftCell="E7" activePane="bottomRight" state="frozen"/>
      <selection activeCell="D1" sqref="D1:D1048576"/>
      <selection pane="topRight" activeCell="D1" sqref="D1:D1048576"/>
      <selection pane="bottomLeft" activeCell="D1" sqref="D1:D1048576"/>
      <selection pane="bottomRight" activeCell="D56" sqref="D56"/>
    </sheetView>
  </sheetViews>
  <sheetFormatPr defaultRowHeight="12.9" outlineLevelRow="1" outlineLevelCol="1" x14ac:dyDescent="0.5"/>
  <cols>
    <col min="1" max="2" width="2.89453125" style="1171" customWidth="1"/>
    <col min="3" max="3" width="2.578125" style="1171" customWidth="1"/>
    <col min="4" max="4" width="33.26171875" style="1171" bestFit="1" customWidth="1"/>
    <col min="5" max="6" width="9.578125" style="1171" customWidth="1" outlineLevel="1"/>
    <col min="7" max="13" width="9.578125" style="1171" customWidth="1"/>
    <col min="14" max="15" width="9.578125" style="1171" customWidth="1" outlineLevel="1"/>
    <col min="16" max="16" width="9.578125" style="1171" customWidth="1"/>
    <col min="17" max="20" width="8.41796875" style="1171" hidden="1" customWidth="1" outlineLevel="1"/>
    <col min="21" max="21" width="2.89453125" style="1171" hidden="1" customWidth="1" collapsed="1"/>
    <col min="22" max="22" width="2.89453125" style="1171" customWidth="1"/>
    <col min="23" max="26" width="8.41796875" style="1171" customWidth="1"/>
    <col min="27" max="27" width="6.734375" style="1171" hidden="1" customWidth="1" outlineLevel="1"/>
    <col min="28" max="28" width="2.578125" style="1171" customWidth="1" collapsed="1"/>
    <col min="29" max="29" width="8.83984375" style="1171"/>
    <col min="30" max="30" width="2.578125" style="1171" customWidth="1"/>
    <col min="31" max="16384" width="8.83984375" style="1171"/>
  </cols>
  <sheetData>
    <row r="3" spans="4:33" ht="12.9" customHeight="1" x14ac:dyDescent="0.5"/>
    <row r="4" spans="4:33" x14ac:dyDescent="0.5">
      <c r="D4" s="1285" t="s">
        <v>1228</v>
      </c>
      <c r="E4" s="1284" t="s">
        <v>1227</v>
      </c>
      <c r="F4" s="1283"/>
      <c r="G4" s="1283"/>
      <c r="H4" s="1283"/>
      <c r="I4" s="1283"/>
      <c r="J4" s="1283"/>
      <c r="K4" s="1282" t="s">
        <v>1226</v>
      </c>
      <c r="L4" s="1279"/>
      <c r="M4" s="1279"/>
      <c r="N4" s="1279"/>
      <c r="O4" s="1279"/>
      <c r="P4" s="1279"/>
      <c r="Q4" s="1279"/>
      <c r="R4" s="1279"/>
      <c r="S4" s="1279"/>
      <c r="T4" s="1279"/>
      <c r="U4" s="1281"/>
      <c r="V4" s="1281"/>
      <c r="W4" s="1280" t="s">
        <v>1225</v>
      </c>
      <c r="X4" s="1280"/>
      <c r="Y4" s="1279"/>
      <c r="Z4" s="1279"/>
      <c r="AA4" s="1279"/>
      <c r="AC4" s="1278" t="s">
        <v>1135</v>
      </c>
      <c r="AF4" s="1171" t="s">
        <v>1229</v>
      </c>
      <c r="AG4" s="1286">
        <f>_xlfn.XLOOKUP('Memo - A (2)'!AC4,[1]Assumptions!AB7:AB9,[1]Assumptions!AC7:AC9)</f>
        <v>1</v>
      </c>
    </row>
    <row r="5" spans="4:33" ht="4" customHeight="1" x14ac:dyDescent="0.5"/>
    <row r="6" spans="4:33" ht="14.7" x14ac:dyDescent="0.8">
      <c r="D6" s="1277" t="s">
        <v>1224</v>
      </c>
      <c r="E6" s="1275" t="s">
        <v>1223</v>
      </c>
      <c r="F6" s="1275" t="s">
        <v>1222</v>
      </c>
      <c r="G6" s="1275" t="s">
        <v>1221</v>
      </c>
      <c r="H6" s="1275" t="s">
        <v>1220</v>
      </c>
      <c r="I6" s="1275" t="s">
        <v>1219</v>
      </c>
      <c r="J6" s="1275" t="s">
        <v>1218</v>
      </c>
      <c r="K6" s="1276" t="s">
        <v>1217</v>
      </c>
      <c r="L6" s="1275" t="s">
        <v>1216</v>
      </c>
      <c r="M6" s="1275" t="s">
        <v>1215</v>
      </c>
      <c r="N6" s="1275" t="s">
        <v>1214</v>
      </c>
      <c r="O6" s="1275" t="s">
        <v>1213</v>
      </c>
      <c r="P6" s="1275" t="s">
        <v>1212</v>
      </c>
      <c r="Q6" s="1275" t="s">
        <v>1211</v>
      </c>
      <c r="R6" s="1275" t="s">
        <v>1210</v>
      </c>
      <c r="S6" s="1275" t="s">
        <v>1209</v>
      </c>
      <c r="T6" s="1275" t="s">
        <v>1208</v>
      </c>
      <c r="U6" s="1275"/>
      <c r="V6" s="1275"/>
      <c r="W6" s="1273" t="s">
        <v>1207</v>
      </c>
      <c r="X6" s="1273" t="s">
        <v>1206</v>
      </c>
      <c r="Y6" s="1274" t="s">
        <v>1205</v>
      </c>
      <c r="Z6" s="1273" t="s">
        <v>1204</v>
      </c>
      <c r="AA6" s="1273" t="s">
        <v>1203</v>
      </c>
    </row>
    <row r="7" spans="4:33" s="1172" customFormat="1" ht="12.9" customHeight="1" x14ac:dyDescent="0.5">
      <c r="D7" s="1175" t="s">
        <v>1131</v>
      </c>
      <c r="E7" s="1572">
        <f t="shared" ref="E7:J7" si="0">EOMONTH(F7,-12)</f>
        <v>43830</v>
      </c>
      <c r="F7" s="1572">
        <f t="shared" si="0"/>
        <v>44196</v>
      </c>
      <c r="G7" s="1572">
        <f t="shared" si="0"/>
        <v>44561</v>
      </c>
      <c r="H7" s="1572">
        <f t="shared" si="0"/>
        <v>44926</v>
      </c>
      <c r="I7" s="1572">
        <f t="shared" si="0"/>
        <v>45291</v>
      </c>
      <c r="J7" s="1572">
        <f t="shared" si="0"/>
        <v>45657</v>
      </c>
      <c r="K7" s="1576">
        <v>46022</v>
      </c>
      <c r="L7" s="1572">
        <f>EOMONTH(K7,12)</f>
        <v>46387</v>
      </c>
      <c r="M7" s="1572">
        <f>EOMONTH(L7,12)</f>
        <v>46752</v>
      </c>
      <c r="N7" s="1572">
        <f>EOMONTH(M7,12)</f>
        <v>47118</v>
      </c>
      <c r="O7" s="1572">
        <f>EOMONTH(N7,12)</f>
        <v>47483</v>
      </c>
      <c r="P7" s="1572">
        <f>EOMONTH(O7,12)</f>
        <v>47848</v>
      </c>
      <c r="Y7" s="1173"/>
    </row>
    <row r="8" spans="4:33" s="1175" customFormat="1" ht="12.9" customHeight="1" x14ac:dyDescent="0.5">
      <c r="D8" s="1175" t="s">
        <v>1559</v>
      </c>
      <c r="E8" s="1574">
        <f>E7-EOMONTH(E7,-12)</f>
        <v>365</v>
      </c>
      <c r="F8" s="1575">
        <f>F7-E7</f>
        <v>366</v>
      </c>
      <c r="G8" s="1575">
        <f t="shared" ref="G8:P8" si="1">G7-F7</f>
        <v>365</v>
      </c>
      <c r="H8" s="1575">
        <f t="shared" si="1"/>
        <v>365</v>
      </c>
      <c r="I8" s="1575">
        <f t="shared" si="1"/>
        <v>365</v>
      </c>
      <c r="J8" s="1575">
        <f t="shared" si="1"/>
        <v>366</v>
      </c>
      <c r="K8" s="1577">
        <f t="shared" si="1"/>
        <v>365</v>
      </c>
      <c r="L8" s="1575">
        <f t="shared" si="1"/>
        <v>365</v>
      </c>
      <c r="M8" s="1575">
        <f t="shared" si="1"/>
        <v>365</v>
      </c>
      <c r="N8" s="1575">
        <f t="shared" si="1"/>
        <v>366</v>
      </c>
      <c r="O8" s="1575">
        <f t="shared" si="1"/>
        <v>365</v>
      </c>
      <c r="P8" s="1575">
        <f t="shared" si="1"/>
        <v>365</v>
      </c>
      <c r="Y8" s="1573"/>
    </row>
    <row r="9" spans="4:33" s="1262" customFormat="1" ht="12.9" hidden="1" customHeight="1" outlineLevel="1" x14ac:dyDescent="0.5">
      <c r="D9" s="1266" t="s">
        <v>1202</v>
      </c>
      <c r="E9" s="1264"/>
      <c r="F9" s="1264"/>
      <c r="G9" s="1264"/>
      <c r="H9" s="1264"/>
      <c r="I9" s="1264"/>
      <c r="J9" s="1264"/>
      <c r="K9" s="1265"/>
      <c r="L9" s="1264"/>
      <c r="M9" s="1264"/>
      <c r="N9" s="1264"/>
      <c r="O9" s="1264"/>
      <c r="P9" s="1272"/>
      <c r="Y9" s="1263"/>
    </row>
    <row r="10" spans="4:33" ht="12.9" hidden="1" customHeight="1" outlineLevel="1" x14ac:dyDescent="0.5">
      <c r="E10" s="1192"/>
      <c r="F10" s="1192"/>
      <c r="G10" s="1192"/>
      <c r="H10" s="1192"/>
      <c r="I10" s="1192"/>
      <c r="J10" s="1192"/>
      <c r="K10" s="1247"/>
      <c r="L10" s="1192"/>
      <c r="M10" s="1192"/>
      <c r="N10" s="1192"/>
      <c r="O10" s="1192"/>
      <c r="P10" s="1192"/>
      <c r="Y10" s="1179"/>
    </row>
    <row r="11" spans="4:33" s="1197" customFormat="1" ht="12.9" hidden="1" customHeight="1" outlineLevel="1" x14ac:dyDescent="0.5">
      <c r="D11" s="1197" t="s">
        <v>1201</v>
      </c>
      <c r="E11" s="1225">
        <f>'[6]Sheet1 (2)'!AH8</f>
        <v>5401470</v>
      </c>
      <c r="F11" s="1225">
        <f>'[6]Sheet1 (2)'!AI8</f>
        <v>5565713</v>
      </c>
      <c r="G11" s="1225">
        <f>'[6]Sheet1 (2)'!AJ8</f>
        <v>6519845</v>
      </c>
      <c r="H11" s="1225">
        <f>'[6]Sheet1 (2)'!AK8</f>
        <v>7040995</v>
      </c>
      <c r="I11" s="1225">
        <f>'[6]Sheet1 (2)'!AL8</f>
        <v>7200133</v>
      </c>
      <c r="J11" s="1225">
        <f>'[6]Sheet1 (2)'!AM8</f>
        <v>7401020</v>
      </c>
      <c r="K11" s="1269"/>
      <c r="L11" s="1226"/>
      <c r="M11" s="1226"/>
      <c r="N11" s="1226"/>
      <c r="O11" s="1226"/>
      <c r="P11" s="1226"/>
      <c r="Y11" s="1198"/>
    </row>
    <row r="12" spans="4:33" hidden="1" outlineLevel="1" x14ac:dyDescent="0.5">
      <c r="D12" s="1175" t="s">
        <v>1154</v>
      </c>
      <c r="E12" s="1214" t="s">
        <v>1152</v>
      </c>
      <c r="F12" s="1210">
        <f t="shared" ref="F12:T12" si="2">F11/E11-1</f>
        <v>3.0407092883974141E-2</v>
      </c>
      <c r="G12" s="1211">
        <f t="shared" si="2"/>
        <v>0.1714303270757942</v>
      </c>
      <c r="H12" s="1210">
        <f t="shared" si="2"/>
        <v>7.9932881839982484E-2</v>
      </c>
      <c r="I12" s="1210">
        <f t="shared" si="2"/>
        <v>2.2601635138215448E-2</v>
      </c>
      <c r="J12" s="1210">
        <f t="shared" si="2"/>
        <v>2.7900456838783505E-2</v>
      </c>
      <c r="K12" s="1246">
        <f t="shared" si="2"/>
        <v>-1</v>
      </c>
      <c r="L12" s="1210" t="e">
        <f t="shared" si="2"/>
        <v>#DIV/0!</v>
      </c>
      <c r="M12" s="1210" t="e">
        <f t="shared" si="2"/>
        <v>#DIV/0!</v>
      </c>
      <c r="N12" s="1210" t="e">
        <f t="shared" si="2"/>
        <v>#DIV/0!</v>
      </c>
      <c r="O12" s="1210" t="e">
        <f t="shared" si="2"/>
        <v>#DIV/0!</v>
      </c>
      <c r="P12" s="1210" t="e">
        <f t="shared" si="2"/>
        <v>#DIV/0!</v>
      </c>
      <c r="Q12" s="1174" t="e">
        <f t="shared" si="2"/>
        <v>#DIV/0!</v>
      </c>
      <c r="R12" s="1174" t="e">
        <f t="shared" si="2"/>
        <v>#DIV/0!</v>
      </c>
      <c r="S12" s="1174" t="e">
        <f t="shared" si="2"/>
        <v>#DIV/0!</v>
      </c>
      <c r="T12" s="1174" t="e">
        <f t="shared" si="2"/>
        <v>#DIV/0!</v>
      </c>
      <c r="U12" s="1212"/>
      <c r="V12" s="1212"/>
      <c r="Y12" s="1179"/>
    </row>
    <row r="13" spans="4:33" ht="12.9" hidden="1" customHeight="1" outlineLevel="1" x14ac:dyDescent="0.5">
      <c r="E13" s="1192"/>
      <c r="F13" s="1192"/>
      <c r="G13" s="1192"/>
      <c r="H13" s="1192"/>
      <c r="I13" s="1192"/>
      <c r="J13" s="1192"/>
      <c r="K13" s="1247"/>
      <c r="L13" s="1192"/>
      <c r="M13" s="1192"/>
      <c r="N13" s="1192"/>
      <c r="O13" s="1192"/>
      <c r="P13" s="1192"/>
      <c r="Y13" s="1179"/>
    </row>
    <row r="14" spans="4:33" hidden="1" outlineLevel="1" x14ac:dyDescent="0.5">
      <c r="K14" s="1449"/>
    </row>
    <row r="15" spans="4:33" hidden="1" outlineLevel="1" x14ac:dyDescent="0.5">
      <c r="K15" s="1449"/>
    </row>
    <row r="16" spans="4:33" hidden="1" outlineLevel="1" x14ac:dyDescent="0.5">
      <c r="K16" s="1449"/>
    </row>
    <row r="17" spans="4:26" hidden="1" outlineLevel="1" x14ac:dyDescent="0.5">
      <c r="K17" s="1449"/>
    </row>
    <row r="18" spans="4:26" ht="12.9" hidden="1" customHeight="1" outlineLevel="1" x14ac:dyDescent="0.5">
      <c r="E18" s="1192"/>
      <c r="F18" s="1192"/>
      <c r="G18" s="1192"/>
      <c r="H18" s="1192"/>
      <c r="I18" s="1192"/>
      <c r="J18" s="1192"/>
      <c r="K18" s="1247"/>
      <c r="L18" s="1192"/>
      <c r="M18" s="1192"/>
      <c r="N18" s="1192"/>
      <c r="O18" s="1192"/>
      <c r="P18" s="1192"/>
      <c r="Y18" s="1179"/>
    </row>
    <row r="19" spans="4:26" ht="12.9" hidden="1" customHeight="1" outlineLevel="1" x14ac:dyDescent="0.5">
      <c r="D19" s="1171" t="s">
        <v>1200</v>
      </c>
      <c r="E19" s="1271">
        <f>[1]Historicals!BR297</f>
        <v>0</v>
      </c>
      <c r="F19" s="1271">
        <f>[1]Historicals!BS297</f>
        <v>0</v>
      </c>
      <c r="G19" s="1271">
        <f>[1]Historicals!BT297</f>
        <v>0.24</v>
      </c>
      <c r="H19" s="1271">
        <f>[1]Historicals!BU297</f>
        <v>0</v>
      </c>
      <c r="I19" s="1271">
        <f>[1]Historicals!BV297</f>
        <v>-0.09</v>
      </c>
      <c r="J19" s="1271">
        <f>[1]Historicals!BW297</f>
        <v>0.1</v>
      </c>
      <c r="K19" s="1247"/>
      <c r="L19" s="1192"/>
      <c r="M19" s="1192"/>
      <c r="N19" s="1192"/>
      <c r="O19" s="1192"/>
      <c r="P19" s="1192"/>
      <c r="Y19" s="1179"/>
    </row>
    <row r="20" spans="4:26" ht="12.9" hidden="1" customHeight="1" outlineLevel="1" x14ac:dyDescent="0.5">
      <c r="D20" s="1171" t="s">
        <v>1199</v>
      </c>
      <c r="E20" s="1271">
        <f>[1]Historicals!BR291</f>
        <v>0</v>
      </c>
      <c r="F20" s="1271">
        <f>[1]Historicals!BS291</f>
        <v>0</v>
      </c>
      <c r="G20" s="1271">
        <f>[1]Historicals!BT291</f>
        <v>0.1</v>
      </c>
      <c r="H20" s="1271">
        <f>[1]Historicals!BU291</f>
        <v>0</v>
      </c>
      <c r="I20" s="1271">
        <f>[1]Historicals!BV291</f>
        <v>0.28000000000000003</v>
      </c>
      <c r="J20" s="1271">
        <f>[1]Historicals!BW291</f>
        <v>0.11</v>
      </c>
      <c r="K20" s="1247"/>
      <c r="L20" s="1192"/>
      <c r="M20" s="1192"/>
      <c r="N20" s="1192"/>
      <c r="O20" s="1192"/>
      <c r="P20" s="1192"/>
      <c r="Y20" s="1179"/>
    </row>
    <row r="21" spans="4:26" ht="12.9" hidden="1" customHeight="1" outlineLevel="1" x14ac:dyDescent="0.5">
      <c r="E21" s="1192"/>
      <c r="F21" s="1192"/>
      <c r="G21" s="1192"/>
      <c r="H21" s="1192"/>
      <c r="I21" s="1192"/>
      <c r="J21" s="1192"/>
      <c r="K21" s="1247"/>
      <c r="L21" s="1192"/>
      <c r="M21" s="1192"/>
      <c r="N21" s="1192"/>
      <c r="O21" s="1192"/>
      <c r="P21" s="1192"/>
      <c r="Y21" s="1179"/>
    </row>
    <row r="22" spans="4:26" s="1197" customFormat="1" ht="12.9" hidden="1" customHeight="1" outlineLevel="1" x14ac:dyDescent="0.5">
      <c r="D22" s="1197" t="s">
        <v>1187</v>
      </c>
      <c r="E22" s="1225">
        <f>[1]Model!E14</f>
        <v>70196</v>
      </c>
      <c r="F22" s="1225">
        <f>[1]Model!F14</f>
        <v>84826</v>
      </c>
      <c r="G22" s="1225">
        <f>[1]Model!G14</f>
        <v>115655</v>
      </c>
      <c r="H22" s="1225">
        <f>[1]Model!H14</f>
        <v>114450</v>
      </c>
      <c r="I22" s="1225">
        <f>[1]Model!I14</f>
        <v>133006</v>
      </c>
      <c r="J22" s="1225">
        <f>[1]Model!J14</f>
        <v>162355</v>
      </c>
      <c r="K22" s="1269"/>
      <c r="L22" s="1226"/>
      <c r="M22" s="1226"/>
      <c r="N22" s="1226"/>
      <c r="O22" s="1226"/>
      <c r="P22" s="1226"/>
      <c r="Y22" s="1198"/>
    </row>
    <row r="23" spans="4:26" hidden="1" outlineLevel="1" x14ac:dyDescent="0.5">
      <c r="D23" s="1175" t="s">
        <v>1154</v>
      </c>
      <c r="E23" s="1214" t="s">
        <v>1152</v>
      </c>
      <c r="F23" s="1210">
        <f t="shared" ref="F23:T23" si="3">F22/E22-1</f>
        <v>0.20841643398484244</v>
      </c>
      <c r="G23" s="1211">
        <f t="shared" si="3"/>
        <v>0.36343809680994044</v>
      </c>
      <c r="H23" s="1210">
        <f t="shared" si="3"/>
        <v>-1.0418918334702321E-2</v>
      </c>
      <c r="I23" s="1210">
        <f t="shared" si="3"/>
        <v>0.16213193534294446</v>
      </c>
      <c r="J23" s="1210">
        <f t="shared" si="3"/>
        <v>0.22065921838112557</v>
      </c>
      <c r="K23" s="1246">
        <f t="shared" si="3"/>
        <v>-1</v>
      </c>
      <c r="L23" s="1210" t="e">
        <f t="shared" si="3"/>
        <v>#DIV/0!</v>
      </c>
      <c r="M23" s="1210" t="e">
        <f t="shared" si="3"/>
        <v>#DIV/0!</v>
      </c>
      <c r="N23" s="1210" t="e">
        <f t="shared" si="3"/>
        <v>#DIV/0!</v>
      </c>
      <c r="O23" s="1210" t="e">
        <f t="shared" si="3"/>
        <v>#DIV/0!</v>
      </c>
      <c r="P23" s="1210" t="e">
        <f t="shared" si="3"/>
        <v>#DIV/0!</v>
      </c>
      <c r="Q23" s="1174" t="e">
        <f t="shared" si="3"/>
        <v>#DIV/0!</v>
      </c>
      <c r="R23" s="1174" t="e">
        <f t="shared" si="3"/>
        <v>#DIV/0!</v>
      </c>
      <c r="S23" s="1174" t="e">
        <f t="shared" si="3"/>
        <v>#DIV/0!</v>
      </c>
      <c r="T23" s="1174" t="e">
        <f t="shared" si="3"/>
        <v>#DIV/0!</v>
      </c>
      <c r="U23" s="1212"/>
      <c r="V23" s="1212"/>
      <c r="Y23" s="1179"/>
    </row>
    <row r="24" spans="4:26" s="1197" customFormat="1" ht="12.9" hidden="1" customHeight="1" outlineLevel="1" x14ac:dyDescent="0.5">
      <c r="D24" s="1197" t="s">
        <v>1186</v>
      </c>
      <c r="E24" s="1225">
        <f>[1]Model!E18</f>
        <v>501</v>
      </c>
      <c r="F24" s="1225">
        <f>[1]Model!F18</f>
        <v>1139</v>
      </c>
      <c r="G24" s="1225">
        <f>[1]Model!G18</f>
        <v>2274</v>
      </c>
      <c r="H24" s="1225">
        <f>[1]Model!H18</f>
        <v>2159</v>
      </c>
      <c r="I24" s="1225">
        <f>[1]Model!I18</f>
        <v>1896</v>
      </c>
      <c r="J24" s="1225">
        <f>[1]Model!J18</f>
        <v>2146</v>
      </c>
      <c r="K24" s="1269"/>
      <c r="L24" s="1226"/>
      <c r="M24" s="1226"/>
      <c r="N24" s="1226"/>
      <c r="O24" s="1226"/>
      <c r="P24" s="1226"/>
      <c r="Y24" s="1198"/>
    </row>
    <row r="25" spans="4:26" hidden="1" outlineLevel="1" x14ac:dyDescent="0.5">
      <c r="D25" s="1175" t="s">
        <v>1154</v>
      </c>
      <c r="E25" s="1214" t="s">
        <v>1152</v>
      </c>
      <c r="F25" s="1210">
        <f t="shared" ref="F25:T25" si="4">F24/E24-1</f>
        <v>1.2734530938123751</v>
      </c>
      <c r="G25" s="1210">
        <f t="shared" si="4"/>
        <v>0.99648814749780512</v>
      </c>
      <c r="H25" s="1210">
        <f t="shared" si="4"/>
        <v>-5.0571679859278795E-2</v>
      </c>
      <c r="I25" s="1210">
        <f t="shared" si="4"/>
        <v>-0.12181565539601669</v>
      </c>
      <c r="J25" s="1210">
        <f t="shared" si="4"/>
        <v>0.1318565400843883</v>
      </c>
      <c r="K25" s="1246">
        <f t="shared" si="4"/>
        <v>-1</v>
      </c>
      <c r="L25" s="1210" t="e">
        <f t="shared" si="4"/>
        <v>#DIV/0!</v>
      </c>
      <c r="M25" s="1210" t="e">
        <f t="shared" si="4"/>
        <v>#DIV/0!</v>
      </c>
      <c r="N25" s="1210" t="e">
        <f t="shared" si="4"/>
        <v>#DIV/0!</v>
      </c>
      <c r="O25" s="1210" t="e">
        <f t="shared" si="4"/>
        <v>#DIV/0!</v>
      </c>
      <c r="P25" s="1210" t="e">
        <f t="shared" si="4"/>
        <v>#DIV/0!</v>
      </c>
      <c r="Q25" s="1174" t="e">
        <f t="shared" si="4"/>
        <v>#DIV/0!</v>
      </c>
      <c r="R25" s="1174" t="e">
        <f t="shared" si="4"/>
        <v>#DIV/0!</v>
      </c>
      <c r="S25" s="1174" t="e">
        <f t="shared" si="4"/>
        <v>#DIV/0!</v>
      </c>
      <c r="T25" s="1174" t="e">
        <f t="shared" si="4"/>
        <v>#DIV/0!</v>
      </c>
      <c r="U25" s="1212"/>
      <c r="V25" s="1212"/>
      <c r="Y25" s="1179"/>
    </row>
    <row r="26" spans="4:26" ht="12.9" hidden="1" customHeight="1" outlineLevel="1" x14ac:dyDescent="0.5">
      <c r="E26" s="1192"/>
      <c r="F26" s="1192"/>
      <c r="G26" s="1192"/>
      <c r="H26" s="1192"/>
      <c r="I26" s="1192"/>
      <c r="J26" s="1192"/>
      <c r="K26" s="1247"/>
      <c r="L26" s="1192"/>
      <c r="M26" s="1192"/>
      <c r="N26" s="1192"/>
      <c r="O26" s="1192"/>
      <c r="P26" s="1192"/>
      <c r="Y26" s="1179"/>
    </row>
    <row r="27" spans="4:26" ht="12.9" customHeight="1" outlineLevel="1" x14ac:dyDescent="0.5">
      <c r="E27" s="1192"/>
      <c r="F27" s="1192"/>
      <c r="G27" s="1192"/>
      <c r="H27" s="1192"/>
      <c r="I27" s="1192"/>
      <c r="J27" s="1192"/>
      <c r="K27" s="1247"/>
      <c r="L27" s="1192"/>
      <c r="M27" s="1192"/>
      <c r="N27" s="1192"/>
      <c r="O27" s="1192"/>
      <c r="P27" s="1192"/>
      <c r="Y27" s="1179"/>
    </row>
    <row r="28" spans="4:26" s="1262" customFormat="1" ht="12.9" customHeight="1" x14ac:dyDescent="0.5">
      <c r="D28" s="1266" t="s">
        <v>1560</v>
      </c>
      <c r="E28" s="1264"/>
      <c r="F28" s="1264"/>
      <c r="G28" s="1264"/>
      <c r="H28" s="1264"/>
      <c r="I28" s="1264"/>
      <c r="J28" s="1264"/>
      <c r="K28" s="1265"/>
      <c r="L28" s="1264"/>
      <c r="M28" s="1264"/>
      <c r="N28" s="1264"/>
      <c r="O28" s="1264"/>
      <c r="P28" s="1264"/>
      <c r="Q28" s="1264"/>
      <c r="R28" s="1264"/>
      <c r="S28" s="1264"/>
      <c r="T28" s="1264"/>
      <c r="W28" s="1264"/>
      <c r="X28" s="1205"/>
      <c r="Y28" s="1206"/>
      <c r="Z28" s="1264"/>
    </row>
    <row r="29" spans="4:26" ht="12.9" hidden="1" customHeight="1" outlineLevel="1" x14ac:dyDescent="0.5">
      <c r="E29" s="1192"/>
      <c r="F29" s="1192"/>
      <c r="G29" s="1192"/>
      <c r="H29" s="1192"/>
      <c r="I29" s="1192"/>
      <c r="J29" s="1192"/>
      <c r="K29" s="1247"/>
      <c r="L29" s="1192"/>
      <c r="M29" s="1192"/>
      <c r="N29" s="1192"/>
      <c r="O29" s="1192"/>
      <c r="P29" s="1192"/>
      <c r="Q29" s="1192"/>
      <c r="R29" s="1192"/>
      <c r="S29" s="1192"/>
      <c r="T29" s="1192"/>
      <c r="W29" s="1192"/>
      <c r="Y29" s="1179"/>
      <c r="Z29" s="1192"/>
    </row>
    <row r="30" spans="4:26" ht="12.9" hidden="1" customHeight="1" outlineLevel="1" x14ac:dyDescent="0.5">
      <c r="D30" s="1197" t="s">
        <v>1198</v>
      </c>
      <c r="E30" s="1226"/>
      <c r="F30" s="1226"/>
      <c r="G30" s="1226"/>
      <c r="H30" s="1226"/>
      <c r="I30" s="1226"/>
      <c r="J30" s="1267">
        <v>374000</v>
      </c>
      <c r="K30" s="1268">
        <f>J30*1.05</f>
        <v>392700</v>
      </c>
      <c r="L30" s="1267">
        <f>K30*1.05</f>
        <v>412335</v>
      </c>
      <c r="M30" s="1267">
        <f>L30*1.05</f>
        <v>432951.75</v>
      </c>
      <c r="N30" s="1192"/>
      <c r="O30" s="1192"/>
      <c r="P30" s="1192"/>
      <c r="Q30" s="1192"/>
      <c r="R30" s="1192"/>
      <c r="S30" s="1192"/>
      <c r="T30" s="1192"/>
      <c r="W30" s="1192"/>
      <c r="Y30" s="1179"/>
      <c r="Z30" s="1192"/>
    </row>
    <row r="31" spans="4:26" s="1172" customFormat="1" ht="12.9" hidden="1" customHeight="1" outlineLevel="1" x14ac:dyDescent="0.5">
      <c r="E31" s="1270"/>
      <c r="F31" s="1270"/>
      <c r="G31" s="1270"/>
      <c r="H31" s="1270"/>
      <c r="I31" s="1270"/>
      <c r="J31" s="1213"/>
      <c r="K31" s="1246">
        <f>K30/J30-1</f>
        <v>5.0000000000000044E-2</v>
      </c>
      <c r="L31" s="1210">
        <f>L30/K30-1</f>
        <v>5.0000000000000044E-2</v>
      </c>
      <c r="M31" s="1210">
        <f>M30/L30-1</f>
        <v>5.0000000000000044E-2</v>
      </c>
      <c r="N31" s="1270"/>
      <c r="O31" s="1270"/>
      <c r="P31" s="1270"/>
      <c r="Q31" s="1270"/>
      <c r="R31" s="1270"/>
      <c r="S31" s="1270"/>
      <c r="T31" s="1270"/>
      <c r="W31" s="1270"/>
      <c r="X31" s="1171"/>
      <c r="Y31" s="1179"/>
      <c r="Z31" s="1270"/>
    </row>
    <row r="32" spans="4:26" ht="12.9" hidden="1" customHeight="1" outlineLevel="1" x14ac:dyDescent="0.5">
      <c r="E32" s="1192"/>
      <c r="F32" s="1192"/>
      <c r="G32" s="1192"/>
      <c r="H32" s="1192"/>
      <c r="I32" s="1192"/>
      <c r="J32" s="1203"/>
      <c r="K32" s="1247"/>
      <c r="L32" s="1192"/>
      <c r="M32" s="1192"/>
      <c r="N32" s="1192"/>
      <c r="O32" s="1192"/>
      <c r="P32" s="1192"/>
      <c r="Q32" s="1192"/>
      <c r="R32" s="1192"/>
      <c r="S32" s="1192"/>
      <c r="T32" s="1192"/>
      <c r="W32" s="1192"/>
      <c r="Y32" s="1179"/>
      <c r="Z32" s="1192"/>
    </row>
    <row r="33" spans="4:26" s="1197" customFormat="1" ht="12.9" hidden="1" customHeight="1" outlineLevel="1" x14ac:dyDescent="0.5">
      <c r="D33" s="1197" t="s">
        <v>1197</v>
      </c>
      <c r="E33" s="1226"/>
      <c r="F33" s="1226"/>
      <c r="G33" s="1226"/>
      <c r="H33" s="1226"/>
      <c r="I33" s="1226"/>
      <c r="J33" s="1267">
        <f>263.4*1000</f>
        <v>263400</v>
      </c>
      <c r="K33" s="1268">
        <f>J33*1.089</f>
        <v>286842.59999999998</v>
      </c>
      <c r="L33" s="1267">
        <f>K33*1.089</f>
        <v>312371.59139999998</v>
      </c>
      <c r="M33" s="1267">
        <f>L33*1.089</f>
        <v>340172.66303459997</v>
      </c>
      <c r="N33" s="1226"/>
      <c r="O33" s="1226"/>
      <c r="P33" s="1226"/>
      <c r="Q33" s="1226"/>
      <c r="R33" s="1226"/>
      <c r="S33" s="1226"/>
      <c r="T33" s="1226"/>
      <c r="W33" s="1226"/>
      <c r="X33" s="1171"/>
      <c r="Y33" s="1179"/>
      <c r="Z33" s="1226"/>
    </row>
    <row r="34" spans="4:26" s="1172" customFormat="1" ht="12.9" hidden="1" customHeight="1" outlineLevel="1" x14ac:dyDescent="0.5">
      <c r="D34" s="1175" t="s">
        <v>1196</v>
      </c>
      <c r="E34" s="1270"/>
      <c r="F34" s="1270"/>
      <c r="G34" s="1270"/>
      <c r="H34" s="1270"/>
      <c r="I34" s="1270"/>
      <c r="J34" s="1210">
        <f>J145/J33</f>
        <v>0.23996583143507971</v>
      </c>
      <c r="K34" s="1258">
        <f>K145/K33</f>
        <v>0</v>
      </c>
      <c r="L34" s="1213">
        <f>L145/L33</f>
        <v>0</v>
      </c>
      <c r="M34" s="1213">
        <f>M145/M33</f>
        <v>0</v>
      </c>
      <c r="N34" s="1270"/>
      <c r="O34" s="1270"/>
      <c r="P34" s="1270"/>
      <c r="Q34" s="1270"/>
      <c r="R34" s="1270"/>
      <c r="S34" s="1270"/>
      <c r="T34" s="1270"/>
      <c r="W34" s="1270"/>
      <c r="X34" s="1171"/>
      <c r="Y34" s="1179"/>
      <c r="Z34" s="1270"/>
    </row>
    <row r="35" spans="4:26" ht="12.9" hidden="1" customHeight="1" outlineLevel="1" x14ac:dyDescent="0.5">
      <c r="E35" s="1192"/>
      <c r="F35" s="1192"/>
      <c r="G35" s="1192"/>
      <c r="H35" s="1192"/>
      <c r="I35" s="1192"/>
      <c r="J35" s="1192"/>
      <c r="K35" s="1247"/>
      <c r="L35" s="1192"/>
      <c r="M35" s="1192"/>
      <c r="N35" s="1192"/>
      <c r="O35" s="1192"/>
      <c r="P35" s="1192"/>
      <c r="Q35" s="1192"/>
      <c r="R35" s="1192"/>
      <c r="S35" s="1192"/>
      <c r="T35" s="1192"/>
      <c r="W35" s="1192"/>
      <c r="Y35" s="1179"/>
      <c r="Z35" s="1192"/>
    </row>
    <row r="36" spans="4:26" s="1197" customFormat="1" ht="12.9" hidden="1" customHeight="1" outlineLevel="1" x14ac:dyDescent="0.5">
      <c r="D36" s="1197" t="s">
        <v>1195</v>
      </c>
      <c r="E36" s="1226"/>
      <c r="F36" s="1226"/>
      <c r="G36" s="1226"/>
      <c r="H36" s="1226"/>
      <c r="I36" s="1226"/>
      <c r="J36" s="1226"/>
      <c r="K36" s="1269"/>
      <c r="L36" s="1226"/>
      <c r="M36" s="1226"/>
      <c r="N36" s="1226"/>
      <c r="O36" s="1226"/>
      <c r="P36" s="1226"/>
      <c r="Q36" s="1226"/>
      <c r="R36" s="1226"/>
      <c r="S36" s="1226"/>
      <c r="T36" s="1226"/>
      <c r="W36" s="1226"/>
      <c r="X36" s="1171"/>
      <c r="Y36" s="1179"/>
      <c r="Z36" s="1226"/>
    </row>
    <row r="37" spans="4:26" ht="12.9" hidden="1" customHeight="1" outlineLevel="1" x14ac:dyDescent="0.5">
      <c r="E37" s="1192"/>
      <c r="F37" s="1192"/>
      <c r="G37" s="1192"/>
      <c r="H37" s="1192"/>
      <c r="I37" s="1192"/>
      <c r="J37" s="1192"/>
      <c r="K37" s="1247"/>
      <c r="L37" s="1192"/>
      <c r="M37" s="1192"/>
      <c r="N37" s="1192"/>
      <c r="O37" s="1192"/>
      <c r="P37" s="1192"/>
      <c r="Q37" s="1192"/>
      <c r="R37" s="1192"/>
      <c r="S37" s="1192"/>
      <c r="T37" s="1192"/>
      <c r="W37" s="1192"/>
      <c r="Y37" s="1179"/>
      <c r="Z37" s="1192"/>
    </row>
    <row r="38" spans="4:26" s="1197" customFormat="1" ht="12.9" hidden="1" customHeight="1" outlineLevel="1" x14ac:dyDescent="0.5">
      <c r="D38" s="1197" t="s">
        <v>1194</v>
      </c>
      <c r="E38" s="1226"/>
      <c r="F38" s="1226"/>
      <c r="G38" s="1226"/>
      <c r="H38" s="1226"/>
      <c r="I38" s="1226"/>
      <c r="J38" s="1267">
        <v>88000</v>
      </c>
      <c r="K38" s="1268">
        <f>J38*1.006</f>
        <v>88528</v>
      </c>
      <c r="L38" s="1267">
        <f>K38*1.006</f>
        <v>89059.168000000005</v>
      </c>
      <c r="M38" s="1267">
        <f>L38*1.006</f>
        <v>89593.523008000004</v>
      </c>
      <c r="N38" s="1226"/>
      <c r="O38" s="1226"/>
      <c r="P38" s="1226"/>
      <c r="Q38" s="1226"/>
      <c r="R38" s="1226"/>
      <c r="S38" s="1226"/>
      <c r="T38" s="1226"/>
      <c r="W38" s="1226"/>
      <c r="X38" s="1171"/>
      <c r="Y38" s="1179"/>
      <c r="Z38" s="1226"/>
    </row>
    <row r="39" spans="4:26" ht="12.9" hidden="1" customHeight="1" outlineLevel="1" x14ac:dyDescent="0.5">
      <c r="E39" s="1192"/>
      <c r="F39" s="1192"/>
      <c r="G39" s="1192"/>
      <c r="H39" s="1192"/>
      <c r="I39" s="1192"/>
      <c r="J39" s="1192"/>
      <c r="K39" s="1247"/>
      <c r="L39" s="1192"/>
      <c r="M39" s="1192"/>
      <c r="N39" s="1192"/>
      <c r="O39" s="1192"/>
      <c r="P39" s="1192"/>
      <c r="Q39" s="1192"/>
      <c r="R39" s="1192"/>
      <c r="S39" s="1192"/>
      <c r="T39" s="1192"/>
      <c r="W39" s="1192"/>
      <c r="Y39" s="1179"/>
      <c r="Z39" s="1192"/>
    </row>
    <row r="40" spans="4:26" s="1197" customFormat="1" ht="12.9" hidden="1" customHeight="1" outlineLevel="1" x14ac:dyDescent="0.5">
      <c r="D40" s="1197" t="s">
        <v>1193</v>
      </c>
      <c r="E40" s="1226"/>
      <c r="F40" s="1226"/>
      <c r="G40" s="1226"/>
      <c r="H40" s="1226"/>
      <c r="I40" s="1226"/>
      <c r="J40" s="1267">
        <f>244*1000</f>
        <v>244000</v>
      </c>
      <c r="K40" s="1269"/>
      <c r="L40" s="1226"/>
      <c r="M40" s="1226"/>
      <c r="N40" s="1226"/>
      <c r="O40" s="1226"/>
      <c r="P40" s="1226"/>
      <c r="Q40" s="1226"/>
      <c r="R40" s="1226"/>
      <c r="S40" s="1226"/>
      <c r="T40" s="1226"/>
      <c r="W40" s="1226"/>
      <c r="X40" s="1171"/>
      <c r="Y40" s="1179"/>
      <c r="Z40" s="1226"/>
    </row>
    <row r="41" spans="4:26" ht="12.9" hidden="1" customHeight="1" outlineLevel="1" x14ac:dyDescent="0.5">
      <c r="E41" s="1192"/>
      <c r="F41" s="1192"/>
      <c r="G41" s="1192"/>
      <c r="H41" s="1192"/>
      <c r="I41" s="1192"/>
      <c r="J41" s="1192"/>
      <c r="K41" s="1247"/>
      <c r="L41" s="1192"/>
      <c r="M41" s="1192"/>
      <c r="N41" s="1192"/>
      <c r="O41" s="1192"/>
      <c r="P41" s="1192"/>
      <c r="Q41" s="1192"/>
      <c r="R41" s="1192"/>
      <c r="S41" s="1192"/>
      <c r="T41" s="1192"/>
      <c r="W41" s="1192"/>
      <c r="Y41" s="1179"/>
      <c r="Z41" s="1192"/>
    </row>
    <row r="42" spans="4:26" s="1197" customFormat="1" ht="12.9" hidden="1" customHeight="1" outlineLevel="1" x14ac:dyDescent="0.5">
      <c r="D42" s="1197" t="s">
        <v>1192</v>
      </c>
      <c r="E42" s="1226"/>
      <c r="F42" s="1226"/>
      <c r="G42" s="1226"/>
      <c r="H42" s="1226"/>
      <c r="I42" s="1226"/>
      <c r="J42" s="1267">
        <f>734.24*1000</f>
        <v>734240</v>
      </c>
      <c r="K42" s="1268">
        <f>843.34*1000</f>
        <v>843340</v>
      </c>
      <c r="L42" s="1226"/>
      <c r="M42" s="1226"/>
      <c r="N42" s="1226"/>
      <c r="O42" s="1226"/>
      <c r="P42" s="1226"/>
      <c r="Q42" s="1226"/>
      <c r="R42" s="1226"/>
      <c r="S42" s="1226"/>
      <c r="T42" s="1226"/>
      <c r="W42" s="1226"/>
      <c r="X42" s="1171"/>
      <c r="Y42" s="1179"/>
      <c r="Z42" s="1226"/>
    </row>
    <row r="43" spans="4:26" s="1197" customFormat="1" ht="12.9" hidden="1" customHeight="1" outlineLevel="1" x14ac:dyDescent="0.5">
      <c r="E43" s="1226"/>
      <c r="F43" s="1226"/>
      <c r="G43" s="1226"/>
      <c r="H43" s="1226"/>
      <c r="I43" s="1226"/>
      <c r="J43" s="1226"/>
      <c r="K43" s="1269"/>
      <c r="L43" s="1226"/>
      <c r="M43" s="1226"/>
      <c r="N43" s="1226"/>
      <c r="O43" s="1226"/>
      <c r="P43" s="1226"/>
      <c r="Q43" s="1226"/>
      <c r="R43" s="1226"/>
      <c r="S43" s="1226"/>
      <c r="T43" s="1226"/>
      <c r="W43" s="1226"/>
      <c r="X43" s="1171"/>
      <c r="Y43" s="1179"/>
      <c r="Z43" s="1226"/>
    </row>
    <row r="44" spans="4:26" ht="12.9" hidden="1" customHeight="1" outlineLevel="1" x14ac:dyDescent="0.5">
      <c r="E44" s="1192"/>
      <c r="F44" s="1192"/>
      <c r="G44" s="1192"/>
      <c r="H44" s="1192"/>
      <c r="I44" s="1192"/>
      <c r="J44" s="1192"/>
      <c r="K44" s="1247"/>
      <c r="L44" s="1192"/>
      <c r="M44" s="1192"/>
      <c r="N44" s="1192"/>
      <c r="O44" s="1192"/>
      <c r="P44" s="1192"/>
      <c r="Q44" s="1192"/>
      <c r="R44" s="1192"/>
      <c r="S44" s="1192"/>
      <c r="T44" s="1192"/>
      <c r="W44" s="1192"/>
      <c r="Y44" s="1179"/>
      <c r="Z44" s="1192"/>
    </row>
    <row r="45" spans="4:26" ht="12.9" hidden="1" customHeight="1" outlineLevel="1" x14ac:dyDescent="0.5">
      <c r="E45" s="1192"/>
      <c r="F45" s="1192"/>
      <c r="G45" s="1192"/>
      <c r="H45" s="1192"/>
      <c r="I45" s="1192"/>
      <c r="J45" s="1192"/>
      <c r="K45" s="1247"/>
      <c r="L45" s="1192"/>
      <c r="M45" s="1192"/>
      <c r="N45" s="1192"/>
      <c r="O45" s="1192"/>
      <c r="P45" s="1192"/>
      <c r="Q45" s="1192"/>
      <c r="R45" s="1192"/>
      <c r="S45" s="1192"/>
      <c r="T45" s="1192"/>
      <c r="W45" s="1192"/>
      <c r="Y45" s="1179"/>
      <c r="Z45" s="1192"/>
    </row>
    <row r="46" spans="4:26" hidden="1" outlineLevel="1" x14ac:dyDescent="0.5">
      <c r="E46" s="1192"/>
      <c r="F46" s="1192"/>
      <c r="G46" s="1192"/>
      <c r="H46" s="1192"/>
      <c r="I46" s="1192"/>
      <c r="J46" s="1192"/>
      <c r="K46" s="1247"/>
      <c r="L46" s="1192"/>
      <c r="M46" s="1192"/>
      <c r="N46" s="1192"/>
      <c r="O46" s="1192"/>
      <c r="P46" s="1192"/>
      <c r="W46" s="1192"/>
      <c r="Y46" s="1179"/>
      <c r="Z46" s="1192"/>
    </row>
    <row r="47" spans="4:26" ht="12.9" hidden="1" customHeight="1" outlineLevel="1" x14ac:dyDescent="0.5">
      <c r="E47" s="1192"/>
      <c r="F47" s="1192"/>
      <c r="G47" s="1192"/>
      <c r="H47" s="1192"/>
      <c r="I47" s="1192"/>
      <c r="J47" s="1192"/>
      <c r="K47" s="1247"/>
      <c r="L47" s="1192"/>
      <c r="M47" s="1192"/>
      <c r="N47" s="1192"/>
      <c r="O47" s="1192"/>
      <c r="P47" s="1192"/>
      <c r="Q47" s="1192"/>
      <c r="R47" s="1192"/>
      <c r="S47" s="1192"/>
      <c r="T47" s="1192"/>
      <c r="W47" s="1192"/>
      <c r="Y47" s="1179"/>
      <c r="Z47" s="1192"/>
    </row>
    <row r="48" spans="4:26" s="1197" customFormat="1" ht="12.9" hidden="1" customHeight="1" outlineLevel="1" x14ac:dyDescent="0.5">
      <c r="D48" s="1197" t="s">
        <v>1191</v>
      </c>
      <c r="E48" s="1226"/>
      <c r="F48" s="1226"/>
      <c r="G48" s="1267">
        <v>5500</v>
      </c>
      <c r="H48" s="1267">
        <f t="shared" ref="H48:M48" si="5">G48*1.24</f>
        <v>6820</v>
      </c>
      <c r="I48" s="1267">
        <f t="shared" si="5"/>
        <v>8456.7999999999993</v>
      </c>
      <c r="J48" s="1267">
        <f t="shared" si="5"/>
        <v>10486.431999999999</v>
      </c>
      <c r="K48" s="1268">
        <f t="shared" si="5"/>
        <v>13003.175679999998</v>
      </c>
      <c r="L48" s="1267">
        <f t="shared" si="5"/>
        <v>16123.937843199998</v>
      </c>
      <c r="M48" s="1267">
        <f t="shared" si="5"/>
        <v>19993.682925567999</v>
      </c>
      <c r="N48" s="1226"/>
      <c r="O48" s="1226"/>
      <c r="P48" s="1226"/>
      <c r="Q48" s="1226"/>
      <c r="R48" s="1226"/>
      <c r="S48" s="1226"/>
      <c r="T48" s="1226"/>
      <c r="W48" s="1226"/>
      <c r="X48" s="1171"/>
      <c r="Y48" s="1179"/>
      <c r="Z48" s="1226"/>
    </row>
    <row r="49" spans="4:27" ht="12.9" hidden="1" customHeight="1" outlineLevel="1" x14ac:dyDescent="0.5">
      <c r="E49" s="1192"/>
      <c r="F49" s="1192"/>
      <c r="G49" s="1192"/>
      <c r="H49" s="1192"/>
      <c r="I49" s="1192"/>
      <c r="J49" s="1192"/>
      <c r="K49" s="1247"/>
      <c r="L49" s="1192"/>
      <c r="M49" s="1192"/>
      <c r="N49" s="1192"/>
      <c r="O49" s="1192"/>
      <c r="P49" s="1192"/>
      <c r="Q49" s="1192"/>
      <c r="R49" s="1192"/>
      <c r="S49" s="1192"/>
      <c r="T49" s="1192"/>
      <c r="W49" s="1192"/>
      <c r="Y49" s="1179"/>
      <c r="Z49" s="1192"/>
    </row>
    <row r="50" spans="4:27" s="1197" customFormat="1" ht="12.9" hidden="1" customHeight="1" outlineLevel="1" x14ac:dyDescent="0.5">
      <c r="D50" s="1197" t="s">
        <v>1190</v>
      </c>
      <c r="E50" s="1226"/>
      <c r="F50" s="1226"/>
      <c r="G50" s="1226"/>
      <c r="H50" s="1226"/>
      <c r="I50" s="1226"/>
      <c r="J50" s="1267">
        <v>28800</v>
      </c>
      <c r="K50" s="1268">
        <f>J50*1.117</f>
        <v>32169.599999999999</v>
      </c>
      <c r="L50" s="1267">
        <f>K50*1.117</f>
        <v>35933.443200000002</v>
      </c>
      <c r="M50" s="1267">
        <f>L50*1.117</f>
        <v>40137.656054400002</v>
      </c>
      <c r="N50" s="1226"/>
      <c r="O50" s="1226"/>
      <c r="P50" s="1226"/>
      <c r="Q50" s="1226"/>
      <c r="R50" s="1226"/>
      <c r="S50" s="1226"/>
      <c r="T50" s="1226"/>
      <c r="W50" s="1226"/>
      <c r="X50" s="1171"/>
      <c r="Y50" s="1179"/>
      <c r="Z50" s="1226"/>
    </row>
    <row r="51" spans="4:27" ht="12.9" customHeight="1" collapsed="1" x14ac:dyDescent="0.5">
      <c r="E51" s="1192"/>
      <c r="F51" s="1192"/>
      <c r="G51" s="1192"/>
      <c r="H51" s="1192"/>
      <c r="I51" s="1192"/>
      <c r="J51" s="1192"/>
      <c r="K51" s="1247"/>
      <c r="L51" s="1192"/>
      <c r="M51" s="1192"/>
      <c r="N51" s="1192"/>
      <c r="O51" s="1192"/>
      <c r="P51" s="1192"/>
      <c r="Q51" s="1192"/>
      <c r="R51" s="1192"/>
      <c r="S51" s="1192"/>
      <c r="T51" s="1192"/>
      <c r="W51" s="1192"/>
      <c r="Y51" s="1179"/>
      <c r="Z51" s="1192"/>
    </row>
    <row r="52" spans="4:27" s="1262" customFormat="1" ht="12.9" customHeight="1" x14ac:dyDescent="0.5">
      <c r="D52" s="1266" t="s">
        <v>1202</v>
      </c>
      <c r="E52" s="1264"/>
      <c r="F52" s="1264"/>
      <c r="G52" s="1264"/>
      <c r="H52" s="1264"/>
      <c r="I52" s="1264"/>
      <c r="J52" s="1264"/>
      <c r="K52" s="1265"/>
      <c r="L52" s="1264"/>
      <c r="M52" s="1264"/>
      <c r="N52" s="1264"/>
      <c r="O52" s="1264"/>
      <c r="P52" s="1264"/>
      <c r="Q52" s="1264"/>
      <c r="R52" s="1264"/>
      <c r="S52" s="1264"/>
      <c r="T52" s="1264"/>
      <c r="W52" s="1264"/>
      <c r="X52" s="1205"/>
      <c r="Y52" s="1206"/>
      <c r="Z52" s="1264"/>
    </row>
    <row r="53" spans="4:27" ht="12.9" customHeight="1" x14ac:dyDescent="0.5">
      <c r="E53" s="1192"/>
      <c r="F53" s="1192"/>
      <c r="G53" s="1192"/>
      <c r="H53" s="1192"/>
      <c r="I53" s="1192"/>
      <c r="J53" s="1192"/>
      <c r="K53" s="1247"/>
      <c r="L53" s="1192"/>
      <c r="M53" s="1192"/>
      <c r="N53" s="1192"/>
      <c r="O53" s="1192"/>
      <c r="P53" s="1192"/>
      <c r="Q53" s="1192"/>
      <c r="R53" s="1192"/>
      <c r="S53" s="1192"/>
      <c r="T53" s="1192"/>
      <c r="W53" s="1192"/>
      <c r="Y53" s="1179"/>
      <c r="Z53" s="1192"/>
    </row>
    <row r="54" spans="4:27" s="1262" customFormat="1" ht="12.9" customHeight="1" x14ac:dyDescent="0.5">
      <c r="D54" s="1266" t="s">
        <v>1158</v>
      </c>
      <c r="E54" s="1264"/>
      <c r="F54" s="1264"/>
      <c r="G54" s="1264"/>
      <c r="H54" s="1264"/>
      <c r="I54" s="1264"/>
      <c r="J54" s="1264"/>
      <c r="K54" s="1265"/>
      <c r="L54" s="1264"/>
      <c r="M54" s="1264"/>
      <c r="N54" s="1264"/>
      <c r="O54" s="1264"/>
      <c r="P54" s="1264"/>
      <c r="Q54" s="1264"/>
      <c r="R54" s="1264"/>
      <c r="S54" s="1264"/>
      <c r="T54" s="1264"/>
      <c r="W54" s="1264"/>
      <c r="X54" s="1205"/>
      <c r="Y54" s="1206"/>
      <c r="Z54" s="1264"/>
    </row>
    <row r="55" spans="4:27" ht="12.9" customHeight="1" x14ac:dyDescent="0.5">
      <c r="E55" s="1192"/>
      <c r="F55" s="1192"/>
      <c r="G55" s="1192"/>
      <c r="H55" s="1192"/>
      <c r="I55" s="1192"/>
      <c r="J55" s="1192"/>
      <c r="K55" s="1247"/>
      <c r="L55" s="1192"/>
      <c r="M55" s="1192"/>
      <c r="N55" s="1192"/>
      <c r="O55" s="1192"/>
      <c r="P55" s="1192"/>
      <c r="Q55" s="1192"/>
      <c r="R55" s="1192"/>
      <c r="S55" s="1192"/>
      <c r="T55" s="1192"/>
      <c r="W55" s="1192"/>
      <c r="Y55" s="1179"/>
      <c r="Z55" s="1192"/>
    </row>
    <row r="56" spans="4:27" s="1262" customFormat="1" ht="12.9" customHeight="1" x14ac:dyDescent="0.5">
      <c r="D56" s="1266" t="s">
        <v>1556</v>
      </c>
      <c r="E56" s="1264"/>
      <c r="F56" s="1264"/>
      <c r="G56" s="1264"/>
      <c r="H56" s="1264"/>
      <c r="I56" s="1264"/>
      <c r="J56" s="1264"/>
      <c r="K56" s="1265"/>
      <c r="L56" s="1264"/>
      <c r="M56" s="1264"/>
      <c r="N56" s="1264"/>
      <c r="O56" s="1264"/>
      <c r="P56" s="1264"/>
      <c r="Q56" s="1264"/>
      <c r="R56" s="1264"/>
      <c r="S56" s="1264"/>
      <c r="T56" s="1264"/>
      <c r="W56" s="1264"/>
      <c r="X56" s="1205"/>
      <c r="Y56" s="1206"/>
      <c r="Z56" s="1264"/>
    </row>
    <row r="57" spans="4:27" ht="12.9" customHeight="1" x14ac:dyDescent="0.5">
      <c r="E57" s="1192"/>
      <c r="F57" s="1192"/>
      <c r="G57" s="1192"/>
      <c r="H57" s="1192"/>
      <c r="I57" s="1192"/>
      <c r="J57" s="1192"/>
      <c r="K57" s="1261"/>
      <c r="L57" s="1192"/>
      <c r="M57" s="1192"/>
      <c r="N57" s="1192"/>
      <c r="O57" s="1192"/>
      <c r="P57" s="1192"/>
      <c r="Y57" s="1179"/>
    </row>
    <row r="58" spans="4:27" ht="12.9" customHeight="1" x14ac:dyDescent="0.5">
      <c r="D58" s="1562" t="s">
        <v>40</v>
      </c>
      <c r="E58" s="1563"/>
      <c r="F58" s="1563"/>
      <c r="G58" s="1563"/>
      <c r="H58" s="1563"/>
      <c r="I58" s="1563"/>
      <c r="J58" s="1563"/>
      <c r="K58" s="1564"/>
      <c r="L58" s="1563"/>
      <c r="M58" s="1563"/>
      <c r="N58" s="1563"/>
      <c r="O58" s="1563"/>
      <c r="P58" s="1563"/>
      <c r="Q58" s="1259"/>
      <c r="R58" s="1259"/>
      <c r="S58" s="1259"/>
      <c r="T58" s="1259"/>
      <c r="W58" s="1563"/>
      <c r="X58" s="1565"/>
      <c r="Y58" s="1566"/>
      <c r="Z58" s="1563"/>
    </row>
    <row r="59" spans="4:27" s="1197" customFormat="1" ht="12.9" customHeight="1" x14ac:dyDescent="0.5">
      <c r="D59" s="1197" t="s">
        <v>1188</v>
      </c>
      <c r="E59" s="1225">
        <f>[1]Model!E7</f>
        <v>2260</v>
      </c>
      <c r="F59" s="1225">
        <f>[1]Model!F7</f>
        <v>2600</v>
      </c>
      <c r="G59" s="1225">
        <f>[1]Model!G7</f>
        <v>2820</v>
      </c>
      <c r="H59" s="1225">
        <f>[1]Model!H7</f>
        <v>2960</v>
      </c>
      <c r="I59" s="1225">
        <f>[1]Model!I7</f>
        <v>3190</v>
      </c>
      <c r="J59" s="1225">
        <f>[1]Model!J7</f>
        <v>3350</v>
      </c>
      <c r="K59" s="1253">
        <f>[1]Model!K7</f>
        <v>3450.5</v>
      </c>
      <c r="L59" s="1225">
        <f>[1]Model!L7</f>
        <v>3554.0149999999999</v>
      </c>
      <c r="M59" s="1225">
        <f>[1]Model!M7</f>
        <v>3625.0953</v>
      </c>
      <c r="N59" s="1225">
        <f>[1]Model!N7</f>
        <v>3697.5972059999999</v>
      </c>
      <c r="O59" s="1225">
        <f>[1]Model!O7</f>
        <v>3771.5491501199999</v>
      </c>
      <c r="P59" s="1225">
        <f>[1]Model!P7</f>
        <v>3884.6956246236</v>
      </c>
      <c r="W59" s="1256">
        <f>IFERROR((J59/E59)^(1/5)-1,0)</f>
        <v>8.1900380611584112E-2</v>
      </c>
      <c r="X59" s="1256">
        <f>IFERROR((J59/G59)^(1/3)-1,0)</f>
        <v>5.9087639769494604E-2</v>
      </c>
      <c r="Y59" s="1257">
        <f>(M59/J59)^(1/3)-1</f>
        <v>2.6655820615915093E-2</v>
      </c>
      <c r="Z59" s="1256">
        <f>(O59/J59)^(1/5)-1</f>
        <v>2.3988296419660049E-2</v>
      </c>
    </row>
    <row r="60" spans="4:27" x14ac:dyDescent="0.5">
      <c r="D60" s="1175" t="s">
        <v>1154</v>
      </c>
      <c r="E60" s="1214" t="s">
        <v>1152</v>
      </c>
      <c r="F60" s="1210">
        <f t="shared" ref="F60:T60" si="6">F59/E59-1</f>
        <v>0.15044247787610621</v>
      </c>
      <c r="G60" s="1210">
        <f t="shared" si="6"/>
        <v>8.4615384615384537E-2</v>
      </c>
      <c r="H60" s="1210">
        <f t="shared" si="6"/>
        <v>4.9645390070921946E-2</v>
      </c>
      <c r="I60" s="1210">
        <f t="shared" si="6"/>
        <v>7.7702702702702631E-2</v>
      </c>
      <c r="J60" s="1210">
        <f t="shared" si="6"/>
        <v>5.0156739811912265E-2</v>
      </c>
      <c r="K60" s="1246">
        <f t="shared" si="6"/>
        <v>3.0000000000000027E-2</v>
      </c>
      <c r="L60" s="1210">
        <f t="shared" si="6"/>
        <v>3.0000000000000027E-2</v>
      </c>
      <c r="M60" s="1210">
        <f t="shared" si="6"/>
        <v>2.0000000000000018E-2</v>
      </c>
      <c r="N60" s="1210">
        <f t="shared" si="6"/>
        <v>2.0000000000000018E-2</v>
      </c>
      <c r="O60" s="1210">
        <f t="shared" si="6"/>
        <v>2.0000000000000018E-2</v>
      </c>
      <c r="P60" s="1210">
        <f t="shared" si="6"/>
        <v>3.0000000000000027E-2</v>
      </c>
      <c r="Q60" s="1174">
        <f t="shared" si="6"/>
        <v>-1</v>
      </c>
      <c r="R60" s="1174" t="e">
        <f t="shared" si="6"/>
        <v>#DIV/0!</v>
      </c>
      <c r="S60" s="1174" t="e">
        <f t="shared" si="6"/>
        <v>#DIV/0!</v>
      </c>
      <c r="T60" s="1174" t="e">
        <f t="shared" si="6"/>
        <v>#DIV/0!</v>
      </c>
      <c r="U60" s="1212"/>
      <c r="V60" s="1212"/>
      <c r="Y60" s="1179"/>
    </row>
    <row r="61" spans="4:27" s="1197" customFormat="1" ht="12.9" customHeight="1" x14ac:dyDescent="0.5">
      <c r="D61" s="1197" t="str">
        <f>[1]Model!D10</f>
        <v>FOA revenue per DAP</v>
      </c>
      <c r="E61" s="1225">
        <f>[1]Model!E10</f>
        <v>31.060176991150442</v>
      </c>
      <c r="F61" s="1225">
        <f>[1]Model!F10</f>
        <v>34.907818930041152</v>
      </c>
      <c r="G61" s="1225">
        <f>[1]Model!G10</f>
        <v>42.677121771217713</v>
      </c>
      <c r="H61" s="1225">
        <f>[1]Model!H10</f>
        <v>39.602076124567475</v>
      </c>
      <c r="I61" s="1225">
        <f>[1]Model!I10</f>
        <v>43.253983739837402</v>
      </c>
      <c r="J61" s="1225">
        <f>[1]Model!J10</f>
        <v>49.649847094801224</v>
      </c>
      <c r="K61" s="1253">
        <f>[1]Model!K10</f>
        <v>51.635840978593272</v>
      </c>
      <c r="L61" s="1225">
        <f>[1]Model!L10</f>
        <v>55.250349847094803</v>
      </c>
      <c r="M61" s="1225">
        <f>[1]Model!M10</f>
        <v>59.117874336391445</v>
      </c>
      <c r="N61" s="1225">
        <f>[1]Model!N10</f>
        <v>62.073768053211019</v>
      </c>
      <c r="O61" s="1225">
        <f>[1]Model!O10</f>
        <v>65.177456455871578</v>
      </c>
      <c r="P61" s="1225">
        <f>[1]Model!P10</f>
        <v>68.436329278665156</v>
      </c>
      <c r="W61" s="1256">
        <f>IFERROR((J61/E61)^(1/5)-1,0)</f>
        <v>9.8355168049280461E-2</v>
      </c>
      <c r="X61" s="1256">
        <f>IFERROR((J61/G61)^(1/3)-1,0)</f>
        <v>5.1738077994955889E-2</v>
      </c>
      <c r="Y61" s="1257">
        <f>(M61/J61)^(1/3)-1</f>
        <v>5.9905058542991885E-2</v>
      </c>
      <c r="Z61" s="1256">
        <f>(O61/J61)^(1/5)-1</f>
        <v>5.5931871616266227E-2</v>
      </c>
    </row>
    <row r="62" spans="4:27" x14ac:dyDescent="0.5">
      <c r="D62" s="1175" t="s">
        <v>1154</v>
      </c>
      <c r="E62" s="1214" t="s">
        <v>1152</v>
      </c>
      <c r="F62" s="1210">
        <f t="shared" ref="F62:T62" si="7">F61/E61-1</f>
        <v>0.12387701267726081</v>
      </c>
      <c r="G62" s="1210">
        <f t="shared" si="7"/>
        <v>0.22256626392920853</v>
      </c>
      <c r="H62" s="1210">
        <f t="shared" si="7"/>
        <v>-7.2053726189288403E-2</v>
      </c>
      <c r="I62" s="1210">
        <f t="shared" si="7"/>
        <v>9.2215054680035768E-2</v>
      </c>
      <c r="J62" s="1210">
        <f t="shared" si="7"/>
        <v>0.14786761361527856</v>
      </c>
      <c r="K62" s="1246">
        <f t="shared" si="7"/>
        <v>4.0000000000000036E-2</v>
      </c>
      <c r="L62" s="1210">
        <f t="shared" si="7"/>
        <v>7.0000000000000062E-2</v>
      </c>
      <c r="M62" s="1210">
        <f t="shared" si="7"/>
        <v>7.0000000000000062E-2</v>
      </c>
      <c r="N62" s="1210">
        <f t="shared" si="7"/>
        <v>5.0000000000000044E-2</v>
      </c>
      <c r="O62" s="1210">
        <f t="shared" si="7"/>
        <v>5.0000000000000044E-2</v>
      </c>
      <c r="P62" s="1210">
        <f t="shared" si="7"/>
        <v>5.0000000000000044E-2</v>
      </c>
      <c r="Q62" s="1174">
        <f t="shared" si="7"/>
        <v>-1</v>
      </c>
      <c r="R62" s="1174" t="e">
        <f t="shared" si="7"/>
        <v>#DIV/0!</v>
      </c>
      <c r="S62" s="1174" t="e">
        <f t="shared" si="7"/>
        <v>#DIV/0!</v>
      </c>
      <c r="T62" s="1174" t="e">
        <f t="shared" si="7"/>
        <v>#DIV/0!</v>
      </c>
      <c r="U62" s="1212"/>
      <c r="V62" s="1212"/>
      <c r="Y62" s="1179"/>
    </row>
    <row r="63" spans="4:27" s="1197" customFormat="1" ht="12.9" customHeight="1" x14ac:dyDescent="0.5">
      <c r="D63" s="1197" t="s">
        <v>1187</v>
      </c>
      <c r="E63" s="1225">
        <f>[1]Model!E14</f>
        <v>70196</v>
      </c>
      <c r="F63" s="1199">
        <f t="shared" ref="F63:P63" si="8">F61*AVERAGE(E59:F59)</f>
        <v>84826</v>
      </c>
      <c r="G63" s="1199">
        <f t="shared" si="8"/>
        <v>115655</v>
      </c>
      <c r="H63" s="1199">
        <f t="shared" si="8"/>
        <v>114450</v>
      </c>
      <c r="I63" s="1199">
        <f t="shared" si="8"/>
        <v>133006</v>
      </c>
      <c r="J63" s="1199">
        <f t="shared" si="8"/>
        <v>162355</v>
      </c>
      <c r="K63" s="1260">
        <f t="shared" si="8"/>
        <v>175574.76828746177</v>
      </c>
      <c r="L63" s="1199">
        <f t="shared" si="8"/>
        <v>193500.9521296116</v>
      </c>
      <c r="M63" s="1199">
        <f t="shared" si="8"/>
        <v>212206.87028124675</v>
      </c>
      <c r="N63" s="1199">
        <f t="shared" si="8"/>
        <v>227273.55807121526</v>
      </c>
      <c r="O63" s="1199">
        <f t="shared" si="8"/>
        <v>243409.98069427157</v>
      </c>
      <c r="P63" s="1199">
        <f t="shared" si="8"/>
        <v>261982.64422120625</v>
      </c>
      <c r="Q63" s="1225">
        <f>[1]Model!Q14</f>
        <v>283334.22972523456</v>
      </c>
      <c r="R63" s="1225">
        <f>[1]Model!R14</f>
        <v>306425.96944784117</v>
      </c>
      <c r="S63" s="1225">
        <f>[1]Model!S14</f>
        <v>331399.68595784024</v>
      </c>
      <c r="T63" s="1225">
        <f>[1]Model!T14</f>
        <v>358408.76036340423</v>
      </c>
      <c r="W63" s="1256">
        <f>IFERROR((J63/E63)^(1/5)-1,0)</f>
        <v>0.18258035584310583</v>
      </c>
      <c r="X63" s="1256">
        <f>IFERROR((J63/G63)^(1/3)-1,0)</f>
        <v>0.11969675184596373</v>
      </c>
      <c r="Y63" s="1257">
        <f>(M63/J63)^(1/3)-1</f>
        <v>9.3363548083511549E-2</v>
      </c>
      <c r="Z63" s="1256">
        <f>(O63/J63)^(1/5)-1</f>
        <v>8.436263137065092E-2</v>
      </c>
      <c r="AA63" s="1256">
        <f>(T63/J63)^(1/10)-1</f>
        <v>8.2408751163812966E-2</v>
      </c>
    </row>
    <row r="64" spans="4:27" ht="12.9" customHeight="1" x14ac:dyDescent="0.5">
      <c r="D64" s="1175" t="s">
        <v>1154</v>
      </c>
      <c r="E64" s="1214" t="s">
        <v>1152</v>
      </c>
      <c r="F64" s="1210">
        <f t="shared" ref="F64:T64" si="9">F63/E63-1</f>
        <v>0.20841643398484244</v>
      </c>
      <c r="G64" s="1210">
        <f t="shared" si="9"/>
        <v>0.36343809680994044</v>
      </c>
      <c r="H64" s="1210">
        <f t="shared" si="9"/>
        <v>-1.0418918334702321E-2</v>
      </c>
      <c r="I64" s="1210">
        <f t="shared" si="9"/>
        <v>0.16213193534294446</v>
      </c>
      <c r="J64" s="1210">
        <f t="shared" si="9"/>
        <v>0.22065921838112557</v>
      </c>
      <c r="K64" s="1246">
        <f t="shared" si="9"/>
        <v>8.1425076452599443E-2</v>
      </c>
      <c r="L64" s="1210">
        <f t="shared" si="9"/>
        <v>0.10209999999999986</v>
      </c>
      <c r="M64" s="1210">
        <f t="shared" si="9"/>
        <v>9.6670935960591509E-2</v>
      </c>
      <c r="N64" s="1210">
        <f t="shared" si="9"/>
        <v>7.0999999999999952E-2</v>
      </c>
      <c r="O64" s="1210">
        <f t="shared" si="9"/>
        <v>7.1000000000000174E-2</v>
      </c>
      <c r="P64" s="1210">
        <f t="shared" si="9"/>
        <v>7.6301980198019814E-2</v>
      </c>
      <c r="Q64" s="1210">
        <f t="shared" si="9"/>
        <v>8.1499999999999906E-2</v>
      </c>
      <c r="R64" s="1210">
        <f t="shared" si="9"/>
        <v>8.1499999999999906E-2</v>
      </c>
      <c r="S64" s="1210">
        <f t="shared" si="9"/>
        <v>8.1500000000000128E-2</v>
      </c>
      <c r="T64" s="1210">
        <f t="shared" si="9"/>
        <v>8.1500000000000128E-2</v>
      </c>
      <c r="Y64" s="1179"/>
    </row>
    <row r="65" spans="4:27" s="1197" customFormat="1" ht="12.9" customHeight="1" x14ac:dyDescent="0.5">
      <c r="D65" s="1197" t="s">
        <v>1186</v>
      </c>
      <c r="E65" s="1225">
        <f>[1]Model!E18</f>
        <v>501</v>
      </c>
      <c r="F65" s="1225">
        <f>[1]Model!F18</f>
        <v>1139</v>
      </c>
      <c r="G65" s="1225">
        <f>[1]Model!G18</f>
        <v>2274</v>
      </c>
      <c r="H65" s="1225">
        <f>[1]Model!H18</f>
        <v>2159</v>
      </c>
      <c r="I65" s="1225">
        <f>[1]Model!I18</f>
        <v>1896</v>
      </c>
      <c r="J65" s="1225">
        <f>[1]Model!J18</f>
        <v>2146</v>
      </c>
      <c r="K65" s="1253">
        <f>[1]Model!K18</f>
        <v>2467.8999999999996</v>
      </c>
      <c r="L65" s="1225">
        <f>[1]Model!L18</f>
        <v>2838.0849999999996</v>
      </c>
      <c r="M65" s="1225">
        <f>[1]Model!M18</f>
        <v>3263.7977499999993</v>
      </c>
      <c r="N65" s="1225">
        <f>[1]Model!N18</f>
        <v>3753.3674124999989</v>
      </c>
      <c r="O65" s="1225">
        <f>[1]Model!O18</f>
        <v>4316.3725243749986</v>
      </c>
      <c r="P65" s="1225">
        <f>[1]Model!P18</f>
        <v>4963.8284030312479</v>
      </c>
      <c r="Q65" s="1225">
        <f>[1]Model!Q18</f>
        <v>5708.4026634859347</v>
      </c>
      <c r="R65" s="1225">
        <f>[1]Model!R18</f>
        <v>6564.6630630088248</v>
      </c>
      <c r="S65" s="1225">
        <f>[1]Model!S18</f>
        <v>7549.3625224601483</v>
      </c>
      <c r="T65" s="1225">
        <f>[1]Model!T18</f>
        <v>8681.7669008291705</v>
      </c>
      <c r="W65" s="1256">
        <f>IFERROR((J65/E65)^(1/5)-1,0)</f>
        <v>0.33769898749759708</v>
      </c>
      <c r="X65" s="1256">
        <f>IFERROR((J65/G65)^(1/3)-1,0)</f>
        <v>-1.9126309636071759E-2</v>
      </c>
      <c r="Y65" s="1257">
        <f>(M65/J65)^(1/3)-1</f>
        <v>0.14999999999999991</v>
      </c>
      <c r="Z65" s="1256">
        <f>(O65/J65)^(1/5)-1</f>
        <v>0.14999999999999991</v>
      </c>
      <c r="AA65" s="1256">
        <f>(T65/J65)^(1/10)-1</f>
        <v>0.14999999999999991</v>
      </c>
    </row>
    <row r="66" spans="4:27" ht="12.9" customHeight="1" x14ac:dyDescent="0.5">
      <c r="D66" s="1175" t="s">
        <v>1154</v>
      </c>
      <c r="E66" s="1214" t="s">
        <v>1152</v>
      </c>
      <c r="F66" s="1210">
        <f t="shared" ref="F66:T66" si="10">F65/E65-1</f>
        <v>1.2734530938123751</v>
      </c>
      <c r="G66" s="1210">
        <f t="shared" si="10"/>
        <v>0.99648814749780512</v>
      </c>
      <c r="H66" s="1210">
        <f t="shared" si="10"/>
        <v>-5.0571679859278795E-2</v>
      </c>
      <c r="I66" s="1210">
        <f t="shared" si="10"/>
        <v>-0.12181565539601669</v>
      </c>
      <c r="J66" s="1210">
        <f t="shared" si="10"/>
        <v>0.1318565400843883</v>
      </c>
      <c r="K66" s="1246">
        <f t="shared" si="10"/>
        <v>0.14999999999999991</v>
      </c>
      <c r="L66" s="1210">
        <f t="shared" si="10"/>
        <v>0.14999999999999991</v>
      </c>
      <c r="M66" s="1210">
        <f t="shared" si="10"/>
        <v>0.14999999999999991</v>
      </c>
      <c r="N66" s="1210">
        <f t="shared" si="10"/>
        <v>0.14999999999999991</v>
      </c>
      <c r="O66" s="1210">
        <f t="shared" si="10"/>
        <v>0.14999999999999991</v>
      </c>
      <c r="P66" s="1210">
        <f t="shared" si="10"/>
        <v>0.14999999999999991</v>
      </c>
      <c r="Q66" s="1210">
        <f t="shared" si="10"/>
        <v>0.14999999999999991</v>
      </c>
      <c r="R66" s="1210">
        <f t="shared" si="10"/>
        <v>0.14999999999999991</v>
      </c>
      <c r="S66" s="1210">
        <f t="shared" si="10"/>
        <v>0.14999999999999991</v>
      </c>
      <c r="T66" s="1210">
        <f t="shared" si="10"/>
        <v>0.14999999999999991</v>
      </c>
      <c r="Y66" s="1179"/>
    </row>
    <row r="67" spans="4:27" ht="12.9" customHeight="1" x14ac:dyDescent="0.5">
      <c r="D67" s="1538" t="s">
        <v>40</v>
      </c>
      <c r="E67" s="1376">
        <f t="shared" ref="E67:T67" si="11">E63+E65</f>
        <v>70697</v>
      </c>
      <c r="F67" s="1376">
        <f t="shared" si="11"/>
        <v>85965</v>
      </c>
      <c r="G67" s="1376">
        <f t="shared" si="11"/>
        <v>117929</v>
      </c>
      <c r="H67" s="1376">
        <f t="shared" si="11"/>
        <v>116609</v>
      </c>
      <c r="I67" s="1376">
        <f t="shared" si="11"/>
        <v>134902</v>
      </c>
      <c r="J67" s="1376">
        <f t="shared" si="11"/>
        <v>164501</v>
      </c>
      <c r="K67" s="1376">
        <f t="shared" si="11"/>
        <v>178042.66828746177</v>
      </c>
      <c r="L67" s="1376">
        <f t="shared" si="11"/>
        <v>196339.03712961159</v>
      </c>
      <c r="M67" s="1376">
        <f t="shared" si="11"/>
        <v>215470.66803124675</v>
      </c>
      <c r="N67" s="1376">
        <f t="shared" si="11"/>
        <v>231026.92548371525</v>
      </c>
      <c r="O67" s="1376">
        <f t="shared" si="11"/>
        <v>247726.35321864657</v>
      </c>
      <c r="P67" s="1539">
        <f t="shared" si="11"/>
        <v>266946.47262423747</v>
      </c>
      <c r="Q67" s="1249">
        <f t="shared" si="11"/>
        <v>289042.63238872052</v>
      </c>
      <c r="R67" s="1249">
        <f t="shared" si="11"/>
        <v>312990.63251084997</v>
      </c>
      <c r="S67" s="1249">
        <f t="shared" si="11"/>
        <v>338949.04848030041</v>
      </c>
      <c r="T67" s="1249">
        <f t="shared" si="11"/>
        <v>367090.52726423339</v>
      </c>
      <c r="U67" s="1180"/>
      <c r="V67" s="1180"/>
      <c r="W67" s="1540">
        <f>IFERROR((J67/E67)^(1/5)-1,0)</f>
        <v>0.18400493201382728</v>
      </c>
      <c r="X67" s="1541">
        <f>IFERROR((J67/G67)^(1/3)-1,0)</f>
        <v>0.11733304241692033</v>
      </c>
      <c r="Y67" s="1541">
        <f>(M67/J67)^(1/3)-1</f>
        <v>9.4140780543811919E-2</v>
      </c>
      <c r="Z67" s="1542">
        <f>(O67/J67)^(1/5)-1</f>
        <v>8.5327315380492319E-2</v>
      </c>
      <c r="AA67" s="1248">
        <f>(T67/J67)^(1/10)-1</f>
        <v>8.3578710116331445E-2</v>
      </c>
    </row>
    <row r="68" spans="4:27" x14ac:dyDescent="0.5">
      <c r="D68" s="1175" t="s">
        <v>1154</v>
      </c>
      <c r="E68" s="1214" t="s">
        <v>1152</v>
      </c>
      <c r="F68" s="1210">
        <f t="shared" ref="F68:T68" si="12">F67/E67-1</f>
        <v>0.21596390228722573</v>
      </c>
      <c r="G68" s="1210">
        <f t="shared" si="12"/>
        <v>0.37182574303495608</v>
      </c>
      <c r="H68" s="1210">
        <f t="shared" si="12"/>
        <v>-1.1193175554782941E-2</v>
      </c>
      <c r="I68" s="1210">
        <f t="shared" si="12"/>
        <v>0.15687468377226454</v>
      </c>
      <c r="J68" s="1210">
        <f t="shared" si="12"/>
        <v>0.21941112807816054</v>
      </c>
      <c r="K68" s="1246">
        <f t="shared" si="12"/>
        <v>8.2319671536718708E-2</v>
      </c>
      <c r="L68" s="1210">
        <f t="shared" si="12"/>
        <v>0.10276395550649187</v>
      </c>
      <c r="M68" s="1210">
        <f t="shared" si="12"/>
        <v>9.7441808727041668E-2</v>
      </c>
      <c r="N68" s="1210">
        <f t="shared" si="12"/>
        <v>7.2196636296744554E-2</v>
      </c>
      <c r="O68" s="1210">
        <f t="shared" si="12"/>
        <v>7.2283469556488678E-2</v>
      </c>
      <c r="P68" s="1210">
        <f t="shared" si="12"/>
        <v>7.7586091087479048E-2</v>
      </c>
      <c r="Q68" s="1174">
        <f t="shared" si="12"/>
        <v>8.2773746913623159E-2</v>
      </c>
      <c r="R68" s="1174">
        <f t="shared" si="12"/>
        <v>8.2852830131725508E-2</v>
      </c>
      <c r="S68" s="1174">
        <f t="shared" si="12"/>
        <v>8.2936718460896897E-2</v>
      </c>
      <c r="T68" s="1174">
        <f t="shared" si="12"/>
        <v>8.3025690469134217E-2</v>
      </c>
      <c r="U68" s="1212"/>
      <c r="V68" s="1212"/>
      <c r="Y68" s="1179"/>
    </row>
    <row r="69" spans="4:27" x14ac:dyDescent="0.5">
      <c r="D69" s="1175"/>
      <c r="E69" s="1214"/>
      <c r="F69" s="1210"/>
      <c r="G69" s="1210"/>
      <c r="H69" s="1210"/>
      <c r="I69" s="1210"/>
      <c r="J69" s="1210"/>
      <c r="K69" s="1246"/>
      <c r="L69" s="1210"/>
      <c r="M69" s="1210"/>
      <c r="N69" s="1210"/>
      <c r="O69" s="1210"/>
      <c r="P69" s="1210"/>
      <c r="Q69" s="1174"/>
      <c r="R69" s="1174"/>
      <c r="S69" s="1174"/>
      <c r="T69" s="1174"/>
      <c r="U69" s="1212"/>
      <c r="V69" s="1212"/>
      <c r="Y69" s="1179"/>
    </row>
    <row r="70" spans="4:27" ht="12.9" customHeight="1" x14ac:dyDescent="0.5">
      <c r="D70" s="1562" t="s">
        <v>1555</v>
      </c>
      <c r="E70" s="1563"/>
      <c r="F70" s="1563"/>
      <c r="G70" s="1563"/>
      <c r="H70" s="1563"/>
      <c r="I70" s="1563"/>
      <c r="J70" s="1563"/>
      <c r="K70" s="1564"/>
      <c r="L70" s="1563"/>
      <c r="M70" s="1563"/>
      <c r="N70" s="1563"/>
      <c r="O70" s="1563"/>
      <c r="P70" s="1563"/>
      <c r="Q70" s="1259"/>
      <c r="R70" s="1259"/>
      <c r="S70" s="1259"/>
      <c r="T70" s="1259"/>
      <c r="W70" s="1563"/>
      <c r="X70" s="1565"/>
      <c r="Y70" s="1566"/>
      <c r="Z70" s="1563"/>
    </row>
    <row r="71" spans="4:27" ht="12.9" customHeight="1" x14ac:dyDescent="0.5">
      <c r="D71" s="1538" t="s">
        <v>42</v>
      </c>
      <c r="E71" s="1376">
        <f>[1]Model!E26</f>
        <v>57927</v>
      </c>
      <c r="F71" s="1376">
        <f>[1]Model!F26</f>
        <v>69273</v>
      </c>
      <c r="G71" s="1376">
        <f>[1]Model!G26</f>
        <v>95280</v>
      </c>
      <c r="H71" s="1376">
        <f>[1]Model!H26</f>
        <v>91360</v>
      </c>
      <c r="I71" s="1376">
        <f>[1]Model!I26</f>
        <v>108943</v>
      </c>
      <c r="J71" s="1376">
        <f>[1]Model!J26</f>
        <v>134340</v>
      </c>
      <c r="K71" s="1376">
        <f>[1]Model!K26</f>
        <v>144214.56131284405</v>
      </c>
      <c r="L71" s="1376">
        <f>[1]Model!L26</f>
        <v>159034.6200749854</v>
      </c>
      <c r="M71" s="1376">
        <f>[1]Model!M26</f>
        <v>174531.24110530989</v>
      </c>
      <c r="N71" s="1376">
        <f>[1]Model!N26</f>
        <v>187131.80964180938</v>
      </c>
      <c r="O71" s="1376">
        <f>[1]Model!O26</f>
        <v>200658.34610710375</v>
      </c>
      <c r="P71" s="1539">
        <f>[1]Model!P26</f>
        <v>216226.64282563236</v>
      </c>
      <c r="Q71" s="1249">
        <f>[1]Model!Q26</f>
        <v>234124.53223486364</v>
      </c>
      <c r="R71" s="1249">
        <f>[1]Model!R26</f>
        <v>253522.4123337885</v>
      </c>
      <c r="S71" s="1249">
        <f>[1]Model!S26</f>
        <v>274548.72926904337</v>
      </c>
      <c r="T71" s="1249">
        <f>[1]Model!T26</f>
        <v>297343.32708402904</v>
      </c>
      <c r="U71" s="1180"/>
      <c r="V71" s="1180"/>
      <c r="W71" s="1540">
        <f>(J71/E71)^(1/5)-1</f>
        <v>0.18321825470138031</v>
      </c>
      <c r="X71" s="1541">
        <f>(J71/G71)^(1/3)-1</f>
        <v>0.12133281545084773</v>
      </c>
      <c r="Y71" s="1541">
        <f>(M71/J71)^(1/3)-1</f>
        <v>9.1162111858746675E-2</v>
      </c>
      <c r="Z71" s="1542">
        <f>(O71/J71)^(1/5)-1</f>
        <v>8.3553543859822499E-2</v>
      </c>
      <c r="AA71" s="1248">
        <f>(T71/J71)^(1/10)-1</f>
        <v>8.2692891170000227E-2</v>
      </c>
    </row>
    <row r="72" spans="4:27" s="1172" customFormat="1" x14ac:dyDescent="0.5">
      <c r="D72" s="1175" t="s">
        <v>1185</v>
      </c>
      <c r="E72" s="1210">
        <f t="shared" ref="E72:T72" si="13">E71/E67</f>
        <v>0.81936998741106415</v>
      </c>
      <c r="F72" s="1210">
        <f t="shared" si="13"/>
        <v>0.80582795323678236</v>
      </c>
      <c r="G72" s="1210">
        <f t="shared" si="13"/>
        <v>0.80794376277251567</v>
      </c>
      <c r="H72" s="1210">
        <f t="shared" si="13"/>
        <v>0.78347297378418479</v>
      </c>
      <c r="I72" s="1210">
        <f t="shared" si="13"/>
        <v>0.8075714222176098</v>
      </c>
      <c r="J72" s="1210">
        <f t="shared" si="13"/>
        <v>0.81665157050717019</v>
      </c>
      <c r="K72" s="1246">
        <f t="shared" si="13"/>
        <v>0.81</v>
      </c>
      <c r="L72" s="1210">
        <f t="shared" si="13"/>
        <v>0.81</v>
      </c>
      <c r="M72" s="1210">
        <f t="shared" si="13"/>
        <v>0.81</v>
      </c>
      <c r="N72" s="1210">
        <f t="shared" si="13"/>
        <v>0.81</v>
      </c>
      <c r="O72" s="1210">
        <f t="shared" si="13"/>
        <v>0.81</v>
      </c>
      <c r="P72" s="1210">
        <f t="shared" si="13"/>
        <v>0.81</v>
      </c>
      <c r="Q72" s="1174">
        <f t="shared" si="13"/>
        <v>0.81</v>
      </c>
      <c r="R72" s="1174">
        <f t="shared" si="13"/>
        <v>0.81</v>
      </c>
      <c r="S72" s="1174">
        <f t="shared" si="13"/>
        <v>0.81000000000000016</v>
      </c>
      <c r="T72" s="1174">
        <f t="shared" si="13"/>
        <v>0.80999999999999994</v>
      </c>
      <c r="Y72" s="1173"/>
    </row>
    <row r="73" spans="4:27" s="1172" customFormat="1" x14ac:dyDescent="0.5">
      <c r="D73" s="1175"/>
      <c r="E73" s="1210"/>
      <c r="F73" s="1210"/>
      <c r="G73" s="1210"/>
      <c r="H73" s="1210"/>
      <c r="I73" s="1210"/>
      <c r="J73" s="1210"/>
      <c r="K73" s="1246"/>
      <c r="L73" s="1210"/>
      <c r="M73" s="1210"/>
      <c r="N73" s="1210"/>
      <c r="O73" s="1210"/>
      <c r="P73" s="1210"/>
      <c r="Q73" s="1174"/>
      <c r="R73" s="1174"/>
      <c r="S73" s="1174"/>
      <c r="T73" s="1174"/>
      <c r="Y73" s="1173"/>
    </row>
    <row r="74" spans="4:27" s="1197" customFormat="1" x14ac:dyDescent="0.5">
      <c r="D74" s="1197" t="str">
        <f>[1]Model!D29</f>
        <v>R&amp;D</v>
      </c>
      <c r="E74" s="1225">
        <f>[1]Model!E29</f>
        <v>13600</v>
      </c>
      <c r="F74" s="1225">
        <f>[1]Model!F29</f>
        <v>18447</v>
      </c>
      <c r="G74" s="1225">
        <f>[1]Model!G29</f>
        <v>24655</v>
      </c>
      <c r="H74" s="1225">
        <f>[1]Model!H29</f>
        <v>35338</v>
      </c>
      <c r="I74" s="1225">
        <f>[1]Model!I29</f>
        <v>38483</v>
      </c>
      <c r="J74" s="1225">
        <f>[1]Model!J29</f>
        <v>43873</v>
      </c>
      <c r="K74" s="1253">
        <f>[1]Model!K29</f>
        <v>55373</v>
      </c>
      <c r="L74" s="1225">
        <f>[1]Model!L29</f>
        <v>63373</v>
      </c>
      <c r="M74" s="1225">
        <f>[1]Model!M29</f>
        <v>71373</v>
      </c>
      <c r="N74" s="1225">
        <f>[1]Model!N29</f>
        <v>77373</v>
      </c>
      <c r="O74" s="1225">
        <f>[1]Model!O29</f>
        <v>83373</v>
      </c>
      <c r="P74" s="1225">
        <f>[1]Model!P29</f>
        <v>89373</v>
      </c>
      <c r="Q74" s="1252">
        <f>[1]Model!Q29</f>
        <v>95373</v>
      </c>
      <c r="R74" s="1252">
        <f>[1]Model!R29</f>
        <v>101373</v>
      </c>
      <c r="S74" s="1252">
        <f>[1]Model!S29</f>
        <v>107373</v>
      </c>
      <c r="T74" s="1252">
        <f>[1]Model!T29</f>
        <v>113373</v>
      </c>
      <c r="W74" s="1223">
        <f>(J74/E74)^(1/5)-1</f>
        <v>0.2639552110385246</v>
      </c>
      <c r="X74" s="1223">
        <f>(J74/G74)^(1/3)-1</f>
        <v>0.21179951707320366</v>
      </c>
      <c r="Y74" s="1224">
        <f>(M74/J74)^(1/3)-1</f>
        <v>0.17610349311697848</v>
      </c>
      <c r="Z74" s="1223">
        <f>(O74/J74)^(1/5)-1</f>
        <v>0.13701349522373341</v>
      </c>
      <c r="AA74" s="1223">
        <f>(T74/J74)^(1/10)-1</f>
        <v>9.9591137030494714E-2</v>
      </c>
    </row>
    <row r="75" spans="4:27" s="1172" customFormat="1" x14ac:dyDescent="0.5">
      <c r="D75" s="1175" t="str">
        <f>[1]Model!D30</f>
        <v>y/y, #</v>
      </c>
      <c r="E75" s="1213" t="str">
        <f>[1]Model!E30</f>
        <v>--</v>
      </c>
      <c r="F75" s="1213">
        <f>[1]Model!F30</f>
        <v>4847</v>
      </c>
      <c r="G75" s="1213">
        <f>[1]Model!G30</f>
        <v>6208</v>
      </c>
      <c r="H75" s="1213">
        <f>[1]Model!H30</f>
        <v>10683</v>
      </c>
      <c r="I75" s="1213">
        <f>[1]Model!I30</f>
        <v>3145</v>
      </c>
      <c r="J75" s="1213">
        <f>[1]Model!J30</f>
        <v>5390</v>
      </c>
      <c r="K75" s="1258">
        <f>[1]Model!K30</f>
        <v>11500</v>
      </c>
      <c r="L75" s="1213">
        <f>[1]Model!L30</f>
        <v>8000</v>
      </c>
      <c r="M75" s="1213">
        <f>[1]Model!M30</f>
        <v>8000</v>
      </c>
      <c r="N75" s="1213">
        <f>[1]Model!N30</f>
        <v>6000</v>
      </c>
      <c r="O75" s="1213">
        <f>[1]Model!O30</f>
        <v>6000</v>
      </c>
      <c r="P75" s="1213">
        <f>[1]Model!P30</f>
        <v>6000</v>
      </c>
      <c r="Q75" s="1245">
        <f>[1]Model!Q30</f>
        <v>6000</v>
      </c>
      <c r="R75" s="1245">
        <f>[1]Model!R30</f>
        <v>6000</v>
      </c>
      <c r="S75" s="1245">
        <f>[1]Model!S30</f>
        <v>6000</v>
      </c>
      <c r="T75" s="1245">
        <f>[1]Model!T30</f>
        <v>6000</v>
      </c>
      <c r="Y75" s="1173"/>
    </row>
    <row r="76" spans="4:27" s="1172" customFormat="1" x14ac:dyDescent="0.5">
      <c r="D76" s="1175" t="str">
        <f>[1]Model!D31</f>
        <v>% revenue</v>
      </c>
      <c r="E76" s="1210">
        <f>E74/E$67</f>
        <v>0.19237025616362788</v>
      </c>
      <c r="F76" s="1210">
        <f t="shared" ref="F76:T76" si="14">F74/F67</f>
        <v>0.21458733205374281</v>
      </c>
      <c r="G76" s="1210">
        <f t="shared" si="14"/>
        <v>0.20906647219937419</v>
      </c>
      <c r="H76" s="1210">
        <f t="shared" si="14"/>
        <v>0.30304693462768739</v>
      </c>
      <c r="I76" s="1210">
        <f t="shared" si="14"/>
        <v>0.28526634149234259</v>
      </c>
      <c r="J76" s="1210">
        <f t="shared" si="14"/>
        <v>0.26670354587510109</v>
      </c>
      <c r="K76" s="1246">
        <f t="shared" si="14"/>
        <v>0.31100971768518204</v>
      </c>
      <c r="L76" s="1210">
        <f t="shared" si="14"/>
        <v>0.32277330543372706</v>
      </c>
      <c r="M76" s="1210">
        <f t="shared" si="14"/>
        <v>0.33124230157234097</v>
      </c>
      <c r="N76" s="1210">
        <f t="shared" si="14"/>
        <v>0.33490901477392471</v>
      </c>
      <c r="O76" s="1210">
        <f t="shared" si="14"/>
        <v>0.3365528088423192</v>
      </c>
      <c r="P76" s="1210">
        <f t="shared" si="14"/>
        <v>0.33479745628931512</v>
      </c>
      <c r="Q76" s="1174">
        <f t="shared" si="14"/>
        <v>0.32996170568961991</v>
      </c>
      <c r="R76" s="1174">
        <f t="shared" si="14"/>
        <v>0.32388509262009896</v>
      </c>
      <c r="S76" s="1174">
        <f t="shared" si="14"/>
        <v>0.31678212545930923</v>
      </c>
      <c r="T76" s="1174">
        <f t="shared" si="14"/>
        <v>0.30884207458285518</v>
      </c>
      <c r="Y76" s="1173"/>
    </row>
    <row r="77" spans="4:27" s="1197" customFormat="1" x14ac:dyDescent="0.5">
      <c r="D77" s="1197" t="str">
        <f>[1]Model!D33</f>
        <v>S&amp;M</v>
      </c>
      <c r="E77" s="1225">
        <f>[1]Model!E33</f>
        <v>9876</v>
      </c>
      <c r="F77" s="1225">
        <f>[1]Model!F33</f>
        <v>11591</v>
      </c>
      <c r="G77" s="1225">
        <f>[1]Model!G33</f>
        <v>14043</v>
      </c>
      <c r="H77" s="1225">
        <f>[1]Model!H33</f>
        <v>15262</v>
      </c>
      <c r="I77" s="1225">
        <f>[1]Model!I33</f>
        <v>12301</v>
      </c>
      <c r="J77" s="1225">
        <f>[1]Model!J33</f>
        <v>11347</v>
      </c>
      <c r="K77" s="1253">
        <f>[1]Model!K33</f>
        <v>11947</v>
      </c>
      <c r="L77" s="1225">
        <f>[1]Model!L33</f>
        <v>12247</v>
      </c>
      <c r="M77" s="1225">
        <f>[1]Model!M33</f>
        <v>12547</v>
      </c>
      <c r="N77" s="1225">
        <f>[1]Model!N33</f>
        <v>12647</v>
      </c>
      <c r="O77" s="1225">
        <f>[1]Model!O33</f>
        <v>12747</v>
      </c>
      <c r="P77" s="1225">
        <f>[1]Model!P33</f>
        <v>12847</v>
      </c>
      <c r="Q77" s="1252">
        <f>[1]Model!Q33</f>
        <v>12947</v>
      </c>
      <c r="R77" s="1252">
        <f>[1]Model!R33</f>
        <v>13047</v>
      </c>
      <c r="S77" s="1252">
        <f>[1]Model!S33</f>
        <v>13147</v>
      </c>
      <c r="T77" s="1252">
        <f>[1]Model!T33</f>
        <v>13247</v>
      </c>
      <c r="W77" s="1223">
        <f>(J77/E77)^(1/5)-1</f>
        <v>2.8158321139292397E-2</v>
      </c>
      <c r="X77" s="1223">
        <f>(J77/G77)^(1/3)-1</f>
        <v>-6.8591093872000797E-2</v>
      </c>
      <c r="Y77" s="1224">
        <f>(M77/J77)^(1/3)-1</f>
        <v>3.4077164477718913E-2</v>
      </c>
      <c r="Z77" s="1223">
        <f>(O77/J77)^(1/5)-1</f>
        <v>2.3541335372608829E-2</v>
      </c>
      <c r="AA77" s="1223">
        <f>(T77/J77)^(1/10)-1</f>
        <v>1.5602235481199767E-2</v>
      </c>
    </row>
    <row r="78" spans="4:27" s="1172" customFormat="1" x14ac:dyDescent="0.5">
      <c r="D78" s="1175" t="str">
        <f>[1]Model!D34</f>
        <v>y/y, #</v>
      </c>
      <c r="E78" s="1213" t="str">
        <f>[1]Model!E34</f>
        <v>--</v>
      </c>
      <c r="F78" s="1213">
        <f>[1]Model!F34</f>
        <v>1715</v>
      </c>
      <c r="G78" s="1213">
        <f>[1]Model!G34</f>
        <v>2452</v>
      </c>
      <c r="H78" s="1213">
        <f>[1]Model!H34</f>
        <v>1219</v>
      </c>
      <c r="I78" s="1213">
        <f>[1]Model!I34</f>
        <v>-2961</v>
      </c>
      <c r="J78" s="1213">
        <f>[1]Model!J34</f>
        <v>-954</v>
      </c>
      <c r="K78" s="1258">
        <f>[1]Model!K34</f>
        <v>600</v>
      </c>
      <c r="L78" s="1213">
        <f>[1]Model!L34</f>
        <v>300</v>
      </c>
      <c r="M78" s="1213">
        <f>[1]Model!M34</f>
        <v>300</v>
      </c>
      <c r="N78" s="1213">
        <f>[1]Model!N34</f>
        <v>100</v>
      </c>
      <c r="O78" s="1213">
        <f>[1]Model!O34</f>
        <v>100</v>
      </c>
      <c r="P78" s="1213">
        <f>[1]Model!P34</f>
        <v>100</v>
      </c>
      <c r="Q78" s="1245">
        <f>[1]Model!Q34</f>
        <v>100</v>
      </c>
      <c r="R78" s="1245">
        <f>[1]Model!R34</f>
        <v>100</v>
      </c>
      <c r="S78" s="1245">
        <f>[1]Model!S34</f>
        <v>100</v>
      </c>
      <c r="T78" s="1245">
        <f>[1]Model!T34</f>
        <v>100</v>
      </c>
      <c r="Y78" s="1173"/>
    </row>
    <row r="79" spans="4:27" s="1172" customFormat="1" x14ac:dyDescent="0.5">
      <c r="D79" s="1175" t="str">
        <f>[1]Model!D35</f>
        <v>% revenue</v>
      </c>
      <c r="E79" s="1210">
        <f>E77/E$67</f>
        <v>0.139694753667058</v>
      </c>
      <c r="F79" s="1210">
        <f>[1]Model!F35</f>
        <v>0.13483394404699586</v>
      </c>
      <c r="G79" s="1210">
        <f>[1]Model!G35</f>
        <v>0.11908012448167965</v>
      </c>
      <c r="H79" s="1210">
        <f>[1]Model!H35</f>
        <v>0.13088183587887728</v>
      </c>
      <c r="I79" s="1210">
        <f>[1]Model!I35</f>
        <v>9.118471186490934E-2</v>
      </c>
      <c r="J79" s="1210">
        <f>[1]Model!J35</f>
        <v>6.8978304083257849E-2</v>
      </c>
      <c r="K79" s="1246">
        <f>[1]Model!K35</f>
        <v>6.710189256830712E-2</v>
      </c>
      <c r="L79" s="1210">
        <f>[1]Model!L35</f>
        <v>6.2376795664507836E-2</v>
      </c>
      <c r="M79" s="1210">
        <f>[1]Model!M35</f>
        <v>5.8230663665926358E-2</v>
      </c>
      <c r="N79" s="1210">
        <f>[1]Model!N35</f>
        <v>5.4742536929495121E-2</v>
      </c>
      <c r="O79" s="1210">
        <f>[1]Model!O35</f>
        <v>5.1455970809651114E-2</v>
      </c>
      <c r="P79" s="1210">
        <f>[1]Model!P35</f>
        <v>4.8125752978515117E-2</v>
      </c>
      <c r="Q79" s="1174">
        <f>[1]Model!Q35</f>
        <v>4.4792700277473806E-2</v>
      </c>
      <c r="R79" s="1174">
        <f>[1]Model!R35</f>
        <v>4.1684953620928958E-2</v>
      </c>
      <c r="S79" s="1174">
        <f>[1]Model!S35</f>
        <v>3.8787540661186129E-2</v>
      </c>
      <c r="T79" s="1174">
        <f>[1]Model!T35</f>
        <v>3.6086466460260223E-2</v>
      </c>
      <c r="Y79" s="1173"/>
    </row>
    <row r="80" spans="4:27" s="1197" customFormat="1" x14ac:dyDescent="0.5">
      <c r="D80" s="1197" t="str">
        <f>[1]Model!D37</f>
        <v>G&amp;A</v>
      </c>
      <c r="E80" s="1225">
        <f>[1]Model!E37</f>
        <v>10465</v>
      </c>
      <c r="F80" s="1225">
        <f>[1]Model!F37</f>
        <v>6564</v>
      </c>
      <c r="G80" s="1225">
        <f>[1]Model!G37</f>
        <v>9829</v>
      </c>
      <c r="H80" s="1225">
        <f>[1]Model!H37</f>
        <v>11816</v>
      </c>
      <c r="I80" s="1225">
        <f>[1]Model!I37</f>
        <v>11408</v>
      </c>
      <c r="J80" s="1225">
        <f>[1]Model!J37</f>
        <v>9740</v>
      </c>
      <c r="K80" s="1253">
        <f>[1]Model!K37</f>
        <v>10340</v>
      </c>
      <c r="L80" s="1225">
        <f>[1]Model!L37</f>
        <v>10540</v>
      </c>
      <c r="M80" s="1225">
        <f>[1]Model!M37</f>
        <v>10640</v>
      </c>
      <c r="N80" s="1225">
        <f>[1]Model!N37</f>
        <v>10740</v>
      </c>
      <c r="O80" s="1225">
        <f>[1]Model!O37</f>
        <v>10840</v>
      </c>
      <c r="P80" s="1225">
        <f>[1]Model!P37</f>
        <v>10940</v>
      </c>
      <c r="Q80" s="1252">
        <f>[1]Model!Q37</f>
        <v>11040</v>
      </c>
      <c r="R80" s="1252">
        <f>[1]Model!R37</f>
        <v>11140</v>
      </c>
      <c r="S80" s="1252">
        <f>[1]Model!S37</f>
        <v>11240</v>
      </c>
      <c r="T80" s="1252">
        <f>[1]Model!T37</f>
        <v>11340</v>
      </c>
      <c r="W80" s="1223">
        <f>(J80/E80)^(1/5)-1</f>
        <v>-1.4256448187916826E-2</v>
      </c>
      <c r="X80" s="1223">
        <f>(J80/G80)^(1/3)-1</f>
        <v>-3.0274353573594981E-3</v>
      </c>
      <c r="Y80" s="1224">
        <f>(M80/J80)^(1/3)-1</f>
        <v>2.9898021155541965E-2</v>
      </c>
      <c r="Z80" s="1223">
        <f>(O80/J80)^(1/5)-1</f>
        <v>2.1631005964331651E-2</v>
      </c>
      <c r="AA80" s="1223">
        <f>(T80/J80)^(1/10)-1</f>
        <v>1.5325771422463497E-2</v>
      </c>
    </row>
    <row r="81" spans="4:27" s="1172" customFormat="1" x14ac:dyDescent="0.5">
      <c r="D81" s="1175" t="str">
        <f>[1]Model!D38</f>
        <v>y/y, #</v>
      </c>
      <c r="E81" s="1213" t="str">
        <f>[1]Model!E38</f>
        <v>--</v>
      </c>
      <c r="F81" s="1213">
        <f>[1]Model!F38</f>
        <v>-3901</v>
      </c>
      <c r="G81" s="1213">
        <f>[1]Model!G38</f>
        <v>3265</v>
      </c>
      <c r="H81" s="1213">
        <f>[1]Model!H38</f>
        <v>1987</v>
      </c>
      <c r="I81" s="1213">
        <f>[1]Model!I38</f>
        <v>-408</v>
      </c>
      <c r="J81" s="1213">
        <f>[1]Model!J38</f>
        <v>-1668</v>
      </c>
      <c r="K81" s="1258">
        <f>[1]Model!K38</f>
        <v>600</v>
      </c>
      <c r="L81" s="1213">
        <f>[1]Model!L38</f>
        <v>200</v>
      </c>
      <c r="M81" s="1213">
        <f>[1]Model!M38</f>
        <v>100</v>
      </c>
      <c r="N81" s="1213">
        <f>[1]Model!N38</f>
        <v>100</v>
      </c>
      <c r="O81" s="1213">
        <f>[1]Model!O38</f>
        <v>100</v>
      </c>
      <c r="P81" s="1213">
        <f>[1]Model!P38</f>
        <v>100</v>
      </c>
      <c r="Q81" s="1245">
        <f>[1]Model!Q38</f>
        <v>100</v>
      </c>
      <c r="R81" s="1245">
        <f>[1]Model!R38</f>
        <v>100</v>
      </c>
      <c r="S81" s="1245">
        <f>[1]Model!S38</f>
        <v>100</v>
      </c>
      <c r="T81" s="1245">
        <f>[1]Model!T38</f>
        <v>100</v>
      </c>
      <c r="Y81" s="1173"/>
    </row>
    <row r="82" spans="4:27" s="1172" customFormat="1" x14ac:dyDescent="0.5">
      <c r="D82" s="1175" t="str">
        <f>[1]Model!D39</f>
        <v>% revenue</v>
      </c>
      <c r="E82" s="1210">
        <f>E80/E$67</f>
        <v>0.14802608314355631</v>
      </c>
      <c r="F82" s="1210">
        <f>[1]Model!F39</f>
        <v>7.6356656778921658E-2</v>
      </c>
      <c r="G82" s="1210">
        <f>[1]Model!G39</f>
        <v>8.3346759490880107E-2</v>
      </c>
      <c r="H82" s="1210">
        <f>[1]Model!H39</f>
        <v>0.10133008601394404</v>
      </c>
      <c r="I82" s="1210">
        <f>[1]Model!I39</f>
        <v>8.4565091696194278E-2</v>
      </c>
      <c r="J82" s="1210">
        <f>[1]Model!J39</f>
        <v>5.9209366508410285E-2</v>
      </c>
      <c r="K82" s="1246">
        <f>[1]Model!K39</f>
        <v>5.8075966280764675E-2</v>
      </c>
      <c r="L82" s="1210">
        <f>[1]Model!L39</f>
        <v>5.3682650959738107E-2</v>
      </c>
      <c r="M82" s="1210">
        <f>[1]Model!M39</f>
        <v>4.9380271093126357E-2</v>
      </c>
      <c r="N82" s="1210">
        <f>[1]Model!N39</f>
        <v>4.6488087817093196E-2</v>
      </c>
      <c r="O82" s="1210">
        <f>[1]Model!O39</f>
        <v>4.3757960584970432E-2</v>
      </c>
      <c r="P82" s="1210">
        <f>[1]Model!P39</f>
        <v>4.0981998722266315E-2</v>
      </c>
      <c r="Q82" s="1174">
        <f>[1]Model!Q39</f>
        <v>3.8195057624415753E-2</v>
      </c>
      <c r="R82" s="1174">
        <f>[1]Model!R39</f>
        <v>3.5592119516911824E-2</v>
      </c>
      <c r="S82" s="1174">
        <f>[1]Model!S39</f>
        <v>3.3161326312598466E-2</v>
      </c>
      <c r="T82" s="1174">
        <f>[1]Model!T39</f>
        <v>3.0891562592236049E-2</v>
      </c>
      <c r="Y82" s="1173"/>
    </row>
    <row r="83" spans="4:27" ht="12.9" customHeight="1" x14ac:dyDescent="0.5">
      <c r="D83" s="1538" t="str">
        <f>[1]Model!D41</f>
        <v>Operating income</v>
      </c>
      <c r="E83" s="1376">
        <f>[1]Model!E41</f>
        <v>23986</v>
      </c>
      <c r="F83" s="1376">
        <f>[1]Model!F41</f>
        <v>32671</v>
      </c>
      <c r="G83" s="1376">
        <f>[1]Model!G41</f>
        <v>46753</v>
      </c>
      <c r="H83" s="1376">
        <f>[1]Model!H41</f>
        <v>28944</v>
      </c>
      <c r="I83" s="1376">
        <f>[1]Model!I41</f>
        <v>46751</v>
      </c>
      <c r="J83" s="1376">
        <f>[1]Model!J41</f>
        <v>69380</v>
      </c>
      <c r="K83" s="1376">
        <f>[1]Model!K41</f>
        <v>66554.561312844045</v>
      </c>
      <c r="L83" s="1376">
        <f>[1]Model!L41</f>
        <v>72874.620074985403</v>
      </c>
      <c r="M83" s="1376">
        <f>[1]Model!M41</f>
        <v>79971.241105309891</v>
      </c>
      <c r="N83" s="1376">
        <f>[1]Model!N41</f>
        <v>86371.809641809377</v>
      </c>
      <c r="O83" s="1376">
        <f>[1]Model!O41</f>
        <v>93698.346107103745</v>
      </c>
      <c r="P83" s="1539">
        <f>[1]Model!P41</f>
        <v>103066.64282563236</v>
      </c>
      <c r="Q83" s="1249">
        <f>[1]Model!Q41</f>
        <v>114764.53223486364</v>
      </c>
      <c r="R83" s="1249">
        <f>[1]Model!R41</f>
        <v>127962.4123337885</v>
      </c>
      <c r="S83" s="1249">
        <f>[1]Model!S41</f>
        <v>142788.72926904337</v>
      </c>
      <c r="T83" s="1249">
        <f>[1]Model!T41</f>
        <v>159383.32708402904</v>
      </c>
      <c r="U83" s="1180"/>
      <c r="V83" s="1180"/>
      <c r="W83" s="1540">
        <f>(J83/E83)^(1/5)-1</f>
        <v>0.23667417943352698</v>
      </c>
      <c r="X83" s="1541">
        <f>(J83/G83)^(1/3)-1</f>
        <v>0.14062163264296146</v>
      </c>
      <c r="Y83" s="1541">
        <f>(M83/J83)^(1/3)-1</f>
        <v>4.8495361529612646E-2</v>
      </c>
      <c r="Z83" s="1542">
        <f>(O83/J83)^(1/5)-1</f>
        <v>6.1938890563408178E-2</v>
      </c>
      <c r="AA83" s="1248">
        <f>(T83/J83)^(1/10)-1</f>
        <v>8.6728005761975924E-2</v>
      </c>
    </row>
    <row r="84" spans="4:27" s="1235" customFormat="1" x14ac:dyDescent="0.5">
      <c r="D84" s="1255" t="str">
        <f>[1]Model!D42</f>
        <v>operating margin</v>
      </c>
      <c r="E84" s="1210">
        <f>[1]Model!E42</f>
        <v>0.33927889443682191</v>
      </c>
      <c r="F84" s="1210">
        <f>[1]Model!F42</f>
        <v>0.3800500203571221</v>
      </c>
      <c r="G84" s="1210">
        <f>[1]Model!G42</f>
        <v>0.39645040660058173</v>
      </c>
      <c r="H84" s="1210">
        <f>[1]Model!H42</f>
        <v>0.24821411726367604</v>
      </c>
      <c r="I84" s="1210">
        <f>[1]Model!I42</f>
        <v>0.34655527716416362</v>
      </c>
      <c r="J84" s="1210">
        <f>[1]Model!J42</f>
        <v>0.42176035404040096</v>
      </c>
      <c r="K84" s="1246">
        <f>[1]Model!K42</f>
        <v>0.37381242346574622</v>
      </c>
      <c r="L84" s="1210">
        <f>[1]Model!L42</f>
        <v>0.37116724794202705</v>
      </c>
      <c r="M84" s="1210">
        <f>[1]Model!M42</f>
        <v>0.37114676366860644</v>
      </c>
      <c r="N84" s="1210">
        <f>[1]Model!N42</f>
        <v>0.37386036047948706</v>
      </c>
      <c r="O84" s="1210">
        <f>[1]Model!O42</f>
        <v>0.37823325976305938</v>
      </c>
      <c r="P84" s="1210">
        <f>[1]Model!P42</f>
        <v>0.38609479200990349</v>
      </c>
      <c r="Q84" s="1174">
        <f>[1]Model!Q42</f>
        <v>0.39705053640849058</v>
      </c>
      <c r="R84" s="1174">
        <f>[1]Model!R42</f>
        <v>0.40883783424206033</v>
      </c>
      <c r="S84" s="1174">
        <f>[1]Model!S42</f>
        <v>0.42126900756690633</v>
      </c>
      <c r="T84" s="1174">
        <f>[1]Model!T42</f>
        <v>0.43417989636464854</v>
      </c>
      <c r="Y84" s="1254"/>
    </row>
    <row r="85" spans="4:27" s="1235" customFormat="1" x14ac:dyDescent="0.5">
      <c r="D85" s="1255"/>
      <c r="E85" s="1210"/>
      <c r="F85" s="1210"/>
      <c r="G85" s="1210"/>
      <c r="H85" s="1210"/>
      <c r="I85" s="1210"/>
      <c r="J85" s="1210"/>
      <c r="K85" s="1246"/>
      <c r="L85" s="1210"/>
      <c r="M85" s="1210"/>
      <c r="N85" s="1210"/>
      <c r="O85" s="1210"/>
      <c r="P85" s="1210"/>
      <c r="Q85" s="1174"/>
      <c r="R85" s="1174"/>
      <c r="S85" s="1174"/>
      <c r="T85" s="1174"/>
      <c r="Y85" s="1254"/>
    </row>
    <row r="86" spans="4:27" s="1256" customFormat="1" x14ac:dyDescent="0.5">
      <c r="D86" s="1256" t="s">
        <v>1184</v>
      </c>
      <c r="E86" s="1225">
        <f>[1]Model!E50+SUM([1]Model!E52:E53)</f>
        <v>826</v>
      </c>
      <c r="F86" s="1225">
        <f>[1]Model!F50+SUM([1]Model!F52:F53)</f>
        <v>509</v>
      </c>
      <c r="G86" s="1225">
        <f>[1]Model!G50+SUM([1]Model!G52:G53)</f>
        <v>531</v>
      </c>
      <c r="H86" s="1225">
        <f>[1]Model!H50+SUM([1]Model!H52:H53)</f>
        <v>-125</v>
      </c>
      <c r="I86" s="1225">
        <f>[1]Model!I50+SUM([1]Model!I52:I53)</f>
        <v>677</v>
      </c>
      <c r="J86" s="1225">
        <f>[1]Model!J50+SUM([1]Model!J52:J53)</f>
        <v>1283</v>
      </c>
      <c r="K86" s="1253">
        <f>[1]Model!K50+SUM([1]Model!K52:K53)</f>
        <v>1325.8333432714662</v>
      </c>
      <c r="L86" s="1225">
        <f>[1]Model!L50+SUM([1]Model!L52:L53)</f>
        <v>2248.462222604634</v>
      </c>
      <c r="M86" s="1225">
        <f>[1]Model!M50+SUM([1]Model!M52:M53)</f>
        <v>3422.7044118270528</v>
      </c>
      <c r="N86" s="1225">
        <f>[1]Model!N50+SUM([1]Model!N52:N53)</f>
        <v>4883.2976910429297</v>
      </c>
      <c r="O86" s="1225">
        <f>[1]Model!O50+SUM([1]Model!O52:O53)</f>
        <v>6638.0237730627268</v>
      </c>
      <c r="P86" s="1225">
        <f>[1]Model!P50+SUM([1]Model!P52:P53)</f>
        <v>8720.9947683393402</v>
      </c>
      <c r="Q86" s="1223"/>
      <c r="R86" s="1223"/>
      <c r="S86" s="1223"/>
      <c r="T86" s="1223"/>
      <c r="Y86" s="1257"/>
    </row>
    <row r="87" spans="4:27" s="1235" customFormat="1" x14ac:dyDescent="0.5">
      <c r="D87" s="1255" t="s">
        <v>1129</v>
      </c>
      <c r="E87" s="1210">
        <f t="shared" ref="E87:P87" si="15">E86/E67</f>
        <v>1.1683664087585047E-2</v>
      </c>
      <c r="F87" s="1210">
        <f t="shared" si="15"/>
        <v>5.9210143663118711E-3</v>
      </c>
      <c r="G87" s="1210">
        <f t="shared" si="15"/>
        <v>4.5027092572649642E-3</v>
      </c>
      <c r="H87" s="1210">
        <f t="shared" si="15"/>
        <v>-1.0719584251644384E-3</v>
      </c>
      <c r="I87" s="1210">
        <f t="shared" si="15"/>
        <v>5.018457843471557E-3</v>
      </c>
      <c r="J87" s="1210">
        <f t="shared" si="15"/>
        <v>7.7993446848347425E-3</v>
      </c>
      <c r="K87" s="1246">
        <f t="shared" si="15"/>
        <v>7.4467168798594942E-3</v>
      </c>
      <c r="L87" s="1210">
        <f t="shared" si="15"/>
        <v>1.1451936688068457E-2</v>
      </c>
      <c r="M87" s="1210">
        <f t="shared" si="15"/>
        <v>1.5884781177411603E-2</v>
      </c>
      <c r="N87" s="1210">
        <f t="shared" si="15"/>
        <v>2.1137353063148245E-2</v>
      </c>
      <c r="O87" s="1210">
        <f t="shared" si="15"/>
        <v>2.679579175496084E-2</v>
      </c>
      <c r="P87" s="1210">
        <f t="shared" si="15"/>
        <v>3.2669451229705125E-2</v>
      </c>
      <c r="Q87" s="1174"/>
      <c r="R87" s="1174"/>
      <c r="S87" s="1174"/>
      <c r="T87" s="1174"/>
      <c r="Y87" s="1254"/>
    </row>
    <row r="88" spans="4:27" s="1256" customFormat="1" x14ac:dyDescent="0.5">
      <c r="D88" s="1256" t="s">
        <v>1183</v>
      </c>
      <c r="E88" s="1225">
        <f>[1]Model!E56</f>
        <v>6327</v>
      </c>
      <c r="F88" s="1225">
        <f>[1]Model!F56</f>
        <v>4034</v>
      </c>
      <c r="G88" s="1225">
        <f>[1]Model!G56</f>
        <v>7914</v>
      </c>
      <c r="H88" s="1225">
        <f>[1]Model!H56</f>
        <v>5619</v>
      </c>
      <c r="I88" s="1225">
        <f>[1]Model!I56</f>
        <v>8330</v>
      </c>
      <c r="J88" s="1225">
        <f>[1]Model!J56</f>
        <v>8303</v>
      </c>
      <c r="K88" s="1253">
        <f>[1]Model!K56</f>
        <v>9163.8532785755961</v>
      </c>
      <c r="L88" s="1225">
        <f>[1]Model!L56</f>
        <v>10141.616110174657</v>
      </c>
      <c r="M88" s="1225">
        <f>[1]Model!M56</f>
        <v>11258.182644813489</v>
      </c>
      <c r="N88" s="1225">
        <f>[1]Model!N56</f>
        <v>12319.439489935063</v>
      </c>
      <c r="O88" s="1225">
        <f>[1]Model!O56</f>
        <v>13545.409933822475</v>
      </c>
      <c r="P88" s="1225">
        <f>[1]Model!P56</f>
        <v>15091.331075186181</v>
      </c>
      <c r="Q88" s="1223"/>
      <c r="R88" s="1223"/>
      <c r="S88" s="1223"/>
      <c r="T88" s="1223"/>
      <c r="Y88" s="1257"/>
    </row>
    <row r="89" spans="4:27" s="1235" customFormat="1" x14ac:dyDescent="0.5">
      <c r="D89" s="1255" t="s">
        <v>1182</v>
      </c>
      <c r="E89" s="1210">
        <f>[1]Model!E57</f>
        <v>0.25499758181525067</v>
      </c>
      <c r="F89" s="1210">
        <f>[1]Model!F57</f>
        <v>0.12157926461723931</v>
      </c>
      <c r="G89" s="1210">
        <f>[1]Model!G57</f>
        <v>0.16737162676592504</v>
      </c>
      <c r="H89" s="1210">
        <f>[1]Model!H57</f>
        <v>0.19497553697213643</v>
      </c>
      <c r="I89" s="1210">
        <f>[1]Model!I57</f>
        <v>0.17563464620055663</v>
      </c>
      <c r="J89" s="1210">
        <f>[1]Model!J57</f>
        <v>0.11750137978857393</v>
      </c>
      <c r="K89" s="1246">
        <f>[1]Model!K57</f>
        <v>0.13500000000000001</v>
      </c>
      <c r="L89" s="1210">
        <f>[1]Model!L57</f>
        <v>0.13500000000000001</v>
      </c>
      <c r="M89" s="1210">
        <f>[1]Model!M57</f>
        <v>0.13500000000000001</v>
      </c>
      <c r="N89" s="1210">
        <f>[1]Model!N57</f>
        <v>0.13500000000000001</v>
      </c>
      <c r="O89" s="1210">
        <f>[1]Model!O57</f>
        <v>0.13500000000000001</v>
      </c>
      <c r="P89" s="1210">
        <f>[1]Model!P57</f>
        <v>0.13500000000000001</v>
      </c>
      <c r="Q89" s="1174"/>
      <c r="R89" s="1174"/>
      <c r="S89" s="1174"/>
      <c r="T89" s="1174"/>
      <c r="Y89" s="1254"/>
    </row>
    <row r="90" spans="4:27" ht="12.9" customHeight="1" x14ac:dyDescent="0.5">
      <c r="D90" s="1538" t="s">
        <v>51</v>
      </c>
      <c r="E90" s="1376">
        <f>E83+E215-E218</f>
        <v>18485</v>
      </c>
      <c r="F90" s="1376">
        <f>F83+F215-F218</f>
        <v>29146</v>
      </c>
      <c r="G90" s="1376">
        <f>G83+G215-G218</f>
        <v>39370</v>
      </c>
      <c r="H90" s="1376">
        <f>H83+H215-H218</f>
        <v>23200</v>
      </c>
      <c r="I90" s="1376">
        <f>I83+I215-I218</f>
        <v>39098</v>
      </c>
      <c r="J90" s="1376">
        <f>J83+J215-J218</f>
        <v>62360</v>
      </c>
      <c r="K90" s="1376">
        <f>K83+K215-K218</f>
        <v>58716.541377539921</v>
      </c>
      <c r="L90" s="1376">
        <f>L83+L215-L218</f>
        <v>64981.466187415383</v>
      </c>
      <c r="M90" s="1376">
        <f>M83+M215-M218</f>
        <v>72135.762872323452</v>
      </c>
      <c r="N90" s="1376">
        <f>N83+N215-N218</f>
        <v>78935.667842917246</v>
      </c>
      <c r="O90" s="1376">
        <f>O83+O215-O218</f>
        <v>86790.959946343995</v>
      </c>
      <c r="P90" s="1539">
        <f>P83+P215-P218</f>
        <v>96696.30651878551</v>
      </c>
      <c r="Q90" s="1249">
        <f>Q83+Q215-Q218</f>
        <v>108957.16207793789</v>
      </c>
      <c r="R90" s="1249">
        <f>R83+R215-R218</f>
        <v>122889.67063584235</v>
      </c>
      <c r="S90" s="1249">
        <f>S83+S215-S218</f>
        <v>138648.3627456312</v>
      </c>
      <c r="T90" s="1249">
        <f>T83+T215-T218</f>
        <v>156401.60002898372</v>
      </c>
      <c r="U90" s="1180"/>
      <c r="V90" s="1180"/>
      <c r="W90" s="1540">
        <f>(J90/E90)^(1/5)-1</f>
        <v>0.27531459628670807</v>
      </c>
      <c r="X90" s="1541">
        <f>(J90/G90)^(1/3)-1</f>
        <v>0.165682376460073</v>
      </c>
      <c r="Y90" s="1541">
        <f>(M90/J90)^(1/3)-1</f>
        <v>4.9739423131086147E-2</v>
      </c>
      <c r="Z90" s="1542">
        <f>(O90/J90)^(1/5)-1</f>
        <v>6.8350301901873856E-2</v>
      </c>
      <c r="AA90" s="1248">
        <f>(T90/J90)^(1/10)-1</f>
        <v>9.6310335663646995E-2</v>
      </c>
    </row>
    <row r="91" spans="4:27" s="1570" customFormat="1" ht="12.9" customHeight="1" x14ac:dyDescent="0.5">
      <c r="D91" s="1567"/>
      <c r="E91" s="1568"/>
      <c r="F91" s="1568"/>
      <c r="G91" s="1568"/>
      <c r="H91" s="1568"/>
      <c r="I91" s="1568"/>
      <c r="J91" s="1568"/>
      <c r="K91" s="1568"/>
      <c r="L91" s="1568"/>
      <c r="M91" s="1568"/>
      <c r="N91" s="1568"/>
      <c r="O91" s="1568"/>
      <c r="P91" s="1568"/>
      <c r="Q91" s="1568"/>
      <c r="R91" s="1568"/>
      <c r="S91" s="1568"/>
      <c r="T91" s="1568"/>
      <c r="U91" s="1571"/>
      <c r="V91" s="1571"/>
      <c r="W91" s="1569"/>
      <c r="X91" s="1174"/>
      <c r="Y91" s="1244"/>
      <c r="Z91" s="1569"/>
      <c r="AA91" s="1569"/>
    </row>
    <row r="92" spans="4:27" s="1197" customFormat="1" x14ac:dyDescent="0.5">
      <c r="D92" s="1197" t="s">
        <v>1181</v>
      </c>
      <c r="E92" s="1225">
        <f>[1]Model!E62</f>
        <v>5741</v>
      </c>
      <c r="F92" s="1225">
        <f>[1]Model!F62</f>
        <v>6862</v>
      </c>
      <c r="G92" s="1225">
        <f>[1]Model!G62</f>
        <v>7967</v>
      </c>
      <c r="H92" s="1225">
        <f>[1]Model!H62</f>
        <v>8686</v>
      </c>
      <c r="I92" s="1225">
        <f>[1]Model!I62</f>
        <v>11178</v>
      </c>
      <c r="J92" s="1225">
        <f>[1]Model!J62</f>
        <v>15498</v>
      </c>
      <c r="K92" s="1253">
        <f>[1]Model!K62</f>
        <v>17804.266828746178</v>
      </c>
      <c r="L92" s="1225">
        <f>[1]Model!L62</f>
        <v>19633.903712961161</v>
      </c>
      <c r="M92" s="1225">
        <f>[1]Model!M62</f>
        <v>21547.066803124675</v>
      </c>
      <c r="N92" s="1225">
        <f>[1]Model!N62</f>
        <v>23102.692548371528</v>
      </c>
      <c r="O92" s="1225">
        <f>[1]Model!O62</f>
        <v>24772.635321864658</v>
      </c>
      <c r="P92" s="1225">
        <f>[1]Model!P62</f>
        <v>26694.64726242375</v>
      </c>
      <c r="Q92" s="1252">
        <f>[1]Model!Q62</f>
        <v>28904.263238872052</v>
      </c>
      <c r="R92" s="1252">
        <f>[1]Model!R62</f>
        <v>31299.063251084997</v>
      </c>
      <c r="S92" s="1252">
        <f>[1]Model!S62</f>
        <v>33894.904848030041</v>
      </c>
      <c r="T92" s="1252">
        <f>[1]Model!T62</f>
        <v>36709.052726423339</v>
      </c>
      <c r="Y92" s="1198"/>
    </row>
    <row r="93" spans="4:27" s="1172" customFormat="1" x14ac:dyDescent="0.5">
      <c r="D93" s="1175" t="s">
        <v>1129</v>
      </c>
      <c r="E93" s="1210">
        <f t="shared" ref="E93:P93" si="16">E92/E67</f>
        <v>8.1205708870249096E-2</v>
      </c>
      <c r="F93" s="1210">
        <f t="shared" si="16"/>
        <v>7.9823183853894031E-2</v>
      </c>
      <c r="G93" s="1210">
        <f t="shared" si="16"/>
        <v>6.7557598215875647E-2</v>
      </c>
      <c r="H93" s="1210">
        <f t="shared" si="16"/>
        <v>7.44882470478265E-2</v>
      </c>
      <c r="I93" s="1210">
        <f t="shared" si="16"/>
        <v>8.2860150331351648E-2</v>
      </c>
      <c r="J93" s="1210">
        <f t="shared" si="16"/>
        <v>9.4212193238946876E-2</v>
      </c>
      <c r="K93" s="1246">
        <f t="shared" si="16"/>
        <v>0.1</v>
      </c>
      <c r="L93" s="1210">
        <f t="shared" si="16"/>
        <v>0.1</v>
      </c>
      <c r="M93" s="1210">
        <f t="shared" si="16"/>
        <v>0.1</v>
      </c>
      <c r="N93" s="1210">
        <f t="shared" si="16"/>
        <v>0.1</v>
      </c>
      <c r="O93" s="1210">
        <f t="shared" si="16"/>
        <v>0.1</v>
      </c>
      <c r="P93" s="1210">
        <f t="shared" si="16"/>
        <v>0.1</v>
      </c>
      <c r="Q93" s="1245"/>
      <c r="R93" s="1245"/>
      <c r="S93" s="1245"/>
      <c r="T93" s="1245"/>
      <c r="Y93" s="1173"/>
    </row>
    <row r="94" spans="4:27" s="1197" customFormat="1" x14ac:dyDescent="0.5">
      <c r="D94" s="1197" t="s">
        <v>1180</v>
      </c>
      <c r="E94" s="1225">
        <f>[1]Model!E66</f>
        <v>4836</v>
      </c>
      <c r="F94" s="1225">
        <f>[1]Model!F66</f>
        <v>6536</v>
      </c>
      <c r="G94" s="1225">
        <f>[1]Model!G66</f>
        <v>9164</v>
      </c>
      <c r="H94" s="1225">
        <f>[1]Model!H66</f>
        <v>11992</v>
      </c>
      <c r="I94" s="1225">
        <f>[1]Model!I66</f>
        <v>14027</v>
      </c>
      <c r="J94" s="1225">
        <f>[1]Model!J66</f>
        <v>16690</v>
      </c>
      <c r="K94" s="1253">
        <f>[1]Model!K66</f>
        <v>20067.859255431191</v>
      </c>
      <c r="L94" s="1225">
        <f>[1]Model!L66</f>
        <v>21606.272984559582</v>
      </c>
      <c r="M94" s="1225">
        <f>[1]Model!M66</f>
        <v>23034.902577409266</v>
      </c>
      <c r="N94" s="1225">
        <f>[1]Model!N66</f>
        <v>24591.369693124001</v>
      </c>
      <c r="O94" s="1225">
        <f>[1]Model!O66</f>
        <v>26184.761208962282</v>
      </c>
      <c r="P94" s="1225">
        <f>[1]Model!P66</f>
        <v>29498.36936374892</v>
      </c>
      <c r="Q94" s="1252">
        <f>[1]Model!Q66</f>
        <v>31370.058027694238</v>
      </c>
      <c r="R94" s="1252">
        <f>[1]Model!R66</f>
        <v>33305.079631871064</v>
      </c>
      <c r="S94" s="1252">
        <f>[1]Model!S66</f>
        <v>35308.857458026265</v>
      </c>
      <c r="T94" s="1252">
        <f>[1]Model!T66</f>
        <v>37387.296032436781</v>
      </c>
      <c r="Y94" s="1198"/>
    </row>
    <row r="95" spans="4:27" s="1172" customFormat="1" x14ac:dyDescent="0.5">
      <c r="D95" s="1175" t="s">
        <v>1129</v>
      </c>
      <c r="E95" s="1210">
        <f t="shared" ref="E95:P95" si="17">E94/E$67</f>
        <v>6.84045999123018E-2</v>
      </c>
      <c r="F95" s="1210">
        <f t="shared" si="17"/>
        <v>7.6030942825568548E-2</v>
      </c>
      <c r="G95" s="1210">
        <f t="shared" si="17"/>
        <v>7.7707773321235657E-2</v>
      </c>
      <c r="H95" s="1210">
        <f t="shared" si="17"/>
        <v>0.10283940347657557</v>
      </c>
      <c r="I95" s="1210">
        <f t="shared" si="17"/>
        <v>0.10397918488977183</v>
      </c>
      <c r="J95" s="1210">
        <f t="shared" si="17"/>
        <v>0.10145834979726567</v>
      </c>
      <c r="K95" s="1246">
        <f t="shared" si="17"/>
        <v>0.11271376377616568</v>
      </c>
      <c r="L95" s="1210">
        <f t="shared" si="17"/>
        <v>0.11004573161014526</v>
      </c>
      <c r="M95" s="1210">
        <f t="shared" si="17"/>
        <v>0.1069050501763369</v>
      </c>
      <c r="N95" s="1210">
        <f t="shared" si="17"/>
        <v>0.10644373871848721</v>
      </c>
      <c r="O95" s="1210">
        <f t="shared" si="17"/>
        <v>0.10570034584027992</v>
      </c>
      <c r="P95" s="1210">
        <f t="shared" si="17"/>
        <v>0.11050293743821737</v>
      </c>
      <c r="Q95" s="1245"/>
      <c r="R95" s="1245"/>
      <c r="S95" s="1245"/>
      <c r="T95" s="1245"/>
      <c r="Y95" s="1173"/>
    </row>
    <row r="96" spans="4:27" s="1197" customFormat="1" x14ac:dyDescent="0.5">
      <c r="D96" s="1197" t="str">
        <f>[1]Model!D69</f>
        <v>Other</v>
      </c>
      <c r="E96" s="1225">
        <f>[1]Model!E69</f>
        <v>2</v>
      </c>
      <c r="F96" s="1225">
        <f>[1]Model!F69</f>
        <v>-1074</v>
      </c>
      <c r="G96" s="1225">
        <f>[1]Model!G69</f>
        <v>482</v>
      </c>
      <c r="H96" s="1225">
        <f>[1]Model!H69</f>
        <v>914</v>
      </c>
      <c r="I96" s="1225">
        <f>[1]Model!I69</f>
        <v>2974</v>
      </c>
      <c r="J96" s="1225">
        <f>[1]Model!J69</f>
        <v>-4268</v>
      </c>
      <c r="K96" s="1253">
        <f>[1]Model!K69</f>
        <v>-1000</v>
      </c>
      <c r="L96" s="1225">
        <f>[1]Model!L69</f>
        <v>-1000</v>
      </c>
      <c r="M96" s="1225">
        <f>[1]Model!M69</f>
        <v>-1000</v>
      </c>
      <c r="N96" s="1225">
        <f>[1]Model!N69</f>
        <v>-1000</v>
      </c>
      <c r="O96" s="1225">
        <f>[1]Model!O69</f>
        <v>-1000</v>
      </c>
      <c r="P96" s="1225">
        <f>[1]Model!P69</f>
        <v>-1000</v>
      </c>
      <c r="Q96" s="1252">
        <f>[1]Model!Q69</f>
        <v>-1000</v>
      </c>
      <c r="R96" s="1252">
        <f>[1]Model!R69</f>
        <v>-1000</v>
      </c>
      <c r="S96" s="1252">
        <f>[1]Model!S69</f>
        <v>-1000</v>
      </c>
      <c r="T96" s="1252">
        <f>[1]Model!T69</f>
        <v>-1000</v>
      </c>
      <c r="Y96" s="1198"/>
    </row>
    <row r="97" spans="4:27" s="1172" customFormat="1" x14ac:dyDescent="0.5">
      <c r="D97" s="1175" t="s">
        <v>1129</v>
      </c>
      <c r="E97" s="1210">
        <f t="shared" ref="E97:P97" si="18">E96/E$67</f>
        <v>2.8289743553474688E-5</v>
      </c>
      <c r="F97" s="1210">
        <f t="shared" si="18"/>
        <v>-1.2493456639329961E-2</v>
      </c>
      <c r="G97" s="1210">
        <f t="shared" si="18"/>
        <v>4.0872050131859003E-3</v>
      </c>
      <c r="H97" s="1210">
        <f t="shared" si="18"/>
        <v>7.838160004802374E-3</v>
      </c>
      <c r="I97" s="1210">
        <f t="shared" si="18"/>
        <v>2.2045633126269441E-2</v>
      </c>
      <c r="J97" s="1210">
        <f t="shared" si="18"/>
        <v>-2.59451310326381E-2</v>
      </c>
      <c r="K97" s="1246">
        <f t="shared" si="18"/>
        <v>-5.6166311683524834E-3</v>
      </c>
      <c r="L97" s="1210">
        <f t="shared" si="18"/>
        <v>-5.0932306413413765E-3</v>
      </c>
      <c r="M97" s="1210">
        <f t="shared" si="18"/>
        <v>-4.6410029222863124E-3</v>
      </c>
      <c r="N97" s="1210">
        <f t="shared" si="18"/>
        <v>-4.3284997967498315E-3</v>
      </c>
      <c r="O97" s="1210">
        <f t="shared" si="18"/>
        <v>-4.0367122310858332E-3</v>
      </c>
      <c r="P97" s="1210">
        <f t="shared" si="18"/>
        <v>-3.7460693530407966E-3</v>
      </c>
      <c r="Q97" s="1245"/>
      <c r="R97" s="1245"/>
      <c r="S97" s="1245"/>
      <c r="T97" s="1245"/>
      <c r="Y97" s="1173"/>
    </row>
    <row r="98" spans="4:27" s="1197" customFormat="1" x14ac:dyDescent="0.5">
      <c r="D98" s="1197" t="str">
        <f>[1]Model!D70</f>
        <v>NWC</v>
      </c>
      <c r="E98" s="1225">
        <f>[1]Model!E70</f>
        <v>7250</v>
      </c>
      <c r="F98" s="1225">
        <f>[1]Model!F70</f>
        <v>-2723</v>
      </c>
      <c r="G98" s="1225">
        <f>[1]Model!G70</f>
        <v>700</v>
      </c>
      <c r="H98" s="1225">
        <f>[1]Model!H70</f>
        <v>5683</v>
      </c>
      <c r="I98" s="1225">
        <f>[1]Model!I70</f>
        <v>3836</v>
      </c>
      <c r="J98" s="1225">
        <f>[1]Model!J70</f>
        <v>1048</v>
      </c>
      <c r="K98" s="1253">
        <f>[1]Model!K70</f>
        <v>1000</v>
      </c>
      <c r="L98" s="1225">
        <f>[1]Model!L70</f>
        <v>1000</v>
      </c>
      <c r="M98" s="1225">
        <f>[1]Model!M70</f>
        <v>1000</v>
      </c>
      <c r="N98" s="1225">
        <f>[1]Model!N70</f>
        <v>1000</v>
      </c>
      <c r="O98" s="1225">
        <f>[1]Model!O70</f>
        <v>1000</v>
      </c>
      <c r="P98" s="1225">
        <f>[1]Model!P70</f>
        <v>1000</v>
      </c>
      <c r="Q98" s="1252">
        <f>[1]Model!Q70</f>
        <v>1000</v>
      </c>
      <c r="R98" s="1252">
        <f>[1]Model!R70</f>
        <v>1000</v>
      </c>
      <c r="S98" s="1252">
        <f>[1]Model!S70</f>
        <v>1000</v>
      </c>
      <c r="T98" s="1252">
        <f>[1]Model!T70</f>
        <v>1000</v>
      </c>
      <c r="X98" s="1256"/>
      <c r="Y98" s="1257"/>
    </row>
    <row r="99" spans="4:27" s="1172" customFormat="1" x14ac:dyDescent="0.5">
      <c r="D99" s="1175" t="s">
        <v>1129</v>
      </c>
      <c r="E99" s="1210">
        <f t="shared" ref="E99:P99" si="19">E98/E$67</f>
        <v>0.10255032038134575</v>
      </c>
      <c r="F99" s="1210">
        <f t="shared" si="19"/>
        <v>-3.167568196358983E-2</v>
      </c>
      <c r="G99" s="1210">
        <f t="shared" si="19"/>
        <v>5.9357749154152076E-3</v>
      </c>
      <c r="H99" s="1210">
        <f t="shared" si="19"/>
        <v>4.8735517841676027E-2</v>
      </c>
      <c r="I99" s="1210">
        <f t="shared" si="19"/>
        <v>2.8435456850157893E-2</v>
      </c>
      <c r="J99" s="1210">
        <f t="shared" si="19"/>
        <v>6.3707819405353161E-3</v>
      </c>
      <c r="K99" s="1246">
        <f t="shared" si="19"/>
        <v>5.6166311683524834E-3</v>
      </c>
      <c r="L99" s="1210">
        <f t="shared" si="19"/>
        <v>5.0932306413413765E-3</v>
      </c>
      <c r="M99" s="1210">
        <f t="shared" si="19"/>
        <v>4.6410029222863124E-3</v>
      </c>
      <c r="N99" s="1210">
        <f t="shared" si="19"/>
        <v>4.3284997967498315E-3</v>
      </c>
      <c r="O99" s="1210">
        <f t="shared" si="19"/>
        <v>4.0367122310858332E-3</v>
      </c>
      <c r="P99" s="1210">
        <f t="shared" si="19"/>
        <v>3.7460693530407966E-3</v>
      </c>
      <c r="Q99" s="1245"/>
      <c r="R99" s="1245"/>
      <c r="S99" s="1245"/>
      <c r="T99" s="1245"/>
      <c r="Y99" s="1173"/>
    </row>
    <row r="100" spans="4:27" ht="12.9" customHeight="1" x14ac:dyDescent="0.5">
      <c r="D100" s="1538" t="s">
        <v>126</v>
      </c>
      <c r="E100" s="1376">
        <f t="shared" ref="E100:T100" si="20">SUM(E90:E98)</f>
        <v>36314.149638598523</v>
      </c>
      <c r="F100" s="1376">
        <f t="shared" si="20"/>
        <v>38747.143360670038</v>
      </c>
      <c r="G100" s="1376">
        <f t="shared" si="20"/>
        <v>57683.149352576555</v>
      </c>
      <c r="H100" s="1376">
        <f t="shared" si="20"/>
        <v>50475.18516581053</v>
      </c>
      <c r="I100" s="1376">
        <f t="shared" si="20"/>
        <v>71113.20888496835</v>
      </c>
      <c r="J100" s="1376">
        <f t="shared" si="20"/>
        <v>91328.169725412023</v>
      </c>
      <c r="K100" s="1376">
        <f t="shared" si="20"/>
        <v>96588.874558849915</v>
      </c>
      <c r="L100" s="1376">
        <f t="shared" si="20"/>
        <v>106221.84783743709</v>
      </c>
      <c r="M100" s="1376">
        <f t="shared" si="20"/>
        <v>116717.93451690466</v>
      </c>
      <c r="N100" s="1376">
        <f t="shared" si="20"/>
        <v>126629.93219965171</v>
      </c>
      <c r="O100" s="1376">
        <f t="shared" si="20"/>
        <v>137748.55814080453</v>
      </c>
      <c r="P100" s="1539">
        <f t="shared" si="20"/>
        <v>152889.52990182626</v>
      </c>
      <c r="Q100" s="1249">
        <f t="shared" si="20"/>
        <v>169231.48334450417</v>
      </c>
      <c r="R100" s="1249">
        <f t="shared" si="20"/>
        <v>187493.81351879844</v>
      </c>
      <c r="S100" s="1249">
        <f t="shared" si="20"/>
        <v>207852.1250516875</v>
      </c>
      <c r="T100" s="1249">
        <f t="shared" si="20"/>
        <v>230497.94878784384</v>
      </c>
      <c r="U100" s="1180"/>
      <c r="V100" s="1180"/>
      <c r="W100" s="1540">
        <f>(J100/E100)^(1/5)-1</f>
        <v>0.20255728912685322</v>
      </c>
      <c r="X100" s="1541">
        <f>(J100/G100)^(1/3)-1</f>
        <v>0.16551695809994005</v>
      </c>
      <c r="Y100" s="1541">
        <f>(M100/J100)^(1/3)-1</f>
        <v>8.5202901948140619E-2</v>
      </c>
      <c r="Z100" s="1542">
        <f>(O100/J100)^(1/5)-1</f>
        <v>8.5666560784277479E-2</v>
      </c>
      <c r="AA100" s="1248">
        <f>(T100/J100)^(1/10)-1</f>
        <v>9.6998998464626673E-2</v>
      </c>
    </row>
    <row r="101" spans="4:27" s="1172" customFormat="1" x14ac:dyDescent="0.5">
      <c r="D101" s="1175" t="s">
        <v>1558</v>
      </c>
      <c r="E101" s="1210">
        <f t="shared" ref="E101:P101" si="21">E100/E$67</f>
        <v>0.5136589903192289</v>
      </c>
      <c r="F101" s="1210">
        <f t="shared" si="21"/>
        <v>0.45073161589798216</v>
      </c>
      <c r="G101" s="1210">
        <f t="shared" si="21"/>
        <v>0.48913455852738985</v>
      </c>
      <c r="H101" s="1210">
        <f t="shared" si="21"/>
        <v>0.43285840000180542</v>
      </c>
      <c r="I101" s="1210">
        <f t="shared" si="21"/>
        <v>0.52714718006381189</v>
      </c>
      <c r="J101" s="1210">
        <f t="shared" si="21"/>
        <v>0.55518306712671672</v>
      </c>
      <c r="K101" s="1246">
        <f t="shared" si="21"/>
        <v>0.54250408336332467</v>
      </c>
      <c r="L101" s="1210">
        <f t="shared" si="21"/>
        <v>0.54101237018553583</v>
      </c>
      <c r="M101" s="1210">
        <f t="shared" si="21"/>
        <v>0.5416882751761769</v>
      </c>
      <c r="N101" s="1210">
        <f t="shared" si="21"/>
        <v>0.54811763578863737</v>
      </c>
      <c r="O101" s="1210">
        <f t="shared" si="21"/>
        <v>0.55605128946142368</v>
      </c>
      <c r="P101" s="1210">
        <f t="shared" si="21"/>
        <v>0.5727347823660458</v>
      </c>
      <c r="Q101" s="1245"/>
      <c r="R101" s="1245"/>
      <c r="S101" s="1245"/>
      <c r="T101" s="1245"/>
      <c r="W101" s="1174"/>
      <c r="X101" s="1174"/>
      <c r="Y101" s="1244"/>
      <c r="Z101" s="1174"/>
      <c r="AA101" s="1174"/>
    </row>
    <row r="102" spans="4:27" s="1197" customFormat="1" x14ac:dyDescent="0.5">
      <c r="D102" s="1197" t="s">
        <v>1561</v>
      </c>
      <c r="E102" s="1225">
        <f>[1]Model!E73+[1]Model!E78</f>
        <v>15654</v>
      </c>
      <c r="F102" s="1225">
        <f>[1]Model!F73+[1]Model!F78</f>
        <v>15719</v>
      </c>
      <c r="G102" s="1225">
        <f>[1]Model!G73+[1]Model!G78</f>
        <v>19244</v>
      </c>
      <c r="H102" s="1225">
        <f>[1]Model!H73+[1]Model!H78</f>
        <v>32281</v>
      </c>
      <c r="I102" s="1225">
        <f>[1]Model!I73+[1]Model!I78</f>
        <v>28324</v>
      </c>
      <c r="J102" s="1225">
        <f>[1]Model!J73+[1]Model!J78</f>
        <v>39225</v>
      </c>
      <c r="K102" s="1253">
        <f>[1]Model!K73+[1]Model!K78</f>
        <v>64500</v>
      </c>
      <c r="L102" s="1225">
        <f>[1]Model!L73+[1]Model!L78</f>
        <v>64500</v>
      </c>
      <c r="M102" s="1225">
        <f>[1]Model!M73+[1]Model!M78</f>
        <v>64500</v>
      </c>
      <c r="N102" s="1225">
        <f>[1]Model!N73+[1]Model!N78</f>
        <v>62000</v>
      </c>
      <c r="O102" s="1225">
        <f>[1]Model!O73+[1]Model!O78</f>
        <v>62000</v>
      </c>
      <c r="P102" s="1225">
        <f>[1]Model!P73+[1]Model!P78</f>
        <v>62000</v>
      </c>
      <c r="Q102" s="1252">
        <f>[1]Model!Q73+[1]Model!Q78</f>
        <v>62000</v>
      </c>
      <c r="R102" s="1252">
        <f>[1]Model!R73+[1]Model!R78</f>
        <v>62000</v>
      </c>
      <c r="S102" s="1252">
        <f>[1]Model!S73+[1]Model!S78</f>
        <v>62000</v>
      </c>
      <c r="T102" s="1252">
        <f>[1]Model!T73+[1]Model!T78</f>
        <v>62000</v>
      </c>
      <c r="X102" s="1256"/>
      <c r="Y102" s="1257"/>
    </row>
    <row r="103" spans="4:27" s="1172" customFormat="1" x14ac:dyDescent="0.5">
      <c r="D103" s="1175" t="s">
        <v>1154</v>
      </c>
      <c r="E103" s="1210">
        <v>0</v>
      </c>
      <c r="F103" s="1210">
        <f t="shared" ref="F103:O103" si="22">F102/E102-1</f>
        <v>4.1522933435542697E-3</v>
      </c>
      <c r="G103" s="1210">
        <f t="shared" si="22"/>
        <v>0.22425090654621793</v>
      </c>
      <c r="H103" s="1210">
        <f t="shared" si="22"/>
        <v>0.67745790895863656</v>
      </c>
      <c r="I103" s="1210">
        <f t="shared" si="22"/>
        <v>-0.12257984572968617</v>
      </c>
      <c r="J103" s="1210">
        <f t="shared" si="22"/>
        <v>0.38486795650331884</v>
      </c>
      <c r="K103" s="1246">
        <f t="shared" si="22"/>
        <v>0.6443594646271511</v>
      </c>
      <c r="L103" s="1210">
        <f t="shared" si="22"/>
        <v>0</v>
      </c>
      <c r="M103" s="1210">
        <f t="shared" si="22"/>
        <v>0</v>
      </c>
      <c r="N103" s="1210">
        <f t="shared" si="22"/>
        <v>-3.8759689922480578E-2</v>
      </c>
      <c r="O103" s="1210">
        <f t="shared" si="22"/>
        <v>0</v>
      </c>
      <c r="P103" s="1213"/>
      <c r="Q103" s="1245"/>
      <c r="R103" s="1245"/>
      <c r="S103" s="1245"/>
      <c r="T103" s="1245"/>
      <c r="Y103" s="1173"/>
    </row>
    <row r="104" spans="4:27" ht="12.9" customHeight="1" x14ac:dyDescent="0.5">
      <c r="D104" s="1538" t="s">
        <v>1179</v>
      </c>
      <c r="E104" s="1376">
        <f t="shared" ref="E104:T104" si="23">E100-E102</f>
        <v>20660.149638598523</v>
      </c>
      <c r="F104" s="1376">
        <f t="shared" si="23"/>
        <v>23028.143360670038</v>
      </c>
      <c r="G104" s="1376">
        <f t="shared" si="23"/>
        <v>38439.149352576555</v>
      </c>
      <c r="H104" s="1376">
        <f t="shared" si="23"/>
        <v>18194.18516581053</v>
      </c>
      <c r="I104" s="1376">
        <f t="shared" si="23"/>
        <v>42789.20888496835</v>
      </c>
      <c r="J104" s="1376">
        <f t="shared" si="23"/>
        <v>52103.169725412023</v>
      </c>
      <c r="K104" s="1376">
        <f t="shared" si="23"/>
        <v>32088.874558849915</v>
      </c>
      <c r="L104" s="1376">
        <f t="shared" si="23"/>
        <v>41721.84783743709</v>
      </c>
      <c r="M104" s="1376">
        <f t="shared" si="23"/>
        <v>52217.934516904657</v>
      </c>
      <c r="N104" s="1376">
        <f t="shared" si="23"/>
        <v>64629.93219965171</v>
      </c>
      <c r="O104" s="1376">
        <f t="shared" si="23"/>
        <v>75748.558140804525</v>
      </c>
      <c r="P104" s="1539">
        <f t="shared" si="23"/>
        <v>90889.529901826259</v>
      </c>
      <c r="Q104" s="1249">
        <f t="shared" si="23"/>
        <v>107231.48334450417</v>
      </c>
      <c r="R104" s="1249">
        <f t="shared" si="23"/>
        <v>125493.81351879844</v>
      </c>
      <c r="S104" s="1249">
        <f t="shared" si="23"/>
        <v>145852.1250516875</v>
      </c>
      <c r="T104" s="1249">
        <f t="shared" si="23"/>
        <v>168497.94878784384</v>
      </c>
      <c r="U104" s="1180"/>
      <c r="V104" s="1180"/>
      <c r="W104" s="1540">
        <f>(J104/E104)^(1/5)-1</f>
        <v>0.20322303151911902</v>
      </c>
      <c r="X104" s="1541">
        <f>(J104/G104)^(1/3)-1</f>
        <v>0.10670054917063498</v>
      </c>
      <c r="Y104" s="1541">
        <f>(M104/J104)^(1/3)-1</f>
        <v>7.336766203245304E-4</v>
      </c>
      <c r="Z104" s="1542">
        <f>(O104/J104)^(1/5)-1</f>
        <v>7.7710328832388154E-2</v>
      </c>
      <c r="AA104" s="1248">
        <f>(T104/J104)^(1/10)-1</f>
        <v>0.12453518233341865</v>
      </c>
    </row>
    <row r="105" spans="4:27" s="1172" customFormat="1" x14ac:dyDescent="0.5">
      <c r="D105" s="1175" t="s">
        <v>1557</v>
      </c>
      <c r="E105" s="1210">
        <f t="shared" ref="E105:P105" si="24">E104/E$67</f>
        <v>0.2922351675261825</v>
      </c>
      <c r="F105" s="1210">
        <f t="shared" si="24"/>
        <v>0.2678781290137851</v>
      </c>
      <c r="G105" s="1210">
        <f t="shared" si="24"/>
        <v>0.32595162642417519</v>
      </c>
      <c r="H105" s="1210">
        <f t="shared" si="24"/>
        <v>0.15602728061993953</v>
      </c>
      <c r="I105" s="1210">
        <f t="shared" si="24"/>
        <v>0.31718735737771381</v>
      </c>
      <c r="J105" s="1210">
        <f t="shared" si="24"/>
        <v>0.31673466863673788</v>
      </c>
      <c r="K105" s="1246">
        <f t="shared" si="24"/>
        <v>0.18023137300458947</v>
      </c>
      <c r="L105" s="1210">
        <f t="shared" si="24"/>
        <v>0.21249899381901705</v>
      </c>
      <c r="M105" s="1210">
        <f t="shared" si="24"/>
        <v>0.24234358668870978</v>
      </c>
      <c r="N105" s="1210">
        <f t="shared" si="24"/>
        <v>0.27975064839014785</v>
      </c>
      <c r="O105" s="1210">
        <f t="shared" si="24"/>
        <v>0.30577513113410199</v>
      </c>
      <c r="P105" s="1210">
        <f t="shared" si="24"/>
        <v>0.34047848247751644</v>
      </c>
      <c r="Q105" s="1245"/>
      <c r="R105" s="1245"/>
      <c r="S105" s="1245"/>
      <c r="T105" s="1245"/>
      <c r="W105" s="1174"/>
      <c r="X105" s="1174"/>
      <c r="Y105" s="1244"/>
      <c r="Z105" s="1174"/>
      <c r="AA105" s="1174"/>
    </row>
    <row r="106" spans="4:27" ht="12.9" customHeight="1" x14ac:dyDescent="0.5">
      <c r="E106" s="1192"/>
      <c r="F106" s="1192"/>
      <c r="G106" s="1192"/>
      <c r="H106" s="1192"/>
      <c r="I106" s="1192"/>
      <c r="J106" s="1192"/>
      <c r="K106" s="1247"/>
      <c r="L106" s="1192"/>
      <c r="M106" s="1192"/>
      <c r="N106" s="1192"/>
      <c r="O106" s="1192"/>
      <c r="P106" s="1192"/>
      <c r="X106" s="1256"/>
      <c r="Y106" s="1257"/>
    </row>
    <row r="107" spans="4:27" s="1197" customFormat="1" hidden="1" x14ac:dyDescent="0.5">
      <c r="D107" s="1197" t="s">
        <v>73</v>
      </c>
      <c r="E107" s="1199">
        <f t="shared" ref="E107:P107" si="25">E83+E92</f>
        <v>29727</v>
      </c>
      <c r="F107" s="1199">
        <f t="shared" si="25"/>
        <v>39533</v>
      </c>
      <c r="G107" s="1199">
        <f t="shared" si="25"/>
        <v>54720</v>
      </c>
      <c r="H107" s="1199">
        <f t="shared" si="25"/>
        <v>37630</v>
      </c>
      <c r="I107" s="1199">
        <f t="shared" si="25"/>
        <v>57929</v>
      </c>
      <c r="J107" s="1199">
        <f t="shared" si="25"/>
        <v>84878</v>
      </c>
      <c r="K107" s="1260">
        <f t="shared" si="25"/>
        <v>84358.828141590231</v>
      </c>
      <c r="L107" s="1199">
        <f t="shared" si="25"/>
        <v>92508.523787946557</v>
      </c>
      <c r="M107" s="1199">
        <f t="shared" si="25"/>
        <v>101518.30790843457</v>
      </c>
      <c r="N107" s="1199">
        <f t="shared" si="25"/>
        <v>109474.50219018091</v>
      </c>
      <c r="O107" s="1199">
        <f t="shared" si="25"/>
        <v>118470.9814289684</v>
      </c>
      <c r="P107" s="1199">
        <f t="shared" si="25"/>
        <v>129761.29008805611</v>
      </c>
    </row>
    <row r="108" spans="4:27" s="1172" customFormat="1" hidden="1" x14ac:dyDescent="0.5">
      <c r="D108" s="1175" t="s">
        <v>1178</v>
      </c>
      <c r="E108" s="1210">
        <f t="shared" ref="E108:P108" si="26">E107/E$67</f>
        <v>0.42048460330707105</v>
      </c>
      <c r="F108" s="1210">
        <f t="shared" si="26"/>
        <v>0.45987320421101613</v>
      </c>
      <c r="G108" s="1210">
        <f t="shared" si="26"/>
        <v>0.46400800481645738</v>
      </c>
      <c r="H108" s="1210">
        <f t="shared" si="26"/>
        <v>0.32270236431150257</v>
      </c>
      <c r="I108" s="1210">
        <f t="shared" si="26"/>
        <v>0.42941542749551526</v>
      </c>
      <c r="J108" s="1210">
        <f t="shared" si="26"/>
        <v>0.51597254727934783</v>
      </c>
      <c r="K108" s="1246">
        <f t="shared" si="26"/>
        <v>0.47381242346574626</v>
      </c>
      <c r="L108" s="1210">
        <f t="shared" si="26"/>
        <v>0.47116724794202702</v>
      </c>
      <c r="M108" s="1210">
        <f t="shared" si="26"/>
        <v>0.47114676366860642</v>
      </c>
      <c r="N108" s="1210">
        <f t="shared" si="26"/>
        <v>0.4738603604794871</v>
      </c>
      <c r="O108" s="1210">
        <f t="shared" si="26"/>
        <v>0.47823325976305936</v>
      </c>
      <c r="P108" s="1210">
        <f t="shared" si="26"/>
        <v>0.48609479200990346</v>
      </c>
      <c r="Q108" s="1245"/>
      <c r="R108" s="1245"/>
      <c r="S108" s="1245"/>
      <c r="T108" s="1245"/>
      <c r="W108" s="1174"/>
      <c r="X108" s="1174"/>
      <c r="Y108" s="1244"/>
      <c r="Z108" s="1174"/>
      <c r="AA108" s="1174"/>
    </row>
    <row r="109" spans="4:27" hidden="1" x14ac:dyDescent="0.5"/>
    <row r="110" spans="4:27" x14ac:dyDescent="0.5">
      <c r="D110" s="1207" t="s">
        <v>1562</v>
      </c>
      <c r="E110" s="1205"/>
      <c r="F110" s="1205"/>
      <c r="G110" s="1205"/>
      <c r="H110" s="1205"/>
      <c r="I110" s="1205"/>
      <c r="J110" s="1205"/>
      <c r="K110" s="1206"/>
      <c r="L110" s="1205"/>
      <c r="M110" s="1205"/>
      <c r="N110" s="1205"/>
      <c r="O110" s="1205"/>
      <c r="P110" s="1205"/>
      <c r="W110" s="1264"/>
      <c r="X110" s="1205"/>
      <c r="Y110" s="1206"/>
      <c r="Z110" s="1264"/>
    </row>
    <row r="111" spans="4:27" x14ac:dyDescent="0.5">
      <c r="W111" s="1192"/>
      <c r="Y111" s="1179"/>
      <c r="Z111" s="1192"/>
    </row>
    <row r="112" spans="4:27" x14ac:dyDescent="0.5">
      <c r="D112" s="1207" t="s">
        <v>119</v>
      </c>
      <c r="E112" s="1205"/>
      <c r="F112" s="1205"/>
      <c r="G112" s="1205"/>
      <c r="H112" s="1205"/>
      <c r="I112" s="1205"/>
      <c r="J112" s="1205"/>
      <c r="K112" s="1206"/>
      <c r="L112" s="1205"/>
      <c r="M112" s="1205"/>
      <c r="N112" s="1205"/>
      <c r="O112" s="1205"/>
      <c r="P112" s="1205"/>
      <c r="W112" s="1264"/>
      <c r="X112" s="1205"/>
      <c r="Y112" s="1206"/>
      <c r="Z112" s="1264"/>
    </row>
    <row r="113" spans="4:16" ht="12.9" customHeight="1" x14ac:dyDescent="0.5">
      <c r="K113" s="1179"/>
    </row>
    <row r="114" spans="4:16" x14ac:dyDescent="0.5">
      <c r="D114" s="1243" t="e" vm="1">
        <v>#VALUE!</v>
      </c>
      <c r="E114" s="1197"/>
      <c r="K114" s="1179"/>
    </row>
    <row r="115" spans="4:16" x14ac:dyDescent="0.5">
      <c r="D115" s="1171" t="s">
        <v>1177</v>
      </c>
      <c r="E115" s="1208">
        <f>[1]Historicals!AX464</f>
        <v>2599</v>
      </c>
      <c r="K115" s="1179"/>
    </row>
    <row r="116" spans="4:16" x14ac:dyDescent="0.5">
      <c r="D116" s="1201" t="s">
        <v>1176</v>
      </c>
      <c r="E116" s="1242" cm="1">
        <f t="array" aca="1" ref="E116" ca="1">_FV(D114,"Price")</f>
        <v>597.02</v>
      </c>
      <c r="K116" s="1179"/>
    </row>
    <row r="117" spans="4:16" x14ac:dyDescent="0.5">
      <c r="D117" s="1241" t="s">
        <v>1175</v>
      </c>
      <c r="E117" s="1241">
        <f ca="1">E115*E116</f>
        <v>1551654.98</v>
      </c>
      <c r="K117" s="1179"/>
    </row>
    <row r="118" spans="4:16" x14ac:dyDescent="0.5">
      <c r="D118" s="1171" t="s">
        <v>115</v>
      </c>
      <c r="E118" s="1208">
        <f>[1]Historicals!AX983</f>
        <v>28826</v>
      </c>
      <c r="K118" s="1179"/>
    </row>
    <row r="119" spans="4:16" x14ac:dyDescent="0.5">
      <c r="D119" s="1201" t="s">
        <v>114</v>
      </c>
      <c r="E119" s="1242">
        <f>-([1]Historicals!AX946+[1]Historicals!AX947)</f>
        <v>-77815</v>
      </c>
      <c r="K119" s="1179"/>
    </row>
    <row r="120" spans="4:16" s="1197" customFormat="1" x14ac:dyDescent="0.5">
      <c r="D120" s="1197" t="s">
        <v>1174</v>
      </c>
      <c r="E120" s="1241">
        <f ca="1">SUM(E117:E119)</f>
        <v>1502665.98</v>
      </c>
      <c r="K120" s="1198"/>
    </row>
    <row r="121" spans="4:16" x14ac:dyDescent="0.5">
      <c r="D121" s="1240" t="s">
        <v>1173</v>
      </c>
      <c r="E121" s="1230">
        <f ca="1">E117+E119</f>
        <v>1473839.98</v>
      </c>
      <c r="K121" s="1179"/>
    </row>
    <row r="122" spans="4:16" x14ac:dyDescent="0.5">
      <c r="K122" s="1179"/>
    </row>
    <row r="123" spans="4:16" s="1197" customFormat="1" x14ac:dyDescent="0.5">
      <c r="D123" s="1239" t="s">
        <v>1172</v>
      </c>
      <c r="E123" s="1238"/>
      <c r="F123" s="1238"/>
      <c r="G123" s="1238"/>
      <c r="H123" s="1238"/>
      <c r="I123" s="1238"/>
      <c r="J123" s="1237">
        <f ca="1">$E$121/J90</f>
        <v>23.634380692751762</v>
      </c>
      <c r="K123" s="1237">
        <f ca="1">$E$121/K90</f>
        <v>25.100933151416321</v>
      </c>
      <c r="L123" s="1237">
        <f ca="1">$E$121/L90</f>
        <v>22.680928370394799</v>
      </c>
      <c r="M123" s="1237">
        <f ca="1">$E$121/M90</f>
        <v>20.43147422740396</v>
      </c>
      <c r="N123" s="1237">
        <f ca="1">$E$121/N90</f>
        <v>18.671406985913592</v>
      </c>
      <c r="O123" s="1237">
        <f ca="1">$E$121/O90</f>
        <v>16.981491861723374</v>
      </c>
      <c r="P123" s="1237">
        <f ca="1">$E$121/P90</f>
        <v>15.241947009772005</v>
      </c>
    </row>
    <row r="124" spans="4:16" s="1172" customFormat="1" x14ac:dyDescent="0.5">
      <c r="D124" s="1175" t="s">
        <v>1166</v>
      </c>
      <c r="E124" s="1236"/>
      <c r="F124" s="1236"/>
      <c r="G124" s="1236"/>
      <c r="H124" s="1236"/>
      <c r="I124" s="1236"/>
      <c r="J124" s="1235">
        <f t="shared" ref="J124:P124" ca="1" si="27">1/J123</f>
        <v>4.2311241957217097E-2</v>
      </c>
      <c r="K124" s="1235">
        <f t="shared" ca="1" si="27"/>
        <v>3.9839156336049404E-2</v>
      </c>
      <c r="L124" s="1235">
        <f t="shared" ca="1" si="27"/>
        <v>4.408990600690272E-2</v>
      </c>
      <c r="M124" s="1235">
        <f t="shared" ca="1" si="27"/>
        <v>4.8944094237641352E-2</v>
      </c>
      <c r="N124" s="1235">
        <f t="shared" ca="1" si="27"/>
        <v>5.355782779275485E-2</v>
      </c>
      <c r="O124" s="1235">
        <f t="shared" ca="1" si="27"/>
        <v>5.8887641212137562E-2</v>
      </c>
      <c r="P124" s="1235">
        <f t="shared" ca="1" si="27"/>
        <v>6.5608415995599134E-2</v>
      </c>
    </row>
    <row r="125" spans="4:16" x14ac:dyDescent="0.5">
      <c r="K125" s="1179"/>
    </row>
    <row r="126" spans="4:16" s="1197" customFormat="1" x14ac:dyDescent="0.5">
      <c r="D126" s="1239" t="s">
        <v>1171</v>
      </c>
      <c r="E126" s="1238"/>
      <c r="F126" s="1238"/>
      <c r="G126" s="1238"/>
      <c r="H126" s="1238"/>
      <c r="I126" s="1238"/>
      <c r="J126" s="1237">
        <f ca="1">$E$121/J100</f>
        <v>16.137846454508598</v>
      </c>
      <c r="K126" s="1237">
        <f ca="1">$E$121/K100</f>
        <v>15.258900020643837</v>
      </c>
      <c r="L126" s="1237">
        <f ca="1">$E$121/L100</f>
        <v>13.875111476648179</v>
      </c>
      <c r="M126" s="1237">
        <f ca="1">$E$121/M100</f>
        <v>12.627365161148724</v>
      </c>
      <c r="N126" s="1237">
        <f ca="1">$E$121/N100</f>
        <v>11.638954190358902</v>
      </c>
      <c r="O126" s="1237">
        <f ca="1">$E$121/O100</f>
        <v>10.699494788856249</v>
      </c>
      <c r="P126" s="1237">
        <f ca="1">$E$121/P100</f>
        <v>9.6399013127084974</v>
      </c>
    </row>
    <row r="127" spans="4:16" s="1172" customFormat="1" x14ac:dyDescent="0.5">
      <c r="D127" s="1175" t="s">
        <v>1170</v>
      </c>
      <c r="E127" s="1236"/>
      <c r="F127" s="1236"/>
      <c r="G127" s="1236"/>
      <c r="H127" s="1236"/>
      <c r="I127" s="1236"/>
      <c r="J127" s="1235">
        <f t="shared" ref="J127:P127" ca="1" si="28">1/J126</f>
        <v>6.1966136734472377E-2</v>
      </c>
      <c r="K127" s="1235">
        <f t="shared" ca="1" si="28"/>
        <v>6.5535523441866403E-2</v>
      </c>
      <c r="L127" s="1235">
        <f t="shared" ca="1" si="28"/>
        <v>7.2071493024254293E-2</v>
      </c>
      <c r="M127" s="1235">
        <f t="shared" ca="1" si="28"/>
        <v>7.9193084799412658E-2</v>
      </c>
      <c r="N127" s="1235">
        <f t="shared" ca="1" si="28"/>
        <v>8.5918372359292158E-2</v>
      </c>
      <c r="O127" s="1235">
        <f t="shared" ca="1" si="28"/>
        <v>9.346235684338304E-2</v>
      </c>
      <c r="P127" s="1235">
        <f t="shared" ca="1" si="28"/>
        <v>0.10373550180245908</v>
      </c>
    </row>
    <row r="129" spans="4:16" s="1197" customFormat="1" x14ac:dyDescent="0.5">
      <c r="D129" s="1239" t="s">
        <v>1169</v>
      </c>
      <c r="E129" s="1238"/>
      <c r="F129" s="1238"/>
      <c r="G129" s="1238"/>
      <c r="H129" s="1238"/>
      <c r="I129" s="1238"/>
      <c r="J129" s="1237">
        <f ca="1">$E$121/J104</f>
        <v>28.286954282575465</v>
      </c>
      <c r="K129" s="1237">
        <f ca="1">$E$121/K104</f>
        <v>45.929936785318759</v>
      </c>
      <c r="L129" s="1237">
        <f ca="1">$E$121/L104</f>
        <v>35.325376424903233</v>
      </c>
      <c r="M129" s="1237">
        <f ca="1">$E$121/M104</f>
        <v>28.224785097979503</v>
      </c>
      <c r="N129" s="1237">
        <f ca="1">$E$121/N104</f>
        <v>22.804294076111418</v>
      </c>
      <c r="O129" s="1237">
        <f ca="1">$E$121/O104</f>
        <v>19.457003752604319</v>
      </c>
      <c r="P129" s="1237">
        <f ca="1">$E$121/P104</f>
        <v>16.215728935906686</v>
      </c>
    </row>
    <row r="130" spans="4:16" s="1172" customFormat="1" x14ac:dyDescent="0.5">
      <c r="D130" s="1175" t="s">
        <v>1168</v>
      </c>
      <c r="E130" s="1236"/>
      <c r="F130" s="1236"/>
      <c r="G130" s="1236"/>
      <c r="H130" s="1236"/>
      <c r="I130" s="1236"/>
      <c r="J130" s="1235">
        <f t="shared" ref="J130:P130" ca="1" si="29">1/J129</f>
        <v>3.5351985583544847E-2</v>
      </c>
      <c r="K130" s="1235">
        <f t="shared" ca="1" si="29"/>
        <v>2.1772292103821145E-2</v>
      </c>
      <c r="L130" s="1235">
        <f t="shared" ca="1" si="29"/>
        <v>2.8308261686209032E-2</v>
      </c>
      <c r="M130" s="1235">
        <f t="shared" ca="1" si="29"/>
        <v>3.54298534613674E-2</v>
      </c>
      <c r="N130" s="1235">
        <f t="shared" ca="1" si="29"/>
        <v>4.3851390297915321E-2</v>
      </c>
      <c r="O130" s="1235">
        <f t="shared" ca="1" si="29"/>
        <v>5.1395374782006197E-2</v>
      </c>
      <c r="P130" s="1235">
        <f t="shared" ca="1" si="29"/>
        <v>6.1668519741082242E-2</v>
      </c>
    </row>
    <row r="131" spans="4:16" x14ac:dyDescent="0.5">
      <c r="K131" s="1179"/>
    </row>
    <row r="132" spans="4:16" s="1197" customFormat="1" x14ac:dyDescent="0.5">
      <c r="D132" s="1239" t="s">
        <v>1167</v>
      </c>
      <c r="E132" s="1238"/>
      <c r="F132" s="1238"/>
      <c r="G132" s="1238"/>
      <c r="H132" s="1238"/>
      <c r="I132" s="1238"/>
      <c r="J132" s="1237">
        <f ca="1">$E$120/J107</f>
        <v>17.70383350220316</v>
      </c>
      <c r="K132" s="1237">
        <f ca="1">$E$120/K107</f>
        <v>17.812788692107993</v>
      </c>
      <c r="L132" s="1237">
        <f ca="1">$E$120/L107</f>
        <v>16.24354079462449</v>
      </c>
      <c r="M132" s="1237">
        <f ca="1">$E$120/M107</f>
        <v>14.801921061916676</v>
      </c>
      <c r="N132" s="1237">
        <f ca="1">$E$120/N107</f>
        <v>13.726173217847055</v>
      </c>
      <c r="O132" s="1237">
        <f ca="1">$E$120/O107</f>
        <v>12.683831617457756</v>
      </c>
      <c r="P132" s="1237">
        <f ca="1">$E$120/P107</f>
        <v>11.580233049319174</v>
      </c>
    </row>
    <row r="133" spans="4:16" s="1172" customFormat="1" x14ac:dyDescent="0.5">
      <c r="D133" s="1175" t="s">
        <v>1166</v>
      </c>
      <c r="E133" s="1236"/>
      <c r="F133" s="1236"/>
      <c r="G133" s="1236"/>
      <c r="H133" s="1236"/>
      <c r="I133" s="1236"/>
      <c r="J133" s="1235">
        <f t="shared" ref="J133:P133" ca="1" si="30">1/J132</f>
        <v>5.6484941517076212E-2</v>
      </c>
      <c r="K133" s="1235">
        <f t="shared" ca="1" si="30"/>
        <v>5.613944100976468E-2</v>
      </c>
      <c r="L133" s="1235">
        <f t="shared" ca="1" si="30"/>
        <v>6.1562932161375317E-2</v>
      </c>
      <c r="M133" s="1235">
        <f t="shared" ca="1" si="30"/>
        <v>6.7558798335498729E-2</v>
      </c>
      <c r="N133" s="1235">
        <f t="shared" ca="1" si="30"/>
        <v>7.2853517446492613E-2</v>
      </c>
      <c r="O133" s="1235">
        <f t="shared" ca="1" si="30"/>
        <v>7.8840529436201387E-2</v>
      </c>
      <c r="P133" s="1235">
        <f t="shared" ca="1" si="30"/>
        <v>8.6354047948870263E-2</v>
      </c>
    </row>
    <row r="134" spans="4:16" x14ac:dyDescent="0.5">
      <c r="K134" s="1179"/>
    </row>
    <row r="135" spans="4:16" s="1197" customFormat="1" x14ac:dyDescent="0.5">
      <c r="D135" s="1197" t="s">
        <v>1165</v>
      </c>
      <c r="J135" s="1234">
        <f>AVERAGE(I7:J7)</f>
        <v>45474</v>
      </c>
      <c r="K135" s="1234">
        <f>AVERAGE(J7:K7)</f>
        <v>45839.5</v>
      </c>
      <c r="L135" s="1234">
        <f>AVERAGE(K7:L7)</f>
        <v>46204.5</v>
      </c>
      <c r="M135" s="1234">
        <f>AVERAGE(L7:M7)</f>
        <v>46569.5</v>
      </c>
      <c r="N135" s="1234">
        <f>AVERAGE(M7:N7)</f>
        <v>46935</v>
      </c>
      <c r="O135" s="1234">
        <f>AVERAGE(N7:O7)</f>
        <v>47300.5</v>
      </c>
      <c r="P135" s="1234">
        <f>AVERAGE(O7:P7)</f>
        <v>47665.5</v>
      </c>
    </row>
    <row r="136" spans="4:16" x14ac:dyDescent="0.5">
      <c r="D136" s="1171" t="s">
        <v>1164</v>
      </c>
      <c r="J136" s="1230">
        <f ca="1">-E121</f>
        <v>-1473839.98</v>
      </c>
      <c r="K136" s="1230">
        <f>K104</f>
        <v>32088.874558849915</v>
      </c>
      <c r="L136" s="1230">
        <f>L104</f>
        <v>41721.84783743709</v>
      </c>
      <c r="M136" s="1230">
        <f>M104</f>
        <v>52217.934516904657</v>
      </c>
      <c r="N136" s="1230">
        <f>N104</f>
        <v>64629.93219965171</v>
      </c>
      <c r="O136" s="1230">
        <f>O104</f>
        <v>75748.558140804525</v>
      </c>
      <c r="P136" s="1230">
        <f>P104+E138*P90</f>
        <v>2218208.2733151074</v>
      </c>
    </row>
    <row r="137" spans="4:16" x14ac:dyDescent="0.5">
      <c r="D137" s="1171" t="s">
        <v>1163</v>
      </c>
      <c r="E137" s="1233">
        <v>0.1</v>
      </c>
      <c r="K137" s="1232"/>
    </row>
    <row r="138" spans="4:16" x14ac:dyDescent="0.5">
      <c r="D138" s="1171" t="s">
        <v>1162</v>
      </c>
      <c r="E138" s="1231">
        <v>22</v>
      </c>
      <c r="K138" s="1179"/>
    </row>
    <row r="139" spans="4:16" x14ac:dyDescent="0.5">
      <c r="D139" s="1171" t="s">
        <v>1161</v>
      </c>
      <c r="E139" s="1229">
        <f ca="1">XIRR(J136:P136,J135:P135)</f>
        <v>9.6259838342666659E-2</v>
      </c>
      <c r="F139" s="1228"/>
      <c r="K139" s="1179"/>
    </row>
    <row r="140" spans="4:16" x14ac:dyDescent="0.5">
      <c r="D140" s="1171" t="s">
        <v>1160</v>
      </c>
      <c r="E140" s="1230">
        <f>NPV(E137,K136:P136)</f>
        <v>1446182.4271691095</v>
      </c>
      <c r="F140" s="1228"/>
      <c r="K140" s="1179"/>
    </row>
    <row r="141" spans="4:16" x14ac:dyDescent="0.5">
      <c r="D141" s="1171" t="s">
        <v>1159</v>
      </c>
      <c r="E141" s="1229">
        <f ca="1">E140/E121-1</f>
        <v>-1.8765641593526672E-2</v>
      </c>
      <c r="F141" s="1228"/>
      <c r="K141" s="1179"/>
    </row>
    <row r="142" spans="4:16" x14ac:dyDescent="0.5">
      <c r="K142" s="1179"/>
    </row>
    <row r="143" spans="4:16" x14ac:dyDescent="0.5">
      <c r="D143" s="1207" t="s">
        <v>1158</v>
      </c>
      <c r="E143" s="1205"/>
      <c r="F143" s="1205"/>
      <c r="G143" s="1205"/>
      <c r="H143" s="1205"/>
      <c r="I143" s="1205"/>
      <c r="J143" s="1205"/>
      <c r="K143" s="1206"/>
      <c r="L143" s="1205"/>
      <c r="M143" s="1205"/>
      <c r="N143" s="1205"/>
      <c r="O143" s="1205"/>
      <c r="P143" s="1205"/>
    </row>
    <row r="144" spans="4:16" x14ac:dyDescent="0.5">
      <c r="K144" s="1179"/>
    </row>
    <row r="145" spans="4:26" s="1197" customFormat="1" ht="12.9" customHeight="1" x14ac:dyDescent="0.5">
      <c r="D145" s="1197" t="s">
        <v>1157</v>
      </c>
      <c r="E145" s="1225">
        <f>SUM([1]Historicals!BR137)</f>
        <v>32206</v>
      </c>
      <c r="F145" s="1225">
        <f>SUM([1]Historicals!BS137)</f>
        <v>38433</v>
      </c>
      <c r="G145" s="1225">
        <f>SUM([1]Historicals!BT137)</f>
        <v>51541</v>
      </c>
      <c r="H145" s="1225">
        <f>SUM([1]Historicals!BU137)</f>
        <v>50150</v>
      </c>
      <c r="I145" s="1225">
        <f>SUM([1]Historicals!BV137)</f>
        <v>52888</v>
      </c>
      <c r="J145" s="1225">
        <f>SUM([1]Historicals!BW137)</f>
        <v>63207</v>
      </c>
      <c r="K145" s="1227"/>
      <c r="L145" s="1226"/>
      <c r="M145" s="1226"/>
      <c r="N145" s="1226"/>
      <c r="O145" s="1226"/>
      <c r="W145" s="1223">
        <f>(J145/E145)^(1/5)-1</f>
        <v>0.14436792816980093</v>
      </c>
      <c r="X145" s="1223">
        <f>(J145/G145)^(1/3)-1</f>
        <v>7.0378669244136827E-2</v>
      </c>
      <c r="Y145" s="1224">
        <f>(M145/J145)^(1/3)-1</f>
        <v>-1</v>
      </c>
      <c r="Z145" s="1223">
        <f>(O145/J145)^(1/5)-1</f>
        <v>-1</v>
      </c>
    </row>
    <row r="146" spans="4:26" x14ac:dyDescent="0.5">
      <c r="D146" s="1175" t="s">
        <v>1154</v>
      </c>
      <c r="E146" s="1214" t="s">
        <v>1152</v>
      </c>
      <c r="F146" s="1210">
        <f t="shared" ref="F146:T146" si="31">F145/E145-1</f>
        <v>0.19334906539154195</v>
      </c>
      <c r="G146" s="1210">
        <f t="shared" si="31"/>
        <v>0.34106106731194541</v>
      </c>
      <c r="H146" s="1210">
        <f t="shared" si="31"/>
        <v>-2.6988222968122422E-2</v>
      </c>
      <c r="I146" s="1210">
        <f t="shared" si="31"/>
        <v>5.4596211365902203E-2</v>
      </c>
      <c r="J146" s="1210">
        <f t="shared" si="31"/>
        <v>0.1951104220238995</v>
      </c>
      <c r="K146" s="1215">
        <f t="shared" si="31"/>
        <v>-1</v>
      </c>
      <c r="L146" s="1210" t="e">
        <f t="shared" si="31"/>
        <v>#DIV/0!</v>
      </c>
      <c r="M146" s="1210" t="e">
        <f t="shared" si="31"/>
        <v>#DIV/0!</v>
      </c>
      <c r="N146" s="1210" t="e">
        <f t="shared" si="31"/>
        <v>#DIV/0!</v>
      </c>
      <c r="O146" s="1210" t="e">
        <f t="shared" si="31"/>
        <v>#DIV/0!</v>
      </c>
      <c r="P146" s="1174" t="e">
        <f t="shared" si="31"/>
        <v>#DIV/0!</v>
      </c>
      <c r="Q146" s="1174" t="e">
        <f t="shared" si="31"/>
        <v>#DIV/0!</v>
      </c>
      <c r="R146" s="1174" t="e">
        <f t="shared" si="31"/>
        <v>#DIV/0!</v>
      </c>
      <c r="S146" s="1174" t="e">
        <f t="shared" si="31"/>
        <v>#DIV/0!</v>
      </c>
      <c r="T146" s="1174" t="e">
        <f t="shared" si="31"/>
        <v>#DIV/0!</v>
      </c>
      <c r="U146" s="1212"/>
      <c r="V146" s="1212"/>
      <c r="Y146" s="1179"/>
    </row>
    <row r="147" spans="4:26" x14ac:dyDescent="0.5">
      <c r="D147" s="1175" t="s">
        <v>1153</v>
      </c>
      <c r="E147" s="1214" t="s">
        <v>1152</v>
      </c>
      <c r="F147" s="1213">
        <f t="shared" ref="F147:P147" si="32">F145-E145</f>
        <v>6227</v>
      </c>
      <c r="G147" s="1213">
        <f t="shared" si="32"/>
        <v>13108</v>
      </c>
      <c r="H147" s="1213">
        <f t="shared" si="32"/>
        <v>-1391</v>
      </c>
      <c r="I147" s="1213">
        <f t="shared" si="32"/>
        <v>2738</v>
      </c>
      <c r="J147" s="1213">
        <f t="shared" si="32"/>
        <v>10319</v>
      </c>
      <c r="K147" s="1213">
        <f t="shared" si="32"/>
        <v>-63207</v>
      </c>
      <c r="L147" s="1213">
        <f t="shared" si="32"/>
        <v>0</v>
      </c>
      <c r="M147" s="1213">
        <f t="shared" si="32"/>
        <v>0</v>
      </c>
      <c r="N147" s="1213">
        <f t="shared" si="32"/>
        <v>0</v>
      </c>
      <c r="O147" s="1213">
        <f t="shared" si="32"/>
        <v>0</v>
      </c>
      <c r="P147" s="1213">
        <f t="shared" si="32"/>
        <v>0</v>
      </c>
      <c r="Q147" s="1174" t="e">
        <f>Q146/P146-1</f>
        <v>#DIV/0!</v>
      </c>
      <c r="R147" s="1174" t="e">
        <f>R146/Q146-1</f>
        <v>#DIV/0!</v>
      </c>
      <c r="S147" s="1174" t="e">
        <f>S146/R146-1</f>
        <v>#DIV/0!</v>
      </c>
      <c r="T147" s="1174" t="e">
        <f>T146/S146-1</f>
        <v>#DIV/0!</v>
      </c>
      <c r="U147" s="1212"/>
      <c r="V147" s="1212"/>
      <c r="Y147" s="1179"/>
    </row>
    <row r="148" spans="4:26" s="1172" customFormat="1" ht="12.9" customHeight="1" x14ac:dyDescent="0.5">
      <c r="D148" s="1175" t="s">
        <v>1129</v>
      </c>
      <c r="E148" s="1210">
        <f t="shared" ref="E148:O148" si="33">E145/E$67</f>
        <v>0.4555497404416029</v>
      </c>
      <c r="F148" s="1210">
        <f t="shared" si="33"/>
        <v>0.4470772989007154</v>
      </c>
      <c r="G148" s="1210">
        <f t="shared" si="33"/>
        <v>0.43705110702202171</v>
      </c>
      <c r="H148" s="1210">
        <f t="shared" si="33"/>
        <v>0.43006972017597267</v>
      </c>
      <c r="I148" s="1210">
        <f t="shared" si="33"/>
        <v>0.39204756045129058</v>
      </c>
      <c r="J148" s="1210">
        <f t="shared" si="33"/>
        <v>0.38423474629333559</v>
      </c>
      <c r="K148" s="1210">
        <f t="shared" si="33"/>
        <v>0</v>
      </c>
      <c r="L148" s="1210">
        <f t="shared" si="33"/>
        <v>0</v>
      </c>
      <c r="M148" s="1210">
        <f t="shared" si="33"/>
        <v>0</v>
      </c>
      <c r="N148" s="1210">
        <f t="shared" si="33"/>
        <v>0</v>
      </c>
      <c r="O148" s="1210">
        <f t="shared" si="33"/>
        <v>0</v>
      </c>
      <c r="Y148" s="1173"/>
    </row>
    <row r="149" spans="4:26" s="1197" customFormat="1" ht="12.9" customHeight="1" x14ac:dyDescent="0.5">
      <c r="D149" s="1197" t="s">
        <v>1156</v>
      </c>
      <c r="E149" s="1225">
        <f>[1]Historicals!BR138</f>
        <v>16826</v>
      </c>
      <c r="F149" s="1225">
        <f>[1]Historicals!BS138</f>
        <v>20349</v>
      </c>
      <c r="G149" s="1225">
        <f>[1]Historicals!BT138</f>
        <v>29057</v>
      </c>
      <c r="H149" s="1225">
        <f>[1]Historicals!BU138</f>
        <v>26681</v>
      </c>
      <c r="I149" s="1225">
        <f>[1]Historicals!BV138</f>
        <v>31210</v>
      </c>
      <c r="J149" s="1225">
        <f>[1]Historicals!BW138</f>
        <v>38361</v>
      </c>
      <c r="K149" s="1227"/>
      <c r="L149" s="1226"/>
      <c r="M149" s="1226"/>
      <c r="N149" s="1226"/>
      <c r="O149" s="1226"/>
      <c r="W149" s="1223">
        <f>(J149/E149)^(1/5)-1</f>
        <v>0.17918462264923551</v>
      </c>
      <c r="X149" s="1223">
        <f>(J149/G149)^(1/3)-1</f>
        <v>9.701621981035391E-2</v>
      </c>
      <c r="Y149" s="1224">
        <f>(M149/J149)^(1/3)-1</f>
        <v>-1</v>
      </c>
      <c r="Z149" s="1223">
        <f>(O149/J149)^(1/5)-1</f>
        <v>-1</v>
      </c>
    </row>
    <row r="150" spans="4:26" x14ac:dyDescent="0.5">
      <c r="D150" s="1175" t="s">
        <v>1154</v>
      </c>
      <c r="E150" s="1214" t="s">
        <v>1152</v>
      </c>
      <c r="F150" s="1210">
        <f t="shared" ref="F150:T150" si="34">F149/E149-1</f>
        <v>0.20937834304053249</v>
      </c>
      <c r="G150" s="1210">
        <f t="shared" si="34"/>
        <v>0.42793257653938777</v>
      </c>
      <c r="H150" s="1210">
        <f t="shared" si="34"/>
        <v>-8.1770313521698723E-2</v>
      </c>
      <c r="I150" s="1210">
        <f t="shared" si="34"/>
        <v>0.16974626138450577</v>
      </c>
      <c r="J150" s="1210">
        <f t="shared" si="34"/>
        <v>0.22912528035885926</v>
      </c>
      <c r="K150" s="1215">
        <f t="shared" si="34"/>
        <v>-1</v>
      </c>
      <c r="L150" s="1210" t="e">
        <f t="shared" si="34"/>
        <v>#DIV/0!</v>
      </c>
      <c r="M150" s="1210" t="e">
        <f t="shared" si="34"/>
        <v>#DIV/0!</v>
      </c>
      <c r="N150" s="1210" t="e">
        <f t="shared" si="34"/>
        <v>#DIV/0!</v>
      </c>
      <c r="O150" s="1210" t="e">
        <f t="shared" si="34"/>
        <v>#DIV/0!</v>
      </c>
      <c r="P150" s="1174" t="e">
        <f t="shared" si="34"/>
        <v>#DIV/0!</v>
      </c>
      <c r="Q150" s="1174" t="e">
        <f t="shared" si="34"/>
        <v>#DIV/0!</v>
      </c>
      <c r="R150" s="1174" t="e">
        <f t="shared" si="34"/>
        <v>#DIV/0!</v>
      </c>
      <c r="S150" s="1174" t="e">
        <f t="shared" si="34"/>
        <v>#DIV/0!</v>
      </c>
      <c r="T150" s="1174" t="e">
        <f t="shared" si="34"/>
        <v>#DIV/0!</v>
      </c>
      <c r="U150" s="1212"/>
      <c r="V150" s="1212"/>
      <c r="Y150" s="1179"/>
    </row>
    <row r="151" spans="4:26" x14ac:dyDescent="0.5">
      <c r="D151" s="1175" t="s">
        <v>1153</v>
      </c>
      <c r="E151" s="1214" t="s">
        <v>1152</v>
      </c>
      <c r="F151" s="1213">
        <f t="shared" ref="F151:P151" si="35">F149-E149</f>
        <v>3523</v>
      </c>
      <c r="G151" s="1213">
        <f t="shared" si="35"/>
        <v>8708</v>
      </c>
      <c r="H151" s="1213">
        <f t="shared" si="35"/>
        <v>-2376</v>
      </c>
      <c r="I151" s="1213">
        <f t="shared" si="35"/>
        <v>4529</v>
      </c>
      <c r="J151" s="1213">
        <f t="shared" si="35"/>
        <v>7151</v>
      </c>
      <c r="K151" s="1213">
        <f t="shared" si="35"/>
        <v>-38361</v>
      </c>
      <c r="L151" s="1213">
        <f t="shared" si="35"/>
        <v>0</v>
      </c>
      <c r="M151" s="1213">
        <f t="shared" si="35"/>
        <v>0</v>
      </c>
      <c r="N151" s="1213">
        <f t="shared" si="35"/>
        <v>0</v>
      </c>
      <c r="O151" s="1213">
        <f t="shared" si="35"/>
        <v>0</v>
      </c>
      <c r="P151" s="1213">
        <f t="shared" si="35"/>
        <v>0</v>
      </c>
      <c r="Q151" s="1174" t="e">
        <f>Q150/P150-1</f>
        <v>#DIV/0!</v>
      </c>
      <c r="R151" s="1174" t="e">
        <f>R150/Q150-1</f>
        <v>#DIV/0!</v>
      </c>
      <c r="S151" s="1174" t="e">
        <f>S150/R150-1</f>
        <v>#DIV/0!</v>
      </c>
      <c r="T151" s="1174" t="e">
        <f>T150/S150-1</f>
        <v>#DIV/0!</v>
      </c>
      <c r="U151" s="1212"/>
      <c r="V151" s="1212"/>
      <c r="Y151" s="1179"/>
    </row>
    <row r="152" spans="4:26" s="1172" customFormat="1" ht="12.9" customHeight="1" x14ac:dyDescent="0.5">
      <c r="D152" s="1175" t="s">
        <v>1129</v>
      </c>
      <c r="E152" s="1210">
        <f t="shared" ref="E152:O152" si="36">E149/E$67</f>
        <v>0.23800161251538254</v>
      </c>
      <c r="F152" s="1210">
        <f t="shared" si="36"/>
        <v>0.23671261559937185</v>
      </c>
      <c r="G152" s="1210">
        <f t="shared" si="36"/>
        <v>0.24639401673888525</v>
      </c>
      <c r="H152" s="1210">
        <f t="shared" si="36"/>
        <v>0.22880738193449907</v>
      </c>
      <c r="I152" s="1210">
        <f t="shared" si="36"/>
        <v>0.23135313042060163</v>
      </c>
      <c r="J152" s="1210">
        <f t="shared" si="36"/>
        <v>0.23319615078327791</v>
      </c>
      <c r="K152" s="1210">
        <f t="shared" si="36"/>
        <v>0</v>
      </c>
      <c r="L152" s="1210">
        <f t="shared" si="36"/>
        <v>0</v>
      </c>
      <c r="M152" s="1210">
        <f t="shared" si="36"/>
        <v>0</v>
      </c>
      <c r="N152" s="1210">
        <f t="shared" si="36"/>
        <v>0</v>
      </c>
      <c r="O152" s="1210">
        <f t="shared" si="36"/>
        <v>0</v>
      </c>
      <c r="Y152" s="1173"/>
    </row>
    <row r="153" spans="4:26" s="1197" customFormat="1" ht="12.9" customHeight="1" x14ac:dyDescent="0.5">
      <c r="D153" s="1197" t="s">
        <v>1149</v>
      </c>
      <c r="E153" s="1225">
        <f>[1]Historicals!BR139</f>
        <v>15406</v>
      </c>
      <c r="F153" s="1225">
        <f>[1]Historicals!BS139</f>
        <v>19848</v>
      </c>
      <c r="G153" s="1225">
        <f>[1]Historicals!BT139</f>
        <v>26739</v>
      </c>
      <c r="H153" s="1225">
        <f>[1]Historicals!BU139</f>
        <v>27760</v>
      </c>
      <c r="I153" s="1225">
        <f>[1]Historicals!BV139</f>
        <v>36154</v>
      </c>
      <c r="J153" s="1225">
        <f>[1]Historicals!BW139</f>
        <v>45009</v>
      </c>
      <c r="K153" s="1227"/>
      <c r="L153" s="1226"/>
      <c r="M153" s="1226"/>
      <c r="N153" s="1226"/>
      <c r="O153" s="1226"/>
      <c r="W153" s="1223">
        <f>(J153/E153)^(1/5)-1</f>
        <v>0.23914433024987303</v>
      </c>
      <c r="X153" s="1223">
        <f>(J153/G153)^(1/3)-1</f>
        <v>0.18955556826452358</v>
      </c>
      <c r="Y153" s="1224">
        <f>(M153/J153)^(1/3)-1</f>
        <v>-1</v>
      </c>
      <c r="Z153" s="1223">
        <f>(O153/J153)^(1/5)-1</f>
        <v>-1</v>
      </c>
    </row>
    <row r="154" spans="4:26" x14ac:dyDescent="0.5">
      <c r="D154" s="1175" t="s">
        <v>1154</v>
      </c>
      <c r="E154" s="1214" t="s">
        <v>1152</v>
      </c>
      <c r="F154" s="1210">
        <f t="shared" ref="F154:T154" si="37">F153/E153-1</f>
        <v>0.28832922238089065</v>
      </c>
      <c r="G154" s="1210">
        <f t="shared" si="37"/>
        <v>0.34718863361547769</v>
      </c>
      <c r="H154" s="1210">
        <f t="shared" si="37"/>
        <v>3.8183926100452625E-2</v>
      </c>
      <c r="I154" s="1210">
        <f t="shared" si="37"/>
        <v>0.30237752161383291</v>
      </c>
      <c r="J154" s="1210">
        <f t="shared" si="37"/>
        <v>0.24492448968302272</v>
      </c>
      <c r="K154" s="1215">
        <f t="shared" si="37"/>
        <v>-1</v>
      </c>
      <c r="L154" s="1210" t="e">
        <f t="shared" si="37"/>
        <v>#DIV/0!</v>
      </c>
      <c r="M154" s="1210" t="e">
        <f t="shared" si="37"/>
        <v>#DIV/0!</v>
      </c>
      <c r="N154" s="1210" t="e">
        <f t="shared" si="37"/>
        <v>#DIV/0!</v>
      </c>
      <c r="O154" s="1210" t="e">
        <f t="shared" si="37"/>
        <v>#DIV/0!</v>
      </c>
      <c r="P154" s="1174" t="e">
        <f t="shared" si="37"/>
        <v>#DIV/0!</v>
      </c>
      <c r="Q154" s="1174" t="e">
        <f t="shared" si="37"/>
        <v>#DIV/0!</v>
      </c>
      <c r="R154" s="1174" t="e">
        <f t="shared" si="37"/>
        <v>#DIV/0!</v>
      </c>
      <c r="S154" s="1174" t="e">
        <f t="shared" si="37"/>
        <v>#DIV/0!</v>
      </c>
      <c r="T154" s="1174" t="e">
        <f t="shared" si="37"/>
        <v>#DIV/0!</v>
      </c>
      <c r="U154" s="1212"/>
      <c r="V154" s="1212"/>
      <c r="Y154" s="1179"/>
    </row>
    <row r="155" spans="4:26" x14ac:dyDescent="0.5">
      <c r="D155" s="1175" t="s">
        <v>1153</v>
      </c>
      <c r="E155" s="1214" t="s">
        <v>1152</v>
      </c>
      <c r="F155" s="1213">
        <f t="shared" ref="F155:P155" si="38">F153-E153</f>
        <v>4442</v>
      </c>
      <c r="G155" s="1213">
        <f t="shared" si="38"/>
        <v>6891</v>
      </c>
      <c r="H155" s="1213">
        <f t="shared" si="38"/>
        <v>1021</v>
      </c>
      <c r="I155" s="1213">
        <f t="shared" si="38"/>
        <v>8394</v>
      </c>
      <c r="J155" s="1213">
        <f t="shared" si="38"/>
        <v>8855</v>
      </c>
      <c r="K155" s="1213">
        <f t="shared" si="38"/>
        <v>-45009</v>
      </c>
      <c r="L155" s="1213">
        <f t="shared" si="38"/>
        <v>0</v>
      </c>
      <c r="M155" s="1213">
        <f t="shared" si="38"/>
        <v>0</v>
      </c>
      <c r="N155" s="1213">
        <f t="shared" si="38"/>
        <v>0</v>
      </c>
      <c r="O155" s="1213">
        <f t="shared" si="38"/>
        <v>0</v>
      </c>
      <c r="P155" s="1213">
        <f t="shared" si="38"/>
        <v>0</v>
      </c>
      <c r="Q155" s="1174" t="e">
        <f>Q154/P154-1</f>
        <v>#DIV/0!</v>
      </c>
      <c r="R155" s="1174" t="e">
        <f>R154/Q154-1</f>
        <v>#DIV/0!</v>
      </c>
      <c r="S155" s="1174" t="e">
        <f>S154/R154-1</f>
        <v>#DIV/0!</v>
      </c>
      <c r="T155" s="1174" t="e">
        <f>T154/S154-1</f>
        <v>#DIV/0!</v>
      </c>
      <c r="U155" s="1212"/>
      <c r="V155" s="1212"/>
      <c r="Y155" s="1179"/>
    </row>
    <row r="156" spans="4:26" s="1172" customFormat="1" ht="12.9" customHeight="1" x14ac:dyDescent="0.5">
      <c r="D156" s="1175" t="s">
        <v>1129</v>
      </c>
      <c r="E156" s="1210">
        <f t="shared" ref="E156:O156" si="39">E153/E$67</f>
        <v>0.21791589459241553</v>
      </c>
      <c r="F156" s="1210">
        <f t="shared" si="39"/>
        <v>0.23088466236258942</v>
      </c>
      <c r="G156" s="1210">
        <f t="shared" si="39"/>
        <v>0.22673812209041033</v>
      </c>
      <c r="H156" s="1210">
        <f t="shared" si="39"/>
        <v>0.23806052706051847</v>
      </c>
      <c r="I156" s="1210">
        <f t="shared" si="39"/>
        <v>0.26800195697617529</v>
      </c>
      <c r="J156" s="1210">
        <f t="shared" si="39"/>
        <v>0.2736092789709485</v>
      </c>
      <c r="K156" s="1210">
        <f t="shared" si="39"/>
        <v>0</v>
      </c>
      <c r="L156" s="1210">
        <f t="shared" si="39"/>
        <v>0</v>
      </c>
      <c r="M156" s="1210">
        <f t="shared" si="39"/>
        <v>0</v>
      </c>
      <c r="N156" s="1210">
        <f t="shared" si="39"/>
        <v>0</v>
      </c>
      <c r="O156" s="1210">
        <f t="shared" si="39"/>
        <v>0</v>
      </c>
      <c r="Y156" s="1173"/>
    </row>
    <row r="157" spans="4:26" s="1197" customFormat="1" ht="12.9" customHeight="1" x14ac:dyDescent="0.5">
      <c r="D157" s="1197" t="s">
        <v>1148</v>
      </c>
      <c r="E157" s="1225">
        <f>[1]Historicals!BR140</f>
        <v>6259</v>
      </c>
      <c r="F157" s="1225">
        <f>[1]Historicals!BS140</f>
        <v>7335</v>
      </c>
      <c r="G157" s="1225">
        <f>[1]Historicals!BT140</f>
        <v>10592</v>
      </c>
      <c r="H157" s="1225">
        <f>[1]Historicals!BU140</f>
        <v>12018</v>
      </c>
      <c r="I157" s="1225">
        <f>[1]Historicals!BV140</f>
        <v>14650</v>
      </c>
      <c r="J157" s="1225">
        <f>[1]Historicals!BW140</f>
        <v>17924</v>
      </c>
      <c r="K157" s="1225">
        <f>[1]Historicals!BX140</f>
        <v>0</v>
      </c>
      <c r="L157" s="1225">
        <f>[1]Historicals!BY140</f>
        <v>0</v>
      </c>
      <c r="M157" s="1225">
        <f>[1]Historicals!BZ140</f>
        <v>0</v>
      </c>
      <c r="N157" s="1225">
        <f>[1]Historicals!CA140</f>
        <v>0</v>
      </c>
      <c r="O157" s="1225">
        <f>[1]Historicals!CB140</f>
        <v>0</v>
      </c>
      <c r="W157" s="1223">
        <f>(J157/E157)^(1/5)-1</f>
        <v>0.23420129207408791</v>
      </c>
      <c r="X157" s="1223">
        <f>(J157/G157)^(1/3)-1</f>
        <v>0.19165988820616597</v>
      </c>
      <c r="Y157" s="1224">
        <f>(M157/J157)^(1/3)-1</f>
        <v>-1</v>
      </c>
      <c r="Z157" s="1223">
        <f>(O157/J157)^(1/5)-1</f>
        <v>-1</v>
      </c>
    </row>
    <row r="158" spans="4:26" x14ac:dyDescent="0.5">
      <c r="D158" s="1175" t="s">
        <v>1154</v>
      </c>
      <c r="E158" s="1214" t="s">
        <v>1152</v>
      </c>
      <c r="F158" s="1210">
        <f t="shared" ref="F158:T158" si="40">F157/E157-1</f>
        <v>0.17191244607764822</v>
      </c>
      <c r="G158" s="1210">
        <f t="shared" si="40"/>
        <v>0.44403544648943427</v>
      </c>
      <c r="H158" s="1210">
        <f t="shared" si="40"/>
        <v>0.13462990936555896</v>
      </c>
      <c r="I158" s="1210">
        <f t="shared" si="40"/>
        <v>0.21900482609419214</v>
      </c>
      <c r="J158" s="1210">
        <f t="shared" si="40"/>
        <v>0.22348122866894204</v>
      </c>
      <c r="K158" s="1215">
        <f t="shared" si="40"/>
        <v>-1</v>
      </c>
      <c r="L158" s="1210" t="e">
        <f t="shared" si="40"/>
        <v>#DIV/0!</v>
      </c>
      <c r="M158" s="1210" t="e">
        <f t="shared" si="40"/>
        <v>#DIV/0!</v>
      </c>
      <c r="N158" s="1210" t="e">
        <f t="shared" si="40"/>
        <v>#DIV/0!</v>
      </c>
      <c r="O158" s="1210" t="e">
        <f t="shared" si="40"/>
        <v>#DIV/0!</v>
      </c>
      <c r="P158" s="1174" t="e">
        <f t="shared" si="40"/>
        <v>#DIV/0!</v>
      </c>
      <c r="Q158" s="1174" t="e">
        <f t="shared" si="40"/>
        <v>#DIV/0!</v>
      </c>
      <c r="R158" s="1174" t="e">
        <f t="shared" si="40"/>
        <v>#DIV/0!</v>
      </c>
      <c r="S158" s="1174" t="e">
        <f t="shared" si="40"/>
        <v>#DIV/0!</v>
      </c>
      <c r="T158" s="1174" t="e">
        <f t="shared" si="40"/>
        <v>#DIV/0!</v>
      </c>
      <c r="U158" s="1212"/>
      <c r="V158" s="1212"/>
      <c r="Y158" s="1179"/>
    </row>
    <row r="159" spans="4:26" x14ac:dyDescent="0.5">
      <c r="D159" s="1175" t="s">
        <v>1153</v>
      </c>
      <c r="E159" s="1214" t="s">
        <v>1152</v>
      </c>
      <c r="F159" s="1213">
        <f t="shared" ref="F159:P159" si="41">F157-E157</f>
        <v>1076</v>
      </c>
      <c r="G159" s="1213">
        <f t="shared" si="41"/>
        <v>3257</v>
      </c>
      <c r="H159" s="1213">
        <f t="shared" si="41"/>
        <v>1426</v>
      </c>
      <c r="I159" s="1213">
        <f t="shared" si="41"/>
        <v>2632</v>
      </c>
      <c r="J159" s="1213">
        <f t="shared" si="41"/>
        <v>3274</v>
      </c>
      <c r="K159" s="1213">
        <f t="shared" si="41"/>
        <v>-17924</v>
      </c>
      <c r="L159" s="1213">
        <f t="shared" si="41"/>
        <v>0</v>
      </c>
      <c r="M159" s="1213">
        <f t="shared" si="41"/>
        <v>0</v>
      </c>
      <c r="N159" s="1213">
        <f t="shared" si="41"/>
        <v>0</v>
      </c>
      <c r="O159" s="1213">
        <f t="shared" si="41"/>
        <v>0</v>
      </c>
      <c r="P159" s="1213">
        <f t="shared" si="41"/>
        <v>0</v>
      </c>
      <c r="Q159" s="1174" t="e">
        <f>Q158/P158-1</f>
        <v>#DIV/0!</v>
      </c>
      <c r="R159" s="1174" t="e">
        <f>R158/Q158-1</f>
        <v>#DIV/0!</v>
      </c>
      <c r="S159" s="1174" t="e">
        <f>S158/R158-1</f>
        <v>#DIV/0!</v>
      </c>
      <c r="T159" s="1174" t="e">
        <f>T158/S158-1</f>
        <v>#DIV/0!</v>
      </c>
      <c r="U159" s="1212"/>
      <c r="V159" s="1212"/>
      <c r="Y159" s="1179"/>
    </row>
    <row r="160" spans="4:26" s="1172" customFormat="1" ht="12.9" customHeight="1" x14ac:dyDescent="0.5">
      <c r="D160" s="1175" t="s">
        <v>1129</v>
      </c>
      <c r="E160" s="1210">
        <f t="shared" ref="E160:O160" si="42">E157/E$67</f>
        <v>8.8532752450599037E-2</v>
      </c>
      <c r="F160" s="1210">
        <f t="shared" si="42"/>
        <v>8.5325423137323331E-2</v>
      </c>
      <c r="G160" s="1210">
        <f t="shared" si="42"/>
        <v>8.9816754148682676E-2</v>
      </c>
      <c r="H160" s="1210">
        <f t="shared" si="42"/>
        <v>0.10306237082900976</v>
      </c>
      <c r="I160" s="1210">
        <f t="shared" si="42"/>
        <v>0.10859735215193252</v>
      </c>
      <c r="J160" s="1210">
        <f t="shared" si="42"/>
        <v>0.10895982395243797</v>
      </c>
      <c r="K160" s="1210">
        <f t="shared" si="42"/>
        <v>0</v>
      </c>
      <c r="L160" s="1210">
        <f t="shared" si="42"/>
        <v>0</v>
      </c>
      <c r="M160" s="1210">
        <f t="shared" si="42"/>
        <v>0</v>
      </c>
      <c r="N160" s="1210">
        <f t="shared" si="42"/>
        <v>0</v>
      </c>
      <c r="O160" s="1210">
        <f t="shared" si="42"/>
        <v>0</v>
      </c>
      <c r="Y160" s="1173"/>
    </row>
    <row r="161" spans="4:26" s="1197" customFormat="1" ht="12.9" customHeight="1" x14ac:dyDescent="0.5">
      <c r="D161" s="1222" t="s">
        <v>1155</v>
      </c>
      <c r="E161" s="1221">
        <f t="shared" ref="E161:J161" si="43">E145+E149+E153+E157</f>
        <v>70697</v>
      </c>
      <c r="F161" s="1221">
        <f t="shared" si="43"/>
        <v>85965</v>
      </c>
      <c r="G161" s="1221">
        <f t="shared" si="43"/>
        <v>117929</v>
      </c>
      <c r="H161" s="1221">
        <f t="shared" si="43"/>
        <v>116609</v>
      </c>
      <c r="I161" s="1221">
        <f t="shared" si="43"/>
        <v>134902</v>
      </c>
      <c r="J161" s="1221">
        <f t="shared" si="43"/>
        <v>164501</v>
      </c>
      <c r="K161" s="1220"/>
      <c r="L161" s="1220"/>
      <c r="M161" s="1220"/>
      <c r="N161" s="1220"/>
      <c r="O161" s="1220"/>
      <c r="P161" s="1219"/>
      <c r="W161" s="1218">
        <f>(J161/E161)^(1/5)-1</f>
        <v>0.18400493201382728</v>
      </c>
      <c r="X161" s="1217">
        <f>(J161/G161)^(1/3)-1</f>
        <v>0.11733304241692033</v>
      </c>
      <c r="Y161" s="1217">
        <f>(M161/J161)^(1/3)-1</f>
        <v>-1</v>
      </c>
      <c r="Z161" s="1216">
        <f>(O161/J161)^(1/5)-1</f>
        <v>-1</v>
      </c>
    </row>
    <row r="162" spans="4:26" x14ac:dyDescent="0.5">
      <c r="D162" s="1175" t="s">
        <v>1154</v>
      </c>
      <c r="E162" s="1214" t="s">
        <v>1152</v>
      </c>
      <c r="F162" s="1210">
        <f t="shared" ref="F162:T162" si="44">F161/E161-1</f>
        <v>0.21596390228722573</v>
      </c>
      <c r="G162" s="1210">
        <f t="shared" si="44"/>
        <v>0.37182574303495608</v>
      </c>
      <c r="H162" s="1210">
        <f t="shared" si="44"/>
        <v>-1.1193175554782941E-2</v>
      </c>
      <c r="I162" s="1210">
        <f t="shared" si="44"/>
        <v>0.15687468377226454</v>
      </c>
      <c r="J162" s="1210">
        <f t="shared" si="44"/>
        <v>0.21941112807816054</v>
      </c>
      <c r="K162" s="1215">
        <f t="shared" si="44"/>
        <v>-1</v>
      </c>
      <c r="L162" s="1210" t="e">
        <f t="shared" si="44"/>
        <v>#DIV/0!</v>
      </c>
      <c r="M162" s="1210" t="e">
        <f t="shared" si="44"/>
        <v>#DIV/0!</v>
      </c>
      <c r="N162" s="1210" t="e">
        <f t="shared" si="44"/>
        <v>#DIV/0!</v>
      </c>
      <c r="O162" s="1210" t="e">
        <f t="shared" si="44"/>
        <v>#DIV/0!</v>
      </c>
      <c r="P162" s="1174" t="e">
        <f t="shared" si="44"/>
        <v>#DIV/0!</v>
      </c>
      <c r="Q162" s="1174" t="e">
        <f t="shared" si="44"/>
        <v>#DIV/0!</v>
      </c>
      <c r="R162" s="1174" t="e">
        <f t="shared" si="44"/>
        <v>#DIV/0!</v>
      </c>
      <c r="S162" s="1174" t="e">
        <f t="shared" si="44"/>
        <v>#DIV/0!</v>
      </c>
      <c r="T162" s="1174" t="e">
        <f t="shared" si="44"/>
        <v>#DIV/0!</v>
      </c>
      <c r="U162" s="1212"/>
      <c r="V162" s="1212"/>
      <c r="Y162" s="1179"/>
    </row>
    <row r="163" spans="4:26" x14ac:dyDescent="0.5">
      <c r="D163" s="1175" t="s">
        <v>1153</v>
      </c>
      <c r="E163" s="1214" t="s">
        <v>1152</v>
      </c>
      <c r="F163" s="1213">
        <f t="shared" ref="F163:P163" si="45">F161-E161</f>
        <v>15268</v>
      </c>
      <c r="G163" s="1213">
        <f t="shared" si="45"/>
        <v>31964</v>
      </c>
      <c r="H163" s="1213">
        <f t="shared" si="45"/>
        <v>-1320</v>
      </c>
      <c r="I163" s="1213">
        <f t="shared" si="45"/>
        <v>18293</v>
      </c>
      <c r="J163" s="1213">
        <f t="shared" si="45"/>
        <v>29599</v>
      </c>
      <c r="K163" s="1213">
        <f t="shared" si="45"/>
        <v>-164501</v>
      </c>
      <c r="L163" s="1213">
        <f t="shared" si="45"/>
        <v>0</v>
      </c>
      <c r="M163" s="1213">
        <f t="shared" si="45"/>
        <v>0</v>
      </c>
      <c r="N163" s="1213">
        <f t="shared" si="45"/>
        <v>0</v>
      </c>
      <c r="O163" s="1213">
        <f t="shared" si="45"/>
        <v>0</v>
      </c>
      <c r="P163" s="1213">
        <f t="shared" si="45"/>
        <v>0</v>
      </c>
      <c r="Q163" s="1174" t="e">
        <f>Q162/P162-1</f>
        <v>#DIV/0!</v>
      </c>
      <c r="R163" s="1174" t="e">
        <f>R162/Q162-1</f>
        <v>#DIV/0!</v>
      </c>
      <c r="S163" s="1174" t="e">
        <f>S162/R162-1</f>
        <v>#DIV/0!</v>
      </c>
      <c r="T163" s="1174" t="e">
        <f>T162/S162-1</f>
        <v>#DIV/0!</v>
      </c>
      <c r="U163" s="1212"/>
      <c r="V163" s="1212"/>
      <c r="Y163" s="1179"/>
    </row>
    <row r="164" spans="4:26" ht="12.9" customHeight="1" x14ac:dyDescent="0.5">
      <c r="D164" s="1175" t="s">
        <v>1151</v>
      </c>
      <c r="E164" s="1192"/>
      <c r="F164" s="1210">
        <f t="shared" ref="F164:P164" si="46">F147/F163</f>
        <v>0.40784647629028031</v>
      </c>
      <c r="G164" s="1210">
        <f t="shared" si="46"/>
        <v>0.4100863471405331</v>
      </c>
      <c r="H164" s="1210">
        <f t="shared" si="46"/>
        <v>1.0537878787878787</v>
      </c>
      <c r="I164" s="1210">
        <f t="shared" si="46"/>
        <v>0.14967473897119116</v>
      </c>
      <c r="J164" s="1210">
        <f t="shared" si="46"/>
        <v>0.34862664279198624</v>
      </c>
      <c r="K164" s="1210">
        <f t="shared" si="46"/>
        <v>0.38423474629333559</v>
      </c>
      <c r="L164" s="1210" t="e">
        <f t="shared" si="46"/>
        <v>#DIV/0!</v>
      </c>
      <c r="M164" s="1210" t="e">
        <f t="shared" si="46"/>
        <v>#DIV/0!</v>
      </c>
      <c r="N164" s="1210" t="e">
        <f t="shared" si="46"/>
        <v>#DIV/0!</v>
      </c>
      <c r="O164" s="1210" t="e">
        <f t="shared" si="46"/>
        <v>#DIV/0!</v>
      </c>
      <c r="P164" s="1210" t="e">
        <f t="shared" si="46"/>
        <v>#DIV/0!</v>
      </c>
    </row>
    <row r="165" spans="4:26" ht="12.9" customHeight="1" x14ac:dyDescent="0.5">
      <c r="D165" s="1175" t="s">
        <v>1150</v>
      </c>
      <c r="E165" s="1192"/>
      <c r="F165" s="1210">
        <f t="shared" ref="F165:P165" si="47">F151/F163</f>
        <v>0.23074403982184963</v>
      </c>
      <c r="G165" s="1210">
        <f t="shared" si="47"/>
        <v>0.27243148542109874</v>
      </c>
      <c r="H165" s="1210">
        <f t="shared" si="47"/>
        <v>1.8</v>
      </c>
      <c r="I165" s="1210">
        <f t="shared" si="47"/>
        <v>0.24758104192860658</v>
      </c>
      <c r="J165" s="1210">
        <f t="shared" si="47"/>
        <v>0.2415959998648603</v>
      </c>
      <c r="K165" s="1210">
        <f t="shared" si="47"/>
        <v>0.23319615078327791</v>
      </c>
      <c r="L165" s="1210" t="e">
        <f t="shared" si="47"/>
        <v>#DIV/0!</v>
      </c>
      <c r="M165" s="1210" t="e">
        <f t="shared" si="47"/>
        <v>#DIV/0!</v>
      </c>
      <c r="N165" s="1210" t="e">
        <f t="shared" si="47"/>
        <v>#DIV/0!</v>
      </c>
      <c r="O165" s="1210" t="e">
        <f t="shared" si="47"/>
        <v>#DIV/0!</v>
      </c>
      <c r="P165" s="1210" t="e">
        <f t="shared" si="47"/>
        <v>#DIV/0!</v>
      </c>
    </row>
    <row r="166" spans="4:26" ht="12.9" customHeight="1" x14ac:dyDescent="0.5">
      <c r="D166" s="1175" t="s">
        <v>1149</v>
      </c>
      <c r="E166" s="1192"/>
      <c r="F166" s="1210">
        <f t="shared" ref="F166:P166" si="48">F155/F163</f>
        <v>0.29093528949436731</v>
      </c>
      <c r="G166" s="1210">
        <f t="shared" si="48"/>
        <v>0.2155862845701414</v>
      </c>
      <c r="H166" s="1210">
        <f t="shared" si="48"/>
        <v>-0.77348484848484844</v>
      </c>
      <c r="I166" s="1211">
        <f t="shared" si="48"/>
        <v>0.45886404635652983</v>
      </c>
      <c r="J166" s="1211">
        <f t="shared" si="48"/>
        <v>0.29916551234839017</v>
      </c>
      <c r="K166" s="1210">
        <f t="shared" si="48"/>
        <v>0.2736092789709485</v>
      </c>
      <c r="L166" s="1210" t="e">
        <f t="shared" si="48"/>
        <v>#DIV/0!</v>
      </c>
      <c r="M166" s="1210" t="e">
        <f t="shared" si="48"/>
        <v>#DIV/0!</v>
      </c>
      <c r="N166" s="1210" t="e">
        <f t="shared" si="48"/>
        <v>#DIV/0!</v>
      </c>
      <c r="O166" s="1210" t="e">
        <f t="shared" si="48"/>
        <v>#DIV/0!</v>
      </c>
      <c r="P166" s="1210" t="e">
        <f t="shared" si="48"/>
        <v>#DIV/0!</v>
      </c>
    </row>
    <row r="167" spans="4:26" ht="12.9" customHeight="1" x14ac:dyDescent="0.5">
      <c r="D167" s="1175" t="s">
        <v>1148</v>
      </c>
      <c r="E167" s="1192"/>
      <c r="F167" s="1210">
        <f t="shared" ref="F167:P167" si="49">F159/F163</f>
        <v>7.0474194393502748E-2</v>
      </c>
      <c r="G167" s="1210">
        <f t="shared" si="49"/>
        <v>0.10189588286822676</v>
      </c>
      <c r="H167" s="1210">
        <f t="shared" si="49"/>
        <v>-1.0803030303030303</v>
      </c>
      <c r="I167" s="1210">
        <f t="shared" si="49"/>
        <v>0.14388017274367243</v>
      </c>
      <c r="J167" s="1210">
        <f t="shared" si="49"/>
        <v>0.11061184499476334</v>
      </c>
      <c r="K167" s="1210">
        <f t="shared" si="49"/>
        <v>0.10895982395243797</v>
      </c>
      <c r="L167" s="1210" t="e">
        <f t="shared" si="49"/>
        <v>#DIV/0!</v>
      </c>
      <c r="M167" s="1210" t="e">
        <f t="shared" si="49"/>
        <v>#DIV/0!</v>
      </c>
      <c r="N167" s="1210" t="e">
        <f t="shared" si="49"/>
        <v>#DIV/0!</v>
      </c>
      <c r="O167" s="1210" t="e">
        <f t="shared" si="49"/>
        <v>#DIV/0!</v>
      </c>
      <c r="P167" s="1210" t="e">
        <f t="shared" si="49"/>
        <v>#DIV/0!</v>
      </c>
    </row>
    <row r="168" spans="4:26" ht="12.9" customHeight="1" x14ac:dyDescent="0.5">
      <c r="E168" s="1192"/>
      <c r="F168" s="1192"/>
      <c r="G168" s="1192"/>
      <c r="H168" s="1192"/>
      <c r="I168" s="1192"/>
      <c r="J168" s="1192"/>
      <c r="K168" s="1192"/>
      <c r="L168" s="1192"/>
      <c r="M168" s="1192"/>
      <c r="N168" s="1192"/>
      <c r="O168" s="1192"/>
    </row>
    <row r="169" spans="4:26" ht="12.9" customHeight="1" x14ac:dyDescent="0.5">
      <c r="E169" s="1192"/>
      <c r="F169" s="1192"/>
      <c r="G169" s="1192"/>
      <c r="H169" s="1192"/>
      <c r="I169" s="1192"/>
      <c r="J169" s="1192"/>
      <c r="K169" s="1192"/>
      <c r="L169" s="1192"/>
      <c r="M169" s="1192"/>
      <c r="N169" s="1192"/>
      <c r="O169" s="1192"/>
    </row>
    <row r="170" spans="4:26" ht="12.9" customHeight="1" x14ac:dyDescent="0.5">
      <c r="E170" s="1192"/>
      <c r="F170" s="1192"/>
      <c r="G170" s="1192"/>
      <c r="H170" s="1192"/>
      <c r="I170" s="1192"/>
      <c r="J170" s="1192"/>
      <c r="K170" s="1192"/>
      <c r="L170" s="1192"/>
      <c r="M170" s="1192"/>
      <c r="N170" s="1192"/>
      <c r="O170" s="1192"/>
    </row>
    <row r="171" spans="4:26" ht="12.9" customHeight="1" x14ac:dyDescent="0.5">
      <c r="E171" s="1192"/>
      <c r="F171" s="1192"/>
      <c r="G171" s="1192"/>
      <c r="H171" s="1192"/>
      <c r="I171" s="1192"/>
      <c r="J171" s="1192"/>
      <c r="K171" s="1192"/>
      <c r="L171" s="1192"/>
      <c r="M171" s="1192"/>
      <c r="N171" s="1192"/>
      <c r="O171" s="1192"/>
    </row>
    <row r="172" spans="4:26" ht="12.9" customHeight="1" x14ac:dyDescent="0.5">
      <c r="E172" s="1192"/>
      <c r="F172" s="1192"/>
      <c r="G172" s="1192"/>
      <c r="H172" s="1192"/>
      <c r="I172" s="1192"/>
      <c r="J172" s="1192"/>
      <c r="K172" s="1209"/>
      <c r="L172" s="1192"/>
      <c r="M172" s="1192"/>
      <c r="N172" s="1192"/>
      <c r="O172" s="1192"/>
    </row>
    <row r="173" spans="4:26" x14ac:dyDescent="0.5">
      <c r="D173" s="1207" t="s">
        <v>1147</v>
      </c>
      <c r="E173" s="1205"/>
      <c r="F173" s="1205"/>
      <c r="G173" s="1205"/>
      <c r="H173" s="1205"/>
      <c r="I173" s="1205"/>
      <c r="J173" s="1205"/>
      <c r="K173" s="1206"/>
      <c r="L173" s="1205"/>
      <c r="M173" s="1205"/>
      <c r="N173" s="1205"/>
      <c r="O173" s="1205"/>
    </row>
    <row r="174" spans="4:26" x14ac:dyDescent="0.5">
      <c r="K174" s="1179"/>
    </row>
    <row r="175" spans="4:26" x14ac:dyDescent="0.5">
      <c r="D175" s="1171" t="str">
        <f>[7]Sheet1!A456</f>
        <v>Land</v>
      </c>
      <c r="E175" s="1208">
        <f>[1]Historicals!BR922</f>
        <v>35323</v>
      </c>
      <c r="F175" s="1208">
        <f>[1]Historicals!BS922</f>
        <v>45633</v>
      </c>
      <c r="G175" s="1208">
        <f>[1]Historicals!BT922</f>
        <v>57809</v>
      </c>
      <c r="H175" s="1208">
        <f>[1]Historicals!BU922</f>
        <v>79518</v>
      </c>
      <c r="I175" s="1208">
        <f>[1]Historicals!BV922</f>
        <v>96587</v>
      </c>
      <c r="J175" s="1208">
        <f>[1]Historicals!BW922</f>
        <v>121346</v>
      </c>
      <c r="K175" s="1179"/>
    </row>
    <row r="176" spans="4:26" x14ac:dyDescent="0.5">
      <c r="D176" s="1171" t="str">
        <f>[7]Sheet1!A457</f>
        <v>Buildings</v>
      </c>
      <c r="K176" s="1179"/>
    </row>
    <row r="177" spans="4:15" x14ac:dyDescent="0.5">
      <c r="D177" s="1171" t="str">
        <f>[7]Sheet1!A458</f>
        <v>Leasehold improvements</v>
      </c>
      <c r="K177" s="1179"/>
    </row>
    <row r="178" spans="4:15" x14ac:dyDescent="0.5">
      <c r="D178" s="1171" t="str">
        <f>[7]Sheet1!A459</f>
        <v>Network equipment</v>
      </c>
      <c r="K178" s="1179"/>
    </row>
    <row r="179" spans="4:15" x14ac:dyDescent="0.5">
      <c r="D179" s="1171" t="str">
        <f>[7]Sheet1!A460</f>
        <v>Servers and network assets</v>
      </c>
      <c r="K179" s="1179"/>
    </row>
    <row r="180" spans="4:15" x14ac:dyDescent="0.5">
      <c r="D180" s="1171" t="str">
        <f>[7]Sheet1!A461</f>
        <v>Computer software, office equipment and other</v>
      </c>
      <c r="K180" s="1179"/>
    </row>
    <row r="181" spans="4:15" x14ac:dyDescent="0.5">
      <c r="D181" s="1171" t="str">
        <f>[7]Sheet1!A462</f>
        <v>Equipment and other</v>
      </c>
      <c r="K181" s="1179"/>
    </row>
    <row r="182" spans="4:15" x14ac:dyDescent="0.5">
      <c r="D182" s="1171" t="str">
        <f>[7]Sheet1!A463</f>
        <v>Finance lease right of use assets</v>
      </c>
      <c r="K182" s="1179"/>
    </row>
    <row r="183" spans="4:15" x14ac:dyDescent="0.5">
      <c r="D183" s="1171" t="str">
        <f>[7]Sheet1!A464</f>
        <v>Construction in progress</v>
      </c>
      <c r="K183" s="1179"/>
    </row>
    <row r="184" spans="4:15" x14ac:dyDescent="0.5">
      <c r="D184" s="1171" t="str">
        <f>[7]Sheet1!A465</f>
        <v>Property and equipment, gross</v>
      </c>
      <c r="K184" s="1179"/>
    </row>
    <row r="185" spans="4:15" x14ac:dyDescent="0.5">
      <c r="D185" s="1171">
        <f>[7]Sheet1!A466</f>
        <v>0</v>
      </c>
      <c r="K185" s="1179"/>
    </row>
    <row r="186" spans="4:15" x14ac:dyDescent="0.5">
      <c r="D186" s="1171" t="str">
        <f>[7]Sheet1!A467</f>
        <v>Less: Accumulated depreciation</v>
      </c>
      <c r="K186" s="1179"/>
    </row>
    <row r="187" spans="4:15" x14ac:dyDescent="0.5">
      <c r="D187" s="1171" t="str">
        <f>[7]Sheet1!A468</f>
        <v>Property and equipment, net</v>
      </c>
      <c r="K187" s="1179"/>
    </row>
    <row r="188" spans="4:15" x14ac:dyDescent="0.5">
      <c r="K188" s="1179"/>
    </row>
    <row r="189" spans="4:15" x14ac:dyDescent="0.5">
      <c r="K189" s="1179"/>
    </row>
    <row r="190" spans="4:15" x14ac:dyDescent="0.5">
      <c r="D190" s="1207" t="s">
        <v>1146</v>
      </c>
      <c r="E190" s="1205"/>
      <c r="F190" s="1205"/>
      <c r="G190" s="1205"/>
      <c r="H190" s="1205"/>
      <c r="I190" s="1205"/>
      <c r="J190" s="1205"/>
      <c r="K190" s="1206"/>
      <c r="L190" s="1205"/>
      <c r="M190" s="1205"/>
      <c r="N190" s="1205"/>
      <c r="O190" s="1205"/>
    </row>
    <row r="191" spans="4:15" x14ac:dyDescent="0.5">
      <c r="K191" s="1179"/>
    </row>
    <row r="192" spans="4:15" ht="14.7" x14ac:dyDescent="0.8">
      <c r="D192" s="1204" t="s">
        <v>1145</v>
      </c>
      <c r="E192" s="1184" t="s">
        <v>1135</v>
      </c>
      <c r="F192" s="1183" t="s">
        <v>1134</v>
      </c>
      <c r="G192" s="1183" t="s">
        <v>1133</v>
      </c>
      <c r="K192" s="1179"/>
    </row>
    <row r="193" spans="4:11" x14ac:dyDescent="0.5">
      <c r="D193" s="1171" t="s">
        <v>51</v>
      </c>
      <c r="E193" s="1203">
        <f>IF(Case=E$192,$K$90,E193)</f>
        <v>58716.541377539921</v>
      </c>
      <c r="F193" s="1203">
        <f ca="1">IF(Case=F$192,$K$90,F193)</f>
        <v>63842.127200687384</v>
      </c>
      <c r="G193" s="1203">
        <f ca="1">IF(Case=G$192,$K$90,G193)</f>
        <v>51292.302320250885</v>
      </c>
      <c r="K193" s="1179"/>
    </row>
    <row r="194" spans="4:11" x14ac:dyDescent="0.5">
      <c r="D194" s="1201" t="s">
        <v>1144</v>
      </c>
      <c r="E194" s="1202" cm="1">
        <f t="array" ref="E194:G194">TRANSPOSE([1]Assumptions!H113:H115)</f>
        <v>22</v>
      </c>
      <c r="F194" s="1202">
        <v>24</v>
      </c>
      <c r="G194" s="1202">
        <v>18</v>
      </c>
      <c r="K194" s="1179"/>
    </row>
    <row r="195" spans="4:11" s="1197" customFormat="1" x14ac:dyDescent="0.5">
      <c r="D195" s="1197" t="s">
        <v>1143</v>
      </c>
      <c r="E195" s="1199">
        <f>E193*E194</f>
        <v>1291763.9103058781</v>
      </c>
      <c r="F195" s="1199">
        <f ca="1">F193*F194</f>
        <v>1532211.0528164972</v>
      </c>
      <c r="G195" s="1199">
        <f ca="1">G193*G194</f>
        <v>923261.44176451594</v>
      </c>
      <c r="K195" s="1198"/>
    </row>
    <row r="196" spans="4:11" x14ac:dyDescent="0.5">
      <c r="D196" s="1171" t="s">
        <v>1142</v>
      </c>
      <c r="E196" s="1196">
        <f>[1]Model!J152</f>
        <v>28826</v>
      </c>
      <c r="F196" s="1196">
        <f>E196</f>
        <v>28826</v>
      </c>
      <c r="G196" s="1196">
        <f>F196</f>
        <v>28826</v>
      </c>
      <c r="K196" s="1179"/>
    </row>
    <row r="197" spans="4:11" x14ac:dyDescent="0.5">
      <c r="D197" s="1201" t="s">
        <v>1141</v>
      </c>
      <c r="E197" s="1200">
        <f>IF(Case=E$192,[1]Model!$J$141+[1]Model!$J$142+$K$104,E197)</f>
        <v>132133.8745588499</v>
      </c>
      <c r="F197" s="1200">
        <f ca="1">IF(Case=F$192,[1]Model!$J$141+[1]Model!$J$142+$K$104,F197)</f>
        <v>139470.2096613989</v>
      </c>
      <c r="G197" s="1200">
        <f ca="1">IF(Case=G$192,[1]Model!$J$141+[1]Model!$J$142+$K$104,G197)</f>
        <v>120219.17689783055</v>
      </c>
      <c r="K197" s="1179"/>
    </row>
    <row r="198" spans="4:11" s="1197" customFormat="1" x14ac:dyDescent="0.5">
      <c r="D198" s="1197" t="s">
        <v>1140</v>
      </c>
      <c r="E198" s="1199">
        <f>SUM(E195:E197)</f>
        <v>1452723.7848647281</v>
      </c>
      <c r="F198" s="1199">
        <f ca="1">SUM(F195:F197)</f>
        <v>1700507.2624778962</v>
      </c>
      <c r="G198" s="1199">
        <f ca="1">SUM(G195:G197)</f>
        <v>1072306.6186623464</v>
      </c>
      <c r="K198" s="1198"/>
    </row>
    <row r="199" spans="4:11" x14ac:dyDescent="0.5">
      <c r="D199" s="1171" t="s">
        <v>1139</v>
      </c>
      <c r="E199" s="1196">
        <f>[1]Historicals!BW465</f>
        <v>2614</v>
      </c>
      <c r="F199" s="1196">
        <f>E199</f>
        <v>2614</v>
      </c>
      <c r="G199" s="1196">
        <f>F199</f>
        <v>2614</v>
      </c>
      <c r="K199" s="1179"/>
    </row>
    <row r="200" spans="4:11" x14ac:dyDescent="0.5">
      <c r="D200" s="1195" t="s">
        <v>1136</v>
      </c>
      <c r="E200" s="1194">
        <f>E198/E199</f>
        <v>555.74743108826635</v>
      </c>
      <c r="F200" s="1194">
        <f ca="1">F198/F199</f>
        <v>650.53835595940939</v>
      </c>
      <c r="G200" s="1193">
        <f ca="1">G198/G199</f>
        <v>410.21676306899252</v>
      </c>
      <c r="K200" s="1179"/>
    </row>
    <row r="201" spans="4:11" x14ac:dyDescent="0.5">
      <c r="E201" s="1192"/>
      <c r="F201" s="1192"/>
      <c r="G201" s="1192"/>
      <c r="K201" s="1179"/>
    </row>
    <row r="202" spans="4:11" x14ac:dyDescent="0.5">
      <c r="D202" s="1191" t="s">
        <v>1138</v>
      </c>
      <c r="E202" s="1190">
        <f ca="1">XIRR(F210:F211,$E$210:$E$211)</f>
        <v>-0.10281697325408456</v>
      </c>
      <c r="F202" s="1190">
        <f ca="1">XIRR(G210:G211,$E$210:$E$211)</f>
        <v>0.13885257840156554</v>
      </c>
      <c r="G202" s="1189">
        <f ca="1">XIRR(H210:H211,$E$210:$E$211)</f>
        <v>-0.43353912159800539</v>
      </c>
      <c r="K202" s="1179"/>
    </row>
    <row r="203" spans="4:11" x14ac:dyDescent="0.5">
      <c r="D203" s="1188" t="s">
        <v>1137</v>
      </c>
      <c r="E203" s="1187">
        <f ca="1">-F211/F210</f>
        <v>0.93086903468605131</v>
      </c>
      <c r="F203" s="1187">
        <f ca="1">-G211/G210</f>
        <v>1.0896424842708945</v>
      </c>
      <c r="G203" s="1186">
        <f ca="1">-H211/H210</f>
        <v>0.68710723772904181</v>
      </c>
      <c r="K203" s="1179"/>
    </row>
    <row r="204" spans="4:11" x14ac:dyDescent="0.5">
      <c r="K204" s="1179"/>
    </row>
    <row r="208" spans="4:11" x14ac:dyDescent="0.5">
      <c r="D208" s="1185" t="e" vm="1">
        <v>#VALUE!</v>
      </c>
    </row>
    <row r="209" spans="4:27" ht="14.7" x14ac:dyDescent="0.8">
      <c r="D209" s="1171" t="s">
        <v>1136</v>
      </c>
      <c r="E209" s="1184" t="s">
        <v>368</v>
      </c>
      <c r="F209" s="1184" t="s">
        <v>1135</v>
      </c>
      <c r="G209" s="1183" t="s">
        <v>1134</v>
      </c>
      <c r="H209" s="1182" t="s">
        <v>1133</v>
      </c>
    </row>
    <row r="210" spans="4:27" x14ac:dyDescent="0.5">
      <c r="D210" s="1171" t="s">
        <v>1132</v>
      </c>
      <c r="E210" s="1181">
        <f ca="1">TODAY()</f>
        <v>45781</v>
      </c>
      <c r="F210" s="1180" cm="1">
        <f t="array" aca="1" ref="F210" ca="1">-_FV(D208,"Price")</f>
        <v>-597.02</v>
      </c>
      <c r="G210" s="1180">
        <f ca="1">F210</f>
        <v>-597.02</v>
      </c>
      <c r="H210" s="1180">
        <f ca="1">G210</f>
        <v>-597.02</v>
      </c>
    </row>
    <row r="211" spans="4:27" x14ac:dyDescent="0.5">
      <c r="D211" s="1171" t="s">
        <v>1131</v>
      </c>
      <c r="E211" s="1181">
        <v>46022</v>
      </c>
      <c r="F211" s="1180">
        <f>E200</f>
        <v>555.74743108826635</v>
      </c>
      <c r="G211" s="1180">
        <f ca="1">F200</f>
        <v>650.53835595940939</v>
      </c>
      <c r="H211" s="1180">
        <f ca="1">G200</f>
        <v>410.21676306899252</v>
      </c>
    </row>
    <row r="215" spans="4:27" x14ac:dyDescent="0.5">
      <c r="D215" s="1171" t="s">
        <v>1130</v>
      </c>
      <c r="E215" s="1178">
        <f>[1]Model!E50+[1]Model!E52+[1]Model!E53</f>
        <v>826</v>
      </c>
      <c r="F215" s="1178">
        <f>[1]Model!F50+[1]Model!F52+[1]Model!F53</f>
        <v>509</v>
      </c>
      <c r="G215" s="1178">
        <f>[1]Model!G50+[1]Model!G52+[1]Model!G53</f>
        <v>531</v>
      </c>
      <c r="H215" s="1178">
        <f>[1]Model!H50+[1]Model!H52+[1]Model!H53</f>
        <v>-125</v>
      </c>
      <c r="I215" s="1178">
        <f>[1]Model!I50+[1]Model!I52+[1]Model!I53</f>
        <v>677</v>
      </c>
      <c r="J215" s="1178">
        <f>[1]Model!J50+[1]Model!J52+[1]Model!J53</f>
        <v>1283</v>
      </c>
      <c r="K215" s="1178">
        <f>[1]Model!K50+[1]Model!K52+[1]Model!K53</f>
        <v>1325.8333432714662</v>
      </c>
      <c r="L215" s="1178">
        <f>[1]Model!L50+[1]Model!L52+[1]Model!L53</f>
        <v>2248.462222604634</v>
      </c>
      <c r="M215" s="1178">
        <f>[1]Model!M50+[1]Model!M52+[1]Model!M53</f>
        <v>3422.7044118270528</v>
      </c>
      <c r="N215" s="1178">
        <f>[1]Model!N50+[1]Model!N52+[1]Model!N53</f>
        <v>4883.2976910429297</v>
      </c>
      <c r="O215" s="1178">
        <f>[1]Model!O50+[1]Model!O52+[1]Model!O53</f>
        <v>6638.0237730627268</v>
      </c>
      <c r="P215" s="1178">
        <f>[1]Model!P50+[1]Model!P52+[1]Model!P53</f>
        <v>8720.9947683393402</v>
      </c>
      <c r="Q215" s="1178">
        <f>[1]Model!Q50+[1]Model!Q52+[1]Model!Q53</f>
        <v>11197.504849457622</v>
      </c>
      <c r="R215" s="1178">
        <f>[1]Model!R50+[1]Model!R52+[1]Model!R53</f>
        <v>14106.571060248905</v>
      </c>
      <c r="S215" s="1178">
        <f>[1]Model!S50+[1]Model!S52+[1]Model!S53</f>
        <v>17498.395292379977</v>
      </c>
      <c r="T215" s="1178">
        <f>[1]Model!T50+[1]Model!T52+[1]Model!T53</f>
        <v>21427.771215374119</v>
      </c>
      <c r="W215" s="1176">
        <f>(J215/E215)^(1/5)-1</f>
        <v>9.2067095519853703E-2</v>
      </c>
      <c r="X215" s="1176">
        <f>(J215/G215)^(1/3)-1</f>
        <v>0.34187082875269725</v>
      </c>
      <c r="Y215" s="1177">
        <f>(M215/J215)^(1/3)-1</f>
        <v>0.38690776416706729</v>
      </c>
      <c r="Z215" s="1176">
        <f>(O215/J215)^(1/5)-1</f>
        <v>0.38919249822306634</v>
      </c>
      <c r="AA215" s="1176">
        <f>(T215/J215)^(1/10)-1</f>
        <v>0.32518049333097365</v>
      </c>
    </row>
    <row r="216" spans="4:27" s="1172" customFormat="1" x14ac:dyDescent="0.5">
      <c r="D216" s="1172" t="s">
        <v>1129</v>
      </c>
      <c r="E216" s="1174">
        <f>E215/E67</f>
        <v>1.1683664087585047E-2</v>
      </c>
      <c r="F216" s="1174">
        <f>F215/F67</f>
        <v>5.9210143663118711E-3</v>
      </c>
      <c r="G216" s="1174">
        <f>G215/G67</f>
        <v>4.5027092572649642E-3</v>
      </c>
      <c r="H216" s="1174">
        <f>H215/H67</f>
        <v>-1.0719584251644384E-3</v>
      </c>
      <c r="I216" s="1174">
        <f>I215/I67</f>
        <v>5.018457843471557E-3</v>
      </c>
      <c r="J216" s="1174">
        <f>J215/J67</f>
        <v>7.7993446848347425E-3</v>
      </c>
      <c r="K216" s="1174">
        <f>K215/K67</f>
        <v>7.4467168798594942E-3</v>
      </c>
      <c r="L216" s="1174">
        <f>L215/L67</f>
        <v>1.1451936688068457E-2</v>
      </c>
      <c r="M216" s="1174">
        <f>M215/M67</f>
        <v>1.5884781177411603E-2</v>
      </c>
      <c r="N216" s="1174">
        <f>N215/N67</f>
        <v>2.1137353063148245E-2</v>
      </c>
      <c r="O216" s="1174">
        <f>O215/O67</f>
        <v>2.679579175496084E-2</v>
      </c>
      <c r="P216" s="1174">
        <f>P215/P67</f>
        <v>3.2669451229705125E-2</v>
      </c>
      <c r="Q216" s="1174">
        <f>Q215/Q67</f>
        <v>3.8739976718723618E-2</v>
      </c>
      <c r="R216" s="1174">
        <f>R215/R67</f>
        <v>4.5070265991937933E-2</v>
      </c>
      <c r="S216" s="1174">
        <f>S215/S67</f>
        <v>5.1625444505111147E-2</v>
      </c>
      <c r="T216" s="1174">
        <f>T215/T67</f>
        <v>5.8371899092755163E-2</v>
      </c>
      <c r="Y216" s="1173"/>
    </row>
    <row r="217" spans="4:27" x14ac:dyDescent="0.5">
      <c r="E217" s="1178"/>
      <c r="F217" s="1178"/>
      <c r="G217" s="1178"/>
      <c r="H217" s="1178"/>
      <c r="I217" s="1178"/>
      <c r="J217" s="1178"/>
      <c r="K217" s="1178"/>
      <c r="L217" s="1178"/>
      <c r="M217" s="1178"/>
      <c r="N217" s="1178"/>
      <c r="O217" s="1178"/>
      <c r="P217" s="1178"/>
      <c r="Q217" s="1178"/>
      <c r="R217" s="1178"/>
      <c r="S217" s="1178"/>
      <c r="T217" s="1178"/>
      <c r="Y217" s="1179"/>
    </row>
    <row r="218" spans="4:27" x14ac:dyDescent="0.5">
      <c r="D218" s="1171" t="s">
        <v>1128</v>
      </c>
      <c r="E218" s="1178">
        <f>[1]Model!E56</f>
        <v>6327</v>
      </c>
      <c r="F218" s="1178">
        <f>[1]Model!F56</f>
        <v>4034</v>
      </c>
      <c r="G218" s="1178">
        <f>[1]Model!G56</f>
        <v>7914</v>
      </c>
      <c r="H218" s="1178">
        <f>[1]Model!H56</f>
        <v>5619</v>
      </c>
      <c r="I218" s="1178">
        <f>[1]Model!I56</f>
        <v>8330</v>
      </c>
      <c r="J218" s="1178">
        <f>[1]Model!J56</f>
        <v>8303</v>
      </c>
      <c r="K218" s="1178">
        <f>[1]Model!K56</f>
        <v>9163.8532785755961</v>
      </c>
      <c r="L218" s="1178">
        <f>[1]Model!L56</f>
        <v>10141.616110174657</v>
      </c>
      <c r="M218" s="1178">
        <f>[1]Model!M56</f>
        <v>11258.182644813489</v>
      </c>
      <c r="N218" s="1178">
        <f>[1]Model!N56</f>
        <v>12319.439489935063</v>
      </c>
      <c r="O218" s="1178">
        <f>[1]Model!O56</f>
        <v>13545.409933822475</v>
      </c>
      <c r="P218" s="1178">
        <f>[1]Model!P56</f>
        <v>15091.331075186181</v>
      </c>
      <c r="Q218" s="1178">
        <f>[1]Model!Q56</f>
        <v>17004.875006383372</v>
      </c>
      <c r="R218" s="1178">
        <f>[1]Model!R56</f>
        <v>19179.31275819505</v>
      </c>
      <c r="S218" s="1178">
        <f>[1]Model!S56</f>
        <v>21638.761815792153</v>
      </c>
      <c r="T218" s="1178">
        <f>[1]Model!T56</f>
        <v>24409.498270419426</v>
      </c>
      <c r="W218" s="1176">
        <f>(J218/E218)^(1/5)-1</f>
        <v>5.5862682189231405E-2</v>
      </c>
      <c r="X218" s="1176">
        <f>(J218/G218)^(1/3)-1</f>
        <v>1.6123114433749919E-2</v>
      </c>
      <c r="Y218" s="1177">
        <f>(M218/J218)^(1/3)-1</f>
        <v>0.106821917954663</v>
      </c>
      <c r="Z218" s="1176">
        <f>(O218/J218)^(1/5)-1</f>
        <v>0.10283724076174172</v>
      </c>
      <c r="AA218" s="1176">
        <f>(T218/J218)^(1/10)-1</f>
        <v>0.11386454801883894</v>
      </c>
    </row>
    <row r="219" spans="4:27" s="1172" customFormat="1" x14ac:dyDescent="0.5">
      <c r="D219" s="1175" t="s">
        <v>1127</v>
      </c>
      <c r="P219" s="1174">
        <f>[1]Model!P57</f>
        <v>0.13500000000000001</v>
      </c>
      <c r="Q219" s="1174">
        <f>[1]Model!Q57</f>
        <v>0.13500000000000001</v>
      </c>
      <c r="R219" s="1174">
        <f>[1]Model!R57</f>
        <v>0.13500000000000001</v>
      </c>
      <c r="S219" s="1174">
        <f>[1]Model!S57</f>
        <v>0.13500000000000001</v>
      </c>
      <c r="T219" s="1174">
        <f>[1]Model!T57</f>
        <v>0.13500000000000001</v>
      </c>
      <c r="Y219" s="1173"/>
    </row>
  </sheetData>
  <pageMargins left="0.7" right="0.7" top="0.75" bottom="0.75" header="0.3" footer="0.3"/>
  <pageSetup scale="32"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5B2BD-95D0-40A7-9938-A5F3E086999F}">
  <sheetPr>
    <tabColor rgb="FF0E2841"/>
    <pageSetUpPr fitToPage="1"/>
  </sheetPr>
  <dimension ref="D3:J18"/>
  <sheetViews>
    <sheetView showGridLines="0" view="pageBreakPreview" zoomScaleSheetLayoutView="100" workbookViewId="0"/>
  </sheetViews>
  <sheetFormatPr defaultRowHeight="12.6" x14ac:dyDescent="0.45"/>
  <cols>
    <col min="1" max="3" width="2.89453125" style="1405" customWidth="1"/>
    <col min="4" max="4" width="8.83984375" style="1407"/>
    <col min="5" max="5" width="22.7890625" style="1407" customWidth="1"/>
    <col min="6" max="7" width="44.89453125" style="1407" customWidth="1"/>
    <col min="8" max="10" width="2.89453125" style="1407" customWidth="1"/>
    <col min="11" max="16384" width="8.83984375" style="1405"/>
  </cols>
  <sheetData>
    <row r="3" spans="4:8" s="1408" customFormat="1" ht="12.6" customHeight="1" x14ac:dyDescent="0.55000000000000004">
      <c r="D3" s="1418" t="s">
        <v>1450</v>
      </c>
      <c r="E3" s="1424"/>
      <c r="F3" s="1424"/>
      <c r="G3" s="1424"/>
      <c r="H3" s="1411"/>
    </row>
    <row r="4" spans="4:8" s="1408" customFormat="1" ht="4" customHeight="1" x14ac:dyDescent="0.55000000000000004">
      <c r="D4" s="1411"/>
      <c r="E4" s="1411"/>
      <c r="F4" s="1411"/>
      <c r="G4" s="1411"/>
      <c r="H4" s="1411"/>
    </row>
    <row r="5" spans="4:8" s="1408" customFormat="1" ht="20.05" customHeight="1" x14ac:dyDescent="0.85">
      <c r="D5" s="1414" t="s">
        <v>1376</v>
      </c>
      <c r="E5" s="1414" t="s">
        <v>361</v>
      </c>
      <c r="F5" s="1414" t="s">
        <v>1449</v>
      </c>
      <c r="G5" s="1414" t="s">
        <v>1448</v>
      </c>
      <c r="H5" s="1411"/>
    </row>
    <row r="6" spans="4:8" s="1408" customFormat="1" ht="4" customHeight="1" x14ac:dyDescent="0.85">
      <c r="D6" s="1414"/>
      <c r="E6" s="1414"/>
      <c r="F6" s="1414"/>
      <c r="G6" s="1414"/>
      <c r="H6" s="1411"/>
    </row>
    <row r="7" spans="4:8" s="1408" customFormat="1" ht="50.05" customHeight="1" x14ac:dyDescent="0.55000000000000004">
      <c r="D7" s="1421">
        <v>1</v>
      </c>
      <c r="E7" s="1420" t="s">
        <v>1447</v>
      </c>
      <c r="F7" s="1423" t="s">
        <v>1446</v>
      </c>
      <c r="G7" s="1423"/>
      <c r="H7" s="1411"/>
    </row>
    <row r="8" spans="4:8" s="1408" customFormat="1" ht="50.05" customHeight="1" x14ac:dyDescent="0.55000000000000004">
      <c r="D8" s="1421">
        <f t="shared" ref="D8:D18" si="0">D7+1</f>
        <v>2</v>
      </c>
      <c r="E8" s="1420" t="s">
        <v>1445</v>
      </c>
      <c r="F8" s="1423" t="s">
        <v>1444</v>
      </c>
      <c r="G8" s="1423"/>
      <c r="H8" s="1411"/>
    </row>
    <row r="9" spans="4:8" s="1408" customFormat="1" ht="50.05" customHeight="1" x14ac:dyDescent="0.55000000000000004">
      <c r="D9" s="1421">
        <f t="shared" si="0"/>
        <v>3</v>
      </c>
      <c r="E9" s="1420" t="s">
        <v>1443</v>
      </c>
      <c r="F9" s="1423" t="s">
        <v>1442</v>
      </c>
      <c r="G9" s="1423"/>
      <c r="H9" s="1411"/>
    </row>
    <row r="10" spans="4:8" s="1408" customFormat="1" ht="50.05" customHeight="1" x14ac:dyDescent="0.55000000000000004">
      <c r="D10" s="1422">
        <f t="shared" si="0"/>
        <v>4</v>
      </c>
      <c r="E10" s="1410" t="s">
        <v>1293</v>
      </c>
      <c r="F10" s="1423" t="s">
        <v>1441</v>
      </c>
      <c r="G10" s="1410"/>
      <c r="H10" s="1411"/>
    </row>
    <row r="11" spans="4:8" s="1408" customFormat="1" ht="50.05" customHeight="1" x14ac:dyDescent="0.55000000000000004">
      <c r="D11" s="1421">
        <f t="shared" si="0"/>
        <v>5</v>
      </c>
      <c r="E11" s="1420"/>
      <c r="F11" s="1420"/>
      <c r="G11" s="1420"/>
      <c r="H11" s="1411"/>
    </row>
    <row r="12" spans="4:8" s="1408" customFormat="1" ht="50.05" customHeight="1" x14ac:dyDescent="0.55000000000000004">
      <c r="D12" s="1421">
        <f t="shared" si="0"/>
        <v>6</v>
      </c>
      <c r="E12" s="1420"/>
      <c r="F12" s="1420"/>
      <c r="G12" s="1420"/>
      <c r="H12" s="1411"/>
    </row>
    <row r="13" spans="4:8" s="1408" customFormat="1" ht="50.05" customHeight="1" x14ac:dyDescent="0.55000000000000004">
      <c r="D13" s="1421">
        <f t="shared" si="0"/>
        <v>7</v>
      </c>
      <c r="E13" s="1420"/>
      <c r="F13" s="1420"/>
      <c r="G13" s="1420"/>
      <c r="H13" s="1411"/>
    </row>
    <row r="14" spans="4:8" s="1408" customFormat="1" ht="50.05" customHeight="1" x14ac:dyDescent="0.55000000000000004">
      <c r="D14" s="1421">
        <f t="shared" si="0"/>
        <v>8</v>
      </c>
      <c r="E14" s="1420"/>
      <c r="F14" s="1420"/>
      <c r="G14" s="1420"/>
      <c r="H14" s="1411"/>
    </row>
    <row r="15" spans="4:8" s="1408" customFormat="1" ht="50.05" customHeight="1" x14ac:dyDescent="0.55000000000000004">
      <c r="D15" s="1421">
        <f t="shared" si="0"/>
        <v>9</v>
      </c>
      <c r="E15" s="1420"/>
      <c r="F15" s="1420"/>
      <c r="G15" s="1420"/>
      <c r="H15" s="1411"/>
    </row>
    <row r="16" spans="4:8" ht="50.05" customHeight="1" x14ac:dyDescent="0.45">
      <c r="D16" s="1421">
        <f t="shared" si="0"/>
        <v>10</v>
      </c>
      <c r="E16" s="1420"/>
      <c r="F16" s="1420"/>
      <c r="G16" s="1420"/>
    </row>
    <row r="17" spans="4:7" ht="50.05" customHeight="1" x14ac:dyDescent="0.45">
      <c r="D17" s="1422">
        <f t="shared" si="0"/>
        <v>11</v>
      </c>
      <c r="E17" s="1410"/>
      <c r="F17" s="1410"/>
      <c r="G17" s="1410"/>
    </row>
    <row r="18" spans="4:7" ht="50.05" customHeight="1" x14ac:dyDescent="0.45">
      <c r="D18" s="1421">
        <f t="shared" si="0"/>
        <v>12</v>
      </c>
      <c r="E18" s="1420"/>
      <c r="F18" s="1420"/>
      <c r="G18" s="1420"/>
    </row>
  </sheetData>
  <pageMargins left="0.7" right="0.7" top="0.75" bottom="0.75" header="0.3" footer="0.3"/>
  <pageSetup scale="6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F5B9-A666-4423-BC79-D8295A9D58C6}">
  <sheetPr>
    <tabColor rgb="FF0E2841"/>
    <pageSetUpPr fitToPage="1"/>
  </sheetPr>
  <dimension ref="D3:J11"/>
  <sheetViews>
    <sheetView showGridLines="0" view="pageBreakPreview" zoomScaleSheetLayoutView="100" workbookViewId="0">
      <selection activeCell="E42" sqref="E42"/>
    </sheetView>
  </sheetViews>
  <sheetFormatPr defaultRowHeight="12.6" x14ac:dyDescent="0.45"/>
  <cols>
    <col min="1" max="3" width="2.89453125" style="1405" customWidth="1"/>
    <col min="4" max="4" width="8.83984375" style="1407"/>
    <col min="5" max="5" width="22.7890625" style="1407" customWidth="1"/>
    <col min="6" max="7" width="44.89453125" style="1407" customWidth="1"/>
    <col min="8" max="10" width="2.89453125" style="1407" customWidth="1"/>
    <col min="11" max="16384" width="8.83984375" style="1405"/>
  </cols>
  <sheetData>
    <row r="3" spans="4:8" s="1408" customFormat="1" ht="12.6" customHeight="1" x14ac:dyDescent="0.55000000000000004">
      <c r="D3" s="1418" t="s">
        <v>1467</v>
      </c>
      <c r="E3" s="1424"/>
      <c r="F3" s="1424"/>
      <c r="G3" s="1424"/>
      <c r="H3" s="1411"/>
    </row>
    <row r="4" spans="4:8" s="1408" customFormat="1" ht="4" customHeight="1" x14ac:dyDescent="0.55000000000000004">
      <c r="D4" s="1411"/>
      <c r="E4" s="1411"/>
      <c r="F4" s="1411"/>
      <c r="G4" s="1411"/>
      <c r="H4" s="1411"/>
    </row>
    <row r="5" spans="4:8" s="1408" customFormat="1" ht="20.05" customHeight="1" x14ac:dyDescent="0.4">
      <c r="D5" s="1426" t="s">
        <v>1376</v>
      </c>
      <c r="E5" s="1426" t="s">
        <v>361</v>
      </c>
      <c r="F5" s="1426" t="s">
        <v>1466</v>
      </c>
      <c r="G5" s="1426" t="s">
        <v>1465</v>
      </c>
      <c r="H5" s="1411"/>
    </row>
    <row r="6" spans="4:8" s="1408" customFormat="1" ht="50.1" customHeight="1" x14ac:dyDescent="0.55000000000000004">
      <c r="D6" s="1421">
        <v>1</v>
      </c>
      <c r="E6" s="1420" t="s">
        <v>1464</v>
      </c>
      <c r="F6" s="1425" t="s">
        <v>1463</v>
      </c>
      <c r="G6" s="1423" t="s">
        <v>1462</v>
      </c>
      <c r="H6" s="1411"/>
    </row>
    <row r="7" spans="4:8" s="1408" customFormat="1" ht="50.1" customHeight="1" x14ac:dyDescent="0.55000000000000004">
      <c r="D7" s="1421">
        <f>D6+1</f>
        <v>2</v>
      </c>
      <c r="E7" s="1425" t="s">
        <v>1461</v>
      </c>
      <c r="F7" s="1423" t="s">
        <v>1460</v>
      </c>
      <c r="G7" s="1423" t="s">
        <v>1459</v>
      </c>
      <c r="H7" s="1411"/>
    </row>
    <row r="8" spans="4:8" s="1408" customFormat="1" ht="50.1" customHeight="1" x14ac:dyDescent="0.55000000000000004">
      <c r="D8" s="1421">
        <f>D7+1</f>
        <v>3</v>
      </c>
      <c r="E8" s="1420" t="s">
        <v>1458</v>
      </c>
      <c r="F8" s="1425" t="s">
        <v>1457</v>
      </c>
      <c r="G8" s="1423" t="s">
        <v>1456</v>
      </c>
      <c r="H8" s="1411"/>
    </row>
    <row r="9" spans="4:8" s="1408" customFormat="1" ht="50.1" customHeight="1" x14ac:dyDescent="0.55000000000000004">
      <c r="D9" s="1421">
        <f>D8+1</f>
        <v>4</v>
      </c>
      <c r="E9" s="1420" t="s">
        <v>1455</v>
      </c>
      <c r="F9" s="1423" t="s">
        <v>1454</v>
      </c>
      <c r="G9" s="1423" t="s">
        <v>1453</v>
      </c>
      <c r="H9" s="1411"/>
    </row>
    <row r="10" spans="4:8" s="1408" customFormat="1" ht="50.1" customHeight="1" x14ac:dyDescent="0.55000000000000004">
      <c r="D10" s="1421">
        <f>D9+1</f>
        <v>5</v>
      </c>
      <c r="E10" s="1420" t="s">
        <v>1452</v>
      </c>
      <c r="F10" s="1423" t="s">
        <v>1451</v>
      </c>
      <c r="G10" s="1423"/>
      <c r="H10" s="1411"/>
    </row>
    <row r="11" spans="4:8" ht="50.05" customHeight="1" x14ac:dyDescent="0.45"/>
  </sheetData>
  <pageMargins left="0.7" right="0.7" top="0.75" bottom="0.75" header="0.3" footer="0.3"/>
  <pageSetup scale="6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ADABF-0BE0-4C81-89CB-9898FC5E8BAD}">
  <sheetPr>
    <tabColor rgb="FF0E2841"/>
    <pageSetUpPr fitToPage="1"/>
  </sheetPr>
  <dimension ref="A2:AB299"/>
  <sheetViews>
    <sheetView showGridLines="0" view="pageBreakPreview" zoomScale="85" zoomScaleSheetLayoutView="85" workbookViewId="0"/>
  </sheetViews>
  <sheetFormatPr defaultRowHeight="12.9" x14ac:dyDescent="0.5"/>
  <cols>
    <col min="1" max="2" width="8.83984375" style="1358"/>
    <col min="3" max="3" width="11.26171875" style="1358" bestFit="1" customWidth="1"/>
    <col min="4" max="4" width="14.5234375" style="1358" bestFit="1" customWidth="1"/>
    <col min="5" max="7" width="12.62890625" style="1358" bestFit="1" customWidth="1"/>
    <col min="8" max="10" width="12.62890625" style="1358" customWidth="1"/>
    <col min="11" max="11" width="10.62890625" style="1358" bestFit="1" customWidth="1"/>
    <col min="12" max="12" width="9.734375" style="1358" bestFit="1" customWidth="1"/>
    <col min="13" max="14" width="8.83984375" style="1358"/>
    <col min="15" max="15" width="10.734375" style="1358" bestFit="1" customWidth="1"/>
    <col min="16" max="16" width="8.83984375" style="1180"/>
    <col min="17" max="17" width="11.62890625" style="1358" bestFit="1" customWidth="1"/>
    <col min="18" max="18" width="8.83984375" style="1180"/>
    <col min="19" max="19" width="10.734375" style="1358" bestFit="1" customWidth="1"/>
    <col min="20" max="20" width="8.83984375" style="1180"/>
    <col min="21" max="21" width="10.734375" style="1358" bestFit="1" customWidth="1"/>
    <col min="22" max="22" width="8.83984375" style="1180"/>
    <col min="23" max="23" width="10.734375" style="1358" bestFit="1" customWidth="1"/>
    <col min="24" max="24" width="8.83984375" style="1180"/>
    <col min="25" max="25" width="10.734375" style="1358" bestFit="1" customWidth="1"/>
    <col min="26" max="26" width="8.83984375" style="1180"/>
    <col min="27" max="27" width="10.734375" style="1358" bestFit="1" customWidth="1"/>
    <col min="28" max="28" width="8.83984375" style="1180"/>
    <col min="29" max="16384" width="8.83984375" style="1358"/>
  </cols>
  <sheetData>
    <row r="2" spans="1:28" x14ac:dyDescent="0.5">
      <c r="D2" s="1288" t="s">
        <v>1520</v>
      </c>
      <c r="E2" s="1440">
        <v>43831</v>
      </c>
      <c r="O2" s="1443" t="str">
        <f>O13</f>
        <v>Meta</v>
      </c>
      <c r="P2" s="1442"/>
      <c r="Q2" s="1443" t="str">
        <f>Q13</f>
        <v>Amazon</v>
      </c>
      <c r="R2" s="1442"/>
      <c r="S2" s="1443" t="str">
        <f>S13</f>
        <v>Google</v>
      </c>
      <c r="T2" s="1442"/>
      <c r="U2" s="1443" t="str">
        <f>U13</f>
        <v>TTD</v>
      </c>
      <c r="V2" s="1442"/>
      <c r="W2" s="1443" t="str">
        <f>W13</f>
        <v>Netflix</v>
      </c>
      <c r="X2" s="1442"/>
      <c r="Y2" s="1443" t="str">
        <f>Y13</f>
        <v>NASDAQ</v>
      </c>
      <c r="Z2" s="1442"/>
      <c r="AA2" s="1443" t="str">
        <f>AA13</f>
        <v>S&amp;P 500</v>
      </c>
      <c r="AB2" s="1442"/>
    </row>
    <row r="3" spans="1:28" x14ac:dyDescent="0.5">
      <c r="D3" s="1288" t="s">
        <v>1132</v>
      </c>
      <c r="E3" s="1440">
        <f ca="1">TODAY()</f>
        <v>45781</v>
      </c>
    </row>
    <row r="4" spans="1:28" x14ac:dyDescent="0.5">
      <c r="O4" s="1358" t="s">
        <v>1519</v>
      </c>
      <c r="P4" s="1180" cm="1">
        <f t="array" aca="1" ref="P4" ca="1">_FV(D5,"Price")</f>
        <v>597.02</v>
      </c>
      <c r="Q4" s="1358" t="s">
        <v>1519</v>
      </c>
      <c r="R4" s="1180" cm="1">
        <f t="array" aca="1" ref="R4" ca="1">_FV(E5,"Price")</f>
        <v>189.98</v>
      </c>
      <c r="S4" s="1358" t="s">
        <v>1519</v>
      </c>
      <c r="T4" s="1180" cm="1">
        <f t="array" aca="1" ref="T4" ca="1">_FV(F5,"Price")</f>
        <v>165.81</v>
      </c>
      <c r="U4" s="1358" t="s">
        <v>1519</v>
      </c>
      <c r="V4" s="1180" cm="1">
        <f t="array" aca="1" ref="V4" ca="1">_FV(G5,"Price")</f>
        <v>54.09</v>
      </c>
      <c r="W4" s="1358" t="s">
        <v>1519</v>
      </c>
      <c r="X4" s="1180" cm="1">
        <f t="array" aca="1" ref="X4" ca="1">_FV(H5,"Price")</f>
        <v>1156.49</v>
      </c>
      <c r="Y4" s="1358" t="s">
        <v>1519</v>
      </c>
      <c r="Z4" s="1180" cm="1">
        <f t="array" aca="1" ref="Z4" ca="1">_FV(K5,"Price")</f>
        <v>78.180000000000007</v>
      </c>
      <c r="AA4" s="1358" t="s">
        <v>1519</v>
      </c>
      <c r="AB4" s="1180" cm="1">
        <f t="array" aca="1" ref="AB4" ca="1">_FV(L5,"Price")</f>
        <v>5686.67</v>
      </c>
    </row>
    <row r="5" spans="1:28" x14ac:dyDescent="0.5">
      <c r="D5" s="1441" t="e" vm="1">
        <v>#VALUE!</v>
      </c>
      <c r="E5" s="1441" t="e" vm="2">
        <v>#VALUE!</v>
      </c>
      <c r="F5" s="1441" t="e" vm="3">
        <v>#VALUE!</v>
      </c>
      <c r="G5" s="1441" t="e" vm="4">
        <v>#VALUE!</v>
      </c>
      <c r="H5" s="1441" t="e" vm="5">
        <v>#VALUE!</v>
      </c>
      <c r="I5" s="1441"/>
      <c r="J5" s="1441"/>
      <c r="K5" s="1441" t="e" vm="6">
        <v>#VALUE!</v>
      </c>
      <c r="L5" s="1441" t="e" vm="7">
        <v>#VALUE!</v>
      </c>
      <c r="P5" s="1176" cm="1">
        <f t="array" aca="1" ref="P5" ca="1">_FV(D5,"Change (%)",TRUE)</f>
        <v>4.3358000000000001E-2</v>
      </c>
    </row>
    <row r="6" spans="1:28" ht="14.7" x14ac:dyDescent="0.8">
      <c r="C6" s="1183" t="s">
        <v>240</v>
      </c>
      <c r="D6" s="1183" t="s">
        <v>1360</v>
      </c>
      <c r="E6" s="1183" t="s">
        <v>1418</v>
      </c>
      <c r="F6" s="1183" t="s">
        <v>1518</v>
      </c>
      <c r="G6" s="1183" t="s">
        <v>1517</v>
      </c>
      <c r="H6" s="1183" t="s">
        <v>1516</v>
      </c>
      <c r="I6" s="1183"/>
      <c r="J6" s="1183"/>
      <c r="K6" s="1183" t="s">
        <v>1515</v>
      </c>
      <c r="L6" s="1183" t="s">
        <v>1514</v>
      </c>
      <c r="O6" s="1444">
        <f ca="1">B10</f>
        <v>45751</v>
      </c>
      <c r="P6" s="1180" vm="8">
        <f ca="1">_xlfn.XLOOKUP(O6,O$15:O$1048576,P$15:P$1048576,,-1)</f>
        <v>504.73</v>
      </c>
      <c r="Q6" s="1444">
        <f t="shared" ref="Q6:Q11" ca="1" si="0">O6</f>
        <v>45751</v>
      </c>
      <c r="R6" s="1180" vm="9">
        <f ca="1">_xlfn.XLOOKUP(Q6,Q$15:Q$1048576,R$15:R$1048576,,-1)</f>
        <v>171</v>
      </c>
      <c r="S6" s="1444">
        <f t="shared" ref="S6:S11" ca="1" si="1">Q6</f>
        <v>45751</v>
      </c>
      <c r="T6" s="1180" vm="10">
        <f ca="1">_xlfn.XLOOKUP(S6,S$15:S$1048576,T$15:T$1048576,,-1)</f>
        <v>147.74</v>
      </c>
      <c r="U6" s="1444">
        <f t="shared" ref="U6:U11" ca="1" si="2">Q6</f>
        <v>45751</v>
      </c>
      <c r="V6" s="1180" vm="11">
        <f ca="1">_xlfn.XLOOKUP(U6,U$15:U$1048576,V$15:V$1048576,,-1)</f>
        <v>46.24</v>
      </c>
      <c r="W6" s="1444">
        <f t="shared" ref="W6:W11" ca="1" si="3">S6</f>
        <v>45751</v>
      </c>
      <c r="X6" s="1180" vm="12">
        <f ca="1">_xlfn.XLOOKUP(W6,W$15:W$1048576,X$15:X$1048576,,-1)</f>
        <v>855.86</v>
      </c>
      <c r="Y6" s="1444">
        <f t="shared" ref="Y6:Y11" ca="1" si="4">S6</f>
        <v>45751</v>
      </c>
      <c r="Z6" s="1180" vm="13">
        <f ca="1">_xlfn.XLOOKUP(Y6,Y$15:Y$1048576,Z$15:Z$1048576,,-1)</f>
        <v>68.25</v>
      </c>
      <c r="AA6" s="1444">
        <f t="shared" ref="AA6:AA11" ca="1" si="5">U6</f>
        <v>45751</v>
      </c>
      <c r="AB6" s="1180" vm="14">
        <f ca="1">_xlfn.XLOOKUP(AA6,AA$15:AA$1048576,AB$15:AB$1048576,,-1)</f>
        <v>5074.08</v>
      </c>
    </row>
    <row r="7" spans="1:28" x14ac:dyDescent="0.5">
      <c r="C7" s="1288" t="s">
        <v>1357</v>
      </c>
      <c r="D7" s="1436" cm="1">
        <f t="array" aca="1" ref="D7" ca="1">_FV(D5,"Beta")</f>
        <v>1.2317</v>
      </c>
      <c r="E7" s="1436" cm="1">
        <f t="array" aca="1" ref="E7" ca="1">_FV(E5,"Beta")</f>
        <v>1.3269</v>
      </c>
      <c r="F7" s="1436" cm="1">
        <f t="array" aca="1" ref="F7" ca="1">_FV(F5,"Beta")</f>
        <v>1.0071000000000001</v>
      </c>
      <c r="G7" s="1436" cm="1">
        <f t="array" aca="1" ref="G7" ca="1">_FV(G5,"Beta")</f>
        <v>1.2861</v>
      </c>
      <c r="H7" s="1436" cm="1">
        <f t="array" aca="1" ref="H7" ca="1">_FV(H5,"Beta")</f>
        <v>1.6045</v>
      </c>
      <c r="O7" s="1444">
        <f ca="1">B11</f>
        <v>45721</v>
      </c>
      <c r="P7" s="1180" vm="15">
        <f ca="1">_xlfn.XLOOKUP(O7,O$15:O$1048576,P$15:P$1048576,,-1)</f>
        <v>625.66</v>
      </c>
      <c r="Q7" s="1444">
        <f t="shared" ca="1" si="0"/>
        <v>45721</v>
      </c>
      <c r="R7" s="1180" vm="16">
        <f ca="1">_xlfn.XLOOKUP(Q7,Q$15:Q$1048576,R$15:R$1048576,,-1)</f>
        <v>199.25</v>
      </c>
      <c r="S7" s="1444">
        <f t="shared" ca="1" si="1"/>
        <v>45721</v>
      </c>
      <c r="T7" s="1180" vm="17">
        <f ca="1">_xlfn.XLOOKUP(S7,S$15:S$1048576,T$15:T$1048576,,-1)</f>
        <v>175.75</v>
      </c>
      <c r="U7" s="1444">
        <f t="shared" ca="1" si="2"/>
        <v>45721</v>
      </c>
      <c r="V7" s="1180" vm="18">
        <f ca="1">_xlfn.XLOOKUP(U7,U$15:U$1048576,V$15:V$1048576,,-1)</f>
        <v>64.91</v>
      </c>
      <c r="W7" s="1444">
        <f t="shared" ca="1" si="3"/>
        <v>45721</v>
      </c>
      <c r="X7" s="1180" vm="19">
        <f ca="1">_xlfn.XLOOKUP(W7,W$15:W$1048576,X$15:X$1048576,,-1)</f>
        <v>891.11</v>
      </c>
      <c r="Y7" s="1444">
        <f t="shared" ca="1" si="4"/>
        <v>45721</v>
      </c>
      <c r="Z7" s="1180" vm="20">
        <f ca="1">_xlfn.XLOOKUP(Y7,Y$15:Y$1048576,Z$15:Z$1048576,,-1)</f>
        <v>74.66</v>
      </c>
      <c r="AA7" s="1444">
        <f t="shared" ca="1" si="5"/>
        <v>45721</v>
      </c>
      <c r="AB7" s="1180" vm="21">
        <f ca="1">_xlfn.XLOOKUP(AA7,AA$15:AA$1048576,AB$15:AB$1048576,,-1)</f>
        <v>5770.2</v>
      </c>
    </row>
    <row r="8" spans="1:28" x14ac:dyDescent="0.5">
      <c r="C8" s="1288" t="s">
        <v>1513</v>
      </c>
      <c r="D8" s="1180" cm="1">
        <f t="array" aca="1" ref="D8" ca="1">_FV(D5,"Market cap",TRUE)/1000000000</f>
        <v>1501.104</v>
      </c>
      <c r="E8" s="1180" cm="1">
        <f t="array" aca="1" ref="E8" ca="1">_FV(E5,"Market cap",TRUE)/1000000000</f>
        <v>2016.258</v>
      </c>
      <c r="F8" s="1180" cm="1">
        <f t="array" aca="1" ref="F8" ca="1">_FV(F5,"Market cap",TRUE)/1000000000</f>
        <v>1965.509</v>
      </c>
      <c r="G8" s="1180" cm="1">
        <f t="array" aca="1" ref="G8" ca="1">_FV(G5,"Market cap",TRUE)/1000000000</f>
        <v>26.588979999999999</v>
      </c>
      <c r="H8" s="1180" cm="1">
        <f t="array" aca="1" ref="H8" ca="1">_FV(H5,"Market cap",TRUE)/1000000000</f>
        <v>492.16890000000001</v>
      </c>
      <c r="O8" s="1444">
        <f ca="1">B12</f>
        <v>45601</v>
      </c>
      <c r="P8" s="1180" vm="22">
        <f ca="1">_xlfn.XLOOKUP(O8,O$15:O$1048576,P$15:P$1048576,,-1)</f>
        <v>589.34</v>
      </c>
      <c r="Q8" s="1444">
        <f t="shared" ca="1" si="0"/>
        <v>45601</v>
      </c>
      <c r="R8" s="1180" vm="23">
        <f ca="1">_xlfn.XLOOKUP(Q8,Q$15:Q$1048576,R$15:R$1048576,,-1)</f>
        <v>208.18</v>
      </c>
      <c r="S8" s="1444">
        <f t="shared" ca="1" si="1"/>
        <v>45601</v>
      </c>
      <c r="T8" s="1180" vm="24">
        <f ca="1">_xlfn.XLOOKUP(S8,S$15:S$1048576,T$15:T$1048576,,-1)</f>
        <v>179.86</v>
      </c>
      <c r="U8" s="1444">
        <f t="shared" ca="1" si="2"/>
        <v>45601</v>
      </c>
      <c r="V8" s="1180" vm="25">
        <f ca="1">_xlfn.XLOOKUP(U8,U$15:U$1048576,V$15:V$1048576,,-1)</f>
        <v>125.13</v>
      </c>
      <c r="W8" s="1444">
        <f t="shared" ca="1" si="3"/>
        <v>45601</v>
      </c>
      <c r="X8" s="1180" vm="26">
        <f ca="1">_xlfn.XLOOKUP(W8,W$15:W$1048576,X$15:X$1048576,,-1)</f>
        <v>795.04</v>
      </c>
      <c r="Y8" s="1444">
        <f t="shared" ca="1" si="4"/>
        <v>45601</v>
      </c>
      <c r="Z8" s="1180" vm="27">
        <f ca="1">_xlfn.XLOOKUP(Y8,Y$15:Y$1048576,Z$15:Z$1048576,,-1)</f>
        <v>78.69</v>
      </c>
      <c r="AA8" s="1444">
        <f t="shared" ca="1" si="5"/>
        <v>45601</v>
      </c>
      <c r="AB8" s="1180" vm="28">
        <f ca="1">_xlfn.XLOOKUP(AA8,AA$15:AA$1048576,AB$15:AB$1048576,,-1)</f>
        <v>5995.54</v>
      </c>
    </row>
    <row r="9" spans="1:28" ht="4" customHeight="1" x14ac:dyDescent="0.5">
      <c r="O9" s="1444">
        <f ca="1">B13</f>
        <v>45416</v>
      </c>
      <c r="P9" s="1180" vm="29">
        <f ca="1">_xlfn.XLOOKUP(O9,O$15:O$1048576,P$15:P$1048576,,-1)</f>
        <v>451.96</v>
      </c>
      <c r="Q9" s="1444">
        <f t="shared" ca="1" si="0"/>
        <v>45416</v>
      </c>
      <c r="R9" s="1180" vm="30">
        <f ca="1">_xlfn.XLOOKUP(Q9,Q$15:Q$1048576,R$15:R$1048576,,-1)</f>
        <v>186.21</v>
      </c>
      <c r="S9" s="1444">
        <f t="shared" ca="1" si="1"/>
        <v>45416</v>
      </c>
      <c r="T9" s="1180" vm="31">
        <f ca="1">_xlfn.XLOOKUP(S9,S$15:S$1048576,T$15:T$1048576,,-1)</f>
        <v>168.99</v>
      </c>
      <c r="U9" s="1444">
        <f t="shared" ca="1" si="2"/>
        <v>45416</v>
      </c>
      <c r="V9" s="1180" vm="32">
        <f ca="1">_xlfn.XLOOKUP(U9,U$15:U$1048576,V$15:V$1048576,,-1)</f>
        <v>88.59</v>
      </c>
      <c r="W9" s="1444">
        <f t="shared" ca="1" si="3"/>
        <v>45416</v>
      </c>
      <c r="X9" s="1180" vm="33">
        <f ca="1">_xlfn.XLOOKUP(W9,W$15:W$1048576,X$15:X$1048576,,-1)</f>
        <v>579.34</v>
      </c>
      <c r="Y9" s="1444">
        <f t="shared" ca="1" si="4"/>
        <v>45416</v>
      </c>
      <c r="Z9" s="1180" vm="34">
        <f ca="1">_xlfn.XLOOKUP(Y9,Y$15:Y$1048576,Z$15:Z$1048576,,-1)</f>
        <v>60.87</v>
      </c>
      <c r="AA9" s="1444">
        <f t="shared" ca="1" si="5"/>
        <v>45416</v>
      </c>
      <c r="AB9" s="1180" vm="35">
        <f ca="1">_xlfn.XLOOKUP(AA9,AA$15:AA$1048576,AB$15:AB$1048576,,-1)</f>
        <v>5127.79</v>
      </c>
    </row>
    <row r="10" spans="1:28" x14ac:dyDescent="0.5">
      <c r="A10" s="1441">
        <v>30</v>
      </c>
      <c r="B10" s="1440">
        <f ca="1">$E$3-A10</f>
        <v>45751</v>
      </c>
      <c r="C10" s="1288" t="s">
        <v>1358</v>
      </c>
      <c r="D10" s="1176">
        <f t="shared" ref="D10:D15" ca="1" si="6">P$4/P6-1</f>
        <v>0.18285023676024803</v>
      </c>
      <c r="E10" s="1176">
        <f t="shared" ref="E10:E15" ca="1" si="7">R$4/R6-1</f>
        <v>0.11099415204678365</v>
      </c>
      <c r="F10" s="1176">
        <f t="shared" ref="F10:F15" ca="1" si="8">T$4/T6-1</f>
        <v>0.12230946256937858</v>
      </c>
      <c r="G10" s="1176">
        <f t="shared" ref="G10:G15" ca="1" si="9">V$4/V6-1</f>
        <v>0.16976643598615926</v>
      </c>
      <c r="H10" s="1176">
        <f t="shared" ref="H10:H15" ca="1" si="10">X$4/X6-1</f>
        <v>0.35126072021124943</v>
      </c>
      <c r="I10" s="1176"/>
      <c r="J10" s="1176"/>
      <c r="K10" s="1176">
        <f t="shared" ref="K10:K15" ca="1" si="11">Z$4/Z6-1</f>
        <v>0.1454945054945056</v>
      </c>
      <c r="L10" s="1176">
        <f t="shared" ref="L10:L15" ca="1" si="12">AB$4/AB6-1</f>
        <v>0.12072927506070075</v>
      </c>
      <c r="O10" s="1444">
        <f ca="1">B14</f>
        <v>45051</v>
      </c>
      <c r="P10" s="1180" vm="36">
        <f ca="1">_xlfn.XLOOKUP(O10,O$15:O$1048576,P$15:P$1048576,,-1)</f>
        <v>232.78</v>
      </c>
      <c r="Q10" s="1444">
        <f t="shared" ca="1" si="0"/>
        <v>45051</v>
      </c>
      <c r="R10" s="1180" vm="37">
        <f ca="1">_xlfn.XLOOKUP(Q10,Q$15:Q$1048576,R$15:R$1048576,,-1)</f>
        <v>105.655</v>
      </c>
      <c r="S10" s="1444">
        <f t="shared" ca="1" si="1"/>
        <v>45051</v>
      </c>
      <c r="T10" s="1180" vm="38">
        <f ca="1">_xlfn.XLOOKUP(S10,S$15:S$1048576,T$15:T$1048576,,-1)</f>
        <v>106.215</v>
      </c>
      <c r="U10" s="1444">
        <f t="shared" ca="1" si="2"/>
        <v>45051</v>
      </c>
      <c r="V10" s="1180" vm="39">
        <f ca="1">_xlfn.XLOOKUP(U10,U$15:U$1048576,V$15:V$1048576,,-1)</f>
        <v>62.7</v>
      </c>
      <c r="W10" s="1444">
        <f t="shared" ca="1" si="3"/>
        <v>45051</v>
      </c>
      <c r="X10" s="1180" vm="40">
        <f ca="1">_xlfn.XLOOKUP(W10,W$15:W$1048576,X$15:X$1048576,,-1)</f>
        <v>322.76</v>
      </c>
      <c r="Y10" s="1444">
        <f t="shared" ca="1" si="4"/>
        <v>45051</v>
      </c>
      <c r="Z10" s="1180" vm="41">
        <f ca="1">_xlfn.XLOOKUP(Y10,Y$15:Y$1048576,Z$15:Z$1048576,,-1)</f>
        <v>54.92</v>
      </c>
      <c r="AA10" s="1444">
        <f t="shared" ca="1" si="5"/>
        <v>45051</v>
      </c>
      <c r="AB10" s="1180" vm="42">
        <f ca="1">_xlfn.XLOOKUP(AA10,AA$15:AA$1048576,AB$15:AB$1048576,,-1)</f>
        <v>4136.25</v>
      </c>
    </row>
    <row r="11" spans="1:28" x14ac:dyDescent="0.5">
      <c r="A11" s="1441">
        <v>60</v>
      </c>
      <c r="B11" s="1440">
        <f ca="1">$E$3-A11</f>
        <v>45721</v>
      </c>
      <c r="C11" s="1288" t="s">
        <v>1356</v>
      </c>
      <c r="D11" s="1176">
        <f t="shared" ca="1" si="6"/>
        <v>-4.5775660902087401E-2</v>
      </c>
      <c r="E11" s="1176">
        <f t="shared" ca="1" si="7"/>
        <v>-4.6524466750313742E-2</v>
      </c>
      <c r="F11" s="1176">
        <f t="shared" ca="1" si="8"/>
        <v>-5.6557610241820711E-2</v>
      </c>
      <c r="G11" s="1176">
        <f t="shared" ca="1" si="9"/>
        <v>-0.16669234324449222</v>
      </c>
      <c r="H11" s="1176">
        <f t="shared" ca="1" si="10"/>
        <v>0.29780835138198425</v>
      </c>
      <c r="I11" s="1176"/>
      <c r="J11" s="1176"/>
      <c r="K11" s="1176">
        <f t="shared" ca="1" si="11"/>
        <v>4.7147066702384333E-2</v>
      </c>
      <c r="L11" s="1176">
        <f t="shared" ca="1" si="12"/>
        <v>-1.4476101348306791E-2</v>
      </c>
      <c r="O11" s="1358" t="s">
        <v>1351</v>
      </c>
      <c r="P11" s="1180">
        <f ca="1">MAX(P15:P1048576)</f>
        <v>736.67</v>
      </c>
      <c r="Q11" s="1444" t="str">
        <f t="shared" si="0"/>
        <v>ATH</v>
      </c>
      <c r="R11" s="1180">
        <f ca="1">MAX(R15:R1048576)</f>
        <v>237.68</v>
      </c>
      <c r="S11" s="1444" t="str">
        <f t="shared" si="1"/>
        <v>ATH</v>
      </c>
      <c r="T11" s="1180">
        <f ca="1">MAX(T15:T1048576)</f>
        <v>205.6</v>
      </c>
      <c r="U11" s="1444" t="str">
        <f t="shared" si="2"/>
        <v>ATH</v>
      </c>
      <c r="V11" s="1180">
        <f ca="1">MAX(V15:V1048576)</f>
        <v>139.11000000000001</v>
      </c>
      <c r="W11" s="1444" t="str">
        <f t="shared" si="3"/>
        <v>ATH</v>
      </c>
      <c r="X11" s="1180">
        <f ca="1">MAX(X15:X1048576)</f>
        <v>1156.49</v>
      </c>
      <c r="Y11" s="1444" t="str">
        <f t="shared" si="4"/>
        <v>ATH</v>
      </c>
      <c r="Z11" s="1180">
        <f ca="1">MAX(Z15:Z1048576)</f>
        <v>82.99</v>
      </c>
      <c r="AA11" s="1444" t="str">
        <f t="shared" si="5"/>
        <v>ATH</v>
      </c>
      <c r="AB11" s="1180">
        <f ca="1">MAX(AB15:AB1048576)</f>
        <v>6114.63</v>
      </c>
    </row>
    <row r="12" spans="1:28" x14ac:dyDescent="0.5">
      <c r="A12" s="1441">
        <v>180</v>
      </c>
      <c r="B12" s="1440">
        <f ca="1">$E$3-A12</f>
        <v>45601</v>
      </c>
      <c r="C12" s="1288" t="s">
        <v>1355</v>
      </c>
      <c r="D12" s="1176">
        <f t="shared" ca="1" si="6"/>
        <v>1.3031526792683268E-2</v>
      </c>
      <c r="E12" s="1176">
        <f t="shared" ca="1" si="7"/>
        <v>-8.7424344317417746E-2</v>
      </c>
      <c r="F12" s="1176">
        <f t="shared" ca="1" si="8"/>
        <v>-7.8116312687645961E-2</v>
      </c>
      <c r="G12" s="1176">
        <f t="shared" ca="1" si="9"/>
        <v>-0.56772956125629337</v>
      </c>
      <c r="H12" s="1176">
        <f t="shared" ca="1" si="10"/>
        <v>0.45463121352384794</v>
      </c>
      <c r="I12" s="1176"/>
      <c r="J12" s="1176"/>
      <c r="K12" s="1176">
        <f t="shared" ca="1" si="11"/>
        <v>-6.4811284788408585E-3</v>
      </c>
      <c r="L12" s="1176">
        <f t="shared" ca="1" si="12"/>
        <v>-5.1516627359670664E-2</v>
      </c>
    </row>
    <row r="13" spans="1:28" x14ac:dyDescent="0.5">
      <c r="A13" s="1441">
        <v>365</v>
      </c>
      <c r="B13" s="1440">
        <f ca="1">$E$3-A13</f>
        <v>45416</v>
      </c>
      <c r="C13" s="1288" t="s">
        <v>1354</v>
      </c>
      <c r="D13" s="1176">
        <f t="shared" ca="1" si="6"/>
        <v>0.32095760686786434</v>
      </c>
      <c r="E13" s="1176">
        <f t="shared" ca="1" si="7"/>
        <v>2.024595886364855E-2</v>
      </c>
      <c r="F13" s="1176">
        <f t="shared" ca="1" si="8"/>
        <v>-1.8817681519616603E-2</v>
      </c>
      <c r="G13" s="1176">
        <f t="shared" ca="1" si="9"/>
        <v>-0.38943447341686421</v>
      </c>
      <c r="H13" s="1176">
        <f t="shared" ca="1" si="10"/>
        <v>0.99621983636551925</v>
      </c>
      <c r="I13" s="1176"/>
      <c r="J13" s="1176"/>
      <c r="K13" s="1176">
        <f t="shared" ca="1" si="11"/>
        <v>0.28437654016757041</v>
      </c>
      <c r="L13" s="1176">
        <f t="shared" ca="1" si="12"/>
        <v>0.10899042277472359</v>
      </c>
      <c r="O13" s="1443" t="str">
        <f>D6</f>
        <v>Meta</v>
      </c>
      <c r="P13" s="1442"/>
      <c r="Q13" s="1443" t="str">
        <f>E6</f>
        <v>Amazon</v>
      </c>
      <c r="R13" s="1442"/>
      <c r="S13" s="1443" t="str">
        <f>F6</f>
        <v>Google</v>
      </c>
      <c r="T13" s="1442"/>
      <c r="U13" s="1443" t="str">
        <f>G6</f>
        <v>TTD</v>
      </c>
      <c r="V13" s="1442"/>
      <c r="W13" s="1443" t="str">
        <f>H6</f>
        <v>Netflix</v>
      </c>
      <c r="X13" s="1442"/>
      <c r="Y13" s="1443" t="str">
        <f>K6</f>
        <v>NASDAQ</v>
      </c>
      <c r="Z13" s="1442"/>
      <c r="AA13" s="1443" t="str">
        <f>L6</f>
        <v>S&amp;P 500</v>
      </c>
      <c r="AB13" s="1442"/>
    </row>
    <row r="14" spans="1:28" x14ac:dyDescent="0.5">
      <c r="A14" s="1441">
        <f>A13*2</f>
        <v>730</v>
      </c>
      <c r="B14" s="1440">
        <f ca="1">$E$3-A14</f>
        <v>45051</v>
      </c>
      <c r="C14" s="1288" t="s">
        <v>1352</v>
      </c>
      <c r="D14" s="1176">
        <f t="shared" ca="1" si="6"/>
        <v>1.5647392387662169</v>
      </c>
      <c r="E14" s="1176">
        <f t="shared" ca="1" si="7"/>
        <v>0.798116511286735</v>
      </c>
      <c r="F14" s="1176">
        <f t="shared" ca="1" si="8"/>
        <v>0.56107894365202649</v>
      </c>
      <c r="G14" s="1176">
        <f t="shared" ca="1" si="9"/>
        <v>-0.1373205741626794</v>
      </c>
      <c r="H14" s="1176">
        <f t="shared" ca="1" si="10"/>
        <v>2.5831267815094807</v>
      </c>
      <c r="I14" s="1176"/>
      <c r="J14" s="1176"/>
      <c r="K14" s="1176">
        <f t="shared" ca="1" si="11"/>
        <v>0.42352512745812088</v>
      </c>
      <c r="L14" s="1176">
        <f t="shared" ca="1" si="12"/>
        <v>0.37483711090964045</v>
      </c>
      <c r="O14" s="1439" t="str" cm="1">
        <f t="array" aca="1" ref="O14:P293" ca="1">_xlfn.STOCKHISTORY(D5,$E$2,$E$3,1,1)</f>
        <v>Date</v>
      </c>
      <c r="P14" s="1438" t="str">
        <f ca="1"/>
        <v>Close</v>
      </c>
      <c r="Q14" s="1439" t="str" cm="1">
        <f t="array" aca="1" ref="Q14:R293" ca="1">_xlfn.STOCKHISTORY(E5,$E$2,$E$3,1,1)</f>
        <v>Date</v>
      </c>
      <c r="R14" s="1438" t="str">
        <f ca="1"/>
        <v>Close</v>
      </c>
      <c r="S14" s="1439" t="str" cm="1">
        <f t="array" aca="1" ref="S14:T293" ca="1">_xlfn.STOCKHISTORY(F5,$E$2,$E$3,1,1)</f>
        <v>Date</v>
      </c>
      <c r="T14" s="1438" t="str">
        <f ca="1"/>
        <v>Close</v>
      </c>
      <c r="U14" s="1439" t="str" cm="1">
        <f t="array" aca="1" ref="U14:V293" ca="1">_xlfn.STOCKHISTORY(G5,$E$2,$E$3,1,1)</f>
        <v>Date</v>
      </c>
      <c r="V14" s="1438" t="str">
        <f ca="1"/>
        <v>Close</v>
      </c>
      <c r="W14" s="1439" t="str" cm="1">
        <f t="array" aca="1" ref="W14:X293" ca="1">_xlfn.STOCKHISTORY(H5,$E$2,$E$3,1,1)</f>
        <v>Date</v>
      </c>
      <c r="X14" s="1438" t="str">
        <f ca="1"/>
        <v>Close</v>
      </c>
      <c r="Y14" s="1439" t="str" cm="1">
        <f t="array" aca="1" ref="Y14:Z293" ca="1">_xlfn.STOCKHISTORY(K5,$E$2,$E$3,1,1)</f>
        <v>Date</v>
      </c>
      <c r="Z14" s="1438" t="str">
        <f ca="1"/>
        <v>Close</v>
      </c>
      <c r="AA14" s="1439" t="str" cm="1">
        <f t="array" aca="1" ref="AA14:AB293" ca="1">_xlfn.STOCKHISTORY(L5,$E$2,$E$3,1,1)</f>
        <v>Date</v>
      </c>
      <c r="AB14" s="1438" t="str">
        <f ca="1"/>
        <v>Close</v>
      </c>
    </row>
    <row r="15" spans="1:28" x14ac:dyDescent="0.5">
      <c r="A15" s="1437" t="s">
        <v>1152</v>
      </c>
      <c r="B15" s="1437" t="s">
        <v>1152</v>
      </c>
      <c r="C15" s="1288" t="s">
        <v>1351</v>
      </c>
      <c r="D15" s="1176">
        <f t="shared" ca="1" si="6"/>
        <v>-0.18956927796706802</v>
      </c>
      <c r="E15" s="1176">
        <f t="shared" ca="1" si="7"/>
        <v>-0.20069000336587017</v>
      </c>
      <c r="F15" s="1176">
        <f t="shared" ca="1" si="8"/>
        <v>-0.19353112840466924</v>
      </c>
      <c r="G15" s="1176">
        <f t="shared" ca="1" si="9"/>
        <v>-0.61117101574293731</v>
      </c>
      <c r="H15" s="1176">
        <f t="shared" ca="1" si="10"/>
        <v>0</v>
      </c>
      <c r="I15" s="1176"/>
      <c r="J15" s="1176"/>
      <c r="K15" s="1176">
        <f t="shared" ca="1" si="11"/>
        <v>-5.7958790215688505E-2</v>
      </c>
      <c r="L15" s="1176">
        <f t="shared" ca="1" si="12"/>
        <v>-6.9989516945424324E-2</v>
      </c>
      <c r="O15" s="1435" vm="43">
        <f ca="1"/>
        <v>43829</v>
      </c>
      <c r="P15" s="1434" vm="44">
        <f ca="1"/>
        <v>208.67</v>
      </c>
      <c r="Q15" s="1435" vm="43">
        <f ca="1"/>
        <v>43829</v>
      </c>
      <c r="R15" s="1434" vm="45">
        <f ca="1"/>
        <v>93.748500000000007</v>
      </c>
      <c r="S15" s="1435" vm="43">
        <f ca="1"/>
        <v>43829</v>
      </c>
      <c r="T15" s="1434" vm="46">
        <f ca="1"/>
        <v>68.033000000000001</v>
      </c>
      <c r="U15" s="1435" vm="43">
        <f ca="1"/>
        <v>43829</v>
      </c>
      <c r="V15" s="1434" vm="47">
        <f ca="1"/>
        <v>27.190999999999999</v>
      </c>
      <c r="W15" s="1435" vm="43">
        <f ca="1"/>
        <v>43829</v>
      </c>
      <c r="X15" s="1434" vm="48">
        <f ca="1"/>
        <v>325.89999999999998</v>
      </c>
      <c r="Y15" s="1435" vm="43">
        <f ca="1"/>
        <v>43829</v>
      </c>
      <c r="Z15" s="1434" vm="49">
        <f ca="1"/>
        <v>36.093000000000004</v>
      </c>
      <c r="AA15" s="1435" vm="43">
        <f ca="1"/>
        <v>43829</v>
      </c>
      <c r="AB15" s="1434" vm="50">
        <f ca="1"/>
        <v>3234.85</v>
      </c>
    </row>
    <row r="16" spans="1:28" x14ac:dyDescent="0.5">
      <c r="O16" s="1435" vm="51">
        <f ca="1"/>
        <v>43836</v>
      </c>
      <c r="P16" s="1434" vm="52">
        <f ca="1"/>
        <v>218.06</v>
      </c>
      <c r="Q16" s="1435" vm="51">
        <f ca="1"/>
        <v>43836</v>
      </c>
      <c r="R16" s="1434" vm="53">
        <f ca="1"/>
        <v>94.158000000000001</v>
      </c>
      <c r="S16" s="1435" vm="51">
        <f ca="1"/>
        <v>43836</v>
      </c>
      <c r="T16" s="1434" vm="54">
        <f ca="1"/>
        <v>71.486500000000007</v>
      </c>
      <c r="U16" s="1435" vm="51">
        <f ca="1"/>
        <v>43836</v>
      </c>
      <c r="V16" s="1434" vm="55">
        <f ca="1"/>
        <v>27.776</v>
      </c>
      <c r="W16" s="1435" vm="51">
        <f ca="1"/>
        <v>43836</v>
      </c>
      <c r="X16" s="1434" vm="56">
        <f ca="1"/>
        <v>329.05</v>
      </c>
      <c r="Y16" s="1435" vm="51">
        <f ca="1"/>
        <v>43836</v>
      </c>
      <c r="Z16" s="1434" vm="57">
        <f ca="1"/>
        <v>35.613</v>
      </c>
      <c r="AA16" s="1435" vm="51">
        <f ca="1"/>
        <v>43836</v>
      </c>
      <c r="AB16" s="1434" vm="58">
        <f ca="1"/>
        <v>3265.35</v>
      </c>
    </row>
    <row r="17" spans="3:28" ht="14.7" x14ac:dyDescent="0.8">
      <c r="C17" s="1183" t="str">
        <f t="shared" ref="C17:H17" si="13">C6</f>
        <v>Period</v>
      </c>
      <c r="D17" s="1183" t="str">
        <f t="shared" si="13"/>
        <v>Meta</v>
      </c>
      <c r="E17" s="1183" t="str">
        <f t="shared" si="13"/>
        <v>Amazon</v>
      </c>
      <c r="F17" s="1183" t="str">
        <f t="shared" si="13"/>
        <v>Google</v>
      </c>
      <c r="G17" s="1183" t="str">
        <f t="shared" si="13"/>
        <v>TTD</v>
      </c>
      <c r="H17" s="1183" t="str">
        <f t="shared" si="13"/>
        <v>Netflix</v>
      </c>
      <c r="I17" s="1183"/>
      <c r="J17" s="1183"/>
      <c r="K17" s="1183" t="str">
        <f>K6</f>
        <v>NASDAQ</v>
      </c>
      <c r="L17" s="1183" t="str">
        <f>L6</f>
        <v>S&amp;P 500</v>
      </c>
      <c r="O17" s="1435" vm="59">
        <f ca="1"/>
        <v>43843</v>
      </c>
      <c r="P17" s="1434" vm="60">
        <f ca="1"/>
        <v>222.14</v>
      </c>
      <c r="Q17" s="1435" vm="59">
        <f ca="1"/>
        <v>43843</v>
      </c>
      <c r="R17" s="1434" vm="61">
        <f ca="1"/>
        <v>93.236000000000004</v>
      </c>
      <c r="S17" s="1435" vm="59">
        <f ca="1"/>
        <v>43843</v>
      </c>
      <c r="T17" s="1434" vm="62">
        <f ca="1"/>
        <v>74.019499999999994</v>
      </c>
      <c r="U17" s="1435" vm="59">
        <f ca="1"/>
        <v>43843</v>
      </c>
      <c r="V17" s="1434" vm="63">
        <f ca="1"/>
        <v>28.094999999999999</v>
      </c>
      <c r="W17" s="1435" vm="59">
        <f ca="1"/>
        <v>43843</v>
      </c>
      <c r="X17" s="1434" vm="64">
        <f ca="1"/>
        <v>339.67</v>
      </c>
      <c r="Y17" s="1435" vm="59">
        <f ca="1"/>
        <v>43843</v>
      </c>
      <c r="Z17" s="1434" vm="65">
        <f ca="1"/>
        <v>36.436300000000003</v>
      </c>
      <c r="AA17" s="1435" vm="59">
        <f ca="1"/>
        <v>43843</v>
      </c>
      <c r="AB17" s="1434" vm="66">
        <f ca="1"/>
        <v>3329.62</v>
      </c>
    </row>
    <row r="18" spans="3:28" x14ac:dyDescent="0.5">
      <c r="C18" s="1358" t="s">
        <v>1176</v>
      </c>
      <c r="D18" s="1180" cm="1">
        <f t="array" aca="1" ref="D18" ca="1">_FV(D5,"Price")</f>
        <v>597.02</v>
      </c>
      <c r="E18" s="1180" cm="1">
        <f t="array" aca="1" ref="E18" ca="1">_FV(E5,"Price")</f>
        <v>189.98</v>
      </c>
      <c r="F18" s="1180" cm="1">
        <f t="array" aca="1" ref="F18" ca="1">_FV(F5,"Price")</f>
        <v>165.81</v>
      </c>
      <c r="G18" s="1180" cm="1">
        <f t="array" aca="1" ref="G18" ca="1">_FV(G5,"Price")</f>
        <v>54.09</v>
      </c>
      <c r="H18" s="1180" cm="1">
        <f t="array" aca="1" ref="H18" ca="1">_FV(H5,"Price")</f>
        <v>1156.49</v>
      </c>
      <c r="I18" s="1180"/>
      <c r="J18" s="1180"/>
      <c r="K18" s="1180" cm="1">
        <f t="array" aca="1" ref="K18" ca="1">_FV(K5,"Price")</f>
        <v>78.180000000000007</v>
      </c>
      <c r="L18" s="1180" cm="1">
        <f t="array" aca="1" ref="L18" ca="1">_FV(L5,"Price")</f>
        <v>5686.67</v>
      </c>
      <c r="O18" s="1435" vm="67">
        <f ca="1"/>
        <v>43851</v>
      </c>
      <c r="P18" s="1434" vm="68">
        <f ca="1"/>
        <v>217.94</v>
      </c>
      <c r="Q18" s="1435" vm="67">
        <f ca="1"/>
        <v>43851</v>
      </c>
      <c r="R18" s="1434" vm="69">
        <f ca="1"/>
        <v>93.081999999999994</v>
      </c>
      <c r="S18" s="1435" vm="67">
        <f ca="1"/>
        <v>43851</v>
      </c>
      <c r="T18" s="1434" vm="70">
        <f ca="1"/>
        <v>73.335499999999996</v>
      </c>
      <c r="U18" s="1435" vm="67">
        <f ca="1"/>
        <v>43851</v>
      </c>
      <c r="V18" s="1434" vm="71">
        <f ca="1"/>
        <v>28.016999999999999</v>
      </c>
      <c r="W18" s="1435" vm="67">
        <f ca="1"/>
        <v>43851</v>
      </c>
      <c r="X18" s="1434" vm="72">
        <f ca="1"/>
        <v>353.16</v>
      </c>
      <c r="Y18" s="1435" vm="67">
        <f ca="1"/>
        <v>43851</v>
      </c>
      <c r="Z18" s="1434" vm="73">
        <f ca="1"/>
        <v>36.7363</v>
      </c>
      <c r="AA18" s="1435" vm="67">
        <f ca="1"/>
        <v>43851</v>
      </c>
      <c r="AB18" s="1434" vm="74">
        <f ca="1"/>
        <v>3295.47</v>
      </c>
    </row>
    <row r="19" spans="3:28" x14ac:dyDescent="0.5">
      <c r="C19" s="1358" t="s">
        <v>1359</v>
      </c>
      <c r="D19" s="1176" cm="1">
        <f t="array" aca="1" ref="D19" ca="1">_FV(D5,"Change (%)",TRUE)</f>
        <v>4.3358000000000001E-2</v>
      </c>
      <c r="E19" s="1176" cm="1">
        <f t="array" aca="1" ref="E19" ca="1">_FV(E5,"Change (%)",TRUE)</f>
        <v>-1.157E-3</v>
      </c>
      <c r="F19" s="1176" cm="1">
        <f t="array" aca="1" ref="F19" ca="1">_FV(F5,"Change (%)",TRUE)</f>
        <v>1.8551999999999999E-2</v>
      </c>
      <c r="G19" s="1176" cm="1">
        <f t="array" aca="1" ref="G19" ca="1">_FV(G5,"Change (%)",TRUE)</f>
        <v>1.9411999999999999E-2</v>
      </c>
      <c r="H19" s="1176" cm="1">
        <f t="array" aca="1" ref="H19" ca="1">_FV(H5,"Change (%)",TRUE)</f>
        <v>2.0309000000000001E-2</v>
      </c>
      <c r="I19" s="1176"/>
      <c r="J19" s="1176"/>
      <c r="K19" s="1176" cm="1">
        <f t="array" aca="1" ref="K19" ca="1">_FV(K5,"Change (%)",TRUE)</f>
        <v>2.6793000000000001E-2</v>
      </c>
      <c r="L19" s="1176" cm="1">
        <f t="array" aca="1" ref="L19" ca="1">_FV(L5,"Change (%)",TRUE)</f>
        <v>1.4726999999999999E-2</v>
      </c>
      <c r="O19" s="1435" vm="75">
        <f ca="1"/>
        <v>43857</v>
      </c>
      <c r="P19" s="1434" vm="76">
        <f ca="1"/>
        <v>201.91</v>
      </c>
      <c r="Q19" s="1435" vm="75">
        <f ca="1"/>
        <v>43857</v>
      </c>
      <c r="R19" s="1434" vm="77">
        <f ca="1"/>
        <v>100.43600000000001</v>
      </c>
      <c r="S19" s="1435" vm="75">
        <f ca="1"/>
        <v>43857</v>
      </c>
      <c r="T19" s="1434" vm="78">
        <f ca="1"/>
        <v>71.711500000000001</v>
      </c>
      <c r="U19" s="1435" vm="75">
        <f ca="1"/>
        <v>43857</v>
      </c>
      <c r="V19" s="1434" vm="79">
        <f ca="1"/>
        <v>26.917999999999999</v>
      </c>
      <c r="W19" s="1435" vm="75">
        <f ca="1"/>
        <v>43857</v>
      </c>
      <c r="X19" s="1434" vm="80">
        <f ca="1"/>
        <v>345.09</v>
      </c>
      <c r="Y19" s="1435" vm="75">
        <f ca="1"/>
        <v>43857</v>
      </c>
      <c r="Z19" s="1434" vm="81">
        <f ca="1"/>
        <v>38.819600000000001</v>
      </c>
      <c r="AA19" s="1435" vm="75">
        <f ca="1"/>
        <v>43857</v>
      </c>
      <c r="AB19" s="1434" vm="82">
        <f ca="1"/>
        <v>3225.52</v>
      </c>
    </row>
    <row r="20" spans="3:28" x14ac:dyDescent="0.5">
      <c r="O20" s="1435" vm="83">
        <f ca="1"/>
        <v>43864</v>
      </c>
      <c r="P20" s="1434" vm="84">
        <f ca="1"/>
        <v>212.33</v>
      </c>
      <c r="Q20" s="1435" vm="83">
        <f ca="1"/>
        <v>43864</v>
      </c>
      <c r="R20" s="1434" vm="85">
        <f ca="1"/>
        <v>103.964</v>
      </c>
      <c r="S20" s="1435" vm="83">
        <f ca="1"/>
        <v>43864</v>
      </c>
      <c r="T20" s="1434" vm="86">
        <f ca="1"/>
        <v>73.961500000000001</v>
      </c>
      <c r="U20" s="1435" vm="83">
        <f ca="1"/>
        <v>43864</v>
      </c>
      <c r="V20" s="1434" vm="87">
        <f ca="1"/>
        <v>29.132999999999999</v>
      </c>
      <c r="W20" s="1435" vm="83">
        <f ca="1"/>
        <v>43864</v>
      </c>
      <c r="X20" s="1434" vm="88">
        <f ca="1"/>
        <v>366.77</v>
      </c>
      <c r="Y20" s="1435" vm="83">
        <f ca="1"/>
        <v>43864</v>
      </c>
      <c r="Z20" s="1434" vm="89">
        <f ca="1"/>
        <v>38.1096</v>
      </c>
      <c r="AA20" s="1435" vm="83">
        <f ca="1"/>
        <v>43864</v>
      </c>
      <c r="AB20" s="1434" vm="90">
        <f ca="1"/>
        <v>3327.71</v>
      </c>
    </row>
    <row r="21" spans="3:28" x14ac:dyDescent="0.5">
      <c r="I21" s="1436"/>
      <c r="J21" s="1436"/>
      <c r="K21" s="1436" cm="1">
        <f t="array" aca="1" ref="K21" ca="1">_FV(K5,"Beta")</f>
        <v>0.99990000000000001</v>
      </c>
      <c r="L21" s="1436" t="s">
        <v>1509</v>
      </c>
      <c r="O21" s="1435" vm="91">
        <f ca="1"/>
        <v>43871</v>
      </c>
      <c r="P21" s="1434" vm="92">
        <f ca="1"/>
        <v>214.18</v>
      </c>
      <c r="Q21" s="1435" vm="91">
        <f ca="1"/>
        <v>43871</v>
      </c>
      <c r="R21" s="1434" vm="93">
        <f ca="1"/>
        <v>106.7435</v>
      </c>
      <c r="S21" s="1435" vm="91">
        <f ca="1"/>
        <v>43871</v>
      </c>
      <c r="T21" s="1434" vm="94">
        <f ca="1"/>
        <v>76.037000000000006</v>
      </c>
      <c r="U21" s="1435" vm="91">
        <f ca="1"/>
        <v>43871</v>
      </c>
      <c r="V21" s="1434" vm="95">
        <f ca="1"/>
        <v>30.53</v>
      </c>
      <c r="W21" s="1435" vm="91">
        <f ca="1"/>
        <v>43871</v>
      </c>
      <c r="X21" s="1434" vm="96">
        <f ca="1"/>
        <v>380.4</v>
      </c>
      <c r="Y21" s="1435" vm="91">
        <f ca="1"/>
        <v>43871</v>
      </c>
      <c r="Z21" s="1434" vm="97">
        <f ca="1"/>
        <v>38.732900000000001</v>
      </c>
      <c r="AA21" s="1435" vm="91">
        <f ca="1"/>
        <v>43871</v>
      </c>
      <c r="AB21" s="1434" vm="98">
        <f ca="1"/>
        <v>3380.16</v>
      </c>
    </row>
    <row r="22" spans="3:28" x14ac:dyDescent="0.5">
      <c r="O22" s="1435" vm="99">
        <f ca="1"/>
        <v>43879</v>
      </c>
      <c r="P22" s="1434" vm="100">
        <f ca="1"/>
        <v>210.18</v>
      </c>
      <c r="Q22" s="1435" vm="99">
        <f ca="1"/>
        <v>43879</v>
      </c>
      <c r="R22" s="1434" vm="101">
        <f ca="1"/>
        <v>104.7985</v>
      </c>
      <c r="S22" s="1435" vm="99">
        <f ca="1"/>
        <v>43879</v>
      </c>
      <c r="T22" s="1434" vm="102">
        <f ca="1"/>
        <v>74.255499999999998</v>
      </c>
      <c r="U22" s="1435" vm="99">
        <f ca="1"/>
        <v>43879</v>
      </c>
      <c r="V22" s="1434" vm="103">
        <f ca="1"/>
        <v>30.19</v>
      </c>
      <c r="W22" s="1435" vm="99">
        <f ca="1"/>
        <v>43879</v>
      </c>
      <c r="X22" s="1434" vm="104">
        <f ca="1"/>
        <v>380.07</v>
      </c>
      <c r="Y22" s="1435" vm="99">
        <f ca="1"/>
        <v>43879</v>
      </c>
      <c r="Z22" s="1434" vm="105">
        <f ca="1"/>
        <v>38.392899999999997</v>
      </c>
      <c r="AA22" s="1435" vm="99">
        <f ca="1"/>
        <v>43879</v>
      </c>
      <c r="AB22" s="1434" vm="106">
        <f ca="1"/>
        <v>3337.75</v>
      </c>
    </row>
    <row r="23" spans="3:28" x14ac:dyDescent="0.5">
      <c r="C23" s="1358" t="s">
        <v>1353</v>
      </c>
      <c r="D23" s="1180" cm="1">
        <f t="array" aca="1" ref="D23" ca="1">_FV(D5,"52 week high",TRUE)</f>
        <v>740.91</v>
      </c>
      <c r="E23" s="1180" cm="1">
        <f t="array" aca="1" ref="E23" ca="1">_FV(E5,"52 week high",TRUE)</f>
        <v>242.52</v>
      </c>
      <c r="F23" s="1180" cm="1">
        <f t="array" aca="1" ref="F23" ca="1">_FV(F5,"52 week high",TRUE)</f>
        <v>208.7</v>
      </c>
      <c r="G23" s="1180" cm="1">
        <f t="array" aca="1" ref="G23" ca="1">_FV(G5,"52 week high",TRUE)</f>
        <v>141.53</v>
      </c>
      <c r="H23" s="1180" cm="1">
        <f t="array" aca="1" ref="H23" ca="1">_FV(H5,"52 week high",TRUE)</f>
        <v>1159.44</v>
      </c>
      <c r="I23" s="1176"/>
      <c r="J23" s="1180"/>
      <c r="K23" s="1180" cm="1">
        <f t="array" aca="1" ref="K23" ca="1">_FV(K5,"52 week high",TRUE)</f>
        <v>84.15</v>
      </c>
      <c r="L23" s="1180" cm="1">
        <f t="array" aca="1" ref="L23" ca="1">_FV(L5,"52 week high",TRUE)</f>
        <v>6147.43</v>
      </c>
      <c r="O23" s="1435" vm="107">
        <f ca="1"/>
        <v>43885</v>
      </c>
      <c r="P23" s="1434" vm="108">
        <f ca="1"/>
        <v>192.47</v>
      </c>
      <c r="Q23" s="1435" vm="107">
        <f ca="1"/>
        <v>43885</v>
      </c>
      <c r="R23" s="1434" vm="109">
        <f ca="1"/>
        <v>94.1875</v>
      </c>
      <c r="S23" s="1435" vm="107">
        <f ca="1"/>
        <v>43885</v>
      </c>
      <c r="T23" s="1434" vm="110">
        <f ca="1"/>
        <v>66.966499999999996</v>
      </c>
      <c r="U23" s="1435" vm="107">
        <f ca="1"/>
        <v>43885</v>
      </c>
      <c r="V23" s="1434" vm="111">
        <f ca="1"/>
        <v>28.725000000000001</v>
      </c>
      <c r="W23" s="1435" vm="107">
        <f ca="1"/>
        <v>43885</v>
      </c>
      <c r="X23" s="1434" vm="112">
        <f ca="1"/>
        <v>369.03</v>
      </c>
      <c r="Y23" s="1435" vm="107">
        <f ca="1"/>
        <v>43885</v>
      </c>
      <c r="Z23" s="1434" vm="113">
        <f ca="1"/>
        <v>34.183</v>
      </c>
      <c r="AA23" s="1435" vm="107">
        <f ca="1"/>
        <v>43885</v>
      </c>
      <c r="AB23" s="1434" vm="114">
        <f ca="1"/>
        <v>2954.22</v>
      </c>
    </row>
    <row r="24" spans="3:28" x14ac:dyDescent="0.5">
      <c r="C24" s="1359" t="s">
        <v>1512</v>
      </c>
      <c r="D24" s="1174">
        <f ca="1">D$18/D23-1</f>
        <v>-0.19420712367224091</v>
      </c>
      <c r="E24" s="1174">
        <f ca="1">E$18/E23-1</f>
        <v>-0.21664192643905666</v>
      </c>
      <c r="F24" s="1174">
        <f ca="1">F$18/F23-1</f>
        <v>-0.205510301868711</v>
      </c>
      <c r="G24" s="1174">
        <f ca="1">G$18/G23-1</f>
        <v>-0.61781954355966928</v>
      </c>
      <c r="H24" s="1174">
        <f ca="1">H$18/H23-1</f>
        <v>-2.5443317463603732E-3</v>
      </c>
      <c r="I24" s="1174"/>
      <c r="J24" s="1174"/>
      <c r="K24" s="1174">
        <f ca="1">K$18/K23-1</f>
        <v>-7.0944741532976807E-2</v>
      </c>
      <c r="L24" s="1174">
        <f ca="1">L$18/L23-1</f>
        <v>-7.4951646460390764E-2</v>
      </c>
      <c r="O24" s="1435" vm="115">
        <f ca="1"/>
        <v>43892</v>
      </c>
      <c r="P24" s="1434" vm="116">
        <f ca="1"/>
        <v>181.09</v>
      </c>
      <c r="Q24" s="1435" vm="115">
        <f ca="1"/>
        <v>43892</v>
      </c>
      <c r="R24" s="1434" vm="117">
        <f ca="1"/>
        <v>95.054500000000004</v>
      </c>
      <c r="S24" s="1435" vm="115">
        <f ca="1"/>
        <v>43892</v>
      </c>
      <c r="T24" s="1434" vm="118">
        <f ca="1"/>
        <v>64.920500000000004</v>
      </c>
      <c r="U24" s="1435" vm="115">
        <f ca="1"/>
        <v>43892</v>
      </c>
      <c r="V24" s="1434" vm="119">
        <f ca="1"/>
        <v>25.294</v>
      </c>
      <c r="W24" s="1435" vm="115">
        <f ca="1"/>
        <v>43892</v>
      </c>
      <c r="X24" s="1434" vm="120">
        <f ca="1"/>
        <v>368.97</v>
      </c>
      <c r="Y24" s="1435" vm="115">
        <f ca="1"/>
        <v>43892</v>
      </c>
      <c r="Z24" s="1434" vm="121">
        <f ca="1"/>
        <v>36.832999999999998</v>
      </c>
      <c r="AA24" s="1435" vm="115">
        <f ca="1"/>
        <v>43892</v>
      </c>
      <c r="AB24" s="1434" vm="122">
        <f ca="1"/>
        <v>2972.37</v>
      </c>
    </row>
    <row r="25" spans="3:28" x14ac:dyDescent="0.5">
      <c r="O25" s="1435" vm="123">
        <f ca="1"/>
        <v>43899</v>
      </c>
      <c r="P25" s="1434" vm="124">
        <f ca="1"/>
        <v>170.28</v>
      </c>
      <c r="Q25" s="1435" vm="123">
        <f ca="1"/>
        <v>43899</v>
      </c>
      <c r="R25" s="1434" vm="125">
        <f ca="1"/>
        <v>89.25</v>
      </c>
      <c r="S25" s="1435" vm="123">
        <f ca="1"/>
        <v>43899</v>
      </c>
      <c r="T25" s="1434" vm="126">
        <f ca="1"/>
        <v>60.986499999999999</v>
      </c>
      <c r="U25" s="1435" vm="123">
        <f ca="1"/>
        <v>43899</v>
      </c>
      <c r="V25" s="1434" vm="127">
        <f ca="1"/>
        <v>20</v>
      </c>
      <c r="W25" s="1435" vm="123">
        <f ca="1"/>
        <v>43899</v>
      </c>
      <c r="X25" s="1434" vm="128">
        <f ca="1"/>
        <v>336.29500000000002</v>
      </c>
      <c r="Y25" s="1435" vm="123">
        <f ca="1"/>
        <v>43899</v>
      </c>
      <c r="Z25" s="1434" vm="129">
        <f ca="1"/>
        <v>32.016300000000001</v>
      </c>
      <c r="AA25" s="1435" vm="123">
        <f ca="1"/>
        <v>43899</v>
      </c>
      <c r="AB25" s="1434" vm="130">
        <f ca="1"/>
        <v>2711.02</v>
      </c>
    </row>
    <row r="26" spans="3:28" x14ac:dyDescent="0.5">
      <c r="C26" s="1358" t="s">
        <v>1350</v>
      </c>
      <c r="D26" s="1180" cm="1">
        <f t="array" aca="1" ref="D26" ca="1">_FV(D5,"52 week low",TRUE)</f>
        <v>432.28</v>
      </c>
      <c r="E26" s="1180" cm="1">
        <f t="array" aca="1" ref="E26" ca="1">_FV(E5,"52 week low",TRUE)</f>
        <v>151.61000000000001</v>
      </c>
      <c r="F26" s="1180" cm="1">
        <f t="array" aca="1" ref="F26" ca="1">_FV(F5,"52 week low",TRUE)</f>
        <v>142.66</v>
      </c>
      <c r="G26" s="1180" cm="1">
        <f t="array" aca="1" ref="G26" ca="1">_FV(G5,"52 week low",TRUE)</f>
        <v>42.96</v>
      </c>
      <c r="H26" s="1180" cm="1">
        <f t="array" aca="1" ref="H26" ca="1">_FV(H5,"52 week low",TRUE)</f>
        <v>555.59</v>
      </c>
      <c r="I26" s="1180"/>
      <c r="J26" s="1180"/>
      <c r="K26" s="1180" cm="1">
        <f t="array" aca="1" ref="K26" ca="1">_FV(K5,"52 week low",TRUE)</f>
        <v>58.274999999999999</v>
      </c>
      <c r="L26" s="1180" cm="1">
        <f t="array" aca="1" ref="L26" ca="1">_FV(L5,"52 week low",TRUE)</f>
        <v>4835.04</v>
      </c>
      <c r="O26" s="1435" vm="131">
        <f ca="1"/>
        <v>43906</v>
      </c>
      <c r="P26" s="1434" vm="132">
        <f ca="1"/>
        <v>149.72999999999999</v>
      </c>
      <c r="Q26" s="1435" vm="131">
        <f ca="1"/>
        <v>43906</v>
      </c>
      <c r="R26" s="1434" vm="133">
        <f ca="1"/>
        <v>92.304500000000004</v>
      </c>
      <c r="S26" s="1435" vm="131">
        <f ca="1"/>
        <v>43906</v>
      </c>
      <c r="T26" s="1434" vm="134">
        <f ca="1"/>
        <v>53.616</v>
      </c>
      <c r="U26" s="1435" vm="131">
        <f ca="1"/>
        <v>43906</v>
      </c>
      <c r="V26" s="1434" vm="135">
        <f ca="1"/>
        <v>17</v>
      </c>
      <c r="W26" s="1435" vm="131">
        <f ca="1"/>
        <v>43906</v>
      </c>
      <c r="X26" s="1434" vm="136">
        <f ca="1"/>
        <v>332.83</v>
      </c>
      <c r="Y26" s="1435" vm="131">
        <f ca="1"/>
        <v>43906</v>
      </c>
      <c r="Z26" s="1434" vm="137">
        <f ca="1"/>
        <v>26.833100000000002</v>
      </c>
      <c r="AA26" s="1435" vm="131">
        <f ca="1"/>
        <v>43906</v>
      </c>
      <c r="AB26" s="1434" vm="138">
        <f ca="1"/>
        <v>2304.92</v>
      </c>
    </row>
    <row r="27" spans="3:28" x14ac:dyDescent="0.5">
      <c r="C27" s="1359" t="s">
        <v>1512</v>
      </c>
      <c r="D27" s="1174">
        <f ca="1">D$18/D26-1</f>
        <v>0.38109558619413342</v>
      </c>
      <c r="E27" s="1174">
        <f ca="1">E$18/E26-1</f>
        <v>0.25308356968537682</v>
      </c>
      <c r="F27" s="1174">
        <f ca="1">F$18/F26-1</f>
        <v>0.16227393803448753</v>
      </c>
      <c r="G27" s="1174">
        <f ca="1">G$18/G26-1</f>
        <v>0.25907821229050287</v>
      </c>
      <c r="H27" s="1174">
        <f ca="1">H$18/H26-1</f>
        <v>1.0815529437174893</v>
      </c>
      <c r="I27" s="1174"/>
      <c r="J27" s="1174"/>
      <c r="K27" s="1174">
        <f ca="1">K$18/K26-1</f>
        <v>0.34157014157014176</v>
      </c>
      <c r="L27" s="1174">
        <f ca="1">L$18/L26-1</f>
        <v>0.17613711572189694</v>
      </c>
      <c r="O27" s="1435" vm="139">
        <f ca="1"/>
        <v>43913</v>
      </c>
      <c r="P27" s="1434" vm="140">
        <f ca="1"/>
        <v>156.79</v>
      </c>
      <c r="Q27" s="1435" vm="139">
        <f ca="1"/>
        <v>43913</v>
      </c>
      <c r="R27" s="1434" vm="141">
        <f ca="1"/>
        <v>95.004999999999995</v>
      </c>
      <c r="S27" s="1435" vm="139">
        <f ca="1"/>
        <v>43913</v>
      </c>
      <c r="T27" s="1434" vm="142">
        <f ca="1"/>
        <v>55.535499999999999</v>
      </c>
      <c r="U27" s="1435" vm="139">
        <f ca="1"/>
        <v>43913</v>
      </c>
      <c r="V27" s="1434" vm="143">
        <f ca="1"/>
        <v>19.969000000000001</v>
      </c>
      <c r="W27" s="1435" vm="139">
        <f ca="1"/>
        <v>43913</v>
      </c>
      <c r="X27" s="1434" vm="144">
        <f ca="1"/>
        <v>357.12</v>
      </c>
      <c r="Y27" s="1435" vm="139">
        <f ca="1"/>
        <v>43913</v>
      </c>
      <c r="Z27" s="1434" vm="145">
        <f ca="1"/>
        <v>30.926400000000001</v>
      </c>
      <c r="AA27" s="1435" vm="139">
        <f ca="1"/>
        <v>43913</v>
      </c>
      <c r="AB27" s="1434" vm="146">
        <f ca="1"/>
        <v>2541.4699999999998</v>
      </c>
    </row>
    <row r="28" spans="3:28" x14ac:dyDescent="0.5">
      <c r="O28" s="1435" vm="147">
        <f ca="1"/>
        <v>43920</v>
      </c>
      <c r="P28" s="1434" vm="148">
        <f ca="1"/>
        <v>154.18</v>
      </c>
      <c r="Q28" s="1435" vm="147">
        <f ca="1"/>
        <v>43920</v>
      </c>
      <c r="R28" s="1434" vm="149">
        <f ca="1"/>
        <v>95.329499999999996</v>
      </c>
      <c r="S28" s="1435" vm="147">
        <f ca="1"/>
        <v>43920</v>
      </c>
      <c r="T28" s="1434" vm="150">
        <f ca="1"/>
        <v>54.893999999999998</v>
      </c>
      <c r="U28" s="1435" vm="147">
        <f ca="1"/>
        <v>43920</v>
      </c>
      <c r="V28" s="1434" vm="151">
        <f ca="1"/>
        <v>16.039000000000001</v>
      </c>
      <c r="W28" s="1435" vm="147">
        <f ca="1"/>
        <v>43920</v>
      </c>
      <c r="X28" s="1434" vm="152">
        <f ca="1"/>
        <v>361.76</v>
      </c>
      <c r="Y28" s="1435" vm="147">
        <f ca="1"/>
        <v>43920</v>
      </c>
      <c r="Z28" s="1434" vm="153">
        <f ca="1"/>
        <v>31.739699999999999</v>
      </c>
      <c r="AA28" s="1435" vm="147">
        <f ca="1"/>
        <v>43920</v>
      </c>
      <c r="AB28" s="1434" vm="154">
        <f ca="1"/>
        <v>2488.65</v>
      </c>
    </row>
    <row r="29" spans="3:28" x14ac:dyDescent="0.5">
      <c r="I29" s="1180"/>
      <c r="J29" s="1180"/>
      <c r="K29" s="1180" cm="1">
        <f t="array" aca="1" ref="K29" ca="1">_FV(K5,"Market cap",TRUE)/1000000000</f>
        <v>44.884830000000001</v>
      </c>
      <c r="L29" s="1180" t="s">
        <v>1509</v>
      </c>
      <c r="O29" s="1435" vm="155">
        <f ca="1"/>
        <v>43927</v>
      </c>
      <c r="P29" s="1434" vm="156">
        <f ca="1"/>
        <v>175.19</v>
      </c>
      <c r="Q29" s="1435" vm="155">
        <f ca="1"/>
        <v>43927</v>
      </c>
      <c r="R29" s="1434" vm="157">
        <f ca="1"/>
        <v>102.13800000000001</v>
      </c>
      <c r="S29" s="1435" vm="155">
        <f ca="1"/>
        <v>43927</v>
      </c>
      <c r="T29" s="1434" vm="158">
        <f ca="1"/>
        <v>60.572499999999998</v>
      </c>
      <c r="U29" s="1435" vm="155">
        <f ca="1"/>
        <v>43927</v>
      </c>
      <c r="V29" s="1434" vm="159">
        <f ca="1"/>
        <v>21.376000000000001</v>
      </c>
      <c r="W29" s="1435" vm="155">
        <f ca="1"/>
        <v>43927</v>
      </c>
      <c r="X29" s="1434" vm="160">
        <f ca="1"/>
        <v>370.72</v>
      </c>
      <c r="Y29" s="1435" vm="155">
        <f ca="1"/>
        <v>43927</v>
      </c>
      <c r="Z29" s="1434" vm="161">
        <f ca="1"/>
        <v>35.972999999999999</v>
      </c>
      <c r="AA29" s="1435" vm="155">
        <f ca="1"/>
        <v>43927</v>
      </c>
      <c r="AB29" s="1434" vm="162">
        <f ca="1"/>
        <v>2789.82</v>
      </c>
    </row>
    <row r="30" spans="3:28" x14ac:dyDescent="0.5">
      <c r="C30" s="1358" t="s">
        <v>1511</v>
      </c>
      <c r="D30" s="1180" cm="1">
        <f t="array" aca="1" ref="D30" ca="1">_FV(D5,"P/E",TRUE)</f>
        <v>21.879899999999999</v>
      </c>
      <c r="E30" s="1180" cm="1">
        <f t="array" aca="1" ref="E30" ca="1">_FV(E5,"P/E",TRUE)</f>
        <v>31.019600000000001</v>
      </c>
      <c r="F30" s="1180" cm="1">
        <f t="array" aca="1" ref="F30" ca="1">_FV(F5,"P/E",TRUE)</f>
        <v>18.154699999999998</v>
      </c>
      <c r="G30" s="1180" cm="1">
        <f t="array" aca="1" ref="G30" ca="1">_FV(G5,"P/E",TRUE)</f>
        <v>67.985500000000002</v>
      </c>
      <c r="H30" s="1180" cm="1">
        <f t="array" aca="1" ref="H30" ca="1">_FV(H5,"P/E",TRUE)</f>
        <v>53.557400000000001</v>
      </c>
      <c r="I30" s="1180"/>
      <c r="J30" s="1180"/>
      <c r="K30" s="1180" cm="1">
        <f t="array" aca="1" ref="K30" ca="1">_FV(K5,"P/E",TRUE)</f>
        <v>34.5276</v>
      </c>
      <c r="L30" s="1180" t="s">
        <v>1509</v>
      </c>
      <c r="O30" s="1435" vm="163">
        <f ca="1"/>
        <v>43934</v>
      </c>
      <c r="P30" s="1434" vm="164">
        <f ca="1"/>
        <v>179.24</v>
      </c>
      <c r="Q30" s="1435" vm="163">
        <f ca="1"/>
        <v>43934</v>
      </c>
      <c r="R30" s="1434" vm="165">
        <f ca="1"/>
        <v>118.75</v>
      </c>
      <c r="S30" s="1435" vm="163">
        <f ca="1"/>
        <v>43934</v>
      </c>
      <c r="T30" s="1434" vm="166">
        <f ca="1"/>
        <v>64.162499999999994</v>
      </c>
      <c r="U30" s="1435" vm="163">
        <f ca="1"/>
        <v>43934</v>
      </c>
      <c r="V30" s="1434" vm="167">
        <f ca="1"/>
        <v>22.852</v>
      </c>
      <c r="W30" s="1435" vm="163">
        <f ca="1"/>
        <v>43934</v>
      </c>
      <c r="X30" s="1434" vm="168">
        <f ca="1"/>
        <v>422.96</v>
      </c>
      <c r="Y30" s="1435" vm="163">
        <f ca="1"/>
        <v>43934</v>
      </c>
      <c r="Z30" s="1434" vm="169">
        <f ca="1"/>
        <v>37.079599999999999</v>
      </c>
      <c r="AA30" s="1435" vm="163">
        <f ca="1"/>
        <v>43934</v>
      </c>
      <c r="AB30" s="1434" vm="170">
        <f ca="1"/>
        <v>2874.56</v>
      </c>
    </row>
    <row r="31" spans="3:28" x14ac:dyDescent="0.5">
      <c r="C31" s="1358" t="s">
        <v>1510</v>
      </c>
      <c r="D31" s="1180">
        <f ca="1">D8/D30</f>
        <v>68.606529280298361</v>
      </c>
      <c r="E31" s="1180">
        <f ca="1">E8/E30</f>
        <v>64.999484197088293</v>
      </c>
      <c r="F31" s="1180">
        <f ca="1">F8/F30</f>
        <v>108.26447145918138</v>
      </c>
      <c r="G31" s="1180">
        <f ca="1">G8/G30</f>
        <v>0.39109780762074264</v>
      </c>
      <c r="H31" s="1180">
        <f ca="1">H8/H30</f>
        <v>9.1895592392461172</v>
      </c>
      <c r="I31" s="1180"/>
      <c r="J31" s="1180"/>
      <c r="K31" s="1180">
        <f ca="1">K29/K30</f>
        <v>1.2999695895457548</v>
      </c>
      <c r="L31" s="1180" t="s">
        <v>1509</v>
      </c>
      <c r="O31" s="1435" vm="171">
        <f ca="1"/>
        <v>43941</v>
      </c>
      <c r="P31" s="1434" vm="172">
        <f ca="1"/>
        <v>190.07</v>
      </c>
      <c r="Q31" s="1435" vm="171">
        <f ca="1"/>
        <v>43941</v>
      </c>
      <c r="R31" s="1434" vm="173">
        <f ca="1"/>
        <v>120.511</v>
      </c>
      <c r="S31" s="1435" vm="171">
        <f ca="1"/>
        <v>43941</v>
      </c>
      <c r="T31" s="1434" vm="174">
        <f ca="1"/>
        <v>63.965499999999999</v>
      </c>
      <c r="U31" s="1435" vm="171">
        <f ca="1"/>
        <v>43941</v>
      </c>
      <c r="V31" s="1434" vm="175">
        <f ca="1"/>
        <v>25.663</v>
      </c>
      <c r="W31" s="1435" vm="171">
        <f ca="1"/>
        <v>43941</v>
      </c>
      <c r="X31" s="1434" vm="176">
        <f ca="1"/>
        <v>424.99</v>
      </c>
      <c r="Y31" s="1435" vm="171">
        <f ca="1"/>
        <v>43941</v>
      </c>
      <c r="Z31" s="1434" vm="177">
        <f ca="1"/>
        <v>35.209600000000002</v>
      </c>
      <c r="AA31" s="1435" vm="171">
        <f ca="1"/>
        <v>43941</v>
      </c>
      <c r="AB31" s="1434" vm="178">
        <f ca="1"/>
        <v>2836.74</v>
      </c>
    </row>
    <row r="32" spans="3:28" x14ac:dyDescent="0.5">
      <c r="O32" s="1435" vm="179">
        <f ca="1"/>
        <v>43948</v>
      </c>
      <c r="P32" s="1434" vm="180">
        <f ca="1"/>
        <v>202.27</v>
      </c>
      <c r="Q32" s="1435" vm="179">
        <f ca="1"/>
        <v>43948</v>
      </c>
      <c r="R32" s="1434" vm="181">
        <f ca="1"/>
        <v>114.30200000000001</v>
      </c>
      <c r="S32" s="1435" vm="179">
        <f ca="1"/>
        <v>43948</v>
      </c>
      <c r="T32" s="1434" vm="182">
        <f ca="1"/>
        <v>66.030500000000004</v>
      </c>
      <c r="U32" s="1435" vm="179">
        <f ca="1"/>
        <v>43948</v>
      </c>
      <c r="V32" s="1434" vm="183">
        <f ca="1"/>
        <v>27.89</v>
      </c>
      <c r="W32" s="1435" vm="179">
        <f ca="1"/>
        <v>43948</v>
      </c>
      <c r="X32" s="1434" vm="184">
        <f ca="1"/>
        <v>415.27</v>
      </c>
      <c r="Y32" s="1435" vm="179">
        <f ca="1"/>
        <v>43948</v>
      </c>
      <c r="Z32" s="1434" vm="185">
        <f ca="1"/>
        <v>35.5396</v>
      </c>
      <c r="AA32" s="1435" vm="179">
        <f ca="1"/>
        <v>43948</v>
      </c>
      <c r="AB32" s="1434" vm="186">
        <f ca="1"/>
        <v>2830.71</v>
      </c>
    </row>
    <row r="33" spans="15:28" x14ac:dyDescent="0.5">
      <c r="O33" s="1435" vm="187">
        <f ca="1"/>
        <v>43955</v>
      </c>
      <c r="P33" s="1434" vm="188">
        <f ca="1"/>
        <v>212.35</v>
      </c>
      <c r="Q33" s="1435" vm="187">
        <f ca="1"/>
        <v>43955</v>
      </c>
      <c r="R33" s="1434" vm="189">
        <f ca="1"/>
        <v>118.98050000000001</v>
      </c>
      <c r="S33" s="1435" vm="187">
        <f ca="1"/>
        <v>43955</v>
      </c>
      <c r="T33" s="1434" vm="190">
        <f ca="1"/>
        <v>69.418499999999995</v>
      </c>
      <c r="U33" s="1435" vm="187">
        <f ca="1"/>
        <v>43955</v>
      </c>
      <c r="V33" s="1434" vm="191">
        <f ca="1"/>
        <v>31.55</v>
      </c>
      <c r="W33" s="1435" vm="187">
        <f ca="1"/>
        <v>43955</v>
      </c>
      <c r="X33" s="1434" vm="192">
        <f ca="1"/>
        <v>435.55</v>
      </c>
      <c r="Y33" s="1435" vm="187">
        <f ca="1"/>
        <v>43955</v>
      </c>
      <c r="Z33" s="1434" vm="193">
        <f ca="1"/>
        <v>35.863</v>
      </c>
      <c r="AA33" s="1435" vm="187">
        <f ca="1"/>
        <v>43955</v>
      </c>
      <c r="AB33" s="1434" vm="194">
        <f ca="1"/>
        <v>2929.8</v>
      </c>
    </row>
    <row r="34" spans="15:28" x14ac:dyDescent="0.5">
      <c r="O34" s="1435" vm="195">
        <f ca="1"/>
        <v>43962</v>
      </c>
      <c r="P34" s="1434" vm="196">
        <f ca="1"/>
        <v>210.88</v>
      </c>
      <c r="Q34" s="1435" vm="195">
        <f ca="1"/>
        <v>43962</v>
      </c>
      <c r="R34" s="1434" vm="197">
        <f ca="1"/>
        <v>120.489</v>
      </c>
      <c r="S34" s="1435" vm="195">
        <f ca="1"/>
        <v>43962</v>
      </c>
      <c r="T34" s="1434" vm="198">
        <f ca="1"/>
        <v>68.659499999999994</v>
      </c>
      <c r="U34" s="1435" vm="195">
        <f ca="1"/>
        <v>43962</v>
      </c>
      <c r="V34" s="1434" vm="199">
        <f ca="1"/>
        <v>30.001000000000001</v>
      </c>
      <c r="W34" s="1435" vm="195">
        <f ca="1"/>
        <v>43962</v>
      </c>
      <c r="X34" s="1434" vm="200">
        <f ca="1"/>
        <v>454.19</v>
      </c>
      <c r="Y34" s="1435" vm="195">
        <f ca="1"/>
        <v>43962</v>
      </c>
      <c r="Z34" s="1434" vm="201">
        <f ca="1"/>
        <v>37.3596</v>
      </c>
      <c r="AA34" s="1435" vm="195">
        <f ca="1"/>
        <v>43962</v>
      </c>
      <c r="AB34" s="1434" vm="202">
        <f ca="1"/>
        <v>2863.7</v>
      </c>
    </row>
    <row r="35" spans="15:28" x14ac:dyDescent="0.5">
      <c r="O35" s="1435" vm="203">
        <f ca="1"/>
        <v>43969</v>
      </c>
      <c r="P35" s="1434" vm="204">
        <f ca="1"/>
        <v>234.91</v>
      </c>
      <c r="Q35" s="1435" vm="203">
        <f ca="1"/>
        <v>43969</v>
      </c>
      <c r="R35" s="1434" vm="205">
        <f ca="1"/>
        <v>121.84399999999999</v>
      </c>
      <c r="S35" s="1435" vm="203">
        <f ca="1"/>
        <v>43969</v>
      </c>
      <c r="T35" s="1434" vm="206">
        <f ca="1"/>
        <v>70.521000000000001</v>
      </c>
      <c r="U35" s="1435" vm="203">
        <f ca="1"/>
        <v>43969</v>
      </c>
      <c r="V35" s="1434" vm="207">
        <f ca="1"/>
        <v>30.76</v>
      </c>
      <c r="W35" s="1435" vm="203">
        <f ca="1"/>
        <v>43969</v>
      </c>
      <c r="X35" s="1434" vm="208">
        <f ca="1"/>
        <v>429.32</v>
      </c>
      <c r="Y35" s="1435" vm="203">
        <f ca="1"/>
        <v>43969</v>
      </c>
      <c r="Z35" s="1434" vm="209">
        <f ca="1"/>
        <v>38.446300000000001</v>
      </c>
      <c r="AA35" s="1435" vm="203">
        <f ca="1"/>
        <v>43969</v>
      </c>
      <c r="AB35" s="1434" vm="210">
        <f ca="1"/>
        <v>2955.45</v>
      </c>
    </row>
    <row r="36" spans="15:28" x14ac:dyDescent="0.5">
      <c r="O36" s="1435" vm="211">
        <f ca="1"/>
        <v>43977</v>
      </c>
      <c r="P36" s="1434" vm="212">
        <f ca="1"/>
        <v>225.09</v>
      </c>
      <c r="Q36" s="1435" vm="211">
        <f ca="1"/>
        <v>43977</v>
      </c>
      <c r="R36" s="1434" vm="213">
        <f ca="1"/>
        <v>122.1185</v>
      </c>
      <c r="S36" s="1435" vm="211">
        <f ca="1"/>
        <v>43977</v>
      </c>
      <c r="T36" s="1434" vm="214">
        <f ca="1"/>
        <v>71.445999999999998</v>
      </c>
      <c r="U36" s="1435" vm="211">
        <f ca="1"/>
        <v>43977</v>
      </c>
      <c r="V36" s="1434" vm="215">
        <f ca="1"/>
        <v>31.155999999999999</v>
      </c>
      <c r="W36" s="1435" vm="211">
        <f ca="1"/>
        <v>43977</v>
      </c>
      <c r="X36" s="1434" vm="216">
        <f ca="1"/>
        <v>419.73</v>
      </c>
      <c r="Y36" s="1435" vm="211">
        <f ca="1"/>
        <v>43977</v>
      </c>
      <c r="Z36" s="1434" vm="217">
        <f ca="1"/>
        <v>39.4863</v>
      </c>
      <c r="AA36" s="1435" vm="211">
        <f ca="1"/>
        <v>43977</v>
      </c>
      <c r="AB36" s="1434" vm="218">
        <f ca="1"/>
        <v>3044.31</v>
      </c>
    </row>
    <row r="37" spans="15:28" x14ac:dyDescent="0.5">
      <c r="O37" s="1435" vm="219">
        <f ca="1"/>
        <v>43983</v>
      </c>
      <c r="P37" s="1434" vm="220">
        <f ca="1"/>
        <v>230.77</v>
      </c>
      <c r="Q37" s="1435" vm="219">
        <f ca="1"/>
        <v>43983</v>
      </c>
      <c r="R37" s="1434" vm="221">
        <f ca="1"/>
        <v>124.15</v>
      </c>
      <c r="S37" s="1435" vm="219">
        <f ca="1"/>
        <v>43983</v>
      </c>
      <c r="T37" s="1434" vm="222">
        <f ca="1"/>
        <v>71.919499999999999</v>
      </c>
      <c r="U37" s="1435" vm="219">
        <f ca="1"/>
        <v>43983</v>
      </c>
      <c r="V37" s="1434" vm="223">
        <f ca="1"/>
        <v>35.429000000000002</v>
      </c>
      <c r="W37" s="1435" vm="219">
        <f ca="1"/>
        <v>43983</v>
      </c>
      <c r="X37" s="1434" vm="224">
        <f ca="1"/>
        <v>419.6</v>
      </c>
      <c r="Y37" s="1435" vm="219">
        <f ca="1"/>
        <v>43983</v>
      </c>
      <c r="Z37" s="1434" vm="225">
        <f ca="1"/>
        <v>39.966299999999997</v>
      </c>
      <c r="AA37" s="1435" vm="219">
        <f ca="1"/>
        <v>43983</v>
      </c>
      <c r="AB37" s="1434" vm="226">
        <f ca="1"/>
        <v>3193.93</v>
      </c>
    </row>
    <row r="38" spans="15:28" x14ac:dyDescent="0.5">
      <c r="O38" s="1435" vm="227">
        <f ca="1"/>
        <v>43990</v>
      </c>
      <c r="P38" s="1434" vm="228">
        <f ca="1"/>
        <v>228.58</v>
      </c>
      <c r="Q38" s="1435" vm="227">
        <f ca="1"/>
        <v>43990</v>
      </c>
      <c r="R38" s="1434" vm="229">
        <f ca="1"/>
        <v>127.251</v>
      </c>
      <c r="S38" s="1435" vm="227">
        <f ca="1"/>
        <v>43990</v>
      </c>
      <c r="T38" s="1434" vm="230">
        <f ca="1"/>
        <v>70.659000000000006</v>
      </c>
      <c r="U38" s="1435" vm="227">
        <f ca="1"/>
        <v>43990</v>
      </c>
      <c r="V38" s="1434" vm="231">
        <f ca="1"/>
        <v>35.451000000000001</v>
      </c>
      <c r="W38" s="1435" vm="227">
        <f ca="1"/>
        <v>43990</v>
      </c>
      <c r="X38" s="1434" vm="232">
        <f ca="1"/>
        <v>418.07</v>
      </c>
      <c r="Y38" s="1435" vm="227">
        <f ca="1"/>
        <v>43990</v>
      </c>
      <c r="Z38" s="1434" vm="233">
        <f ca="1"/>
        <v>38.382899999999999</v>
      </c>
      <c r="AA38" s="1435" vm="227">
        <f ca="1"/>
        <v>43990</v>
      </c>
      <c r="AB38" s="1434" vm="234">
        <f ca="1"/>
        <v>3041.31</v>
      </c>
    </row>
    <row r="39" spans="15:28" x14ac:dyDescent="0.5">
      <c r="O39" s="1435" vm="235">
        <f ca="1"/>
        <v>43997</v>
      </c>
      <c r="P39" s="1434" vm="236">
        <f ca="1"/>
        <v>238.79</v>
      </c>
      <c r="Q39" s="1435" vm="235">
        <f ca="1"/>
        <v>43997</v>
      </c>
      <c r="R39" s="1434" vm="237">
        <f ca="1"/>
        <v>133.75049999999999</v>
      </c>
      <c r="S39" s="1435" vm="235">
        <f ca="1"/>
        <v>43997</v>
      </c>
      <c r="T39" s="1434" vm="238">
        <f ca="1"/>
        <v>71.585999999999999</v>
      </c>
      <c r="U39" s="1435" vm="235">
        <f ca="1"/>
        <v>43997</v>
      </c>
      <c r="V39" s="1434" vm="239">
        <f ca="1"/>
        <v>39.478000000000002</v>
      </c>
      <c r="W39" s="1435" vm="235">
        <f ca="1"/>
        <v>43997</v>
      </c>
      <c r="X39" s="1434" vm="240">
        <f ca="1"/>
        <v>453.72</v>
      </c>
      <c r="Y39" s="1435" vm="235">
        <f ca="1"/>
        <v>43997</v>
      </c>
      <c r="Z39" s="1434" vm="241">
        <f ca="1"/>
        <v>39.6096</v>
      </c>
      <c r="AA39" s="1435" vm="235">
        <f ca="1"/>
        <v>43997</v>
      </c>
      <c r="AB39" s="1434" vm="242">
        <f ca="1"/>
        <v>3097.74</v>
      </c>
    </row>
    <row r="40" spans="15:28" x14ac:dyDescent="0.5">
      <c r="O40" s="1435" vm="243">
        <f ca="1"/>
        <v>44004</v>
      </c>
      <c r="P40" s="1434" vm="244">
        <f ca="1"/>
        <v>216.08</v>
      </c>
      <c r="Q40" s="1435" vm="243">
        <f ca="1"/>
        <v>44004</v>
      </c>
      <c r="R40" s="1434" vm="245">
        <f ca="1"/>
        <v>134.64349999999999</v>
      </c>
      <c r="S40" s="1435" vm="243">
        <f ca="1"/>
        <v>44004</v>
      </c>
      <c r="T40" s="1434" vm="246">
        <f ca="1"/>
        <v>67.995000000000005</v>
      </c>
      <c r="U40" s="1435" vm="243">
        <f ca="1"/>
        <v>44004</v>
      </c>
      <c r="V40" s="1434" vm="247">
        <f ca="1"/>
        <v>40.703000000000003</v>
      </c>
      <c r="W40" s="1435" vm="243">
        <f ca="1"/>
        <v>44004</v>
      </c>
      <c r="X40" s="1434" vm="248">
        <f ca="1"/>
        <v>443.4</v>
      </c>
      <c r="Y40" s="1435" vm="243">
        <f ca="1"/>
        <v>44004</v>
      </c>
      <c r="Z40" s="1434" vm="249">
        <f ca="1"/>
        <v>38.606299999999997</v>
      </c>
      <c r="AA40" s="1435" vm="243">
        <f ca="1"/>
        <v>44004</v>
      </c>
      <c r="AB40" s="1434" vm="250">
        <f ca="1"/>
        <v>3009.05</v>
      </c>
    </row>
    <row r="41" spans="15:28" x14ac:dyDescent="0.5">
      <c r="O41" s="1435" vm="251">
        <f ca="1"/>
        <v>44011</v>
      </c>
      <c r="P41" s="1434" vm="252">
        <f ca="1"/>
        <v>233.42</v>
      </c>
      <c r="Q41" s="1435" vm="251">
        <f ca="1"/>
        <v>44011</v>
      </c>
      <c r="R41" s="1434" vm="253">
        <f ca="1"/>
        <v>144.51499999999999</v>
      </c>
      <c r="S41" s="1435" vm="251">
        <f ca="1"/>
        <v>44011</v>
      </c>
      <c r="T41" s="1434" vm="254">
        <f ca="1"/>
        <v>73.234999999999999</v>
      </c>
      <c r="U41" s="1435" vm="251">
        <f ca="1"/>
        <v>44011</v>
      </c>
      <c r="V41" s="1434" vm="255">
        <f ca="1"/>
        <v>44.292999999999999</v>
      </c>
      <c r="W41" s="1435" vm="251">
        <f ca="1"/>
        <v>44011</v>
      </c>
      <c r="X41" s="1434" vm="256">
        <f ca="1"/>
        <v>476.89</v>
      </c>
      <c r="Y41" s="1435" vm="251">
        <f ca="1"/>
        <v>44011</v>
      </c>
      <c r="Z41" s="1434" vm="257">
        <f ca="1"/>
        <v>40.019599999999997</v>
      </c>
      <c r="AA41" s="1435" vm="251">
        <f ca="1"/>
        <v>44011</v>
      </c>
      <c r="AB41" s="1434" vm="258">
        <f ca="1"/>
        <v>3130.01</v>
      </c>
    </row>
    <row r="42" spans="15:28" x14ac:dyDescent="0.5">
      <c r="O42" s="1435" vm="259">
        <f ca="1"/>
        <v>44018</v>
      </c>
      <c r="P42" s="1434" vm="260">
        <f ca="1"/>
        <v>245.07</v>
      </c>
      <c r="Q42" s="1435" vm="259">
        <f ca="1"/>
        <v>44018</v>
      </c>
      <c r="R42" s="1434" vm="261">
        <f ca="1"/>
        <v>160</v>
      </c>
      <c r="S42" s="1435" vm="259">
        <f ca="1"/>
        <v>44018</v>
      </c>
      <c r="T42" s="1434" vm="262">
        <f ca="1"/>
        <v>77.087000000000003</v>
      </c>
      <c r="U42" s="1435" vm="259">
        <f ca="1"/>
        <v>44018</v>
      </c>
      <c r="V42" s="1434" vm="263">
        <f ca="1"/>
        <v>46.198</v>
      </c>
      <c r="W42" s="1435" vm="259">
        <f ca="1"/>
        <v>44018</v>
      </c>
      <c r="X42" s="1434" vm="264">
        <f ca="1"/>
        <v>548.73</v>
      </c>
      <c r="Y42" s="1435" vm="259">
        <f ca="1"/>
        <v>44018</v>
      </c>
      <c r="Z42" s="1434" vm="265">
        <f ca="1"/>
        <v>40.959600000000002</v>
      </c>
      <c r="AA42" s="1435" vm="259">
        <f ca="1"/>
        <v>44018</v>
      </c>
      <c r="AB42" s="1434" vm="266">
        <f ca="1"/>
        <v>3185.04</v>
      </c>
    </row>
    <row r="43" spans="15:28" x14ac:dyDescent="0.5">
      <c r="O43" s="1435" vm="267">
        <f ca="1"/>
        <v>44025</v>
      </c>
      <c r="P43" s="1434" vm="268">
        <f ca="1"/>
        <v>242.03</v>
      </c>
      <c r="Q43" s="1435" vm="267">
        <f ca="1"/>
        <v>44025</v>
      </c>
      <c r="R43" s="1434" vm="269">
        <f ca="1"/>
        <v>148.0985</v>
      </c>
      <c r="S43" s="1435" vm="267">
        <f ca="1"/>
        <v>44025</v>
      </c>
      <c r="T43" s="1434" vm="270">
        <f ca="1"/>
        <v>75.777500000000003</v>
      </c>
      <c r="U43" s="1435" vm="267">
        <f ca="1"/>
        <v>44025</v>
      </c>
      <c r="V43" s="1434" vm="271">
        <f ca="1"/>
        <v>43.302999999999997</v>
      </c>
      <c r="W43" s="1435" vm="267">
        <f ca="1"/>
        <v>44025</v>
      </c>
      <c r="X43" s="1434" vm="272">
        <f ca="1"/>
        <v>492.99</v>
      </c>
      <c r="Y43" s="1435" vm="267">
        <f ca="1"/>
        <v>44025</v>
      </c>
      <c r="Z43" s="1434" vm="273">
        <f ca="1"/>
        <v>42.812899999999999</v>
      </c>
      <c r="AA43" s="1435" vm="267">
        <f ca="1"/>
        <v>44025</v>
      </c>
      <c r="AB43" s="1434" vm="274">
        <f ca="1"/>
        <v>3224.73</v>
      </c>
    </row>
    <row r="44" spans="15:28" x14ac:dyDescent="0.5">
      <c r="O44" s="1435" vm="275">
        <f ca="1"/>
        <v>44032</v>
      </c>
      <c r="P44" s="1434" vm="276">
        <f ca="1"/>
        <v>230.71</v>
      </c>
      <c r="Q44" s="1435" vm="275">
        <f ca="1"/>
        <v>44032</v>
      </c>
      <c r="R44" s="1434" vm="277">
        <f ca="1"/>
        <v>150.44550000000001</v>
      </c>
      <c r="S44" s="1435" vm="275">
        <f ca="1"/>
        <v>44032</v>
      </c>
      <c r="T44" s="1434" vm="278">
        <f ca="1"/>
        <v>75.593500000000006</v>
      </c>
      <c r="U44" s="1435" vm="275">
        <f ca="1"/>
        <v>44032</v>
      </c>
      <c r="V44" s="1434" vm="279">
        <f ca="1"/>
        <v>42.606999999999999</v>
      </c>
      <c r="W44" s="1435" vm="275">
        <f ca="1"/>
        <v>44032</v>
      </c>
      <c r="X44" s="1434" vm="280">
        <f ca="1"/>
        <v>480.45</v>
      </c>
      <c r="Y44" s="1435" vm="275">
        <f ca="1"/>
        <v>44032</v>
      </c>
      <c r="Z44" s="1434" vm="281">
        <f ca="1"/>
        <v>43.519599999999997</v>
      </c>
      <c r="AA44" s="1435" vm="275">
        <f ca="1"/>
        <v>44032</v>
      </c>
      <c r="AB44" s="1434" vm="282">
        <f ca="1"/>
        <v>3215.63</v>
      </c>
    </row>
    <row r="45" spans="15:28" x14ac:dyDescent="0.5">
      <c r="O45" s="1435" vm="283">
        <f ca="1"/>
        <v>44039</v>
      </c>
      <c r="P45" s="1434" vm="284">
        <f ca="1"/>
        <v>253.67</v>
      </c>
      <c r="Q45" s="1435" vm="283">
        <f ca="1"/>
        <v>44039</v>
      </c>
      <c r="R45" s="1434" vm="285">
        <f ca="1"/>
        <v>158.23400000000001</v>
      </c>
      <c r="S45" s="1435" vm="283">
        <f ca="1"/>
        <v>44039</v>
      </c>
      <c r="T45" s="1434" vm="286">
        <f ca="1"/>
        <v>74.147999999999996</v>
      </c>
      <c r="U45" s="1435" vm="283">
        <f ca="1"/>
        <v>44039</v>
      </c>
      <c r="V45" s="1434" vm="287">
        <f ca="1"/>
        <v>45.131999999999998</v>
      </c>
      <c r="W45" s="1435" vm="283">
        <f ca="1"/>
        <v>44039</v>
      </c>
      <c r="X45" s="1434" vm="288">
        <f ca="1"/>
        <v>488.88</v>
      </c>
      <c r="Y45" s="1435" vm="283">
        <f ca="1"/>
        <v>44039</v>
      </c>
      <c r="Z45" s="1434" vm="289">
        <f ca="1"/>
        <v>43.769599999999997</v>
      </c>
      <c r="AA45" s="1435" vm="283">
        <f ca="1"/>
        <v>44039</v>
      </c>
      <c r="AB45" s="1434" vm="290">
        <f ca="1"/>
        <v>3271.12</v>
      </c>
    </row>
    <row r="46" spans="15:28" x14ac:dyDescent="0.5">
      <c r="O46" s="1435" vm="291">
        <f ca="1"/>
        <v>44046</v>
      </c>
      <c r="P46" s="1434" vm="292">
        <f ca="1"/>
        <v>268.44</v>
      </c>
      <c r="Q46" s="1435" vm="291">
        <f ca="1"/>
        <v>44046</v>
      </c>
      <c r="R46" s="1434" vm="293">
        <f ca="1"/>
        <v>158.37299999999999</v>
      </c>
      <c r="S46" s="1435" vm="291">
        <f ca="1"/>
        <v>44046</v>
      </c>
      <c r="T46" s="1434" vm="294">
        <f ca="1"/>
        <v>74.724500000000006</v>
      </c>
      <c r="U46" s="1435" vm="291">
        <f ca="1"/>
        <v>44046</v>
      </c>
      <c r="V46" s="1434" vm="295">
        <f ca="1"/>
        <v>49.32</v>
      </c>
      <c r="W46" s="1435" vm="291">
        <f ca="1"/>
        <v>44046</v>
      </c>
      <c r="X46" s="1434" vm="296">
        <f ca="1"/>
        <v>494.73</v>
      </c>
      <c r="Y46" s="1435" vm="291">
        <f ca="1"/>
        <v>44046</v>
      </c>
      <c r="Z46" s="1434" vm="297">
        <f ca="1"/>
        <v>44.2896</v>
      </c>
      <c r="AA46" s="1435" vm="291">
        <f ca="1"/>
        <v>44046</v>
      </c>
      <c r="AB46" s="1434" vm="298">
        <f ca="1"/>
        <v>3351.28</v>
      </c>
    </row>
    <row r="47" spans="15:28" x14ac:dyDescent="0.5">
      <c r="O47" s="1435" vm="299">
        <f ca="1"/>
        <v>44053</v>
      </c>
      <c r="P47" s="1434" vm="300">
        <f ca="1"/>
        <v>261.24</v>
      </c>
      <c r="Q47" s="1435" vm="299">
        <f ca="1"/>
        <v>44053</v>
      </c>
      <c r="R47" s="1434" vm="301">
        <f ca="1"/>
        <v>157.40100000000001</v>
      </c>
      <c r="S47" s="1435" vm="299">
        <f ca="1"/>
        <v>44053</v>
      </c>
      <c r="T47" s="1434" vm="302">
        <f ca="1"/>
        <v>75.386499999999998</v>
      </c>
      <c r="U47" s="1435" vm="299">
        <f ca="1"/>
        <v>44053</v>
      </c>
      <c r="V47" s="1434" vm="303">
        <f ca="1"/>
        <v>46.56</v>
      </c>
      <c r="W47" s="1435" vm="299">
        <f ca="1"/>
        <v>44053</v>
      </c>
      <c r="X47" s="1434" vm="304">
        <f ca="1"/>
        <v>482.68</v>
      </c>
      <c r="Y47" s="1435" vm="299">
        <f ca="1"/>
        <v>44053</v>
      </c>
      <c r="Z47" s="1434" vm="305">
        <f ca="1"/>
        <v>43.079599999999999</v>
      </c>
      <c r="AA47" s="1435" vm="299">
        <f ca="1"/>
        <v>44053</v>
      </c>
      <c r="AB47" s="1434" vm="306">
        <f ca="1"/>
        <v>3372.85</v>
      </c>
    </row>
    <row r="48" spans="15:28" x14ac:dyDescent="0.5">
      <c r="O48" s="1435" vm="307">
        <f ca="1"/>
        <v>44060</v>
      </c>
      <c r="P48" s="1434" vm="308">
        <f ca="1"/>
        <v>267.01</v>
      </c>
      <c r="Q48" s="1435" vm="307">
        <f ca="1"/>
        <v>44060</v>
      </c>
      <c r="R48" s="1434" vm="309">
        <f ca="1"/>
        <v>164.23599999999999</v>
      </c>
      <c r="S48" s="1435" vm="307">
        <f ca="1"/>
        <v>44060</v>
      </c>
      <c r="T48" s="1434" vm="310">
        <f ca="1"/>
        <v>79.021000000000001</v>
      </c>
      <c r="U48" s="1435" vm="307">
        <f ca="1"/>
        <v>44060</v>
      </c>
      <c r="V48" s="1434" vm="311">
        <f ca="1"/>
        <v>46.177999999999997</v>
      </c>
      <c r="W48" s="1435" vm="307">
        <f ca="1"/>
        <v>44060</v>
      </c>
      <c r="X48" s="1434" vm="312">
        <f ca="1"/>
        <v>492.31</v>
      </c>
      <c r="Y48" s="1435" vm="307">
        <f ca="1"/>
        <v>44060</v>
      </c>
      <c r="Z48" s="1434" vm="313">
        <f ca="1"/>
        <v>43.306199999999997</v>
      </c>
      <c r="AA48" s="1435" vm="307">
        <f ca="1"/>
        <v>44060</v>
      </c>
      <c r="AB48" s="1434" vm="314">
        <f ca="1"/>
        <v>3397.16</v>
      </c>
    </row>
    <row r="49" spans="15:28" x14ac:dyDescent="0.5">
      <c r="O49" s="1435" vm="315">
        <f ca="1"/>
        <v>44067</v>
      </c>
      <c r="P49" s="1434" vm="316">
        <f ca="1"/>
        <v>293.66000000000003</v>
      </c>
      <c r="Q49" s="1435" vm="315">
        <f ca="1"/>
        <v>44067</v>
      </c>
      <c r="R49" s="1434" vm="317">
        <f ca="1"/>
        <v>170.09</v>
      </c>
      <c r="S49" s="1435" vm="315">
        <f ca="1"/>
        <v>44067</v>
      </c>
      <c r="T49" s="1434" vm="318">
        <f ca="1"/>
        <v>82.220500000000001</v>
      </c>
      <c r="U49" s="1435" vm="315">
        <f ca="1"/>
        <v>44067</v>
      </c>
      <c r="V49" s="1434" vm="319">
        <f ca="1"/>
        <v>48.57</v>
      </c>
      <c r="W49" s="1435" vm="315">
        <f ca="1"/>
        <v>44067</v>
      </c>
      <c r="X49" s="1434" vm="320">
        <f ca="1"/>
        <v>523.89</v>
      </c>
      <c r="Y49" s="1435" vm="315">
        <f ca="1"/>
        <v>44067</v>
      </c>
      <c r="Z49" s="1434" vm="321">
        <f ca="1"/>
        <v>43.946199999999997</v>
      </c>
      <c r="AA49" s="1435" vm="315">
        <f ca="1"/>
        <v>44067</v>
      </c>
      <c r="AB49" s="1434" vm="322">
        <f ca="1"/>
        <v>3508.01</v>
      </c>
    </row>
    <row r="50" spans="15:28" x14ac:dyDescent="0.5">
      <c r="O50" s="1435" vm="323">
        <f ca="1"/>
        <v>44074</v>
      </c>
      <c r="P50" s="1434" vm="324">
        <f ca="1"/>
        <v>282.73</v>
      </c>
      <c r="Q50" s="1435" vm="323">
        <f ca="1"/>
        <v>44074</v>
      </c>
      <c r="R50" s="1434" vm="325">
        <f ca="1"/>
        <v>164.73099999999999</v>
      </c>
      <c r="S50" s="1435" vm="323">
        <f ca="1"/>
        <v>44074</v>
      </c>
      <c r="T50" s="1434" vm="326">
        <f ca="1"/>
        <v>79.552000000000007</v>
      </c>
      <c r="U50" s="1435" vm="323">
        <f ca="1"/>
        <v>44074</v>
      </c>
      <c r="V50" s="1434" vm="327">
        <f ca="1"/>
        <v>44.125999999999998</v>
      </c>
      <c r="W50" s="1435" vm="323">
        <f ca="1"/>
        <v>44074</v>
      </c>
      <c r="X50" s="1434" vm="328">
        <f ca="1"/>
        <v>516.04999999999995</v>
      </c>
      <c r="Y50" s="1435" vm="323">
        <f ca="1"/>
        <v>44074</v>
      </c>
      <c r="Z50" s="1434" vm="329">
        <f ca="1"/>
        <v>43.429600000000001</v>
      </c>
      <c r="AA50" s="1435" vm="323">
        <f ca="1"/>
        <v>44074</v>
      </c>
      <c r="AB50" s="1434" vm="330">
        <f ca="1"/>
        <v>3426.96</v>
      </c>
    </row>
    <row r="51" spans="15:28" x14ac:dyDescent="0.5">
      <c r="O51" s="1435" vm="331">
        <f ca="1"/>
        <v>44082</v>
      </c>
      <c r="P51" s="1434" vm="332">
        <f ca="1"/>
        <v>266.61</v>
      </c>
      <c r="Q51" s="1435" vm="331">
        <f ca="1"/>
        <v>44082</v>
      </c>
      <c r="R51" s="1434" vm="333">
        <f ca="1"/>
        <v>155.81100000000001</v>
      </c>
      <c r="S51" s="1435" vm="331">
        <f ca="1"/>
        <v>44082</v>
      </c>
      <c r="T51" s="1434" vm="334">
        <f ca="1"/>
        <v>76.036000000000001</v>
      </c>
      <c r="U51" s="1435" vm="331">
        <f ca="1"/>
        <v>44082</v>
      </c>
      <c r="V51" s="1434" vm="335">
        <f ca="1"/>
        <v>41.863999999999997</v>
      </c>
      <c r="W51" s="1435" vm="331">
        <f ca="1"/>
        <v>44082</v>
      </c>
      <c r="X51" s="1434" vm="336">
        <f ca="1"/>
        <v>482.03</v>
      </c>
      <c r="Y51" s="1435" vm="331">
        <f ca="1"/>
        <v>44082</v>
      </c>
      <c r="Z51" s="1434" vm="337">
        <f ca="1"/>
        <v>41.8996</v>
      </c>
      <c r="AA51" s="1435" vm="331">
        <f ca="1"/>
        <v>44082</v>
      </c>
      <c r="AB51" s="1434" vm="338">
        <f ca="1"/>
        <v>3340.97</v>
      </c>
    </row>
    <row r="52" spans="15:28" x14ac:dyDescent="0.5">
      <c r="O52" s="1435" vm="339">
        <f ca="1"/>
        <v>44088</v>
      </c>
      <c r="P52" s="1434" vm="340">
        <f ca="1"/>
        <v>252.53</v>
      </c>
      <c r="Q52" s="1435" vm="339">
        <f ca="1"/>
        <v>44088</v>
      </c>
      <c r="R52" s="1434" vm="341">
        <f ca="1"/>
        <v>147.74549999999999</v>
      </c>
      <c r="S52" s="1435" vm="339">
        <f ca="1"/>
        <v>44088</v>
      </c>
      <c r="T52" s="1434" vm="342">
        <f ca="1"/>
        <v>72.999499999999998</v>
      </c>
      <c r="U52" s="1435" vm="339">
        <f ca="1"/>
        <v>44088</v>
      </c>
      <c r="V52" s="1434" vm="343">
        <f ca="1"/>
        <v>43.575000000000003</v>
      </c>
      <c r="W52" s="1435" vm="339">
        <f ca="1"/>
        <v>44088</v>
      </c>
      <c r="X52" s="1434" vm="344">
        <f ca="1"/>
        <v>469.96</v>
      </c>
      <c r="Y52" s="1435" vm="339">
        <f ca="1"/>
        <v>44088</v>
      </c>
      <c r="Z52" s="1434" vm="345">
        <f ca="1"/>
        <v>40.816299999999998</v>
      </c>
      <c r="AA52" s="1435" vm="339">
        <f ca="1"/>
        <v>44088</v>
      </c>
      <c r="AB52" s="1434" vm="346">
        <f ca="1"/>
        <v>3319.47</v>
      </c>
    </row>
    <row r="53" spans="15:28" x14ac:dyDescent="0.5">
      <c r="O53" s="1435" vm="347">
        <f ca="1"/>
        <v>44095</v>
      </c>
      <c r="P53" s="1434" vm="348">
        <f ca="1"/>
        <v>254.82</v>
      </c>
      <c r="Q53" s="1435" vm="347">
        <f ca="1"/>
        <v>44095</v>
      </c>
      <c r="R53" s="1434" vm="349">
        <f ca="1"/>
        <v>154.75649999999999</v>
      </c>
      <c r="S53" s="1435" vm="347">
        <f ca="1"/>
        <v>44095</v>
      </c>
      <c r="T53" s="1434" vm="350">
        <f ca="1"/>
        <v>72.248000000000005</v>
      </c>
      <c r="U53" s="1435" vm="347">
        <f ca="1"/>
        <v>44095</v>
      </c>
      <c r="V53" s="1434" vm="351">
        <f ca="1"/>
        <v>47.317</v>
      </c>
      <c r="W53" s="1435" vm="347">
        <f ca="1"/>
        <v>44095</v>
      </c>
      <c r="X53" s="1434" vm="352">
        <f ca="1"/>
        <v>482.88</v>
      </c>
      <c r="Y53" s="1435" vm="347">
        <f ca="1"/>
        <v>44095</v>
      </c>
      <c r="Z53" s="1434" vm="353">
        <f ca="1"/>
        <v>41.3429</v>
      </c>
      <c r="AA53" s="1435" vm="347">
        <f ca="1"/>
        <v>44095</v>
      </c>
      <c r="AB53" s="1434" vm="354">
        <f ca="1"/>
        <v>3298.46</v>
      </c>
    </row>
    <row r="54" spans="15:28" x14ac:dyDescent="0.5">
      <c r="O54" s="1435" vm="355">
        <f ca="1"/>
        <v>44102</v>
      </c>
      <c r="P54" s="1434" vm="356">
        <f ca="1"/>
        <v>259.94</v>
      </c>
      <c r="Q54" s="1435" vm="355">
        <f ca="1"/>
        <v>44102</v>
      </c>
      <c r="R54" s="1434" vm="357">
        <f ca="1"/>
        <v>156.25</v>
      </c>
      <c r="S54" s="1435" vm="355">
        <f ca="1"/>
        <v>44102</v>
      </c>
      <c r="T54" s="1434" vm="358">
        <f ca="1"/>
        <v>72.921000000000006</v>
      </c>
      <c r="U54" s="1435" vm="355">
        <f ca="1"/>
        <v>44102</v>
      </c>
      <c r="V54" s="1434" vm="359">
        <f ca="1"/>
        <v>55.648000000000003</v>
      </c>
      <c r="W54" s="1435" vm="355">
        <f ca="1"/>
        <v>44102</v>
      </c>
      <c r="X54" s="1434" vm="360">
        <f ca="1"/>
        <v>503.06</v>
      </c>
      <c r="Y54" s="1435" vm="355">
        <f ca="1"/>
        <v>44102</v>
      </c>
      <c r="Z54" s="1434" vm="361">
        <f ca="1"/>
        <v>41.179600000000001</v>
      </c>
      <c r="AA54" s="1435" vm="355">
        <f ca="1"/>
        <v>44102</v>
      </c>
      <c r="AB54" s="1434" vm="362">
        <f ca="1"/>
        <v>3348.44</v>
      </c>
    </row>
    <row r="55" spans="15:28" x14ac:dyDescent="0.5">
      <c r="O55" s="1435" vm="363">
        <f ca="1"/>
        <v>44109</v>
      </c>
      <c r="P55" s="1434" vm="364">
        <f ca="1"/>
        <v>264.45</v>
      </c>
      <c r="Q55" s="1435" vm="363">
        <f ca="1"/>
        <v>44109</v>
      </c>
      <c r="R55" s="1434" vm="365">
        <f ca="1"/>
        <v>164.33250000000001</v>
      </c>
      <c r="S55" s="1435" vm="363">
        <f ca="1"/>
        <v>44109</v>
      </c>
      <c r="T55" s="1434" vm="366">
        <f ca="1"/>
        <v>75.760999999999996</v>
      </c>
      <c r="U55" s="1435" vm="363">
        <f ca="1"/>
        <v>44109</v>
      </c>
      <c r="V55" s="1434" vm="367">
        <f ca="1"/>
        <v>61.311</v>
      </c>
      <c r="W55" s="1435" vm="363">
        <f ca="1"/>
        <v>44109</v>
      </c>
      <c r="X55" s="1434" vm="368">
        <f ca="1"/>
        <v>539.44000000000005</v>
      </c>
      <c r="Y55" s="1435" vm="363">
        <f ca="1"/>
        <v>44109</v>
      </c>
      <c r="Z55" s="1434" vm="369">
        <f ca="1"/>
        <v>41.686199999999999</v>
      </c>
      <c r="AA55" s="1435" vm="363">
        <f ca="1"/>
        <v>44109</v>
      </c>
      <c r="AB55" s="1434" vm="370">
        <f ca="1"/>
        <v>3477.13</v>
      </c>
    </row>
    <row r="56" spans="15:28" x14ac:dyDescent="0.5">
      <c r="O56" s="1435" vm="371">
        <f ca="1"/>
        <v>44116</v>
      </c>
      <c r="P56" s="1434" vm="372">
        <f ca="1"/>
        <v>265.93</v>
      </c>
      <c r="Q56" s="1435" vm="371">
        <f ca="1"/>
        <v>44116</v>
      </c>
      <c r="R56" s="1434" vm="373">
        <f ca="1"/>
        <v>163.63550000000001</v>
      </c>
      <c r="S56" s="1435" vm="371">
        <f ca="1"/>
        <v>44116</v>
      </c>
      <c r="T56" s="1434" vm="374">
        <f ca="1"/>
        <v>78.650499999999994</v>
      </c>
      <c r="U56" s="1435" vm="371">
        <f ca="1"/>
        <v>44116</v>
      </c>
      <c r="V56" s="1434" vm="375">
        <f ca="1"/>
        <v>60.5</v>
      </c>
      <c r="W56" s="1435" vm="371">
        <f ca="1"/>
        <v>44116</v>
      </c>
      <c r="X56" s="1434" vm="376">
        <f ca="1"/>
        <v>530.79</v>
      </c>
      <c r="Y56" s="1435" vm="371">
        <f ca="1"/>
        <v>44116</v>
      </c>
      <c r="Z56" s="1434" vm="377">
        <f ca="1"/>
        <v>42.956200000000003</v>
      </c>
      <c r="AA56" s="1435" vm="371">
        <f ca="1"/>
        <v>44116</v>
      </c>
      <c r="AB56" s="1434" vm="378">
        <f ca="1"/>
        <v>3483.81</v>
      </c>
    </row>
    <row r="57" spans="15:28" x14ac:dyDescent="0.5">
      <c r="O57" s="1435" vm="379">
        <f ca="1"/>
        <v>44123</v>
      </c>
      <c r="P57" s="1434" vm="380">
        <f ca="1"/>
        <v>284.79000000000002</v>
      </c>
      <c r="Q57" s="1435" vm="379">
        <f ca="1"/>
        <v>44123</v>
      </c>
      <c r="R57" s="1434" vm="381">
        <f ca="1"/>
        <v>160.22</v>
      </c>
      <c r="S57" s="1435" vm="379">
        <f ca="1"/>
        <v>44123</v>
      </c>
      <c r="T57" s="1434" vm="382">
        <f ca="1"/>
        <v>82.05</v>
      </c>
      <c r="U57" s="1435" vm="379">
        <f ca="1"/>
        <v>44123</v>
      </c>
      <c r="V57" s="1434" vm="383">
        <f ca="1"/>
        <v>61.991</v>
      </c>
      <c r="W57" s="1435" vm="379">
        <f ca="1"/>
        <v>44123</v>
      </c>
      <c r="X57" s="1434" vm="384">
        <f ca="1"/>
        <v>488.28</v>
      </c>
      <c r="Y57" s="1435" vm="379">
        <f ca="1"/>
        <v>44123</v>
      </c>
      <c r="Z57" s="1434" vm="385">
        <f ca="1"/>
        <v>43.0396</v>
      </c>
      <c r="AA57" s="1435" vm="379">
        <f ca="1"/>
        <v>44123</v>
      </c>
      <c r="AB57" s="1434" vm="386">
        <f ca="1"/>
        <v>3465.39</v>
      </c>
    </row>
    <row r="58" spans="15:28" x14ac:dyDescent="0.5">
      <c r="O58" s="1435" vm="387">
        <f ca="1"/>
        <v>44130</v>
      </c>
      <c r="P58" s="1434" vm="388">
        <f ca="1"/>
        <v>263.11</v>
      </c>
      <c r="Q58" s="1435" vm="387">
        <f ca="1"/>
        <v>44130</v>
      </c>
      <c r="R58" s="1434" vm="389">
        <f ca="1"/>
        <v>151.8075</v>
      </c>
      <c r="S58" s="1435" vm="387">
        <f ca="1"/>
        <v>44130</v>
      </c>
      <c r="T58" s="1434" vm="390">
        <f ca="1"/>
        <v>81.0505</v>
      </c>
      <c r="U58" s="1435" vm="387">
        <f ca="1"/>
        <v>44130</v>
      </c>
      <c r="V58" s="1434" vm="391">
        <f ca="1"/>
        <v>56.645000000000003</v>
      </c>
      <c r="W58" s="1435" vm="387">
        <f ca="1"/>
        <v>44130</v>
      </c>
      <c r="X58" s="1434" vm="392">
        <f ca="1"/>
        <v>475.74</v>
      </c>
      <c r="Y58" s="1435" vm="387">
        <f ca="1"/>
        <v>44130</v>
      </c>
      <c r="Z58" s="1434" vm="393">
        <f ca="1"/>
        <v>40.329599999999999</v>
      </c>
      <c r="AA58" s="1435" vm="387">
        <f ca="1"/>
        <v>44130</v>
      </c>
      <c r="AB58" s="1434" vm="394">
        <f ca="1"/>
        <v>3269.96</v>
      </c>
    </row>
    <row r="59" spans="15:28" x14ac:dyDescent="0.5">
      <c r="O59" s="1435" vm="395">
        <f ca="1"/>
        <v>44137</v>
      </c>
      <c r="P59" s="1434" vm="396">
        <f ca="1"/>
        <v>293.41000000000003</v>
      </c>
      <c r="Q59" s="1435" vm="395">
        <f ca="1"/>
        <v>44137</v>
      </c>
      <c r="R59" s="1434" vm="397">
        <f ca="1"/>
        <v>165.5685</v>
      </c>
      <c r="S59" s="1435" vm="395">
        <f ca="1"/>
        <v>44137</v>
      </c>
      <c r="T59" s="1434" vm="398">
        <f ca="1"/>
        <v>88.087500000000006</v>
      </c>
      <c r="U59" s="1435" vm="395">
        <f ca="1"/>
        <v>44137</v>
      </c>
      <c r="V59" s="1434" vm="399">
        <f ca="1"/>
        <v>81.933999999999997</v>
      </c>
      <c r="W59" s="1435" vm="395">
        <f ca="1"/>
        <v>44137</v>
      </c>
      <c r="X59" s="1434" vm="400">
        <f ca="1"/>
        <v>514.73</v>
      </c>
      <c r="Y59" s="1435" vm="395">
        <f ca="1"/>
        <v>44137</v>
      </c>
      <c r="Z59" s="1434" vm="401">
        <f ca="1"/>
        <v>44.3996</v>
      </c>
      <c r="AA59" s="1435" vm="395">
        <f ca="1"/>
        <v>44137</v>
      </c>
      <c r="AB59" s="1434" vm="402">
        <f ca="1"/>
        <v>3509.44</v>
      </c>
    </row>
    <row r="60" spans="15:28" x14ac:dyDescent="0.5">
      <c r="O60" s="1435" vm="403">
        <f ca="1"/>
        <v>44144</v>
      </c>
      <c r="P60" s="1434" vm="404">
        <f ca="1"/>
        <v>276.95</v>
      </c>
      <c r="Q60" s="1435" vm="403">
        <f ca="1"/>
        <v>44144</v>
      </c>
      <c r="R60" s="1434" vm="405">
        <f ca="1"/>
        <v>156.44049999999999</v>
      </c>
      <c r="S60" s="1435" vm="403">
        <f ca="1"/>
        <v>44144</v>
      </c>
      <c r="T60" s="1434" vm="406">
        <f ca="1"/>
        <v>88.850999999999999</v>
      </c>
      <c r="U60" s="1435" vm="403">
        <f ca="1"/>
        <v>44144</v>
      </c>
      <c r="V60" s="1434" vm="407">
        <f ca="1"/>
        <v>73.477000000000004</v>
      </c>
      <c r="W60" s="1435" vm="403">
        <f ca="1"/>
        <v>44144</v>
      </c>
      <c r="X60" s="1434" vm="408">
        <f ca="1"/>
        <v>482.84</v>
      </c>
      <c r="Y60" s="1435" vm="403">
        <f ca="1"/>
        <v>44144</v>
      </c>
      <c r="Z60" s="1434" vm="409">
        <f ca="1"/>
        <v>41.939599999999999</v>
      </c>
      <c r="AA60" s="1435" vm="403">
        <f ca="1"/>
        <v>44144</v>
      </c>
      <c r="AB60" s="1434" vm="410">
        <f ca="1"/>
        <v>3585.15</v>
      </c>
    </row>
    <row r="61" spans="15:28" x14ac:dyDescent="0.5">
      <c r="O61" s="1435" vm="411">
        <f ca="1"/>
        <v>44151</v>
      </c>
      <c r="P61" s="1434" vm="412">
        <f ca="1"/>
        <v>269.7</v>
      </c>
      <c r="Q61" s="1435" vm="411">
        <f ca="1"/>
        <v>44151</v>
      </c>
      <c r="R61" s="1434" vm="413">
        <f ca="1"/>
        <v>154.97</v>
      </c>
      <c r="S61" s="1435" vm="411">
        <f ca="1"/>
        <v>44151</v>
      </c>
      <c r="T61" s="1434" vm="414">
        <f ca="1"/>
        <v>87.109499999999997</v>
      </c>
      <c r="U61" s="1435" vm="411">
        <f ca="1"/>
        <v>44151</v>
      </c>
      <c r="V61" s="1434" vm="415">
        <f ca="1"/>
        <v>82.7</v>
      </c>
      <c r="W61" s="1435" vm="411">
        <f ca="1"/>
        <v>44151</v>
      </c>
      <c r="X61" s="1434" vm="416">
        <f ca="1"/>
        <v>488.24</v>
      </c>
      <c r="Y61" s="1435" vm="411">
        <f ca="1"/>
        <v>44151</v>
      </c>
      <c r="Z61" s="1434" vm="417">
        <f ca="1"/>
        <v>42.1096</v>
      </c>
      <c r="AA61" s="1435" vm="411">
        <f ca="1"/>
        <v>44151</v>
      </c>
      <c r="AB61" s="1434" vm="418">
        <f ca="1"/>
        <v>3557.54</v>
      </c>
    </row>
    <row r="62" spans="15:28" x14ac:dyDescent="0.5">
      <c r="O62" s="1435" vm="419">
        <f ca="1"/>
        <v>44158</v>
      </c>
      <c r="P62" s="1434" vm="420">
        <f ca="1"/>
        <v>277.81</v>
      </c>
      <c r="Q62" s="1435" vm="419">
        <f ca="1"/>
        <v>44158</v>
      </c>
      <c r="R62" s="1434" vm="421">
        <f ca="1"/>
        <v>159.767</v>
      </c>
      <c r="S62" s="1435" vm="419">
        <f ca="1"/>
        <v>44158</v>
      </c>
      <c r="T62" s="1434" vm="422">
        <f ca="1"/>
        <v>89.659499999999994</v>
      </c>
      <c r="U62" s="1435" vm="419">
        <f ca="1"/>
        <v>44158</v>
      </c>
      <c r="V62" s="1434" vm="423">
        <f ca="1"/>
        <v>87.31</v>
      </c>
      <c r="W62" s="1435" vm="419">
        <f ca="1"/>
        <v>44158</v>
      </c>
      <c r="X62" s="1434" vm="424">
        <f ca="1"/>
        <v>491.36</v>
      </c>
      <c r="Y62" s="1435" vm="419">
        <f ca="1"/>
        <v>44158</v>
      </c>
      <c r="Z62" s="1434" vm="425">
        <f ca="1"/>
        <v>42.372900000000001</v>
      </c>
      <c r="AA62" s="1435" vm="419">
        <f ca="1"/>
        <v>44158</v>
      </c>
      <c r="AB62" s="1434" vm="426">
        <f ca="1"/>
        <v>3638.35</v>
      </c>
    </row>
    <row r="63" spans="15:28" x14ac:dyDescent="0.5">
      <c r="O63" s="1435" vm="427">
        <f ca="1"/>
        <v>44165</v>
      </c>
      <c r="P63" s="1434" vm="428">
        <f ca="1"/>
        <v>279.7</v>
      </c>
      <c r="Q63" s="1435" vm="427">
        <f ca="1"/>
        <v>44165</v>
      </c>
      <c r="R63" s="1434" vm="429">
        <f ca="1"/>
        <v>158.12899999999999</v>
      </c>
      <c r="S63" s="1435" vm="427">
        <f ca="1"/>
        <v>44165</v>
      </c>
      <c r="T63" s="1434" vm="430">
        <f ca="1"/>
        <v>91.399500000000003</v>
      </c>
      <c r="U63" s="1435" vm="427">
        <f ca="1"/>
        <v>44165</v>
      </c>
      <c r="V63" s="1434" vm="431">
        <f ca="1"/>
        <v>90.378</v>
      </c>
      <c r="W63" s="1435" vm="427">
        <f ca="1"/>
        <v>44165</v>
      </c>
      <c r="X63" s="1434" vm="432">
        <f ca="1"/>
        <v>498.31</v>
      </c>
      <c r="Y63" s="1435" vm="427">
        <f ca="1"/>
        <v>44165</v>
      </c>
      <c r="Z63" s="1434" vm="433">
        <f ca="1"/>
        <v>41.766199999999998</v>
      </c>
      <c r="AA63" s="1435" vm="427">
        <f ca="1"/>
        <v>44165</v>
      </c>
      <c r="AB63" s="1434" vm="434">
        <f ca="1"/>
        <v>3699.12</v>
      </c>
    </row>
    <row r="64" spans="15:28" x14ac:dyDescent="0.5">
      <c r="O64" s="1435" vm="435">
        <f ca="1"/>
        <v>44172</v>
      </c>
      <c r="P64" s="1434" vm="436">
        <f ca="1"/>
        <v>273.55</v>
      </c>
      <c r="Q64" s="1435" vm="435">
        <f ca="1"/>
        <v>44172</v>
      </c>
      <c r="R64" s="1434" vm="437">
        <f ca="1"/>
        <v>155.821</v>
      </c>
      <c r="S64" s="1435" vm="435">
        <f ca="1"/>
        <v>44172</v>
      </c>
      <c r="T64" s="1434" vm="438">
        <f ca="1"/>
        <v>89.088499999999996</v>
      </c>
      <c r="U64" s="1435" vm="435">
        <f ca="1"/>
        <v>44172</v>
      </c>
      <c r="V64" s="1434" vm="439">
        <f ca="1"/>
        <v>92.614000000000004</v>
      </c>
      <c r="W64" s="1435" vm="435">
        <f ca="1"/>
        <v>44172</v>
      </c>
      <c r="X64" s="1434" vm="440">
        <f ca="1"/>
        <v>503.22</v>
      </c>
      <c r="Y64" s="1435" vm="435">
        <f ca="1"/>
        <v>44172</v>
      </c>
      <c r="Z64" s="1434" vm="441">
        <f ca="1"/>
        <v>41.889600000000002</v>
      </c>
      <c r="AA64" s="1435" vm="435">
        <f ca="1"/>
        <v>44172</v>
      </c>
      <c r="AB64" s="1434" vm="442">
        <f ca="1"/>
        <v>3663.46</v>
      </c>
    </row>
    <row r="65" spans="15:28" x14ac:dyDescent="0.5">
      <c r="O65" s="1435" vm="443">
        <f ca="1"/>
        <v>44179</v>
      </c>
      <c r="P65" s="1434" vm="444">
        <f ca="1"/>
        <v>276.39999999999998</v>
      </c>
      <c r="Q65" s="1435" vm="443">
        <f ca="1"/>
        <v>44179</v>
      </c>
      <c r="R65" s="1434" vm="445">
        <f ca="1"/>
        <v>160.08250000000001</v>
      </c>
      <c r="S65" s="1435" vm="443">
        <f ca="1"/>
        <v>44179</v>
      </c>
      <c r="T65" s="1434" vm="446">
        <f ca="1"/>
        <v>86.5505</v>
      </c>
      <c r="U65" s="1435" vm="443">
        <f ca="1"/>
        <v>44179</v>
      </c>
      <c r="V65" s="1434" vm="447">
        <f ca="1"/>
        <v>95.15</v>
      </c>
      <c r="W65" s="1435" vm="443">
        <f ca="1"/>
        <v>44179</v>
      </c>
      <c r="X65" s="1434" vm="448">
        <f ca="1"/>
        <v>534.45000000000005</v>
      </c>
      <c r="Y65" s="1435" vm="443">
        <f ca="1"/>
        <v>44179</v>
      </c>
      <c r="Z65" s="1434" vm="449">
        <f ca="1"/>
        <v>42.866199999999999</v>
      </c>
      <c r="AA65" s="1435" vm="443">
        <f ca="1"/>
        <v>44179</v>
      </c>
      <c r="AB65" s="1434" vm="450">
        <f ca="1"/>
        <v>3709.41</v>
      </c>
    </row>
    <row r="66" spans="15:28" x14ac:dyDescent="0.5">
      <c r="O66" s="1435" vm="451">
        <f ca="1"/>
        <v>44186</v>
      </c>
      <c r="P66" s="1434" vm="452">
        <f ca="1"/>
        <v>267.39999999999998</v>
      </c>
      <c r="Q66" s="1435" vm="451">
        <f ca="1"/>
        <v>44186</v>
      </c>
      <c r="R66" s="1434" vm="453">
        <f ca="1"/>
        <v>158.6345</v>
      </c>
      <c r="S66" s="1435" vm="451">
        <f ca="1"/>
        <v>44186</v>
      </c>
      <c r="T66" s="1434" vm="454">
        <f ca="1"/>
        <v>86.942499999999995</v>
      </c>
      <c r="U66" s="1435" vm="451">
        <f ca="1"/>
        <v>44186</v>
      </c>
      <c r="V66" s="1434" vm="455">
        <f ca="1"/>
        <v>93.177000000000007</v>
      </c>
      <c r="W66" s="1435" vm="451">
        <f ca="1"/>
        <v>44186</v>
      </c>
      <c r="X66" s="1434" vm="456">
        <f ca="1"/>
        <v>513.97</v>
      </c>
      <c r="Y66" s="1435" vm="451">
        <f ca="1"/>
        <v>44186</v>
      </c>
      <c r="Z66" s="1434" vm="457">
        <f ca="1"/>
        <v>42.872900000000001</v>
      </c>
      <c r="AA66" s="1435" vm="451">
        <f ca="1"/>
        <v>44186</v>
      </c>
      <c r="AB66" s="1434" vm="458">
        <f ca="1"/>
        <v>3703.06</v>
      </c>
    </row>
    <row r="67" spans="15:28" x14ac:dyDescent="0.5">
      <c r="O67" s="1435" vm="459">
        <f ca="1"/>
        <v>44193</v>
      </c>
      <c r="P67" s="1434" vm="460">
        <f ca="1"/>
        <v>273.16000000000003</v>
      </c>
      <c r="Q67" s="1435" vm="459">
        <f ca="1"/>
        <v>44193</v>
      </c>
      <c r="R67" s="1434" vm="461">
        <f ca="1"/>
        <v>162.84649999999999</v>
      </c>
      <c r="S67" s="1435" vm="459">
        <f ca="1"/>
        <v>44193</v>
      </c>
      <c r="T67" s="1434" vm="462">
        <f ca="1"/>
        <v>87.593999999999994</v>
      </c>
      <c r="U67" s="1435" vm="459">
        <f ca="1"/>
        <v>44193</v>
      </c>
      <c r="V67" s="1434" vm="463">
        <f ca="1"/>
        <v>80.099999999999994</v>
      </c>
      <c r="W67" s="1435" vm="459">
        <f ca="1"/>
        <v>44193</v>
      </c>
      <c r="X67" s="1434" vm="464">
        <f ca="1"/>
        <v>540.73</v>
      </c>
      <c r="Y67" s="1435" vm="459">
        <f ca="1"/>
        <v>44193</v>
      </c>
      <c r="Z67" s="1434" vm="465">
        <f ca="1"/>
        <v>44.246200000000002</v>
      </c>
      <c r="AA67" s="1435" vm="459">
        <f ca="1"/>
        <v>44193</v>
      </c>
      <c r="AB67" s="1434" vm="466">
        <f ca="1"/>
        <v>3756.07</v>
      </c>
    </row>
    <row r="68" spans="15:28" x14ac:dyDescent="0.5">
      <c r="O68" s="1435" vm="467">
        <f ca="1"/>
        <v>44200</v>
      </c>
      <c r="P68" s="1434" vm="468">
        <f ca="1"/>
        <v>267.57</v>
      </c>
      <c r="Q68" s="1435" vm="467">
        <f ca="1"/>
        <v>44200</v>
      </c>
      <c r="R68" s="1434" vm="469">
        <f ca="1"/>
        <v>159.13499999999999</v>
      </c>
      <c r="S68" s="1435" vm="467">
        <f ca="1"/>
        <v>44200</v>
      </c>
      <c r="T68" s="1434" vm="470">
        <f ca="1"/>
        <v>90.360500000000002</v>
      </c>
      <c r="U68" s="1435" vm="467">
        <f ca="1"/>
        <v>44200</v>
      </c>
      <c r="V68" s="1434" vm="471">
        <f ca="1"/>
        <v>79.581000000000003</v>
      </c>
      <c r="W68" s="1435" vm="467">
        <f ca="1"/>
        <v>44200</v>
      </c>
      <c r="X68" s="1434" vm="472">
        <f ca="1"/>
        <v>510.4</v>
      </c>
      <c r="Y68" s="1435" vm="467">
        <f ca="1"/>
        <v>44200</v>
      </c>
      <c r="Z68" s="1434" vm="473">
        <f ca="1"/>
        <v>46.269500000000001</v>
      </c>
      <c r="AA68" s="1435" vm="467">
        <f ca="1"/>
        <v>44200</v>
      </c>
      <c r="AB68" s="1434" vm="474">
        <f ca="1"/>
        <v>3824.68</v>
      </c>
    </row>
    <row r="69" spans="15:28" x14ac:dyDescent="0.5">
      <c r="O69" s="1435" vm="475">
        <f ca="1"/>
        <v>44207</v>
      </c>
      <c r="P69" s="1434" vm="476">
        <f ca="1"/>
        <v>251.36</v>
      </c>
      <c r="Q69" s="1435" vm="475">
        <f ca="1"/>
        <v>44207</v>
      </c>
      <c r="R69" s="1434" vm="477">
        <f ca="1"/>
        <v>155.21250000000001</v>
      </c>
      <c r="S69" s="1435" vm="475">
        <f ca="1"/>
        <v>44207</v>
      </c>
      <c r="T69" s="1434" vm="478">
        <f ca="1"/>
        <v>86.8095</v>
      </c>
      <c r="U69" s="1435" vm="475">
        <f ca="1"/>
        <v>44207</v>
      </c>
      <c r="V69" s="1434" vm="479">
        <f ca="1"/>
        <v>78.536000000000001</v>
      </c>
      <c r="W69" s="1435" vm="475">
        <f ca="1"/>
        <v>44207</v>
      </c>
      <c r="X69" s="1434" vm="480">
        <f ca="1"/>
        <v>497.98</v>
      </c>
      <c r="Y69" s="1435" vm="475">
        <f ca="1"/>
        <v>44207</v>
      </c>
      <c r="Z69" s="1434" vm="481">
        <f ca="1"/>
        <v>46.679499999999997</v>
      </c>
      <c r="AA69" s="1435" vm="475">
        <f ca="1"/>
        <v>44207</v>
      </c>
      <c r="AB69" s="1434" vm="482">
        <f ca="1"/>
        <v>3768.25</v>
      </c>
    </row>
    <row r="70" spans="15:28" x14ac:dyDescent="0.5">
      <c r="O70" s="1435" vm="483">
        <f ca="1"/>
        <v>44215</v>
      </c>
      <c r="P70" s="1434" vm="484">
        <f ca="1"/>
        <v>274.5</v>
      </c>
      <c r="Q70" s="1435" vm="483">
        <f ca="1"/>
        <v>44215</v>
      </c>
      <c r="R70" s="1434" vm="485">
        <f ca="1"/>
        <v>164.61150000000001</v>
      </c>
      <c r="S70" s="1435" vm="483">
        <f ca="1"/>
        <v>44215</v>
      </c>
      <c r="T70" s="1434" vm="486">
        <f ca="1"/>
        <v>95.052499999999995</v>
      </c>
      <c r="U70" s="1435" vm="483">
        <f ca="1"/>
        <v>44215</v>
      </c>
      <c r="V70" s="1434" vm="487">
        <f ca="1"/>
        <v>81.296000000000006</v>
      </c>
      <c r="W70" s="1435" vm="483">
        <f ca="1"/>
        <v>44215</v>
      </c>
      <c r="X70" s="1434" vm="488">
        <f ca="1"/>
        <v>565.16999999999996</v>
      </c>
      <c r="Y70" s="1435" vm="483">
        <f ca="1"/>
        <v>44215</v>
      </c>
      <c r="Z70" s="1434" vm="489">
        <f ca="1"/>
        <v>46.806199999999997</v>
      </c>
      <c r="AA70" s="1435" vm="483">
        <f ca="1"/>
        <v>44215</v>
      </c>
      <c r="AB70" s="1434" vm="490">
        <f ca="1"/>
        <v>3841.47</v>
      </c>
    </row>
    <row r="71" spans="15:28" x14ac:dyDescent="0.5">
      <c r="O71" s="1435" vm="491">
        <f ca="1"/>
        <v>44221</v>
      </c>
      <c r="P71" s="1434" vm="492">
        <f ca="1"/>
        <v>258.33</v>
      </c>
      <c r="Q71" s="1435" vm="491">
        <f ca="1"/>
        <v>44221</v>
      </c>
      <c r="R71" s="1434" vm="493">
        <f ca="1"/>
        <v>160.31</v>
      </c>
      <c r="S71" s="1435" vm="491">
        <f ca="1"/>
        <v>44221</v>
      </c>
      <c r="T71" s="1434" vm="494">
        <f ca="1"/>
        <v>91.787000000000006</v>
      </c>
      <c r="U71" s="1435" vm="491">
        <f ca="1"/>
        <v>44221</v>
      </c>
      <c r="V71" s="1434" vm="495">
        <f ca="1"/>
        <v>76.599000000000004</v>
      </c>
      <c r="W71" s="1435" vm="491">
        <f ca="1"/>
        <v>44221</v>
      </c>
      <c r="X71" s="1434" vm="496">
        <f ca="1"/>
        <v>532.39</v>
      </c>
      <c r="Y71" s="1435" vm="491">
        <f ca="1"/>
        <v>44221</v>
      </c>
      <c r="Z71" s="1434" vm="497">
        <f ca="1"/>
        <v>45.089500000000001</v>
      </c>
      <c r="AA71" s="1435" vm="491">
        <f ca="1"/>
        <v>44221</v>
      </c>
      <c r="AB71" s="1434" vm="498">
        <f ca="1"/>
        <v>3714.24</v>
      </c>
    </row>
    <row r="72" spans="15:28" x14ac:dyDescent="0.5">
      <c r="O72" s="1435" vm="499">
        <f ca="1"/>
        <v>44228</v>
      </c>
      <c r="P72" s="1434" vm="500">
        <f ca="1"/>
        <v>268.10000000000002</v>
      </c>
      <c r="Q72" s="1435" vm="499">
        <f ca="1"/>
        <v>44228</v>
      </c>
      <c r="R72" s="1434" vm="501">
        <f ca="1"/>
        <v>167.60749999999999</v>
      </c>
      <c r="S72" s="1435" vm="499">
        <f ca="1"/>
        <v>44228</v>
      </c>
      <c r="T72" s="1434" vm="502">
        <f ca="1"/>
        <v>104.9</v>
      </c>
      <c r="U72" s="1435" vm="499">
        <f ca="1"/>
        <v>44228</v>
      </c>
      <c r="V72" s="1434" vm="503">
        <f ca="1"/>
        <v>85.506</v>
      </c>
      <c r="W72" s="1435" vm="499">
        <f ca="1"/>
        <v>44228</v>
      </c>
      <c r="X72" s="1434" vm="504">
        <f ca="1"/>
        <v>550.79</v>
      </c>
      <c r="Y72" s="1435" vm="499">
        <f ca="1"/>
        <v>44228</v>
      </c>
      <c r="Z72" s="1434" vm="505">
        <f ca="1"/>
        <v>47.529499999999999</v>
      </c>
      <c r="AA72" s="1435" vm="499">
        <f ca="1"/>
        <v>44228</v>
      </c>
      <c r="AB72" s="1434" vm="506">
        <f ca="1"/>
        <v>3886.83</v>
      </c>
    </row>
    <row r="73" spans="15:28" x14ac:dyDescent="0.5">
      <c r="O73" s="1435" vm="507">
        <f ca="1"/>
        <v>44235</v>
      </c>
      <c r="P73" s="1434" vm="508">
        <f ca="1"/>
        <v>270.5</v>
      </c>
      <c r="Q73" s="1435" vm="507">
        <f ca="1"/>
        <v>44235</v>
      </c>
      <c r="R73" s="1434" vm="509">
        <f ca="1"/>
        <v>163.88550000000001</v>
      </c>
      <c r="S73" s="1435" vm="507">
        <f ca="1"/>
        <v>44235</v>
      </c>
      <c r="T73" s="1434" vm="510">
        <f ca="1"/>
        <v>105.2055</v>
      </c>
      <c r="U73" s="1435" vm="507">
        <f ca="1"/>
        <v>44235</v>
      </c>
      <c r="V73" s="1434" vm="511">
        <f ca="1"/>
        <v>86.4</v>
      </c>
      <c r="W73" s="1435" vm="507">
        <f ca="1"/>
        <v>44235</v>
      </c>
      <c r="X73" s="1434" vm="512">
        <f ca="1"/>
        <v>556.52</v>
      </c>
      <c r="Y73" s="1435" vm="507">
        <f ca="1"/>
        <v>44235</v>
      </c>
      <c r="Z73" s="1434" vm="513">
        <f ca="1"/>
        <v>47.329500000000003</v>
      </c>
      <c r="AA73" s="1435" vm="507">
        <f ca="1"/>
        <v>44235</v>
      </c>
      <c r="AB73" s="1434" vm="514">
        <f ca="1"/>
        <v>3934.83</v>
      </c>
    </row>
    <row r="74" spans="15:28" x14ac:dyDescent="0.5">
      <c r="O74" s="1435" vm="515">
        <f ca="1"/>
        <v>44243</v>
      </c>
      <c r="P74" s="1434" vm="516">
        <f ca="1"/>
        <v>261.56</v>
      </c>
      <c r="Q74" s="1435" vm="515">
        <f ca="1"/>
        <v>44243</v>
      </c>
      <c r="R74" s="1434" vm="517">
        <f ca="1"/>
        <v>162.495</v>
      </c>
      <c r="S74" s="1435" vm="515">
        <f ca="1"/>
        <v>44243</v>
      </c>
      <c r="T74" s="1434" vm="518">
        <f ca="1"/>
        <v>105.057</v>
      </c>
      <c r="U74" s="1435" vm="515">
        <f ca="1"/>
        <v>44243</v>
      </c>
      <c r="V74" s="1434" vm="519">
        <f ca="1"/>
        <v>90.334999999999994</v>
      </c>
      <c r="W74" s="1435" vm="515">
        <f ca="1"/>
        <v>44243</v>
      </c>
      <c r="X74" s="1434" vm="520">
        <f ca="1"/>
        <v>540.22</v>
      </c>
      <c r="Y74" s="1435" vm="515">
        <f ca="1"/>
        <v>44243</v>
      </c>
      <c r="Z74" s="1434" vm="521">
        <f ca="1"/>
        <v>48.142899999999997</v>
      </c>
      <c r="AA74" s="1435" vm="515">
        <f ca="1"/>
        <v>44243</v>
      </c>
      <c r="AB74" s="1434" vm="522">
        <f ca="1"/>
        <v>3906.71</v>
      </c>
    </row>
    <row r="75" spans="15:28" x14ac:dyDescent="0.5">
      <c r="O75" s="1435" vm="523">
        <f ca="1"/>
        <v>44249</v>
      </c>
      <c r="P75" s="1434" vm="524">
        <f ca="1"/>
        <v>257.62</v>
      </c>
      <c r="Q75" s="1435" vm="523">
        <f ca="1"/>
        <v>44249</v>
      </c>
      <c r="R75" s="1434" vm="525">
        <f ca="1"/>
        <v>154.6465</v>
      </c>
      <c r="S75" s="1435" vm="523">
        <f ca="1"/>
        <v>44249</v>
      </c>
      <c r="T75" s="1434" vm="526">
        <f ca="1"/>
        <v>101.843</v>
      </c>
      <c r="U75" s="1435" vm="523">
        <f ca="1"/>
        <v>44249</v>
      </c>
      <c r="V75" s="1434" vm="527">
        <f ca="1"/>
        <v>80.539000000000001</v>
      </c>
      <c r="W75" s="1435" vm="523">
        <f ca="1"/>
        <v>44249</v>
      </c>
      <c r="X75" s="1434" vm="528">
        <f ca="1"/>
        <v>538.85</v>
      </c>
      <c r="Y75" s="1435" vm="523">
        <f ca="1"/>
        <v>44249</v>
      </c>
      <c r="Z75" s="1434" vm="529">
        <f ca="1"/>
        <v>46.096200000000003</v>
      </c>
      <c r="AA75" s="1435" vm="523">
        <f ca="1"/>
        <v>44249</v>
      </c>
      <c r="AB75" s="1434" vm="530">
        <f ca="1"/>
        <v>3811.15</v>
      </c>
    </row>
    <row r="76" spans="15:28" x14ac:dyDescent="0.5">
      <c r="O76" s="1435" vm="531">
        <f ca="1"/>
        <v>44256</v>
      </c>
      <c r="P76" s="1434" vm="532">
        <f ca="1"/>
        <v>264.27999999999997</v>
      </c>
      <c r="Q76" s="1435" vm="531">
        <f ca="1"/>
        <v>44256</v>
      </c>
      <c r="R76" s="1434" vm="533">
        <f ca="1"/>
        <v>150.023</v>
      </c>
      <c r="S76" s="1435" vm="531">
        <f ca="1"/>
        <v>44256</v>
      </c>
      <c r="T76" s="1434" vm="534">
        <f ca="1"/>
        <v>105.42700000000001</v>
      </c>
      <c r="U76" s="1435" vm="531">
        <f ca="1"/>
        <v>44256</v>
      </c>
      <c r="V76" s="1434" vm="535">
        <f ca="1"/>
        <v>65.417000000000002</v>
      </c>
      <c r="W76" s="1435" vm="531">
        <f ca="1"/>
        <v>44256</v>
      </c>
      <c r="X76" s="1434" vm="536">
        <f ca="1"/>
        <v>516.39</v>
      </c>
      <c r="Y76" s="1435" vm="531">
        <f ca="1"/>
        <v>44256</v>
      </c>
      <c r="Z76" s="1434" vm="537">
        <f ca="1"/>
        <v>48.232900000000001</v>
      </c>
      <c r="AA76" s="1435" vm="531">
        <f ca="1"/>
        <v>44256</v>
      </c>
      <c r="AB76" s="1434" vm="538">
        <f ca="1"/>
        <v>3841.94</v>
      </c>
    </row>
    <row r="77" spans="15:28" x14ac:dyDescent="0.5">
      <c r="O77" s="1435" vm="539">
        <f ca="1"/>
        <v>44263</v>
      </c>
      <c r="P77" s="1434" vm="540">
        <f ca="1"/>
        <v>268.39999999999998</v>
      </c>
      <c r="Q77" s="1435" vm="539">
        <f ca="1"/>
        <v>44263</v>
      </c>
      <c r="R77" s="1434" vm="541">
        <f ca="1"/>
        <v>154.47450000000001</v>
      </c>
      <c r="S77" s="1435" vm="539">
        <f ca="1"/>
        <v>44263</v>
      </c>
      <c r="T77" s="1434" vm="542">
        <f ca="1"/>
        <v>103.096</v>
      </c>
      <c r="U77" s="1435" vm="539">
        <f ca="1"/>
        <v>44263</v>
      </c>
      <c r="V77" s="1434" vm="543">
        <f ca="1"/>
        <v>75.122</v>
      </c>
      <c r="W77" s="1435" vm="539">
        <f ca="1"/>
        <v>44263</v>
      </c>
      <c r="X77" s="1434" vm="544">
        <f ca="1"/>
        <v>518.02</v>
      </c>
      <c r="Y77" s="1435" vm="539">
        <f ca="1"/>
        <v>44263</v>
      </c>
      <c r="Z77" s="1434" vm="545">
        <f ca="1"/>
        <v>48.139499999999998</v>
      </c>
      <c r="AA77" s="1435" vm="539">
        <f ca="1"/>
        <v>44263</v>
      </c>
      <c r="AB77" s="1434" vm="546">
        <f ca="1"/>
        <v>3943.34</v>
      </c>
    </row>
    <row r="78" spans="15:28" x14ac:dyDescent="0.5">
      <c r="O78" s="1435" vm="547">
        <f ca="1"/>
        <v>44270</v>
      </c>
      <c r="P78" s="1434" vm="548">
        <f ca="1"/>
        <v>290.11</v>
      </c>
      <c r="Q78" s="1435" vm="547">
        <f ca="1"/>
        <v>44270</v>
      </c>
      <c r="R78" s="1434" vm="549">
        <f ca="1"/>
        <v>153.74799999999999</v>
      </c>
      <c r="S78" s="1435" vm="547">
        <f ca="1"/>
        <v>44270</v>
      </c>
      <c r="T78" s="1434" vm="550">
        <f ca="1"/>
        <v>102.16</v>
      </c>
      <c r="U78" s="1435" vm="547">
        <f ca="1"/>
        <v>44270</v>
      </c>
      <c r="V78" s="1434" vm="551">
        <f ca="1"/>
        <v>73.320999999999998</v>
      </c>
      <c r="W78" s="1435" vm="547">
        <f ca="1"/>
        <v>44270</v>
      </c>
      <c r="X78" s="1434" vm="552">
        <f ca="1"/>
        <v>512.17999999999995</v>
      </c>
      <c r="Y78" s="1435" vm="547">
        <f ca="1"/>
        <v>44270</v>
      </c>
      <c r="Z78" s="1434" vm="553">
        <f ca="1"/>
        <v>48.579500000000003</v>
      </c>
      <c r="AA78" s="1435" vm="547">
        <f ca="1"/>
        <v>44270</v>
      </c>
      <c r="AB78" s="1434" vm="554">
        <f ca="1"/>
        <v>3913.1</v>
      </c>
    </row>
    <row r="79" spans="15:28" x14ac:dyDescent="0.5">
      <c r="O79" s="1435" vm="555">
        <f ca="1"/>
        <v>44277</v>
      </c>
      <c r="P79" s="1434" vm="556">
        <f ca="1"/>
        <v>283.02</v>
      </c>
      <c r="Q79" s="1435" vm="555">
        <f ca="1"/>
        <v>44277</v>
      </c>
      <c r="R79" s="1434" vm="557">
        <f ca="1"/>
        <v>152.60149999999999</v>
      </c>
      <c r="S79" s="1435" vm="555">
        <f ca="1"/>
        <v>44277</v>
      </c>
      <c r="T79" s="1434" vm="558">
        <f ca="1"/>
        <v>101.7775</v>
      </c>
      <c r="U79" s="1435" vm="555">
        <f ca="1"/>
        <v>44277</v>
      </c>
      <c r="V79" s="1434" vm="559">
        <f ca="1"/>
        <v>67.120999999999995</v>
      </c>
      <c r="W79" s="1435" vm="555">
        <f ca="1"/>
        <v>44277</v>
      </c>
      <c r="X79" s="1434" vm="560">
        <f ca="1"/>
        <v>508.05</v>
      </c>
      <c r="Y79" s="1435" vm="555">
        <f ca="1"/>
        <v>44277</v>
      </c>
      <c r="Z79" s="1434" vm="561">
        <f ca="1"/>
        <v>50.2395</v>
      </c>
      <c r="AA79" s="1435" vm="555">
        <f ca="1"/>
        <v>44277</v>
      </c>
      <c r="AB79" s="1434" vm="562">
        <f ca="1"/>
        <v>3974.54</v>
      </c>
    </row>
    <row r="80" spans="15:28" x14ac:dyDescent="0.5">
      <c r="O80" s="1435" vm="563">
        <f ca="1"/>
        <v>44284</v>
      </c>
      <c r="P80" s="1434" vm="564">
        <f ca="1"/>
        <v>298.66000000000003</v>
      </c>
      <c r="Q80" s="1435" vm="563">
        <f ca="1"/>
        <v>44284</v>
      </c>
      <c r="R80" s="1434" vm="565">
        <f ca="1"/>
        <v>158.05000000000001</v>
      </c>
      <c r="S80" s="1435" vm="563">
        <f ca="1"/>
        <v>44284</v>
      </c>
      <c r="T80" s="1434" vm="566">
        <f ca="1"/>
        <v>106.8875</v>
      </c>
      <c r="U80" s="1435" vm="563">
        <f ca="1"/>
        <v>44284</v>
      </c>
      <c r="V80" s="1434" vm="567">
        <f ca="1"/>
        <v>65.884</v>
      </c>
      <c r="W80" s="1435" vm="563">
        <f ca="1"/>
        <v>44284</v>
      </c>
      <c r="X80" s="1434" vm="568">
        <f ca="1"/>
        <v>539.41999999999996</v>
      </c>
      <c r="Y80" s="1435" vm="563">
        <f ca="1"/>
        <v>44284</v>
      </c>
      <c r="Z80" s="1434" vm="569">
        <f ca="1"/>
        <v>50.282800000000002</v>
      </c>
      <c r="AA80" s="1435" vm="563">
        <f ca="1"/>
        <v>44284</v>
      </c>
      <c r="AB80" s="1434" vm="570">
        <f ca="1"/>
        <v>4019.87</v>
      </c>
    </row>
    <row r="81" spans="15:28" x14ac:dyDescent="0.5">
      <c r="O81" s="1435" vm="571">
        <f ca="1"/>
        <v>44291</v>
      </c>
      <c r="P81" s="1434" vm="572">
        <f ca="1"/>
        <v>312.45999999999998</v>
      </c>
      <c r="Q81" s="1435" vm="571">
        <f ca="1"/>
        <v>44291</v>
      </c>
      <c r="R81" s="1434" vm="573">
        <f ca="1"/>
        <v>168.61</v>
      </c>
      <c r="S81" s="1435" vm="571">
        <f ca="1"/>
        <v>44291</v>
      </c>
      <c r="T81" s="1434" vm="574">
        <f ca="1"/>
        <v>114.294</v>
      </c>
      <c r="U81" s="1435" vm="571">
        <f ca="1"/>
        <v>44291</v>
      </c>
      <c r="V81" s="1434" vm="575">
        <f ca="1"/>
        <v>69.256</v>
      </c>
      <c r="W81" s="1435" vm="571">
        <f ca="1"/>
        <v>44291</v>
      </c>
      <c r="X81" s="1434" vm="576">
        <f ca="1"/>
        <v>555.30999999999995</v>
      </c>
      <c r="Y81" s="1435" vm="571">
        <f ca="1"/>
        <v>44291</v>
      </c>
      <c r="Z81" s="1434" vm="577">
        <f ca="1"/>
        <v>52.032800000000002</v>
      </c>
      <c r="AA81" s="1435" vm="571">
        <f ca="1"/>
        <v>44291</v>
      </c>
      <c r="AB81" s="1434" vm="578">
        <f ca="1"/>
        <v>4128.8</v>
      </c>
    </row>
    <row r="82" spans="15:28" x14ac:dyDescent="0.5">
      <c r="O82" s="1435" vm="579">
        <f ca="1"/>
        <v>44298</v>
      </c>
      <c r="P82" s="1434" vm="580">
        <f ca="1"/>
        <v>306.18</v>
      </c>
      <c r="Q82" s="1435" vm="579">
        <f ca="1"/>
        <v>44298</v>
      </c>
      <c r="R82" s="1434" vm="581">
        <f ca="1"/>
        <v>169.97200000000001</v>
      </c>
      <c r="S82" s="1435" vm="579">
        <f ca="1"/>
        <v>44298</v>
      </c>
      <c r="T82" s="1434" vm="582">
        <f ca="1"/>
        <v>114.88800000000001</v>
      </c>
      <c r="U82" s="1435" vm="579">
        <f ca="1"/>
        <v>44298</v>
      </c>
      <c r="V82" s="1434" vm="583">
        <f ca="1"/>
        <v>71.885999999999996</v>
      </c>
      <c r="W82" s="1435" vm="579">
        <f ca="1"/>
        <v>44298</v>
      </c>
      <c r="X82" s="1434" vm="584">
        <f ca="1"/>
        <v>546.54</v>
      </c>
      <c r="Y82" s="1435" vm="579">
        <f ca="1"/>
        <v>44298</v>
      </c>
      <c r="Z82" s="1434" vm="585">
        <f ca="1"/>
        <v>53.389499999999998</v>
      </c>
      <c r="AA82" s="1435" vm="579">
        <f ca="1"/>
        <v>44298</v>
      </c>
      <c r="AB82" s="1434" vm="586">
        <f ca="1"/>
        <v>4185.47</v>
      </c>
    </row>
    <row r="83" spans="15:28" x14ac:dyDescent="0.5">
      <c r="O83" s="1435" vm="587">
        <f ca="1"/>
        <v>44305</v>
      </c>
      <c r="P83" s="1434" vm="588">
        <f ca="1"/>
        <v>301.13</v>
      </c>
      <c r="Q83" s="1435" vm="587">
        <f ca="1"/>
        <v>44305</v>
      </c>
      <c r="R83" s="1434" vm="589">
        <f ca="1"/>
        <v>167.04400000000001</v>
      </c>
      <c r="S83" s="1435" vm="587">
        <f ca="1"/>
        <v>44305</v>
      </c>
      <c r="T83" s="1434" vm="590">
        <f ca="1"/>
        <v>115.765</v>
      </c>
      <c r="U83" s="1435" vm="587">
        <f ca="1"/>
        <v>44305</v>
      </c>
      <c r="V83" s="1434" vm="591">
        <f ca="1"/>
        <v>72.649000000000001</v>
      </c>
      <c r="W83" s="1435" vm="587">
        <f ca="1"/>
        <v>44305</v>
      </c>
      <c r="X83" s="1434" vm="592">
        <f ca="1"/>
        <v>505.55</v>
      </c>
      <c r="Y83" s="1435" vm="587">
        <f ca="1"/>
        <v>44305</v>
      </c>
      <c r="Z83" s="1434" vm="593">
        <f ca="1"/>
        <v>54.156100000000002</v>
      </c>
      <c r="AA83" s="1435" vm="587">
        <f ca="1"/>
        <v>44305</v>
      </c>
      <c r="AB83" s="1434" vm="594">
        <f ca="1"/>
        <v>4180.17</v>
      </c>
    </row>
    <row r="84" spans="15:28" x14ac:dyDescent="0.5">
      <c r="O84" s="1435" vm="595">
        <f ca="1"/>
        <v>44312</v>
      </c>
      <c r="P84" s="1434" vm="596">
        <f ca="1"/>
        <v>325.08</v>
      </c>
      <c r="Q84" s="1435" vm="595">
        <f ca="1"/>
        <v>44312</v>
      </c>
      <c r="R84" s="1434" vm="597">
        <f ca="1"/>
        <v>173.37100000000001</v>
      </c>
      <c r="S84" s="1435" vm="595">
        <f ca="1"/>
        <v>44312</v>
      </c>
      <c r="T84" s="1434" vm="598">
        <f ca="1"/>
        <v>120.506</v>
      </c>
      <c r="U84" s="1435" vm="595">
        <f ca="1"/>
        <v>44312</v>
      </c>
      <c r="V84" s="1434" vm="599">
        <f ca="1"/>
        <v>72.930999999999997</v>
      </c>
      <c r="W84" s="1435" vm="595">
        <f ca="1"/>
        <v>44312</v>
      </c>
      <c r="X84" s="1434" vm="600">
        <f ca="1"/>
        <v>513.47</v>
      </c>
      <c r="Y84" s="1435" vm="595">
        <f ca="1"/>
        <v>44312</v>
      </c>
      <c r="Z84" s="1434" vm="601">
        <f ca="1"/>
        <v>53.8461</v>
      </c>
      <c r="AA84" s="1435" vm="595">
        <f ca="1"/>
        <v>44312</v>
      </c>
      <c r="AB84" s="1434" vm="602">
        <f ca="1"/>
        <v>4181.17</v>
      </c>
    </row>
    <row r="85" spans="15:28" x14ac:dyDescent="0.5">
      <c r="O85" s="1435" vm="603">
        <f ca="1"/>
        <v>44319</v>
      </c>
      <c r="P85" s="1434" vm="604">
        <f ca="1"/>
        <v>319.08</v>
      </c>
      <c r="Q85" s="1435" vm="603">
        <f ca="1"/>
        <v>44319</v>
      </c>
      <c r="R85" s="1434" vm="605">
        <f ca="1"/>
        <v>164.5805</v>
      </c>
      <c r="S85" s="1435" vm="603">
        <f ca="1"/>
        <v>44319</v>
      </c>
      <c r="T85" s="1434" vm="606">
        <f ca="1"/>
        <v>119.9345</v>
      </c>
      <c r="U85" s="1435" vm="603">
        <f ca="1"/>
        <v>44319</v>
      </c>
      <c r="V85" s="1434" vm="607">
        <f ca="1"/>
        <v>66.143000000000001</v>
      </c>
      <c r="W85" s="1435" vm="603">
        <f ca="1"/>
        <v>44319</v>
      </c>
      <c r="X85" s="1434" vm="608">
        <f ca="1"/>
        <v>503.84</v>
      </c>
      <c r="Y85" s="1435" vm="603">
        <f ca="1"/>
        <v>44319</v>
      </c>
      <c r="Z85" s="1434" vm="609">
        <f ca="1"/>
        <v>54.852800000000002</v>
      </c>
      <c r="AA85" s="1435" vm="603">
        <f ca="1"/>
        <v>44319</v>
      </c>
      <c r="AB85" s="1434" vm="610">
        <f ca="1"/>
        <v>4232.6000000000004</v>
      </c>
    </row>
    <row r="86" spans="15:28" x14ac:dyDescent="0.5">
      <c r="O86" s="1435" vm="611">
        <f ca="1"/>
        <v>44326</v>
      </c>
      <c r="P86" s="1434" vm="612">
        <f ca="1"/>
        <v>315.94</v>
      </c>
      <c r="Q86" s="1435" vm="611">
        <f ca="1"/>
        <v>44326</v>
      </c>
      <c r="R86" s="1434" vm="613">
        <f ca="1"/>
        <v>161.14500000000001</v>
      </c>
      <c r="S86" s="1435" vm="611">
        <f ca="1"/>
        <v>44326</v>
      </c>
      <c r="T86" s="1434" vm="614">
        <f ca="1"/>
        <v>115.80800000000001</v>
      </c>
      <c r="U86" s="1435" vm="611">
        <f ca="1"/>
        <v>44326</v>
      </c>
      <c r="V86" s="1434" vm="615">
        <f ca="1"/>
        <v>51.749000000000002</v>
      </c>
      <c r="W86" s="1435" vm="611">
        <f ca="1"/>
        <v>44326</v>
      </c>
      <c r="X86" s="1434" vm="616">
        <f ca="1"/>
        <v>493.37</v>
      </c>
      <c r="Y86" s="1435" vm="611">
        <f ca="1"/>
        <v>44326</v>
      </c>
      <c r="Z86" s="1434" vm="617">
        <f ca="1"/>
        <v>54.786099999999998</v>
      </c>
      <c r="AA86" s="1435" vm="611">
        <f ca="1"/>
        <v>44326</v>
      </c>
      <c r="AB86" s="1434" vm="618">
        <f ca="1"/>
        <v>4173.8500000000004</v>
      </c>
    </row>
    <row r="87" spans="15:28" x14ac:dyDescent="0.5">
      <c r="O87" s="1435" vm="619">
        <f ca="1"/>
        <v>44333</v>
      </c>
      <c r="P87" s="1434" vm="620">
        <f ca="1"/>
        <v>316.23</v>
      </c>
      <c r="Q87" s="1435" vm="619">
        <f ca="1"/>
        <v>44333</v>
      </c>
      <c r="R87" s="1434" vm="621">
        <f ca="1"/>
        <v>160.154</v>
      </c>
      <c r="S87" s="1435" vm="619">
        <f ca="1"/>
        <v>44333</v>
      </c>
      <c r="T87" s="1434" vm="622">
        <f ca="1"/>
        <v>117.255</v>
      </c>
      <c r="U87" s="1435" vm="619">
        <f ca="1"/>
        <v>44333</v>
      </c>
      <c r="V87" s="1434" vm="623">
        <f ca="1"/>
        <v>53.972000000000001</v>
      </c>
      <c r="W87" s="1435" vm="619">
        <f ca="1"/>
        <v>44333</v>
      </c>
      <c r="X87" s="1434" vm="624">
        <f ca="1"/>
        <v>497.89</v>
      </c>
      <c r="Y87" s="1435" vm="619">
        <f ca="1"/>
        <v>44333</v>
      </c>
      <c r="Z87" s="1434" vm="625">
        <f ca="1"/>
        <v>54.622799999999998</v>
      </c>
      <c r="AA87" s="1435" vm="619">
        <f ca="1"/>
        <v>44333</v>
      </c>
      <c r="AB87" s="1434" vm="626">
        <f ca="1"/>
        <v>4155.8599999999997</v>
      </c>
    </row>
    <row r="88" spans="15:28" x14ac:dyDescent="0.5">
      <c r="O88" s="1435" vm="627">
        <f ca="1"/>
        <v>44340</v>
      </c>
      <c r="P88" s="1434" vm="628">
        <f ca="1"/>
        <v>328.73</v>
      </c>
      <c r="Q88" s="1435" vm="627">
        <f ca="1"/>
        <v>44340</v>
      </c>
      <c r="R88" s="1434" vm="629">
        <f ca="1"/>
        <v>161.15350000000001</v>
      </c>
      <c r="S88" s="1435" vm="627">
        <f ca="1"/>
        <v>44340</v>
      </c>
      <c r="T88" s="1434" vm="630">
        <f ca="1"/>
        <v>120.578</v>
      </c>
      <c r="U88" s="1435" vm="627">
        <f ca="1"/>
        <v>44340</v>
      </c>
      <c r="V88" s="1434" vm="631">
        <f ca="1"/>
        <v>58.814</v>
      </c>
      <c r="W88" s="1435" vm="627">
        <f ca="1"/>
        <v>44340</v>
      </c>
      <c r="X88" s="1434" vm="632">
        <f ca="1"/>
        <v>502.81</v>
      </c>
      <c r="Y88" s="1435" vm="627">
        <f ca="1"/>
        <v>44340</v>
      </c>
      <c r="Z88" s="1434" vm="633">
        <f ca="1"/>
        <v>55.819400000000002</v>
      </c>
      <c r="AA88" s="1435" vm="627">
        <f ca="1"/>
        <v>44340</v>
      </c>
      <c r="AB88" s="1434" vm="634">
        <f ca="1"/>
        <v>4204.1099999999997</v>
      </c>
    </row>
    <row r="89" spans="15:28" x14ac:dyDescent="0.5">
      <c r="O89" s="1435" vm="635">
        <f ca="1"/>
        <v>44348</v>
      </c>
      <c r="P89" s="1434" vm="636">
        <f ca="1"/>
        <v>330.35</v>
      </c>
      <c r="Q89" s="1435" vm="635">
        <f ca="1"/>
        <v>44348</v>
      </c>
      <c r="R89" s="1434" vm="637">
        <f ca="1"/>
        <v>160.31100000000001</v>
      </c>
      <c r="S89" s="1435" vm="635">
        <f ca="1"/>
        <v>44348</v>
      </c>
      <c r="T89" s="1434" vm="638">
        <f ca="1"/>
        <v>122.58799999999999</v>
      </c>
      <c r="U89" s="1435" vm="635">
        <f ca="1"/>
        <v>44348</v>
      </c>
      <c r="V89" s="1434" vm="639">
        <f ca="1"/>
        <v>57.475000000000001</v>
      </c>
      <c r="W89" s="1435" vm="635">
        <f ca="1"/>
        <v>44348</v>
      </c>
      <c r="X89" s="1434" vm="640">
        <f ca="1"/>
        <v>494.74</v>
      </c>
      <c r="Y89" s="1435" vm="635">
        <f ca="1"/>
        <v>44348</v>
      </c>
      <c r="Z89" s="1434" vm="641">
        <f ca="1"/>
        <v>56.742800000000003</v>
      </c>
      <c r="AA89" s="1435" vm="635">
        <f ca="1"/>
        <v>44348</v>
      </c>
      <c r="AB89" s="1434" vm="642">
        <f ca="1"/>
        <v>4229.8900000000003</v>
      </c>
    </row>
    <row r="90" spans="15:28" x14ac:dyDescent="0.5">
      <c r="O90" s="1435" vm="643">
        <f ca="1"/>
        <v>44354</v>
      </c>
      <c r="P90" s="1434" vm="644">
        <f ca="1"/>
        <v>331.26</v>
      </c>
      <c r="Q90" s="1435" vm="643">
        <f ca="1"/>
        <v>44354</v>
      </c>
      <c r="R90" s="1434" vm="645">
        <f ca="1"/>
        <v>167.3415</v>
      </c>
      <c r="S90" s="1435" vm="643">
        <f ca="1"/>
        <v>44354</v>
      </c>
      <c r="T90" s="1434" vm="646">
        <f ca="1"/>
        <v>125.6965</v>
      </c>
      <c r="U90" s="1435" vm="643">
        <f ca="1"/>
        <v>44354</v>
      </c>
      <c r="V90" s="1434" vm="647">
        <f ca="1"/>
        <v>59.981000000000002</v>
      </c>
      <c r="W90" s="1435" vm="643">
        <f ca="1"/>
        <v>44354</v>
      </c>
      <c r="X90" s="1434" vm="648">
        <f ca="1"/>
        <v>488.77</v>
      </c>
      <c r="Y90" s="1435" vm="643">
        <f ca="1"/>
        <v>44354</v>
      </c>
      <c r="Z90" s="1434" vm="649">
        <f ca="1"/>
        <v>57.6494</v>
      </c>
      <c r="AA90" s="1435" vm="643">
        <f ca="1"/>
        <v>44354</v>
      </c>
      <c r="AB90" s="1434" vm="650">
        <f ca="1"/>
        <v>4247.4399999999996</v>
      </c>
    </row>
    <row r="91" spans="15:28" x14ac:dyDescent="0.5">
      <c r="O91" s="1435" vm="651">
        <f ca="1"/>
        <v>44361</v>
      </c>
      <c r="P91" s="1434" vm="652">
        <f ca="1"/>
        <v>329.66</v>
      </c>
      <c r="Q91" s="1435" vm="651">
        <f ca="1"/>
        <v>44361</v>
      </c>
      <c r="R91" s="1434" vm="653">
        <f ca="1"/>
        <v>174.345</v>
      </c>
      <c r="S91" s="1435" vm="651">
        <f ca="1"/>
        <v>44361</v>
      </c>
      <c r="T91" s="1434" vm="654">
        <f ca="1"/>
        <v>125.5675</v>
      </c>
      <c r="U91" s="1435" vm="651">
        <f ca="1"/>
        <v>44361</v>
      </c>
      <c r="V91" s="1434" vm="655">
        <f ca="1"/>
        <v>60.88</v>
      </c>
      <c r="W91" s="1435" vm="651">
        <f ca="1"/>
        <v>44361</v>
      </c>
      <c r="X91" s="1434" vm="656">
        <f ca="1"/>
        <v>500.77</v>
      </c>
      <c r="Y91" s="1435" vm="651">
        <f ca="1"/>
        <v>44361</v>
      </c>
      <c r="Z91" s="1434" vm="657">
        <f ca="1"/>
        <v>58.599400000000003</v>
      </c>
      <c r="AA91" s="1435" vm="651">
        <f ca="1"/>
        <v>44361</v>
      </c>
      <c r="AB91" s="1434" vm="658">
        <f ca="1"/>
        <v>4166.45</v>
      </c>
    </row>
    <row r="92" spans="15:28" x14ac:dyDescent="0.5">
      <c r="O92" s="1435" vm="659">
        <f ca="1"/>
        <v>44368</v>
      </c>
      <c r="P92" s="1434" vm="660">
        <f ca="1"/>
        <v>341.37</v>
      </c>
      <c r="Q92" s="1435" vm="659">
        <f ca="1"/>
        <v>44368</v>
      </c>
      <c r="R92" s="1434" vm="661">
        <f ca="1"/>
        <v>170.07300000000001</v>
      </c>
      <c r="S92" s="1435" vm="659">
        <f ca="1"/>
        <v>44368</v>
      </c>
      <c r="T92" s="1434" vm="662">
        <f ca="1"/>
        <v>126.995</v>
      </c>
      <c r="U92" s="1435" vm="659">
        <f ca="1"/>
        <v>44368</v>
      </c>
      <c r="V92" s="1434" vm="663">
        <f ca="1"/>
        <v>76.02</v>
      </c>
      <c r="W92" s="1435" vm="659">
        <f ca="1"/>
        <v>44368</v>
      </c>
      <c r="X92" s="1434" vm="664">
        <f ca="1"/>
        <v>527.07000000000005</v>
      </c>
      <c r="Y92" s="1435" vm="659">
        <f ca="1"/>
        <v>44368</v>
      </c>
      <c r="Z92" s="1434" vm="665">
        <f ca="1"/>
        <v>59.356099999999998</v>
      </c>
      <c r="AA92" s="1435" vm="659">
        <f ca="1"/>
        <v>44368</v>
      </c>
      <c r="AB92" s="1434" vm="666">
        <f ca="1"/>
        <v>4280.7</v>
      </c>
    </row>
    <row r="93" spans="15:28" x14ac:dyDescent="0.5">
      <c r="O93" s="1435" vm="667">
        <f ca="1"/>
        <v>44375</v>
      </c>
      <c r="P93" s="1434" vm="668">
        <f ca="1"/>
        <v>354.7</v>
      </c>
      <c r="Q93" s="1435" vm="667">
        <f ca="1"/>
        <v>44375</v>
      </c>
      <c r="R93" s="1434" vm="669">
        <f ca="1"/>
        <v>175.54900000000001</v>
      </c>
      <c r="S93" s="1435" vm="667">
        <f ca="1"/>
        <v>44375</v>
      </c>
      <c r="T93" s="1434" vm="670">
        <f ca="1"/>
        <v>128.71899999999999</v>
      </c>
      <c r="U93" s="1435" vm="667">
        <f ca="1"/>
        <v>44375</v>
      </c>
      <c r="V93" s="1434" vm="671">
        <f ca="1"/>
        <v>76.62</v>
      </c>
      <c r="W93" s="1435" vm="667">
        <f ca="1"/>
        <v>44375</v>
      </c>
      <c r="X93" s="1434" vm="672">
        <f ca="1"/>
        <v>533.98</v>
      </c>
      <c r="Y93" s="1435" vm="667">
        <f ca="1"/>
        <v>44375</v>
      </c>
      <c r="Z93" s="1434" vm="673">
        <f ca="1"/>
        <v>59.292700000000004</v>
      </c>
      <c r="AA93" s="1435" vm="667">
        <f ca="1"/>
        <v>44375</v>
      </c>
      <c r="AB93" s="1434" vm="674">
        <f ca="1"/>
        <v>4352.34</v>
      </c>
    </row>
    <row r="94" spans="15:28" x14ac:dyDescent="0.5">
      <c r="O94" s="1435" vm="675">
        <f ca="1"/>
        <v>44383</v>
      </c>
      <c r="P94" s="1434" vm="676">
        <f ca="1"/>
        <v>350.42</v>
      </c>
      <c r="Q94" s="1435" vm="675">
        <f ca="1"/>
        <v>44383</v>
      </c>
      <c r="R94" s="1434" vm="677">
        <f ca="1"/>
        <v>185.96700000000001</v>
      </c>
      <c r="S94" s="1435" vm="675">
        <f ca="1"/>
        <v>44383</v>
      </c>
      <c r="T94" s="1434" vm="678">
        <f ca="1"/>
        <v>129.5745</v>
      </c>
      <c r="U94" s="1435" vm="675">
        <f ca="1"/>
        <v>44383</v>
      </c>
      <c r="V94" s="1434" vm="679">
        <f ca="1"/>
        <v>77.95</v>
      </c>
      <c r="W94" s="1435" vm="675">
        <f ca="1"/>
        <v>44383</v>
      </c>
      <c r="X94" s="1434" vm="680">
        <f ca="1"/>
        <v>535.98</v>
      </c>
      <c r="Y94" s="1435" vm="675">
        <f ca="1"/>
        <v>44383</v>
      </c>
      <c r="Z94" s="1434" vm="681">
        <f ca="1"/>
        <v>58.589399999999998</v>
      </c>
      <c r="AA94" s="1435" vm="675">
        <f ca="1"/>
        <v>44383</v>
      </c>
      <c r="AB94" s="1434" vm="682">
        <f ca="1"/>
        <v>4369.55</v>
      </c>
    </row>
    <row r="95" spans="15:28" x14ac:dyDescent="0.5">
      <c r="O95" s="1435" vm="683">
        <f ca="1"/>
        <v>44389</v>
      </c>
      <c r="P95" s="1434" vm="684">
        <f ca="1"/>
        <v>341.16</v>
      </c>
      <c r="Q95" s="1435" vm="683">
        <f ca="1"/>
        <v>44389</v>
      </c>
      <c r="R95" s="1434" vm="685">
        <f ca="1"/>
        <v>178.6815</v>
      </c>
      <c r="S95" s="1435" vm="683">
        <f ca="1"/>
        <v>44389</v>
      </c>
      <c r="T95" s="1434" vm="686">
        <f ca="1"/>
        <v>131.84549999999999</v>
      </c>
      <c r="U95" s="1435" vm="683">
        <f ca="1"/>
        <v>44389</v>
      </c>
      <c r="V95" s="1434" vm="687">
        <f ca="1"/>
        <v>70.62</v>
      </c>
      <c r="W95" s="1435" vm="683">
        <f ca="1"/>
        <v>44389</v>
      </c>
      <c r="X95" s="1434" vm="688">
        <f ca="1"/>
        <v>530.30999999999995</v>
      </c>
      <c r="Y95" s="1435" vm="683">
        <f ca="1"/>
        <v>44389</v>
      </c>
      <c r="Z95" s="1434" vm="689">
        <f ca="1"/>
        <v>59.516100000000002</v>
      </c>
      <c r="AA95" s="1435" vm="683">
        <f ca="1"/>
        <v>44389</v>
      </c>
      <c r="AB95" s="1434" vm="690">
        <f ca="1"/>
        <v>4327.16</v>
      </c>
    </row>
    <row r="96" spans="15:28" x14ac:dyDescent="0.5">
      <c r="O96" s="1435" vm="691">
        <f ca="1"/>
        <v>44396</v>
      </c>
      <c r="P96" s="1434" vm="692">
        <f ca="1"/>
        <v>369.79</v>
      </c>
      <c r="Q96" s="1435" vm="691">
        <f ca="1"/>
        <v>44396</v>
      </c>
      <c r="R96" s="1434" vm="693">
        <f ca="1"/>
        <v>182.83199999999999</v>
      </c>
      <c r="S96" s="1435" vm="691">
        <f ca="1"/>
        <v>44396</v>
      </c>
      <c r="T96" s="1434" vm="694">
        <f ca="1"/>
        <v>137.816</v>
      </c>
      <c r="U96" s="1435" vm="691">
        <f ca="1"/>
        <v>44396</v>
      </c>
      <c r="V96" s="1434" vm="695">
        <f ca="1"/>
        <v>81.150000000000006</v>
      </c>
      <c r="W96" s="1435" vm="691">
        <f ca="1"/>
        <v>44396</v>
      </c>
      <c r="X96" s="1434" vm="696">
        <f ca="1"/>
        <v>515.41</v>
      </c>
      <c r="Y96" s="1435" vm="691">
        <f ca="1"/>
        <v>44396</v>
      </c>
      <c r="Z96" s="1434" vm="697">
        <f ca="1"/>
        <v>62.585999999999999</v>
      </c>
      <c r="AA96" s="1435" vm="691">
        <f ca="1"/>
        <v>44396</v>
      </c>
      <c r="AB96" s="1434" vm="698">
        <f ca="1"/>
        <v>4411.79</v>
      </c>
    </row>
    <row r="97" spans="15:28" x14ac:dyDescent="0.5">
      <c r="O97" s="1435" vm="699">
        <f ca="1"/>
        <v>44403</v>
      </c>
      <c r="P97" s="1434" vm="700">
        <f ca="1"/>
        <v>356.3</v>
      </c>
      <c r="Q97" s="1435" vm="699">
        <f ca="1"/>
        <v>44403</v>
      </c>
      <c r="R97" s="1434" vm="701">
        <f ca="1"/>
        <v>166.37950000000001</v>
      </c>
      <c r="S97" s="1435" vm="699">
        <f ca="1"/>
        <v>44403</v>
      </c>
      <c r="T97" s="1434" vm="702">
        <f ca="1"/>
        <v>135.221</v>
      </c>
      <c r="U97" s="1435" vm="699">
        <f ca="1"/>
        <v>44403</v>
      </c>
      <c r="V97" s="1434" vm="703">
        <f ca="1"/>
        <v>81.91</v>
      </c>
      <c r="W97" s="1435" vm="699">
        <f ca="1"/>
        <v>44403</v>
      </c>
      <c r="X97" s="1434" vm="704">
        <f ca="1"/>
        <v>517.57000000000005</v>
      </c>
      <c r="Y97" s="1435" vm="699">
        <f ca="1"/>
        <v>44403</v>
      </c>
      <c r="Z97" s="1434" vm="705">
        <f ca="1"/>
        <v>62.242699999999999</v>
      </c>
      <c r="AA97" s="1435" vm="699">
        <f ca="1"/>
        <v>44403</v>
      </c>
      <c r="AB97" s="1434" vm="706">
        <f ca="1"/>
        <v>4395.26</v>
      </c>
    </row>
    <row r="98" spans="15:28" x14ac:dyDescent="0.5">
      <c r="O98" s="1435" vm="707">
        <f ca="1"/>
        <v>44410</v>
      </c>
      <c r="P98" s="1434" vm="708">
        <f ca="1"/>
        <v>363.51</v>
      </c>
      <c r="Q98" s="1435" vm="707">
        <f ca="1"/>
        <v>44410</v>
      </c>
      <c r="R98" s="1434" vm="709">
        <f ca="1"/>
        <v>167.24700000000001</v>
      </c>
      <c r="S98" s="1435" vm="707">
        <f ca="1"/>
        <v>44410</v>
      </c>
      <c r="T98" s="1434" vm="710">
        <f ca="1"/>
        <v>137.036</v>
      </c>
      <c r="U98" s="1435" vm="707">
        <f ca="1"/>
        <v>44410</v>
      </c>
      <c r="V98" s="1434" vm="711">
        <f ca="1"/>
        <v>84.04</v>
      </c>
      <c r="W98" s="1435" vm="707">
        <f ca="1"/>
        <v>44410</v>
      </c>
      <c r="X98" s="1434" vm="712">
        <f ca="1"/>
        <v>520.54999999999995</v>
      </c>
      <c r="Y98" s="1435" vm="707">
        <f ca="1"/>
        <v>44410</v>
      </c>
      <c r="Z98" s="1434" vm="713">
        <f ca="1"/>
        <v>62.905999999999999</v>
      </c>
      <c r="AA98" s="1435" vm="707">
        <f ca="1"/>
        <v>44410</v>
      </c>
      <c r="AB98" s="1434" vm="714">
        <f ca="1"/>
        <v>4436.5200000000004</v>
      </c>
    </row>
    <row r="99" spans="15:28" x14ac:dyDescent="0.5">
      <c r="O99" s="1435" vm="715">
        <f ca="1"/>
        <v>44417</v>
      </c>
      <c r="P99" s="1434" vm="716">
        <f ca="1"/>
        <v>363.18</v>
      </c>
      <c r="Q99" s="1435" vm="715">
        <f ca="1"/>
        <v>44417</v>
      </c>
      <c r="R99" s="1434" vm="717">
        <f ca="1"/>
        <v>164.6985</v>
      </c>
      <c r="S99" s="1435" vm="715">
        <f ca="1"/>
        <v>44417</v>
      </c>
      <c r="T99" s="1434" vm="718">
        <f ca="1"/>
        <v>138.40600000000001</v>
      </c>
      <c r="U99" s="1435" vm="715">
        <f ca="1"/>
        <v>44417</v>
      </c>
      <c r="V99" s="1434" vm="719">
        <f ca="1"/>
        <v>80.91</v>
      </c>
      <c r="W99" s="1435" vm="715">
        <f ca="1"/>
        <v>44417</v>
      </c>
      <c r="X99" s="1434" vm="720">
        <f ca="1"/>
        <v>515.91999999999996</v>
      </c>
      <c r="Y99" s="1435" vm="715">
        <f ca="1"/>
        <v>44417</v>
      </c>
      <c r="Z99" s="1434" vm="721">
        <f ca="1"/>
        <v>63.662700000000001</v>
      </c>
      <c r="AA99" s="1435" vm="715">
        <f ca="1"/>
        <v>44417</v>
      </c>
      <c r="AB99" s="1434" vm="722">
        <f ca="1"/>
        <v>4468</v>
      </c>
    </row>
    <row r="100" spans="15:28" x14ac:dyDescent="0.5">
      <c r="O100" s="1435" vm="723">
        <f ca="1"/>
        <v>44424</v>
      </c>
      <c r="P100" s="1434" vm="724">
        <f ca="1"/>
        <v>359.37</v>
      </c>
      <c r="Q100" s="1435" vm="723">
        <f ca="1"/>
        <v>44424</v>
      </c>
      <c r="R100" s="1434" vm="725">
        <f ca="1"/>
        <v>159.9975</v>
      </c>
      <c r="S100" s="1435" vm="723">
        <f ca="1"/>
        <v>44424</v>
      </c>
      <c r="T100" s="1434" vm="726">
        <f ca="1"/>
        <v>138.43700000000001</v>
      </c>
      <c r="U100" s="1435" vm="723">
        <f ca="1"/>
        <v>44424</v>
      </c>
      <c r="V100" s="1434" vm="727">
        <f ca="1"/>
        <v>77.180000000000007</v>
      </c>
      <c r="W100" s="1435" vm="723">
        <f ca="1"/>
        <v>44424</v>
      </c>
      <c r="X100" s="1434" vm="728">
        <f ca="1"/>
        <v>546.88</v>
      </c>
      <c r="Y100" s="1435" vm="723">
        <f ca="1"/>
        <v>44424</v>
      </c>
      <c r="Z100" s="1434" vm="729">
        <f ca="1"/>
        <v>62.889400000000002</v>
      </c>
      <c r="AA100" s="1435" vm="723">
        <f ca="1"/>
        <v>44424</v>
      </c>
      <c r="AB100" s="1434" vm="730">
        <f ca="1"/>
        <v>4441.67</v>
      </c>
    </row>
    <row r="101" spans="15:28" x14ac:dyDescent="0.5">
      <c r="O101" s="1435" vm="731">
        <f ca="1"/>
        <v>44431</v>
      </c>
      <c r="P101" s="1434" vm="732">
        <f ca="1"/>
        <v>372.63</v>
      </c>
      <c r="Q101" s="1435" vm="731">
        <f ca="1"/>
        <v>44431</v>
      </c>
      <c r="R101" s="1434" vm="733">
        <f ca="1"/>
        <v>167.48150000000001</v>
      </c>
      <c r="S101" s="1435" vm="731">
        <f ca="1"/>
        <v>44431</v>
      </c>
      <c r="T101" s="1434" vm="734">
        <f ca="1"/>
        <v>144.5505</v>
      </c>
      <c r="U101" s="1435" vm="731">
        <f ca="1"/>
        <v>44431</v>
      </c>
      <c r="V101" s="1434" vm="735">
        <f ca="1"/>
        <v>80.58</v>
      </c>
      <c r="W101" s="1435" vm="731">
        <f ca="1"/>
        <v>44431</v>
      </c>
      <c r="X101" s="1434" vm="736">
        <f ca="1"/>
        <v>558.91999999999996</v>
      </c>
      <c r="Y101" s="1435" vm="731">
        <f ca="1"/>
        <v>44431</v>
      </c>
      <c r="Z101" s="1434" vm="737">
        <f ca="1"/>
        <v>64.492699999999999</v>
      </c>
      <c r="AA101" s="1435" vm="731">
        <f ca="1"/>
        <v>44431</v>
      </c>
      <c r="AB101" s="1434" vm="738">
        <f ca="1"/>
        <v>4509.37</v>
      </c>
    </row>
    <row r="102" spans="15:28" x14ac:dyDescent="0.5">
      <c r="O102" s="1435" vm="739">
        <f ca="1"/>
        <v>44438</v>
      </c>
      <c r="P102" s="1434" vm="740">
        <f ca="1"/>
        <v>376.26</v>
      </c>
      <c r="Q102" s="1435" vm="739">
        <f ca="1"/>
        <v>44438</v>
      </c>
      <c r="R102" s="1434" vm="741">
        <f ca="1"/>
        <v>173.9025</v>
      </c>
      <c r="S102" s="1435" vm="739">
        <f ca="1"/>
        <v>44438</v>
      </c>
      <c r="T102" s="1434" vm="742">
        <f ca="1"/>
        <v>144.77500000000001</v>
      </c>
      <c r="U102" s="1435" vm="739">
        <f ca="1"/>
        <v>44438</v>
      </c>
      <c r="V102" s="1434" vm="743">
        <f ca="1"/>
        <v>78.2</v>
      </c>
      <c r="W102" s="1435" vm="739">
        <f ca="1"/>
        <v>44438</v>
      </c>
      <c r="X102" s="1434" vm="744">
        <f ca="1"/>
        <v>590.53</v>
      </c>
      <c r="Y102" s="1435" vm="739">
        <f ca="1"/>
        <v>44438</v>
      </c>
      <c r="Z102" s="1434" vm="745">
        <f ca="1"/>
        <v>66.176000000000002</v>
      </c>
      <c r="AA102" s="1435" vm="739">
        <f ca="1"/>
        <v>44438</v>
      </c>
      <c r="AB102" s="1434" vm="746">
        <f ca="1"/>
        <v>4535.43</v>
      </c>
    </row>
    <row r="103" spans="15:28" x14ac:dyDescent="0.5">
      <c r="O103" s="1435" vm="747">
        <f ca="1"/>
        <v>44446</v>
      </c>
      <c r="P103" s="1434" vm="748">
        <f ca="1"/>
        <v>378.69</v>
      </c>
      <c r="Q103" s="1435" vm="747">
        <f ca="1"/>
        <v>44446</v>
      </c>
      <c r="R103" s="1434" vm="749">
        <f ca="1"/>
        <v>173.45750000000001</v>
      </c>
      <c r="S103" s="1435" vm="747">
        <f ca="1"/>
        <v>44446</v>
      </c>
      <c r="T103" s="1434" vm="750">
        <f ca="1"/>
        <v>141.92099999999999</v>
      </c>
      <c r="U103" s="1435" vm="747">
        <f ca="1"/>
        <v>44446</v>
      </c>
      <c r="V103" s="1434" vm="751">
        <f ca="1"/>
        <v>72.78</v>
      </c>
      <c r="W103" s="1435" vm="747">
        <f ca="1"/>
        <v>44446</v>
      </c>
      <c r="X103" s="1434" vm="752">
        <f ca="1"/>
        <v>598.72</v>
      </c>
      <c r="Y103" s="1435" vm="747">
        <f ca="1"/>
        <v>44446</v>
      </c>
      <c r="Z103" s="1434" vm="753">
        <f ca="1"/>
        <v>65.346000000000004</v>
      </c>
      <c r="AA103" s="1435" vm="747">
        <f ca="1"/>
        <v>44446</v>
      </c>
      <c r="AB103" s="1434" vm="754">
        <f ca="1"/>
        <v>4458.58</v>
      </c>
    </row>
    <row r="104" spans="15:28" x14ac:dyDescent="0.5">
      <c r="O104" s="1435" vm="755">
        <f ca="1"/>
        <v>44452</v>
      </c>
      <c r="P104" s="1434" vm="756">
        <f ca="1"/>
        <v>364.72</v>
      </c>
      <c r="Q104" s="1435" vm="755">
        <f ca="1"/>
        <v>44452</v>
      </c>
      <c r="R104" s="1434" vm="757">
        <f ca="1"/>
        <v>173.126</v>
      </c>
      <c r="S104" s="1435" vm="755">
        <f ca="1"/>
        <v>44452</v>
      </c>
      <c r="T104" s="1434" vm="758">
        <f ca="1"/>
        <v>141.46350000000001</v>
      </c>
      <c r="U104" s="1435" vm="755">
        <f ca="1"/>
        <v>44452</v>
      </c>
      <c r="V104" s="1434" vm="759">
        <f ca="1"/>
        <v>72.58</v>
      </c>
      <c r="W104" s="1435" vm="755">
        <f ca="1"/>
        <v>44452</v>
      </c>
      <c r="X104" s="1434" vm="760">
        <f ca="1"/>
        <v>589.35</v>
      </c>
      <c r="Y104" s="1435" vm="755">
        <f ca="1"/>
        <v>44452</v>
      </c>
      <c r="Z104" s="1434" vm="761">
        <f ca="1"/>
        <v>64.299400000000006</v>
      </c>
      <c r="AA104" s="1435" vm="755">
        <f ca="1"/>
        <v>44452</v>
      </c>
      <c r="AB104" s="1434" vm="762">
        <f ca="1"/>
        <v>4432.99</v>
      </c>
    </row>
    <row r="105" spans="15:28" x14ac:dyDescent="0.5">
      <c r="O105" s="1435" vm="763">
        <f ca="1"/>
        <v>44459</v>
      </c>
      <c r="P105" s="1434" vm="764">
        <f ca="1"/>
        <v>352.96</v>
      </c>
      <c r="Q105" s="1435" vm="763">
        <f ca="1"/>
        <v>44459</v>
      </c>
      <c r="R105" s="1434" vm="765">
        <f ca="1"/>
        <v>171.27600000000001</v>
      </c>
      <c r="S105" s="1435" vm="763">
        <f ca="1"/>
        <v>44459</v>
      </c>
      <c r="T105" s="1434" vm="766">
        <f ca="1"/>
        <v>142.63300000000001</v>
      </c>
      <c r="U105" s="1435" vm="763">
        <f ca="1"/>
        <v>44459</v>
      </c>
      <c r="V105" s="1434" vm="767">
        <f ca="1"/>
        <v>76.459999999999994</v>
      </c>
      <c r="W105" s="1435" vm="763">
        <f ca="1"/>
        <v>44459</v>
      </c>
      <c r="X105" s="1434" vm="768">
        <f ca="1"/>
        <v>592.39</v>
      </c>
      <c r="Y105" s="1435" vm="763">
        <f ca="1"/>
        <v>44459</v>
      </c>
      <c r="Z105" s="1434" vm="769">
        <f ca="1"/>
        <v>65.592699999999994</v>
      </c>
      <c r="AA105" s="1435" vm="763">
        <f ca="1"/>
        <v>44459</v>
      </c>
      <c r="AB105" s="1434" vm="770">
        <f ca="1"/>
        <v>4455.4799999999996</v>
      </c>
    </row>
    <row r="106" spans="15:28" x14ac:dyDescent="0.5">
      <c r="O106" s="1435" vm="771">
        <f ca="1"/>
        <v>44466</v>
      </c>
      <c r="P106" s="1434" vm="772">
        <f ca="1"/>
        <v>343.01</v>
      </c>
      <c r="Q106" s="1435" vm="771">
        <f ca="1"/>
        <v>44466</v>
      </c>
      <c r="R106" s="1434" vm="773">
        <f ca="1"/>
        <v>164.16300000000001</v>
      </c>
      <c r="S106" s="1435" vm="771">
        <f ca="1"/>
        <v>44466</v>
      </c>
      <c r="T106" s="1434" vm="774">
        <f ca="1"/>
        <v>136.46250000000001</v>
      </c>
      <c r="U106" s="1435" vm="771">
        <f ca="1"/>
        <v>44466</v>
      </c>
      <c r="V106" s="1434" vm="775">
        <f ca="1"/>
        <v>70.42</v>
      </c>
      <c r="W106" s="1435" vm="771">
        <f ca="1"/>
        <v>44466</v>
      </c>
      <c r="X106" s="1434" vm="776">
        <f ca="1"/>
        <v>613.15</v>
      </c>
      <c r="Y106" s="1435" vm="771">
        <f ca="1"/>
        <v>44466</v>
      </c>
      <c r="Z106" s="1434" vm="777">
        <f ca="1"/>
        <v>64.575999999999993</v>
      </c>
      <c r="AA106" s="1435" vm="771">
        <f ca="1"/>
        <v>44466</v>
      </c>
      <c r="AB106" s="1434" vm="778">
        <f ca="1"/>
        <v>4357.04</v>
      </c>
    </row>
    <row r="107" spans="15:28" x14ac:dyDescent="0.5">
      <c r="O107" s="1435" vm="779">
        <f ca="1"/>
        <v>44473</v>
      </c>
      <c r="P107" s="1434" vm="780">
        <f ca="1"/>
        <v>330.05</v>
      </c>
      <c r="Q107" s="1435" vm="779">
        <f ca="1"/>
        <v>44473</v>
      </c>
      <c r="R107" s="1434" vm="781">
        <f ca="1"/>
        <v>164.43100000000001</v>
      </c>
      <c r="S107" s="1435" vm="779">
        <f ca="1"/>
        <v>44473</v>
      </c>
      <c r="T107" s="1434" vm="782">
        <f ca="1"/>
        <v>140.05600000000001</v>
      </c>
      <c r="U107" s="1435" vm="779">
        <f ca="1"/>
        <v>44473</v>
      </c>
      <c r="V107" s="1434" vm="783">
        <f ca="1"/>
        <v>71</v>
      </c>
      <c r="W107" s="1435" vm="779">
        <f ca="1"/>
        <v>44473</v>
      </c>
      <c r="X107" s="1434" vm="784">
        <f ca="1"/>
        <v>632.66</v>
      </c>
      <c r="Y107" s="1435" vm="779">
        <f ca="1"/>
        <v>44473</v>
      </c>
      <c r="Z107" s="1434" vm="785">
        <f ca="1"/>
        <v>65.799300000000002</v>
      </c>
      <c r="AA107" s="1435" vm="779">
        <f ca="1"/>
        <v>44473</v>
      </c>
      <c r="AB107" s="1434" vm="786">
        <f ca="1"/>
        <v>4391.34</v>
      </c>
    </row>
    <row r="108" spans="15:28" x14ac:dyDescent="0.5">
      <c r="O108" s="1435" vm="787">
        <f ca="1"/>
        <v>44480</v>
      </c>
      <c r="P108" s="1434" vm="788">
        <f ca="1"/>
        <v>324.76</v>
      </c>
      <c r="Q108" s="1435" vm="787">
        <f ca="1"/>
        <v>44480</v>
      </c>
      <c r="R108" s="1434" vm="789">
        <f ca="1"/>
        <v>170.45099999999999</v>
      </c>
      <c r="S108" s="1435" vm="787">
        <f ca="1"/>
        <v>44480</v>
      </c>
      <c r="T108" s="1434" vm="790">
        <f ca="1"/>
        <v>141.67500000000001</v>
      </c>
      <c r="U108" s="1435" vm="787">
        <f ca="1"/>
        <v>44480</v>
      </c>
      <c r="V108" s="1434" vm="791">
        <f ca="1"/>
        <v>78.459999999999994</v>
      </c>
      <c r="W108" s="1435" vm="787">
        <f ca="1"/>
        <v>44480</v>
      </c>
      <c r="X108" s="1434" vm="792">
        <f ca="1"/>
        <v>628.29</v>
      </c>
      <c r="Y108" s="1435" vm="787">
        <f ca="1"/>
        <v>44480</v>
      </c>
      <c r="Z108" s="1434" vm="793">
        <f ca="1"/>
        <v>67.672700000000006</v>
      </c>
      <c r="AA108" s="1435" vm="787">
        <f ca="1"/>
        <v>44480</v>
      </c>
      <c r="AB108" s="1434" vm="794">
        <f ca="1"/>
        <v>4471.37</v>
      </c>
    </row>
    <row r="109" spans="15:28" x14ac:dyDescent="0.5">
      <c r="O109" s="1435" vm="795">
        <f ca="1"/>
        <v>44487</v>
      </c>
      <c r="P109" s="1434" vm="796">
        <f ca="1"/>
        <v>324.61</v>
      </c>
      <c r="Q109" s="1435" vm="795">
        <f ca="1"/>
        <v>44487</v>
      </c>
      <c r="R109" s="1434" vm="797">
        <f ca="1"/>
        <v>166.7775</v>
      </c>
      <c r="S109" s="1435" vm="795">
        <f ca="1"/>
        <v>44487</v>
      </c>
      <c r="T109" s="1434" vm="798">
        <f ca="1"/>
        <v>138.625</v>
      </c>
      <c r="U109" s="1435" vm="795">
        <f ca="1"/>
        <v>44487</v>
      </c>
      <c r="V109" s="1434" vm="799">
        <f ca="1"/>
        <v>73.959999999999994</v>
      </c>
      <c r="W109" s="1435" vm="795">
        <f ca="1"/>
        <v>44487</v>
      </c>
      <c r="X109" s="1434" vm="800">
        <f ca="1"/>
        <v>664.78</v>
      </c>
      <c r="Y109" s="1435" vm="795">
        <f ca="1"/>
        <v>44487</v>
      </c>
      <c r="Z109" s="1434" vm="801">
        <f ca="1"/>
        <v>67.2393</v>
      </c>
      <c r="AA109" s="1435" vm="795">
        <f ca="1"/>
        <v>44487</v>
      </c>
      <c r="AB109" s="1434" vm="802">
        <f ca="1"/>
        <v>4544.8999999999996</v>
      </c>
    </row>
    <row r="110" spans="15:28" x14ac:dyDescent="0.5">
      <c r="O110" s="1435" vm="803">
        <f ca="1"/>
        <v>44494</v>
      </c>
      <c r="P110" s="1434" vm="804">
        <f ca="1"/>
        <v>323.57</v>
      </c>
      <c r="Q110" s="1435" vm="803">
        <f ca="1"/>
        <v>44494</v>
      </c>
      <c r="R110" s="1434" vm="805">
        <f ca="1"/>
        <v>168.6215</v>
      </c>
      <c r="S110" s="1435" vm="803">
        <f ca="1"/>
        <v>44494</v>
      </c>
      <c r="T110" s="1434" vm="806">
        <f ca="1"/>
        <v>148.2705</v>
      </c>
      <c r="U110" s="1435" vm="803">
        <f ca="1"/>
        <v>44494</v>
      </c>
      <c r="V110" s="1434" vm="807">
        <f ca="1"/>
        <v>74.91</v>
      </c>
      <c r="W110" s="1435" vm="803">
        <f ca="1"/>
        <v>44494</v>
      </c>
      <c r="X110" s="1434" vm="808">
        <f ca="1"/>
        <v>690.31</v>
      </c>
      <c r="Y110" s="1435" vm="803">
        <f ca="1"/>
        <v>44494</v>
      </c>
      <c r="Z110" s="1434" vm="809">
        <f ca="1"/>
        <v>69.956000000000003</v>
      </c>
      <c r="AA110" s="1435" vm="803">
        <f ca="1"/>
        <v>44494</v>
      </c>
      <c r="AB110" s="1434" vm="810">
        <f ca="1"/>
        <v>4605.38</v>
      </c>
    </row>
    <row r="111" spans="15:28" x14ac:dyDescent="0.5">
      <c r="O111" s="1435" vm="811">
        <f ca="1"/>
        <v>44501</v>
      </c>
      <c r="P111" s="1434" vm="812">
        <f ca="1"/>
        <v>341.13</v>
      </c>
      <c r="Q111" s="1435" vm="811">
        <f ca="1"/>
        <v>44501</v>
      </c>
      <c r="R111" s="1434" vm="813">
        <f ca="1"/>
        <v>175.9495</v>
      </c>
      <c r="S111" s="1435" vm="811">
        <f ca="1"/>
        <v>44501</v>
      </c>
      <c r="T111" s="1434" vm="814">
        <f ca="1"/>
        <v>149.24100000000001</v>
      </c>
      <c r="U111" s="1435" vm="811">
        <f ca="1"/>
        <v>44501</v>
      </c>
      <c r="V111" s="1434" vm="815">
        <f ca="1"/>
        <v>68.55</v>
      </c>
      <c r="W111" s="1435" vm="811">
        <f ca="1"/>
        <v>44501</v>
      </c>
      <c r="X111" s="1434" vm="816">
        <f ca="1"/>
        <v>645.72</v>
      </c>
      <c r="Y111" s="1435" vm="811">
        <f ca="1"/>
        <v>44501</v>
      </c>
      <c r="Z111" s="1434" vm="817">
        <f ca="1"/>
        <v>70.942599999999999</v>
      </c>
      <c r="AA111" s="1435" vm="811">
        <f ca="1"/>
        <v>44501</v>
      </c>
      <c r="AB111" s="1434" vm="818">
        <f ca="1"/>
        <v>4697.53</v>
      </c>
    </row>
    <row r="112" spans="15:28" x14ac:dyDescent="0.5">
      <c r="O112" s="1435" vm="819">
        <f ca="1"/>
        <v>44508</v>
      </c>
      <c r="P112" s="1434" vm="820">
        <f ca="1"/>
        <v>340.89</v>
      </c>
      <c r="Q112" s="1435" vm="819">
        <f ca="1"/>
        <v>44508</v>
      </c>
      <c r="R112" s="1434" vm="821">
        <f ca="1"/>
        <v>176.25749999999999</v>
      </c>
      <c r="S112" s="1435" vm="819">
        <f ca="1"/>
        <v>44508</v>
      </c>
      <c r="T112" s="1434" vm="822">
        <f ca="1"/>
        <v>149.6455</v>
      </c>
      <c r="U112" s="1435" vm="819">
        <f ca="1"/>
        <v>44508</v>
      </c>
      <c r="V112" s="1434" vm="823">
        <f ca="1"/>
        <v>100.33</v>
      </c>
      <c r="W112" s="1435" vm="819">
        <f ca="1"/>
        <v>44508</v>
      </c>
      <c r="X112" s="1434" vm="824">
        <f ca="1"/>
        <v>682.61</v>
      </c>
      <c r="Y112" s="1435" vm="819">
        <f ca="1"/>
        <v>44508</v>
      </c>
      <c r="Z112" s="1434" vm="825">
        <f ca="1"/>
        <v>69.4726</v>
      </c>
      <c r="AA112" s="1435" vm="819">
        <f ca="1"/>
        <v>44508</v>
      </c>
      <c r="AB112" s="1434" vm="826">
        <f ca="1"/>
        <v>4682.8500000000004</v>
      </c>
    </row>
    <row r="113" spans="15:28" x14ac:dyDescent="0.5">
      <c r="O113" s="1435" vm="827">
        <f ca="1"/>
        <v>44515</v>
      </c>
      <c r="P113" s="1434" vm="828">
        <f ca="1"/>
        <v>345.3</v>
      </c>
      <c r="Q113" s="1435" vm="827">
        <f ca="1"/>
        <v>44515</v>
      </c>
      <c r="R113" s="1434" vm="829">
        <f ca="1"/>
        <v>183.82849999999999</v>
      </c>
      <c r="S113" s="1435" vm="827">
        <f ca="1"/>
        <v>44515</v>
      </c>
      <c r="T113" s="1434" vm="830">
        <f ca="1"/>
        <v>149.95249999999999</v>
      </c>
      <c r="U113" s="1435" vm="827">
        <f ca="1"/>
        <v>44515</v>
      </c>
      <c r="V113" s="1434" vm="831">
        <f ca="1"/>
        <v>107.79</v>
      </c>
      <c r="W113" s="1435" vm="827">
        <f ca="1"/>
        <v>44515</v>
      </c>
      <c r="X113" s="1434" vm="832">
        <f ca="1"/>
        <v>678.8</v>
      </c>
      <c r="Y113" s="1435" vm="827">
        <f ca="1"/>
        <v>44515</v>
      </c>
      <c r="Z113" s="1434" vm="575">
        <f ca="1"/>
        <v>69.256</v>
      </c>
      <c r="AA113" s="1435" vm="827">
        <f ca="1"/>
        <v>44515</v>
      </c>
      <c r="AB113" s="1434" vm="833">
        <f ca="1"/>
        <v>4697.96</v>
      </c>
    </row>
    <row r="114" spans="15:28" x14ac:dyDescent="0.5">
      <c r="O114" s="1435" vm="834">
        <f ca="1"/>
        <v>44522</v>
      </c>
      <c r="P114" s="1434" vm="835">
        <f ca="1"/>
        <v>333.12</v>
      </c>
      <c r="Q114" s="1435" vm="834">
        <f ca="1"/>
        <v>44522</v>
      </c>
      <c r="R114" s="1434" vm="836">
        <f ca="1"/>
        <v>175.22800000000001</v>
      </c>
      <c r="S114" s="1435" vm="834">
        <f ca="1"/>
        <v>44522</v>
      </c>
      <c r="T114" s="1434" vm="837">
        <f ca="1"/>
        <v>142.80600000000001</v>
      </c>
      <c r="U114" s="1435" vm="834">
        <f ca="1"/>
        <v>44522</v>
      </c>
      <c r="V114" s="1434" vm="838">
        <f ca="1"/>
        <v>103.98</v>
      </c>
      <c r="W114" s="1435" vm="834">
        <f ca="1"/>
        <v>44522</v>
      </c>
      <c r="X114" s="1434" vm="839">
        <f ca="1"/>
        <v>665.64</v>
      </c>
      <c r="Y114" s="1435" vm="834">
        <f ca="1"/>
        <v>44522</v>
      </c>
      <c r="Z114" s="1434" vm="840">
        <f ca="1"/>
        <v>67.892700000000005</v>
      </c>
      <c r="AA114" s="1435" vm="834">
        <f ca="1"/>
        <v>44522</v>
      </c>
      <c r="AB114" s="1434" vm="841">
        <f ca="1"/>
        <v>4594.62</v>
      </c>
    </row>
    <row r="115" spans="15:28" x14ac:dyDescent="0.5">
      <c r="O115" s="1435" vm="842">
        <f ca="1"/>
        <v>44529</v>
      </c>
      <c r="P115" s="1434" vm="843">
        <f ca="1"/>
        <v>306.83999999999997</v>
      </c>
      <c r="Q115" s="1435" vm="842">
        <f ca="1"/>
        <v>44529</v>
      </c>
      <c r="R115" s="1434" vm="844">
        <f ca="1"/>
        <v>169.48949999999999</v>
      </c>
      <c r="S115" s="1435" vm="842">
        <f ca="1"/>
        <v>44529</v>
      </c>
      <c r="T115" s="1434" vm="845">
        <f ca="1"/>
        <v>142.5205</v>
      </c>
      <c r="U115" s="1435" vm="842">
        <f ca="1"/>
        <v>44529</v>
      </c>
      <c r="V115" s="1434" vm="846">
        <f ca="1"/>
        <v>89.51</v>
      </c>
      <c r="W115" s="1435" vm="842">
        <f ca="1"/>
        <v>44529</v>
      </c>
      <c r="X115" s="1434" vm="847">
        <f ca="1"/>
        <v>602.13</v>
      </c>
      <c r="Y115" s="1435" vm="842">
        <f ca="1"/>
        <v>44529</v>
      </c>
      <c r="Z115" s="1434" vm="848">
        <f ca="1"/>
        <v>66.706000000000003</v>
      </c>
      <c r="AA115" s="1435" vm="842">
        <f ca="1"/>
        <v>44529</v>
      </c>
      <c r="AB115" s="1434" vm="849">
        <f ca="1"/>
        <v>4538.43</v>
      </c>
    </row>
    <row r="116" spans="15:28" x14ac:dyDescent="0.5">
      <c r="O116" s="1435" vm="850">
        <f ca="1"/>
        <v>44536</v>
      </c>
      <c r="P116" s="1434" vm="851">
        <f ca="1"/>
        <v>329.75</v>
      </c>
      <c r="Q116" s="1435" vm="850">
        <f ca="1"/>
        <v>44536</v>
      </c>
      <c r="R116" s="1434" vm="852">
        <f ca="1"/>
        <v>172.21199999999999</v>
      </c>
      <c r="S116" s="1435" vm="850">
        <f ca="1"/>
        <v>44536</v>
      </c>
      <c r="T116" s="1434" vm="853">
        <f ca="1"/>
        <v>148.67500000000001</v>
      </c>
      <c r="U116" s="1435" vm="850">
        <f ca="1"/>
        <v>44536</v>
      </c>
      <c r="V116" s="1434" vm="854">
        <f ca="1"/>
        <v>94.06</v>
      </c>
      <c r="W116" s="1435" vm="850">
        <f ca="1"/>
        <v>44536</v>
      </c>
      <c r="X116" s="1434" vm="855">
        <f ca="1"/>
        <v>611.66</v>
      </c>
      <c r="Y116" s="1435" vm="850">
        <f ca="1"/>
        <v>44536</v>
      </c>
      <c r="Z116" s="1434" vm="856">
        <f ca="1"/>
        <v>68.592600000000004</v>
      </c>
      <c r="AA116" s="1435" vm="850">
        <f ca="1"/>
        <v>44536</v>
      </c>
      <c r="AB116" s="1434" vm="857">
        <f ca="1"/>
        <v>4712.0200000000004</v>
      </c>
    </row>
    <row r="117" spans="15:28" x14ac:dyDescent="0.5">
      <c r="O117" s="1435" vm="858">
        <f ca="1"/>
        <v>44543</v>
      </c>
      <c r="P117" s="1434" vm="859">
        <f ca="1"/>
        <v>333.79</v>
      </c>
      <c r="Q117" s="1435" vm="858">
        <f ca="1"/>
        <v>44543</v>
      </c>
      <c r="R117" s="1434" vm="860">
        <f ca="1"/>
        <v>170.01750000000001</v>
      </c>
      <c r="S117" s="1435" vm="858">
        <f ca="1"/>
        <v>44543</v>
      </c>
      <c r="T117" s="1434" vm="861">
        <f ca="1"/>
        <v>142.803</v>
      </c>
      <c r="U117" s="1435" vm="858">
        <f ca="1"/>
        <v>44543</v>
      </c>
      <c r="V117" s="1434" vm="862">
        <f ca="1"/>
        <v>89.99</v>
      </c>
      <c r="W117" s="1435" vm="858">
        <f ca="1"/>
        <v>44543</v>
      </c>
      <c r="X117" s="1434" vm="863">
        <f ca="1"/>
        <v>586.73</v>
      </c>
      <c r="Y117" s="1435" vm="858">
        <f ca="1"/>
        <v>44543</v>
      </c>
      <c r="Z117" s="1434" vm="864">
        <f ca="1"/>
        <v>67.0227</v>
      </c>
      <c r="AA117" s="1435" vm="858">
        <f ca="1"/>
        <v>44543</v>
      </c>
      <c r="AB117" s="1434" vm="865">
        <f ca="1"/>
        <v>4620.6400000000003</v>
      </c>
    </row>
    <row r="118" spans="15:28" x14ac:dyDescent="0.5">
      <c r="O118" s="1435" vm="866">
        <f ca="1"/>
        <v>44550</v>
      </c>
      <c r="P118" s="1434" vm="867">
        <f ca="1"/>
        <v>335.24</v>
      </c>
      <c r="Q118" s="1435" vm="866">
        <f ca="1"/>
        <v>44550</v>
      </c>
      <c r="R118" s="1434" vm="868">
        <f ca="1"/>
        <v>171.0685</v>
      </c>
      <c r="S118" s="1435" vm="866">
        <f ca="1"/>
        <v>44550</v>
      </c>
      <c r="T118" s="1434" vm="869">
        <f ca="1"/>
        <v>147.14250000000001</v>
      </c>
      <c r="U118" s="1435" vm="866">
        <f ca="1"/>
        <v>44550</v>
      </c>
      <c r="V118" s="1434" vm="870">
        <f ca="1"/>
        <v>96.05</v>
      </c>
      <c r="W118" s="1435" vm="866">
        <f ca="1"/>
        <v>44550</v>
      </c>
      <c r="X118" s="1434" vm="871">
        <f ca="1"/>
        <v>614.09</v>
      </c>
      <c r="Y118" s="1435" vm="866">
        <f ca="1"/>
        <v>44550</v>
      </c>
      <c r="Z118" s="1434" vm="872">
        <f ca="1"/>
        <v>68.4726</v>
      </c>
      <c r="AA118" s="1435" vm="866">
        <f ca="1"/>
        <v>44550</v>
      </c>
      <c r="AB118" s="1434" vm="873">
        <f ca="1"/>
        <v>4725.79</v>
      </c>
    </row>
    <row r="119" spans="15:28" x14ac:dyDescent="0.5">
      <c r="O119" s="1435" vm="874">
        <f ca="1"/>
        <v>44557</v>
      </c>
      <c r="P119" s="1434" vm="875">
        <f ca="1"/>
        <v>336.35</v>
      </c>
      <c r="Q119" s="1435" vm="874">
        <f ca="1"/>
        <v>44557</v>
      </c>
      <c r="R119" s="1434" vm="876">
        <f ca="1"/>
        <v>166.71700000000001</v>
      </c>
      <c r="S119" s="1435" vm="874">
        <f ca="1"/>
        <v>44557</v>
      </c>
      <c r="T119" s="1434" vm="877">
        <f ca="1"/>
        <v>144.67949999999999</v>
      </c>
      <c r="U119" s="1435" vm="874">
        <f ca="1"/>
        <v>44557</v>
      </c>
      <c r="V119" s="1434" vm="878">
        <f ca="1"/>
        <v>91.64</v>
      </c>
      <c r="W119" s="1435" vm="874">
        <f ca="1"/>
        <v>44557</v>
      </c>
      <c r="X119" s="1434" vm="879">
        <f ca="1"/>
        <v>602.44000000000005</v>
      </c>
      <c r="Y119" s="1435" vm="874">
        <f ca="1"/>
        <v>44557</v>
      </c>
      <c r="Z119" s="1434" vm="880">
        <f ca="1"/>
        <v>70.002600000000001</v>
      </c>
      <c r="AA119" s="1435" vm="874">
        <f ca="1"/>
        <v>44557</v>
      </c>
      <c r="AB119" s="1434" vm="881">
        <f ca="1"/>
        <v>4766.18</v>
      </c>
    </row>
    <row r="120" spans="15:28" x14ac:dyDescent="0.5">
      <c r="O120" s="1435" vm="882">
        <f ca="1"/>
        <v>44564</v>
      </c>
      <c r="P120" s="1434" vm="883">
        <f ca="1"/>
        <v>331.79</v>
      </c>
      <c r="Q120" s="1435" vm="882">
        <f ca="1"/>
        <v>44564</v>
      </c>
      <c r="R120" s="1434" vm="884">
        <f ca="1"/>
        <v>162.554</v>
      </c>
      <c r="S120" s="1435" vm="882">
        <f ca="1"/>
        <v>44564</v>
      </c>
      <c r="T120" s="1434" vm="885">
        <f ca="1"/>
        <v>137.00450000000001</v>
      </c>
      <c r="U120" s="1435" vm="882">
        <f ca="1"/>
        <v>44564</v>
      </c>
      <c r="V120" s="1434" vm="886">
        <f ca="1"/>
        <v>78.94</v>
      </c>
      <c r="W120" s="1435" vm="882">
        <f ca="1"/>
        <v>44564</v>
      </c>
      <c r="X120" s="1434" vm="887">
        <f ca="1"/>
        <v>541.05999999999995</v>
      </c>
      <c r="Y120" s="1435" vm="882">
        <f ca="1"/>
        <v>44564</v>
      </c>
      <c r="Z120" s="1434" vm="888">
        <f ca="1"/>
        <v>64.502700000000004</v>
      </c>
      <c r="AA120" s="1435" vm="882">
        <f ca="1"/>
        <v>44564</v>
      </c>
      <c r="AB120" s="1434" vm="889">
        <f ca="1"/>
        <v>4677.03</v>
      </c>
    </row>
    <row r="121" spans="15:28" x14ac:dyDescent="0.5">
      <c r="O121" s="1435" vm="890">
        <f ca="1"/>
        <v>44571</v>
      </c>
      <c r="P121" s="1434" vm="891">
        <f ca="1"/>
        <v>331.9</v>
      </c>
      <c r="Q121" s="1435" vm="890">
        <f ca="1"/>
        <v>44571</v>
      </c>
      <c r="R121" s="1434" vm="892">
        <f ca="1"/>
        <v>162.13800000000001</v>
      </c>
      <c r="S121" s="1435" vm="890">
        <f ca="1"/>
        <v>44571</v>
      </c>
      <c r="T121" s="1434" vm="893">
        <f ca="1"/>
        <v>139.78649999999999</v>
      </c>
      <c r="U121" s="1435" vm="890">
        <f ca="1"/>
        <v>44571</v>
      </c>
      <c r="V121" s="1434" vm="894">
        <f ca="1"/>
        <v>75.47</v>
      </c>
      <c r="W121" s="1435" vm="890">
        <f ca="1"/>
        <v>44571</v>
      </c>
      <c r="X121" s="1434" vm="895">
        <f ca="1"/>
        <v>525.69000000000005</v>
      </c>
      <c r="Y121" s="1435" vm="890">
        <f ca="1"/>
        <v>44571</v>
      </c>
      <c r="Z121" s="1434" vm="896">
        <f ca="1"/>
        <v>62.045999999999999</v>
      </c>
      <c r="AA121" s="1435" vm="890">
        <f ca="1"/>
        <v>44571</v>
      </c>
      <c r="AB121" s="1434" vm="897">
        <f ca="1"/>
        <v>4662.8500000000004</v>
      </c>
    </row>
    <row r="122" spans="15:28" x14ac:dyDescent="0.5">
      <c r="O122" s="1435" vm="898">
        <f ca="1"/>
        <v>44579</v>
      </c>
      <c r="P122" s="1434" vm="899">
        <f ca="1"/>
        <v>303.17</v>
      </c>
      <c r="Q122" s="1435" vm="898">
        <f ca="1"/>
        <v>44579</v>
      </c>
      <c r="R122" s="1434" vm="900">
        <f ca="1"/>
        <v>142.643</v>
      </c>
      <c r="S122" s="1435" vm="898">
        <f ca="1"/>
        <v>44579</v>
      </c>
      <c r="T122" s="1434" vm="901">
        <f ca="1"/>
        <v>130.09200000000001</v>
      </c>
      <c r="U122" s="1435" vm="898">
        <f ca="1"/>
        <v>44579</v>
      </c>
      <c r="V122" s="1434" vm="902">
        <f ca="1"/>
        <v>59.45</v>
      </c>
      <c r="W122" s="1435" vm="898">
        <f ca="1"/>
        <v>44579</v>
      </c>
      <c r="X122" s="1434" vm="903">
        <f ca="1"/>
        <v>397.5</v>
      </c>
      <c r="Y122" s="1435" vm="898">
        <f ca="1"/>
        <v>44579</v>
      </c>
      <c r="Z122" s="1434" vm="904">
        <f ca="1"/>
        <v>58.972700000000003</v>
      </c>
      <c r="AA122" s="1435" vm="898">
        <f ca="1"/>
        <v>44579</v>
      </c>
      <c r="AB122" s="1434" vm="905">
        <f ca="1"/>
        <v>4397.9399999999996</v>
      </c>
    </row>
    <row r="123" spans="15:28" x14ac:dyDescent="0.5">
      <c r="O123" s="1435" vm="906">
        <f ca="1"/>
        <v>44585</v>
      </c>
      <c r="P123" s="1434" vm="907">
        <f ca="1"/>
        <v>301.70999999999998</v>
      </c>
      <c r="Q123" s="1435" vm="906">
        <f ca="1"/>
        <v>44585</v>
      </c>
      <c r="R123" s="1434" vm="908">
        <f ca="1"/>
        <v>143.97800000000001</v>
      </c>
      <c r="S123" s="1435" vm="906">
        <f ca="1"/>
        <v>44585</v>
      </c>
      <c r="T123" s="1434" vm="909">
        <f ca="1"/>
        <v>133.2895</v>
      </c>
      <c r="U123" s="1435" vm="906">
        <f ca="1"/>
        <v>44585</v>
      </c>
      <c r="V123" s="1434" vm="910">
        <f ca="1"/>
        <v>63.6</v>
      </c>
      <c r="W123" s="1435" vm="906">
        <f ca="1"/>
        <v>44585</v>
      </c>
      <c r="X123" s="1434" vm="911">
        <f ca="1"/>
        <v>384.36</v>
      </c>
      <c r="Y123" s="1435" vm="906">
        <f ca="1"/>
        <v>44585</v>
      </c>
      <c r="Z123" s="1434" vm="912">
        <f ca="1"/>
        <v>58.2194</v>
      </c>
      <c r="AA123" s="1435" vm="906">
        <f ca="1"/>
        <v>44585</v>
      </c>
      <c r="AB123" s="1434" vm="913">
        <f ca="1"/>
        <v>4431.8500000000004</v>
      </c>
    </row>
    <row r="124" spans="15:28" x14ac:dyDescent="0.5">
      <c r="O124" s="1435" vm="914">
        <f ca="1"/>
        <v>44592</v>
      </c>
      <c r="P124" s="1434" vm="915">
        <f ca="1"/>
        <v>237.09</v>
      </c>
      <c r="Q124" s="1435" vm="914">
        <f ca="1"/>
        <v>44592</v>
      </c>
      <c r="R124" s="1434" vm="916">
        <f ca="1"/>
        <v>157.6395</v>
      </c>
      <c r="S124" s="1435" vm="914">
        <f ca="1"/>
        <v>44592</v>
      </c>
      <c r="T124" s="1434" vm="917">
        <f ca="1"/>
        <v>143.01599999999999</v>
      </c>
      <c r="U124" s="1435" vm="914">
        <f ca="1"/>
        <v>44592</v>
      </c>
      <c r="V124" s="1434" vm="918">
        <f ca="1"/>
        <v>73.040000000000006</v>
      </c>
      <c r="W124" s="1435" vm="914">
        <f ca="1"/>
        <v>44592</v>
      </c>
      <c r="X124" s="1434" vm="919">
        <f ca="1"/>
        <v>410.17</v>
      </c>
      <c r="Y124" s="1435" vm="914">
        <f ca="1"/>
        <v>44592</v>
      </c>
      <c r="Z124" s="1434" vm="920">
        <f ca="1"/>
        <v>59.539400000000001</v>
      </c>
      <c r="AA124" s="1435" vm="914">
        <f ca="1"/>
        <v>44592</v>
      </c>
      <c r="AB124" s="1434" vm="921">
        <f ca="1"/>
        <v>4500.53</v>
      </c>
    </row>
    <row r="125" spans="15:28" x14ac:dyDescent="0.5">
      <c r="O125" s="1435" vm="922">
        <f ca="1"/>
        <v>44599</v>
      </c>
      <c r="P125" s="1434" vm="923">
        <f ca="1"/>
        <v>219.55</v>
      </c>
      <c r="Q125" s="1435" vm="922">
        <f ca="1"/>
        <v>44599</v>
      </c>
      <c r="R125" s="1434" vm="924">
        <f ca="1"/>
        <v>153.29349999999999</v>
      </c>
      <c r="S125" s="1435" vm="922">
        <f ca="1"/>
        <v>44599</v>
      </c>
      <c r="T125" s="1434" vm="925">
        <f ca="1"/>
        <v>134.13</v>
      </c>
      <c r="U125" s="1435" vm="922">
        <f ca="1"/>
        <v>44599</v>
      </c>
      <c r="V125" s="1434" vm="926">
        <f ca="1"/>
        <v>76.3</v>
      </c>
      <c r="W125" s="1435" vm="922">
        <f ca="1"/>
        <v>44599</v>
      </c>
      <c r="X125" s="1434" vm="927">
        <f ca="1"/>
        <v>391.31</v>
      </c>
      <c r="Y125" s="1435" vm="922">
        <f ca="1"/>
        <v>44599</v>
      </c>
      <c r="Z125" s="1434" vm="928">
        <f ca="1"/>
        <v>57.456099999999999</v>
      </c>
      <c r="AA125" s="1435" vm="922">
        <f ca="1"/>
        <v>44599</v>
      </c>
      <c r="AB125" s="1434" vm="929">
        <f ca="1"/>
        <v>4418.6400000000003</v>
      </c>
    </row>
    <row r="126" spans="15:28" x14ac:dyDescent="0.5">
      <c r="O126" s="1435" vm="930">
        <f ca="1"/>
        <v>44606</v>
      </c>
      <c r="P126" s="1434" vm="931">
        <f ca="1"/>
        <v>206.16</v>
      </c>
      <c r="Q126" s="1435" vm="930">
        <f ca="1"/>
        <v>44606</v>
      </c>
      <c r="R126" s="1434" vm="557">
        <f ca="1"/>
        <v>152.60149999999999</v>
      </c>
      <c r="S126" s="1435" vm="930">
        <f ca="1"/>
        <v>44606</v>
      </c>
      <c r="T126" s="1434" vm="932">
        <f ca="1"/>
        <v>130.4675</v>
      </c>
      <c r="U126" s="1435" vm="930">
        <f ca="1"/>
        <v>44606</v>
      </c>
      <c r="V126" s="1434" vm="933">
        <f ca="1"/>
        <v>78.05</v>
      </c>
      <c r="W126" s="1435" vm="930">
        <f ca="1"/>
        <v>44606</v>
      </c>
      <c r="X126" s="1434" vm="934">
        <f ca="1"/>
        <v>391.29</v>
      </c>
      <c r="Y126" s="1435" vm="930">
        <f ca="1"/>
        <v>44606</v>
      </c>
      <c r="Z126" s="1434" vm="935">
        <f ca="1"/>
        <v>57.179400000000001</v>
      </c>
      <c r="AA126" s="1435" vm="930">
        <f ca="1"/>
        <v>44606</v>
      </c>
      <c r="AB126" s="1434" vm="936">
        <f ca="1"/>
        <v>4348.87</v>
      </c>
    </row>
    <row r="127" spans="15:28" x14ac:dyDescent="0.5">
      <c r="O127" s="1435" vm="937">
        <f ca="1"/>
        <v>44614</v>
      </c>
      <c r="P127" s="1434" vm="938">
        <f ca="1"/>
        <v>210.48</v>
      </c>
      <c r="Q127" s="1435" vm="937">
        <f ca="1"/>
        <v>44614</v>
      </c>
      <c r="R127" s="1434" vm="939">
        <f ca="1"/>
        <v>153.7885</v>
      </c>
      <c r="S127" s="1435" vm="937">
        <f ca="1"/>
        <v>44614</v>
      </c>
      <c r="T127" s="1434" vm="940">
        <f ca="1"/>
        <v>134.51949999999999</v>
      </c>
      <c r="U127" s="1435" vm="937">
        <f ca="1"/>
        <v>44614</v>
      </c>
      <c r="V127" s="1434" vm="941">
        <f ca="1"/>
        <v>83.63</v>
      </c>
      <c r="W127" s="1435" vm="937">
        <f ca="1"/>
        <v>44614</v>
      </c>
      <c r="X127" s="1434" vm="942">
        <f ca="1"/>
        <v>390.8</v>
      </c>
      <c r="Y127" s="1435" vm="937">
        <f ca="1"/>
        <v>44614</v>
      </c>
      <c r="Z127" s="1434" vm="943">
        <f ca="1"/>
        <v>57.572800000000001</v>
      </c>
      <c r="AA127" s="1435" vm="937">
        <f ca="1"/>
        <v>44614</v>
      </c>
      <c r="AB127" s="1434" vm="944">
        <f ca="1"/>
        <v>4384.6499999999996</v>
      </c>
    </row>
    <row r="128" spans="15:28" x14ac:dyDescent="0.5">
      <c r="O128" s="1435" vm="945">
        <f ca="1"/>
        <v>44620</v>
      </c>
      <c r="P128" s="1434" vm="946">
        <f ca="1"/>
        <v>200.06</v>
      </c>
      <c r="Q128" s="1435" vm="945">
        <f ca="1"/>
        <v>44620</v>
      </c>
      <c r="R128" s="1434" vm="947">
        <f ca="1"/>
        <v>145.64099999999999</v>
      </c>
      <c r="S128" s="1435" vm="945">
        <f ca="1"/>
        <v>44620</v>
      </c>
      <c r="T128" s="1434" vm="948">
        <f ca="1"/>
        <v>132.12200000000001</v>
      </c>
      <c r="U128" s="1435" vm="945">
        <f ca="1"/>
        <v>44620</v>
      </c>
      <c r="V128" s="1434" vm="949">
        <f ca="1"/>
        <v>75.66</v>
      </c>
      <c r="W128" s="1435" vm="945">
        <f ca="1"/>
        <v>44620</v>
      </c>
      <c r="X128" s="1434" vm="950">
        <f ca="1"/>
        <v>361.73</v>
      </c>
      <c r="Y128" s="1435" vm="945">
        <f ca="1"/>
        <v>44620</v>
      </c>
      <c r="Z128" s="1434" vm="951">
        <f ca="1"/>
        <v>57.176099999999998</v>
      </c>
      <c r="AA128" s="1435" vm="945">
        <f ca="1"/>
        <v>44620</v>
      </c>
      <c r="AB128" s="1434" vm="952">
        <f ca="1"/>
        <v>4328.87</v>
      </c>
    </row>
    <row r="129" spans="15:28" x14ac:dyDescent="0.5">
      <c r="O129" s="1435" vm="953">
        <f ca="1"/>
        <v>44627</v>
      </c>
      <c r="P129" s="1434" vm="954">
        <f ca="1"/>
        <v>187.61</v>
      </c>
      <c r="Q129" s="1435" vm="953">
        <f ca="1"/>
        <v>44627</v>
      </c>
      <c r="R129" s="1434" vm="955">
        <f ca="1"/>
        <v>145.52449999999999</v>
      </c>
      <c r="S129" s="1435" vm="953">
        <f ca="1"/>
        <v>44627</v>
      </c>
      <c r="T129" s="1434" vm="956">
        <f ca="1"/>
        <v>130.47550000000001</v>
      </c>
      <c r="U129" s="1435" vm="953">
        <f ca="1"/>
        <v>44627</v>
      </c>
      <c r="V129" s="1434" vm="957">
        <f ca="1"/>
        <v>56.8</v>
      </c>
      <c r="W129" s="1435" vm="953">
        <f ca="1"/>
        <v>44627</v>
      </c>
      <c r="X129" s="1434" vm="958">
        <f ca="1"/>
        <v>340.32</v>
      </c>
      <c r="Y129" s="1435" vm="953">
        <f ca="1"/>
        <v>44627</v>
      </c>
      <c r="Z129" s="1434" vm="959">
        <f ca="1"/>
        <v>54.956099999999999</v>
      </c>
      <c r="AA129" s="1435" vm="953">
        <f ca="1"/>
        <v>44627</v>
      </c>
      <c r="AB129" s="1434" vm="960">
        <f ca="1"/>
        <v>4204.3100000000004</v>
      </c>
    </row>
    <row r="130" spans="15:28" x14ac:dyDescent="0.5">
      <c r="O130" s="1435" vm="961">
        <f ca="1"/>
        <v>44634</v>
      </c>
      <c r="P130" s="1434" vm="962">
        <f ca="1"/>
        <v>216.49</v>
      </c>
      <c r="Q130" s="1435" vm="961">
        <f ca="1"/>
        <v>44634</v>
      </c>
      <c r="R130" s="1434" vm="963">
        <f ca="1"/>
        <v>161.25049999999999</v>
      </c>
      <c r="S130" s="1435" vm="961">
        <f ca="1"/>
        <v>44634</v>
      </c>
      <c r="T130" s="1434" vm="964">
        <f ca="1"/>
        <v>136.8015</v>
      </c>
      <c r="U130" s="1435" vm="961">
        <f ca="1"/>
        <v>44634</v>
      </c>
      <c r="V130" s="1434" vm="965">
        <f ca="1"/>
        <v>68.81</v>
      </c>
      <c r="W130" s="1435" vm="961">
        <f ca="1"/>
        <v>44634</v>
      </c>
      <c r="X130" s="1434" vm="966">
        <f ca="1"/>
        <v>380.6</v>
      </c>
      <c r="Y130" s="1435" vm="961">
        <f ca="1"/>
        <v>44634</v>
      </c>
      <c r="Z130" s="1434" vm="967">
        <f ca="1"/>
        <v>59.742699999999999</v>
      </c>
      <c r="AA130" s="1435" vm="961">
        <f ca="1"/>
        <v>44634</v>
      </c>
      <c r="AB130" s="1434" vm="968">
        <f ca="1"/>
        <v>4463.12</v>
      </c>
    </row>
    <row r="131" spans="15:28" x14ac:dyDescent="0.5">
      <c r="O131" s="1435" vm="969">
        <f ca="1"/>
        <v>44641</v>
      </c>
      <c r="P131" s="1434" vm="970">
        <f ca="1"/>
        <v>221.82</v>
      </c>
      <c r="Q131" s="1435" vm="969">
        <f ca="1"/>
        <v>44641</v>
      </c>
      <c r="R131" s="1434" vm="971">
        <f ca="1"/>
        <v>164.77350000000001</v>
      </c>
      <c r="S131" s="1435" vm="969">
        <f ca="1"/>
        <v>44641</v>
      </c>
      <c r="T131" s="1434" vm="972">
        <f ca="1"/>
        <v>141.5215</v>
      </c>
      <c r="U131" s="1435" vm="969">
        <f ca="1"/>
        <v>44641</v>
      </c>
      <c r="V131" s="1434" vm="973">
        <f ca="1"/>
        <v>65.45</v>
      </c>
      <c r="W131" s="1435" vm="969">
        <f ca="1"/>
        <v>44641</v>
      </c>
      <c r="X131" s="1434" vm="974">
        <f ca="1"/>
        <v>373.85</v>
      </c>
      <c r="Y131" s="1435" vm="969">
        <f ca="1"/>
        <v>44641</v>
      </c>
      <c r="Z131" s="1434" vm="975">
        <f ca="1"/>
        <v>58.426099999999998</v>
      </c>
      <c r="AA131" s="1435" vm="969">
        <f ca="1"/>
        <v>44641</v>
      </c>
      <c r="AB131" s="1434" vm="976">
        <f ca="1"/>
        <v>4543.0600000000004</v>
      </c>
    </row>
    <row r="132" spans="15:28" x14ac:dyDescent="0.5">
      <c r="O132" s="1435" vm="977">
        <f ca="1"/>
        <v>44648</v>
      </c>
      <c r="P132" s="1434" vm="978">
        <f ca="1"/>
        <v>224.85</v>
      </c>
      <c r="Q132" s="1435" vm="977">
        <f ca="1"/>
        <v>44648</v>
      </c>
      <c r="R132" s="1434" vm="979">
        <f ca="1"/>
        <v>163.56</v>
      </c>
      <c r="S132" s="1435" vm="977">
        <f ca="1"/>
        <v>44648</v>
      </c>
      <c r="T132" s="1434" vm="980">
        <f ca="1"/>
        <v>140.69999999999999</v>
      </c>
      <c r="U132" s="1435" vm="977">
        <f ca="1"/>
        <v>44648</v>
      </c>
      <c r="V132" s="1434" vm="981">
        <f ca="1"/>
        <v>72.33</v>
      </c>
      <c r="W132" s="1435" vm="977">
        <f ca="1"/>
        <v>44648</v>
      </c>
      <c r="X132" s="1434" vm="982">
        <f ca="1"/>
        <v>373.47</v>
      </c>
      <c r="Y132" s="1435" vm="977">
        <f ca="1"/>
        <v>44648</v>
      </c>
      <c r="Z132" s="1434" vm="983">
        <f ca="1"/>
        <v>60.639400000000002</v>
      </c>
      <c r="AA132" s="1435" vm="977">
        <f ca="1"/>
        <v>44648</v>
      </c>
      <c r="AB132" s="1434" vm="984">
        <f ca="1"/>
        <v>4545.8599999999997</v>
      </c>
    </row>
    <row r="133" spans="15:28" x14ac:dyDescent="0.5">
      <c r="O133" s="1435" vm="985">
        <f ca="1"/>
        <v>44655</v>
      </c>
      <c r="P133" s="1434" vm="986">
        <f ca="1"/>
        <v>222.33</v>
      </c>
      <c r="Q133" s="1435" vm="985">
        <f ca="1"/>
        <v>44655</v>
      </c>
      <c r="R133" s="1434" vm="987">
        <f ca="1"/>
        <v>154.4605</v>
      </c>
      <c r="S133" s="1435" vm="985">
        <f ca="1"/>
        <v>44655</v>
      </c>
      <c r="T133" s="1434" vm="988">
        <f ca="1"/>
        <v>134.01050000000001</v>
      </c>
      <c r="U133" s="1435" vm="985">
        <f ca="1"/>
        <v>44655</v>
      </c>
      <c r="V133" s="1434" vm="989">
        <f ca="1"/>
        <v>67.790000000000006</v>
      </c>
      <c r="W133" s="1435" vm="985">
        <f ca="1"/>
        <v>44655</v>
      </c>
      <c r="X133" s="1434" vm="990">
        <f ca="1"/>
        <v>355.88</v>
      </c>
      <c r="Y133" s="1435" vm="985">
        <f ca="1"/>
        <v>44655</v>
      </c>
      <c r="Z133" s="1434" vm="991">
        <f ca="1"/>
        <v>61.139400000000002</v>
      </c>
      <c r="AA133" s="1435" vm="985">
        <f ca="1"/>
        <v>44655</v>
      </c>
      <c r="AB133" s="1434" vm="992">
        <f ca="1"/>
        <v>4488.28</v>
      </c>
    </row>
    <row r="134" spans="15:28" x14ac:dyDescent="0.5">
      <c r="O134" s="1435" vm="993">
        <f ca="1"/>
        <v>44662</v>
      </c>
      <c r="P134" s="1434" vm="100">
        <f ca="1"/>
        <v>210.18</v>
      </c>
      <c r="Q134" s="1435" vm="993">
        <f ca="1"/>
        <v>44662</v>
      </c>
      <c r="R134" s="1434" vm="994">
        <f ca="1"/>
        <v>151.70650000000001</v>
      </c>
      <c r="S134" s="1435" vm="993">
        <f ca="1"/>
        <v>44662</v>
      </c>
      <c r="T134" s="1434" vm="995">
        <f ca="1"/>
        <v>127.253</v>
      </c>
      <c r="U134" s="1435" vm="993">
        <f ca="1"/>
        <v>44662</v>
      </c>
      <c r="V134" s="1434" vm="996">
        <f ca="1"/>
        <v>63.58</v>
      </c>
      <c r="W134" s="1435" vm="993">
        <f ca="1"/>
        <v>44662</v>
      </c>
      <c r="X134" s="1434" vm="812">
        <f ca="1"/>
        <v>341.13</v>
      </c>
      <c r="Y134" s="1435" vm="993">
        <f ca="1"/>
        <v>44662</v>
      </c>
      <c r="Z134" s="1434" vm="689">
        <f ca="1"/>
        <v>59.516100000000002</v>
      </c>
      <c r="AA134" s="1435" vm="993">
        <f ca="1"/>
        <v>44662</v>
      </c>
      <c r="AB134" s="1434" vm="997">
        <f ca="1"/>
        <v>4392.59</v>
      </c>
    </row>
    <row r="135" spans="15:28" x14ac:dyDescent="0.5">
      <c r="O135" s="1435" vm="998">
        <f ca="1"/>
        <v>44669</v>
      </c>
      <c r="P135" s="1434" vm="999">
        <f ca="1"/>
        <v>184.11</v>
      </c>
      <c r="Q135" s="1435" vm="998">
        <f ca="1"/>
        <v>44669</v>
      </c>
      <c r="R135" s="1434" vm="1000">
        <f ca="1"/>
        <v>144.35</v>
      </c>
      <c r="S135" s="1435" vm="998">
        <f ca="1"/>
        <v>44669</v>
      </c>
      <c r="T135" s="1434" vm="1001">
        <f ca="1"/>
        <v>119.614</v>
      </c>
      <c r="U135" s="1435" vm="998">
        <f ca="1"/>
        <v>44669</v>
      </c>
      <c r="V135" s="1434" vm="1002">
        <f ca="1"/>
        <v>59.44</v>
      </c>
      <c r="W135" s="1435" vm="998">
        <f ca="1"/>
        <v>44669</v>
      </c>
      <c r="X135" s="1434" vm="1003">
        <f ca="1"/>
        <v>215.52</v>
      </c>
      <c r="Y135" s="1435" vm="998">
        <f ca="1"/>
        <v>44669</v>
      </c>
      <c r="Z135" s="1434" vm="1004">
        <f ca="1"/>
        <v>55.616100000000003</v>
      </c>
      <c r="AA135" s="1435" vm="998">
        <f ca="1"/>
        <v>44669</v>
      </c>
      <c r="AB135" s="1434" vm="1005">
        <f ca="1"/>
        <v>4271.78</v>
      </c>
    </row>
    <row r="136" spans="15:28" x14ac:dyDescent="0.5">
      <c r="O136" s="1435" vm="1006">
        <f ca="1"/>
        <v>44676</v>
      </c>
      <c r="P136" s="1434" vm="1007">
        <f ca="1"/>
        <v>200.47</v>
      </c>
      <c r="Q136" s="1435" vm="1006">
        <f ca="1"/>
        <v>44676</v>
      </c>
      <c r="R136" s="1434" vm="1008">
        <f ca="1"/>
        <v>124.28149999999999</v>
      </c>
      <c r="S136" s="1435" vm="1006">
        <f ca="1"/>
        <v>44676</v>
      </c>
      <c r="T136" s="1434" vm="1009">
        <f ca="1"/>
        <v>114.9665</v>
      </c>
      <c r="U136" s="1435" vm="1006">
        <f ca="1"/>
        <v>44676</v>
      </c>
      <c r="V136" s="1434" vm="1010">
        <f ca="1"/>
        <v>58.92</v>
      </c>
      <c r="W136" s="1435" vm="1006">
        <f ca="1"/>
        <v>44676</v>
      </c>
      <c r="X136" s="1434" vm="1011">
        <f ca="1"/>
        <v>190.36</v>
      </c>
      <c r="Y136" s="1435" vm="1006">
        <f ca="1"/>
        <v>44676</v>
      </c>
      <c r="Z136" s="1434" vm="1012">
        <f ca="1"/>
        <v>52.456099999999999</v>
      </c>
      <c r="AA136" s="1435" vm="1006">
        <f ca="1"/>
        <v>44676</v>
      </c>
      <c r="AB136" s="1434" vm="1013">
        <f ca="1"/>
        <v>4131.93</v>
      </c>
    </row>
    <row r="137" spans="15:28" x14ac:dyDescent="0.5">
      <c r="O137" s="1435" vm="1014">
        <f ca="1"/>
        <v>44683</v>
      </c>
      <c r="P137" s="1434" vm="1015">
        <f ca="1"/>
        <v>203.77</v>
      </c>
      <c r="Q137" s="1435" vm="1014">
        <f ca="1"/>
        <v>44683</v>
      </c>
      <c r="R137" s="1434" vm="1016">
        <f ca="1"/>
        <v>114.77249999999999</v>
      </c>
      <c r="S137" s="1435" vm="1014">
        <f ca="1"/>
        <v>44683</v>
      </c>
      <c r="T137" s="1434" vm="1017">
        <f ca="1"/>
        <v>115.66</v>
      </c>
      <c r="U137" s="1435" vm="1014">
        <f ca="1"/>
        <v>44683</v>
      </c>
      <c r="V137" s="1434" vm="1018">
        <f ca="1"/>
        <v>48.92</v>
      </c>
      <c r="W137" s="1435" vm="1014">
        <f ca="1"/>
        <v>44683</v>
      </c>
      <c r="X137" s="1434" vm="1019">
        <f ca="1"/>
        <v>180.97</v>
      </c>
      <c r="Y137" s="1435" vm="1014">
        <f ca="1"/>
        <v>44683</v>
      </c>
      <c r="Z137" s="1434" vm="1020">
        <f ca="1"/>
        <v>50.762799999999999</v>
      </c>
      <c r="AA137" s="1435" vm="1014">
        <f ca="1"/>
        <v>44683</v>
      </c>
      <c r="AB137" s="1434" vm="1021">
        <f ca="1"/>
        <v>4123.34</v>
      </c>
    </row>
    <row r="138" spans="15:28" x14ac:dyDescent="0.5">
      <c r="O138" s="1435" vm="1022">
        <f ca="1"/>
        <v>44690</v>
      </c>
      <c r="P138" s="1434" vm="1023">
        <f ca="1"/>
        <v>198.62</v>
      </c>
      <c r="Q138" s="1435" vm="1022">
        <f ca="1"/>
        <v>44690</v>
      </c>
      <c r="R138" s="1434" vm="1024">
        <f ca="1"/>
        <v>113.05500000000001</v>
      </c>
      <c r="S138" s="1435" vm="1022">
        <f ca="1"/>
        <v>44690</v>
      </c>
      <c r="T138" s="1434" vm="1025">
        <f ca="1"/>
        <v>116.5155</v>
      </c>
      <c r="U138" s="1435" vm="1022">
        <f ca="1"/>
        <v>44690</v>
      </c>
      <c r="V138" s="1434" vm="1026">
        <f ca="1"/>
        <v>51.92</v>
      </c>
      <c r="W138" s="1435" vm="1022">
        <f ca="1"/>
        <v>44690</v>
      </c>
      <c r="X138" s="1434" vm="1027">
        <f ca="1"/>
        <v>187.64</v>
      </c>
      <c r="Y138" s="1435" vm="1022">
        <f ca="1"/>
        <v>44690</v>
      </c>
      <c r="Z138" s="1434" vm="1028">
        <f ca="1"/>
        <v>49.162799999999997</v>
      </c>
      <c r="AA138" s="1435" vm="1022">
        <f ca="1"/>
        <v>44690</v>
      </c>
      <c r="AB138" s="1434" vm="1029">
        <f ca="1"/>
        <v>4023.89</v>
      </c>
    </row>
    <row r="139" spans="15:28" x14ac:dyDescent="0.5">
      <c r="O139" s="1435" vm="1030">
        <f ca="1"/>
        <v>44697</v>
      </c>
      <c r="P139" s="1434" vm="1031">
        <f ca="1"/>
        <v>193.54</v>
      </c>
      <c r="Q139" s="1435" vm="1030">
        <f ca="1"/>
        <v>44697</v>
      </c>
      <c r="R139" s="1434" vm="1032">
        <f ca="1"/>
        <v>107.59099999999999</v>
      </c>
      <c r="S139" s="1435" vm="1030">
        <f ca="1"/>
        <v>44697</v>
      </c>
      <c r="T139" s="1434" vm="1033">
        <f ca="1"/>
        <v>109.313</v>
      </c>
      <c r="U139" s="1435" vm="1030">
        <f ca="1"/>
        <v>44697</v>
      </c>
      <c r="V139" s="1434" vm="1034">
        <f ca="1"/>
        <v>52.64</v>
      </c>
      <c r="W139" s="1435" vm="1030">
        <f ca="1"/>
        <v>44697</v>
      </c>
      <c r="X139" s="1434" vm="1035">
        <f ca="1"/>
        <v>186.35</v>
      </c>
      <c r="Y139" s="1435" vm="1030">
        <f ca="1"/>
        <v>44697</v>
      </c>
      <c r="Z139" s="1434" vm="1036">
        <f ca="1"/>
        <v>48.709499999999998</v>
      </c>
      <c r="AA139" s="1435" vm="1030">
        <f ca="1"/>
        <v>44697</v>
      </c>
      <c r="AB139" s="1434" vm="1037">
        <f ca="1"/>
        <v>3901.36</v>
      </c>
    </row>
    <row r="140" spans="15:28" x14ac:dyDescent="0.5">
      <c r="O140" s="1435" vm="1038">
        <f ca="1"/>
        <v>44704</v>
      </c>
      <c r="P140" s="1434" vm="1039">
        <f ca="1"/>
        <v>195.13</v>
      </c>
      <c r="Q140" s="1435" vm="1038">
        <f ca="1"/>
        <v>44704</v>
      </c>
      <c r="R140" s="1434" vm="1040">
        <f ca="1"/>
        <v>115.1465</v>
      </c>
      <c r="S140" s="1435" vm="1038">
        <f ca="1"/>
        <v>44704</v>
      </c>
      <c r="T140" s="1434" vm="1041">
        <f ca="1"/>
        <v>112.79900000000001</v>
      </c>
      <c r="U140" s="1435" vm="1038">
        <f ca="1"/>
        <v>44704</v>
      </c>
      <c r="V140" s="1434" vm="1042">
        <f ca="1"/>
        <v>52.49</v>
      </c>
      <c r="W140" s="1435" vm="1038">
        <f ca="1"/>
        <v>44704</v>
      </c>
      <c r="X140" s="1434" vm="1043">
        <f ca="1"/>
        <v>195.19</v>
      </c>
      <c r="Y140" s="1435" vm="1038">
        <f ca="1"/>
        <v>44704</v>
      </c>
      <c r="Z140" s="1434" vm="1044">
        <f ca="1"/>
        <v>51.8795</v>
      </c>
      <c r="AA140" s="1435" vm="1038">
        <f ca="1"/>
        <v>44704</v>
      </c>
      <c r="AB140" s="1434" vm="1045">
        <f ca="1"/>
        <v>4158.24</v>
      </c>
    </row>
    <row r="141" spans="15:28" x14ac:dyDescent="0.5">
      <c r="O141" s="1435" vm="1046">
        <f ca="1"/>
        <v>44712</v>
      </c>
      <c r="P141" s="1434" vm="1047">
        <f ca="1"/>
        <v>190.78</v>
      </c>
      <c r="Q141" s="1435" vm="1046">
        <f ca="1"/>
        <v>44712</v>
      </c>
      <c r="R141" s="1434" vm="1048">
        <f ca="1"/>
        <v>122.35</v>
      </c>
      <c r="S141" s="1435" vm="1046">
        <f ca="1"/>
        <v>44712</v>
      </c>
      <c r="T141" s="1434" vm="1049">
        <f ca="1"/>
        <v>114.56399999999999</v>
      </c>
      <c r="U141" s="1435" vm="1046">
        <f ca="1"/>
        <v>44712</v>
      </c>
      <c r="V141" s="1434" vm="1050">
        <f ca="1"/>
        <v>51.15</v>
      </c>
      <c r="W141" s="1435" vm="1046">
        <f ca="1"/>
        <v>44712</v>
      </c>
      <c r="X141" s="1434" vm="1051">
        <f ca="1"/>
        <v>198.98</v>
      </c>
      <c r="Y141" s="1435" vm="1046">
        <f ca="1"/>
        <v>44712</v>
      </c>
      <c r="Z141" s="1434" vm="1052">
        <f ca="1"/>
        <v>51.356200000000001</v>
      </c>
      <c r="AA141" s="1435" vm="1046">
        <f ca="1"/>
        <v>44712</v>
      </c>
      <c r="AB141" s="1434" vm="1053">
        <f ca="1"/>
        <v>4108.54</v>
      </c>
    </row>
    <row r="142" spans="15:28" x14ac:dyDescent="0.5">
      <c r="O142" s="1435" vm="1054">
        <f ca="1"/>
        <v>44718</v>
      </c>
      <c r="P142" s="1434" vm="1055">
        <f ca="1"/>
        <v>175.57</v>
      </c>
      <c r="Q142" s="1435" vm="1054">
        <f ca="1"/>
        <v>44718</v>
      </c>
      <c r="R142" s="1434" vm="1056">
        <f ca="1"/>
        <v>109.65</v>
      </c>
      <c r="S142" s="1435" vm="1054">
        <f ca="1"/>
        <v>44718</v>
      </c>
      <c r="T142" s="1434" vm="1057">
        <f ca="1"/>
        <v>111.42749999999999</v>
      </c>
      <c r="U142" s="1435" vm="1054">
        <f ca="1"/>
        <v>44718</v>
      </c>
      <c r="V142" s="1434" vm="1058">
        <f ca="1"/>
        <v>49.27</v>
      </c>
      <c r="W142" s="1435" vm="1054">
        <f ca="1"/>
        <v>44718</v>
      </c>
      <c r="X142" s="1434" vm="1059">
        <f ca="1"/>
        <v>182.94</v>
      </c>
      <c r="Y142" s="1435" vm="1054">
        <f ca="1"/>
        <v>44718</v>
      </c>
      <c r="Z142" s="1434" vm="1060">
        <f ca="1"/>
        <v>50.062800000000003</v>
      </c>
      <c r="AA142" s="1435" vm="1054">
        <f ca="1"/>
        <v>44718</v>
      </c>
      <c r="AB142" s="1434" vm="1061">
        <f ca="1"/>
        <v>3900.86</v>
      </c>
    </row>
    <row r="143" spans="15:28" x14ac:dyDescent="0.5">
      <c r="O143" s="1435" vm="1062">
        <f ca="1"/>
        <v>44725</v>
      </c>
      <c r="P143" s="1434" vm="1063">
        <f ca="1"/>
        <v>163.74</v>
      </c>
      <c r="Q143" s="1435" vm="1062">
        <f ca="1"/>
        <v>44725</v>
      </c>
      <c r="R143" s="1434" vm="1064">
        <f ca="1"/>
        <v>106.22</v>
      </c>
      <c r="S143" s="1435" vm="1062">
        <f ca="1"/>
        <v>44725</v>
      </c>
      <c r="T143" s="1434" vm="1065">
        <f ca="1"/>
        <v>107.8655</v>
      </c>
      <c r="U143" s="1435" vm="1062">
        <f ca="1"/>
        <v>44725</v>
      </c>
      <c r="V143" s="1434" vm="1066">
        <f ca="1"/>
        <v>46.3</v>
      </c>
      <c r="W143" s="1435" vm="1062">
        <f ca="1"/>
        <v>44725</v>
      </c>
      <c r="X143" s="1434" vm="1067">
        <f ca="1"/>
        <v>175.51</v>
      </c>
      <c r="Y143" s="1435" vm="1062">
        <f ca="1"/>
        <v>44725</v>
      </c>
      <c r="Z143" s="1434" vm="1068">
        <f ca="1"/>
        <v>49.616199999999999</v>
      </c>
      <c r="AA143" s="1435" vm="1062">
        <f ca="1"/>
        <v>44725</v>
      </c>
      <c r="AB143" s="1434" vm="1069">
        <f ca="1"/>
        <v>3674.84</v>
      </c>
    </row>
    <row r="144" spans="15:28" x14ac:dyDescent="0.5">
      <c r="O144" s="1435" vm="1070">
        <f ca="1"/>
        <v>44733</v>
      </c>
      <c r="P144" s="1434" vm="1071">
        <f ca="1"/>
        <v>170.16</v>
      </c>
      <c r="Q144" s="1435" vm="1070">
        <f ca="1"/>
        <v>44733</v>
      </c>
      <c r="R144" s="1434" vm="1072">
        <f ca="1"/>
        <v>116.46</v>
      </c>
      <c r="S144" s="1435" vm="1070">
        <f ca="1"/>
        <v>44733</v>
      </c>
      <c r="T144" s="1434" vm="1073">
        <f ca="1"/>
        <v>118.538</v>
      </c>
      <c r="U144" s="1435" vm="1070">
        <f ca="1"/>
        <v>44733</v>
      </c>
      <c r="V144" s="1434" vm="1074">
        <f ca="1"/>
        <v>49.49</v>
      </c>
      <c r="W144" s="1435" vm="1070">
        <f ca="1"/>
        <v>44733</v>
      </c>
      <c r="X144" s="1434" vm="1075">
        <f ca="1"/>
        <v>190.85</v>
      </c>
      <c r="Y144" s="1435" vm="1070">
        <f ca="1"/>
        <v>44733</v>
      </c>
      <c r="Z144" s="1434" vm="1076">
        <f ca="1"/>
        <v>53.092799999999997</v>
      </c>
      <c r="AA144" s="1435" vm="1070">
        <f ca="1"/>
        <v>44733</v>
      </c>
      <c r="AB144" s="1434" vm="1077">
        <f ca="1"/>
        <v>3911.74</v>
      </c>
    </row>
    <row r="145" spans="15:28" x14ac:dyDescent="0.5">
      <c r="O145" s="1435" vm="1078">
        <f ca="1"/>
        <v>44739</v>
      </c>
      <c r="P145" s="1434" vm="1079">
        <f ca="1"/>
        <v>160.03</v>
      </c>
      <c r="Q145" s="1435" vm="1078">
        <f ca="1"/>
        <v>44739</v>
      </c>
      <c r="R145" s="1434" vm="1080">
        <f ca="1"/>
        <v>109.56</v>
      </c>
      <c r="S145" s="1435" vm="1078">
        <f ca="1"/>
        <v>44739</v>
      </c>
      <c r="T145" s="1434" vm="1081">
        <f ca="1"/>
        <v>109.081</v>
      </c>
      <c r="U145" s="1435" vm="1078">
        <f ca="1"/>
        <v>44739</v>
      </c>
      <c r="V145" s="1434" vm="1082">
        <f ca="1"/>
        <v>41.66</v>
      </c>
      <c r="W145" s="1435" vm="1078">
        <f ca="1"/>
        <v>44739</v>
      </c>
      <c r="X145" s="1434" vm="1083">
        <f ca="1"/>
        <v>179.95</v>
      </c>
      <c r="Y145" s="1435" vm="1078">
        <f ca="1"/>
        <v>44739</v>
      </c>
      <c r="Z145" s="1434" vm="1084">
        <f ca="1"/>
        <v>51.8628</v>
      </c>
      <c r="AA145" s="1435" vm="1078">
        <f ca="1"/>
        <v>44739</v>
      </c>
      <c r="AB145" s="1434" vm="1085">
        <f ca="1"/>
        <v>3825.33</v>
      </c>
    </row>
    <row r="146" spans="15:28" x14ac:dyDescent="0.5">
      <c r="O146" s="1435" vm="1086">
        <f ca="1"/>
        <v>44747</v>
      </c>
      <c r="P146" s="1434" vm="1087">
        <f ca="1"/>
        <v>170.88</v>
      </c>
      <c r="Q146" s="1435" vm="1086">
        <f ca="1"/>
        <v>44747</v>
      </c>
      <c r="R146" s="1434" vm="1088">
        <f ca="1"/>
        <v>115.54</v>
      </c>
      <c r="S146" s="1435" vm="1086">
        <f ca="1"/>
        <v>44747</v>
      </c>
      <c r="T146" s="1434" vm="1089">
        <f ca="1"/>
        <v>120.16849999999999</v>
      </c>
      <c r="U146" s="1435" vm="1086">
        <f ca="1"/>
        <v>44747</v>
      </c>
      <c r="V146" s="1434" vm="1090">
        <f ca="1"/>
        <v>45.63</v>
      </c>
      <c r="W146" s="1435" vm="1086">
        <f ca="1"/>
        <v>44747</v>
      </c>
      <c r="X146" s="1434" vm="1091">
        <f ca="1"/>
        <v>186.97499999999999</v>
      </c>
      <c r="Y146" s="1435" vm="1086">
        <f ca="1"/>
        <v>44747</v>
      </c>
      <c r="Z146" s="1434" vm="1092">
        <f ca="1"/>
        <v>52.186100000000003</v>
      </c>
      <c r="AA146" s="1435" vm="1086">
        <f ca="1"/>
        <v>44747</v>
      </c>
      <c r="AB146" s="1434" vm="1093">
        <f ca="1"/>
        <v>3899.38</v>
      </c>
    </row>
    <row r="147" spans="15:28" x14ac:dyDescent="0.5">
      <c r="O147" s="1435" vm="1094">
        <f ca="1"/>
        <v>44753</v>
      </c>
      <c r="P147" s="1434" vm="1095">
        <f ca="1"/>
        <v>164.7</v>
      </c>
      <c r="Q147" s="1435" vm="1094">
        <f ca="1"/>
        <v>44753</v>
      </c>
      <c r="R147" s="1434" vm="1096">
        <f ca="1"/>
        <v>113.55</v>
      </c>
      <c r="S147" s="1435" vm="1094">
        <f ca="1"/>
        <v>44753</v>
      </c>
      <c r="T147" s="1434" vm="1097">
        <f ca="1"/>
        <v>112.767</v>
      </c>
      <c r="U147" s="1435" vm="1094">
        <f ca="1"/>
        <v>44753</v>
      </c>
      <c r="V147" s="1434" vm="1098">
        <f ca="1"/>
        <v>43.1</v>
      </c>
      <c r="W147" s="1435" vm="1094">
        <f ca="1"/>
        <v>44753</v>
      </c>
      <c r="X147" s="1434" vm="1099">
        <f ca="1"/>
        <v>189.11</v>
      </c>
      <c r="Y147" s="1435" vm="1094">
        <f ca="1"/>
        <v>44753</v>
      </c>
      <c r="Z147" s="1434" vm="1100">
        <f ca="1"/>
        <v>52.356099999999998</v>
      </c>
      <c r="AA147" s="1435" vm="1094">
        <f ca="1"/>
        <v>44753</v>
      </c>
      <c r="AB147" s="1434" vm="1101">
        <f ca="1"/>
        <v>3863.16</v>
      </c>
    </row>
    <row r="148" spans="15:28" x14ac:dyDescent="0.5">
      <c r="O148" s="1435" vm="1102">
        <f ca="1"/>
        <v>44760</v>
      </c>
      <c r="P148" s="1434" vm="1103">
        <f ca="1"/>
        <v>169.27</v>
      </c>
      <c r="Q148" s="1435" vm="1102">
        <f ca="1"/>
        <v>44760</v>
      </c>
      <c r="R148" s="1434" vm="1104">
        <f ca="1"/>
        <v>122.42</v>
      </c>
      <c r="S148" s="1435" vm="1102">
        <f ca="1"/>
        <v>44760</v>
      </c>
      <c r="T148" s="1434" vm="1105">
        <f ca="1"/>
        <v>108.36</v>
      </c>
      <c r="U148" s="1435" vm="1102">
        <f ca="1"/>
        <v>44760</v>
      </c>
      <c r="V148" s="1434" vm="1106">
        <f ca="1"/>
        <v>47.27</v>
      </c>
      <c r="W148" s="1435" vm="1102">
        <f ca="1"/>
        <v>44760</v>
      </c>
      <c r="X148" s="1434" vm="1107">
        <f ca="1"/>
        <v>220.44</v>
      </c>
      <c r="Y148" s="1435" vm="1102">
        <f ca="1"/>
        <v>44760</v>
      </c>
      <c r="Z148" s="1434" vm="1108">
        <f ca="1"/>
        <v>57.532800000000002</v>
      </c>
      <c r="AA148" s="1435" vm="1102">
        <f ca="1"/>
        <v>44760</v>
      </c>
      <c r="AB148" s="1434" vm="1109">
        <f ca="1"/>
        <v>3961.63</v>
      </c>
    </row>
    <row r="149" spans="15:28" x14ac:dyDescent="0.5">
      <c r="O149" s="1435" vm="1110">
        <f ca="1"/>
        <v>44767</v>
      </c>
      <c r="P149" s="1434" vm="1111">
        <f ca="1"/>
        <v>159.1</v>
      </c>
      <c r="Q149" s="1435" vm="1110">
        <f ca="1"/>
        <v>44767</v>
      </c>
      <c r="R149" s="1434" vm="1112">
        <f ca="1"/>
        <v>134.94999999999999</v>
      </c>
      <c r="S149" s="1435" vm="1110">
        <f ca="1"/>
        <v>44767</v>
      </c>
      <c r="T149" s="1434" vm="1113">
        <f ca="1"/>
        <v>116.64</v>
      </c>
      <c r="U149" s="1435" vm="1110">
        <f ca="1"/>
        <v>44767</v>
      </c>
      <c r="V149" s="1434" vm="1114">
        <f ca="1"/>
        <v>45</v>
      </c>
      <c r="W149" s="1435" vm="1110">
        <f ca="1"/>
        <v>44767</v>
      </c>
      <c r="X149" s="1434" vm="1115">
        <f ca="1"/>
        <v>224.9</v>
      </c>
      <c r="Y149" s="1435" vm="1110">
        <f ca="1"/>
        <v>44767</v>
      </c>
      <c r="Z149" s="1434" vm="1116">
        <f ca="1"/>
        <v>60.299399999999999</v>
      </c>
      <c r="AA149" s="1435" vm="1110">
        <f ca="1"/>
        <v>44767</v>
      </c>
      <c r="AB149" s="1434" vm="1117">
        <f ca="1"/>
        <v>4130.29</v>
      </c>
    </row>
    <row r="150" spans="15:28" x14ac:dyDescent="0.5">
      <c r="O150" s="1435" vm="1118">
        <f ca="1"/>
        <v>44774</v>
      </c>
      <c r="P150" s="1434" vm="1119">
        <f ca="1"/>
        <v>167.11</v>
      </c>
      <c r="Q150" s="1435" vm="1118">
        <f ca="1"/>
        <v>44774</v>
      </c>
      <c r="R150" s="1434" vm="1120">
        <f ca="1"/>
        <v>140.80000000000001</v>
      </c>
      <c r="S150" s="1435" vm="1118">
        <f ca="1"/>
        <v>44774</v>
      </c>
      <c r="T150" s="1434" vm="1121">
        <f ca="1"/>
        <v>118.22</v>
      </c>
      <c r="U150" s="1435" vm="1118">
        <f ca="1"/>
        <v>44774</v>
      </c>
      <c r="V150" s="1434" vm="1122">
        <f ca="1"/>
        <v>52.78</v>
      </c>
      <c r="W150" s="1435" vm="1118">
        <f ca="1"/>
        <v>44774</v>
      </c>
      <c r="X150" s="1434" vm="1123">
        <f ca="1"/>
        <v>226.78</v>
      </c>
      <c r="Y150" s="1435" vm="1118">
        <f ca="1"/>
        <v>44774</v>
      </c>
      <c r="Z150" s="1434" vm="1124">
        <f ca="1"/>
        <v>60.689399999999999</v>
      </c>
      <c r="AA150" s="1435" vm="1118">
        <f ca="1"/>
        <v>44774</v>
      </c>
      <c r="AB150" s="1434" vm="1125">
        <f ca="1"/>
        <v>4145.1899999999996</v>
      </c>
    </row>
    <row r="151" spans="15:28" x14ac:dyDescent="0.5">
      <c r="O151" s="1435" vm="1126">
        <f ca="1"/>
        <v>44781</v>
      </c>
      <c r="P151" s="1434" vm="1127">
        <f ca="1"/>
        <v>180.5</v>
      </c>
      <c r="Q151" s="1435" vm="1126">
        <f ca="1"/>
        <v>44781</v>
      </c>
      <c r="R151" s="1434" vm="1128">
        <f ca="1"/>
        <v>143.55000000000001</v>
      </c>
      <c r="S151" s="1435" vm="1126">
        <f ca="1"/>
        <v>44781</v>
      </c>
      <c r="T151" s="1434" vm="1129">
        <f ca="1"/>
        <v>122.65</v>
      </c>
      <c r="U151" s="1435" vm="1126">
        <f ca="1"/>
        <v>44781</v>
      </c>
      <c r="V151" s="1434" vm="1130">
        <f ca="1"/>
        <v>74.489999999999995</v>
      </c>
      <c r="W151" s="1435" vm="1126">
        <f ca="1"/>
        <v>44781</v>
      </c>
      <c r="X151" s="1434" vm="1131">
        <f ca="1"/>
        <v>249.3</v>
      </c>
      <c r="Y151" s="1435" vm="1126">
        <f ca="1"/>
        <v>44781</v>
      </c>
      <c r="Z151" s="1434" vm="1132">
        <f ca="1"/>
        <v>63.472700000000003</v>
      </c>
      <c r="AA151" s="1435" vm="1126">
        <f ca="1"/>
        <v>44781</v>
      </c>
      <c r="AB151" s="1434" vm="1133">
        <f ca="1"/>
        <v>4280.1499999999996</v>
      </c>
    </row>
    <row r="152" spans="15:28" x14ac:dyDescent="0.5">
      <c r="O152" s="1435" vm="1134">
        <f ca="1"/>
        <v>44788</v>
      </c>
      <c r="P152" s="1434" vm="1135">
        <f ca="1"/>
        <v>167.96</v>
      </c>
      <c r="Q152" s="1435" vm="1134">
        <f ca="1"/>
        <v>44788</v>
      </c>
      <c r="R152" s="1434" vm="1136">
        <f ca="1"/>
        <v>138.22999999999999</v>
      </c>
      <c r="S152" s="1435" vm="1134">
        <f ca="1"/>
        <v>44788</v>
      </c>
      <c r="T152" s="1434" vm="1137">
        <f ca="1"/>
        <v>118.12</v>
      </c>
      <c r="U152" s="1435" vm="1134">
        <f ca="1"/>
        <v>44788</v>
      </c>
      <c r="V152" s="1434" vm="1138">
        <f ca="1"/>
        <v>65.69</v>
      </c>
      <c r="W152" s="1435" vm="1134">
        <f ca="1"/>
        <v>44788</v>
      </c>
      <c r="X152" s="1434" vm="1139">
        <f ca="1"/>
        <v>241.16</v>
      </c>
      <c r="Y152" s="1435" vm="1134">
        <f ca="1"/>
        <v>44788</v>
      </c>
      <c r="Z152" s="1434" vm="1140">
        <f ca="1"/>
        <v>62.369399999999999</v>
      </c>
      <c r="AA152" s="1435" vm="1134">
        <f ca="1"/>
        <v>44788</v>
      </c>
      <c r="AB152" s="1434" vm="1141">
        <f ca="1"/>
        <v>4228.4799999999996</v>
      </c>
    </row>
    <row r="153" spans="15:28" x14ac:dyDescent="0.5">
      <c r="O153" s="1435" vm="1142">
        <f ca="1"/>
        <v>44795</v>
      </c>
      <c r="P153" s="1434" vm="1143">
        <f ca="1"/>
        <v>161.78</v>
      </c>
      <c r="Q153" s="1435" vm="1142">
        <f ca="1"/>
        <v>44795</v>
      </c>
      <c r="R153" s="1434" vm="1144">
        <f ca="1"/>
        <v>130.75</v>
      </c>
      <c r="S153" s="1435" vm="1142">
        <f ca="1"/>
        <v>44795</v>
      </c>
      <c r="T153" s="1434" vm="1145">
        <f ca="1"/>
        <v>111.3</v>
      </c>
      <c r="U153" s="1435" vm="1142">
        <f ca="1"/>
        <v>44795</v>
      </c>
      <c r="V153" s="1434" vm="1146">
        <f ca="1"/>
        <v>63.41</v>
      </c>
      <c r="W153" s="1435" vm="1142">
        <f ca="1"/>
        <v>44795</v>
      </c>
      <c r="X153" s="1434" vm="1147">
        <f ca="1"/>
        <v>223.28</v>
      </c>
      <c r="Y153" s="1435" vm="1142">
        <f ca="1"/>
        <v>44795</v>
      </c>
      <c r="Z153" s="1434" vm="1124">
        <f ca="1"/>
        <v>60.689399999999999</v>
      </c>
      <c r="AA153" s="1435" vm="1142">
        <f ca="1"/>
        <v>44795</v>
      </c>
      <c r="AB153" s="1434" vm="1148">
        <f ca="1"/>
        <v>4057.66</v>
      </c>
    </row>
    <row r="154" spans="15:28" x14ac:dyDescent="0.5">
      <c r="O154" s="1435" vm="1149">
        <f ca="1"/>
        <v>44802</v>
      </c>
      <c r="P154" s="1434" vm="1150">
        <f ca="1"/>
        <v>160.32</v>
      </c>
      <c r="Q154" s="1435" vm="1149">
        <f ca="1"/>
        <v>44802</v>
      </c>
      <c r="R154" s="1434" vm="1151">
        <f ca="1"/>
        <v>127.51</v>
      </c>
      <c r="S154" s="1435" vm="1149">
        <f ca="1"/>
        <v>44802</v>
      </c>
      <c r="T154" s="1434" vm="1152">
        <f ca="1"/>
        <v>108.68</v>
      </c>
      <c r="U154" s="1435" vm="1149">
        <f ca="1"/>
        <v>44802</v>
      </c>
      <c r="V154" s="1434" vm="1153">
        <f ca="1"/>
        <v>61.27</v>
      </c>
      <c r="W154" s="1435" vm="1149">
        <f ca="1"/>
        <v>44802</v>
      </c>
      <c r="X154" s="1434" vm="1154">
        <f ca="1"/>
        <v>226.11</v>
      </c>
      <c r="Y154" s="1435" vm="1149">
        <f ca="1"/>
        <v>44802</v>
      </c>
      <c r="Z154" s="1434" vm="1155">
        <f ca="1"/>
        <v>59.68</v>
      </c>
      <c r="AA154" s="1435" vm="1149">
        <f ca="1"/>
        <v>44802</v>
      </c>
      <c r="AB154" s="1434" vm="1156">
        <f ca="1"/>
        <v>3924.26</v>
      </c>
    </row>
    <row r="155" spans="15:28" x14ac:dyDescent="0.5">
      <c r="O155" s="1435" vm="1157">
        <f ca="1"/>
        <v>44810</v>
      </c>
      <c r="P155" s="1434" vm="1158">
        <f ca="1"/>
        <v>169.15</v>
      </c>
      <c r="Q155" s="1435" vm="1157">
        <f ca="1"/>
        <v>44810</v>
      </c>
      <c r="R155" s="1434" vm="1159">
        <f ca="1"/>
        <v>133.27000000000001</v>
      </c>
      <c r="S155" s="1435" vm="1157">
        <f ca="1"/>
        <v>44810</v>
      </c>
      <c r="T155" s="1434" vm="1160">
        <f ca="1"/>
        <v>111.78</v>
      </c>
      <c r="U155" s="1435" vm="1157">
        <f ca="1"/>
        <v>44810</v>
      </c>
      <c r="V155" s="1434" vm="1161">
        <f ca="1"/>
        <v>66.88</v>
      </c>
      <c r="W155" s="1435" vm="1157">
        <f ca="1"/>
        <v>44810</v>
      </c>
      <c r="X155" s="1434" vm="1162">
        <f ca="1"/>
        <v>233.57</v>
      </c>
      <c r="Y155" s="1435" vm="1157">
        <f ca="1"/>
        <v>44810</v>
      </c>
      <c r="Z155" s="1434" vm="1163">
        <f ca="1"/>
        <v>63.26</v>
      </c>
      <c r="AA155" s="1435" vm="1157">
        <f ca="1"/>
        <v>44810</v>
      </c>
      <c r="AB155" s="1434" vm="1164">
        <f ca="1"/>
        <v>4067.36</v>
      </c>
    </row>
    <row r="156" spans="15:28" x14ac:dyDescent="0.5">
      <c r="O156" s="1435" vm="1165">
        <f ca="1"/>
        <v>44816</v>
      </c>
      <c r="P156" s="1434" vm="1166">
        <f ca="1"/>
        <v>146.29</v>
      </c>
      <c r="Q156" s="1435" vm="1165">
        <f ca="1"/>
        <v>44816</v>
      </c>
      <c r="R156" s="1434" vm="1167">
        <f ca="1"/>
        <v>123.53</v>
      </c>
      <c r="S156" s="1435" vm="1165">
        <f ca="1"/>
        <v>44816</v>
      </c>
      <c r="T156" s="1434" vm="1168">
        <f ca="1"/>
        <v>103.63</v>
      </c>
      <c r="U156" s="1435" vm="1165">
        <f ca="1"/>
        <v>44816</v>
      </c>
      <c r="V156" s="1434" vm="1169">
        <f ca="1"/>
        <v>61.89</v>
      </c>
      <c r="W156" s="1435" vm="1165">
        <f ca="1"/>
        <v>44816</v>
      </c>
      <c r="X156" s="1434" vm="1170">
        <f ca="1"/>
        <v>240.13</v>
      </c>
      <c r="Y156" s="1435" vm="1165">
        <f ca="1"/>
        <v>44816</v>
      </c>
      <c r="Z156" s="1434" vm="1171">
        <f ca="1"/>
        <v>61.01</v>
      </c>
      <c r="AA156" s="1435" vm="1165">
        <f ca="1"/>
        <v>44816</v>
      </c>
      <c r="AB156" s="1434" vm="1172">
        <f ca="1"/>
        <v>3873.33</v>
      </c>
    </row>
    <row r="157" spans="15:28" x14ac:dyDescent="0.5">
      <c r="O157" s="1435" vm="1173">
        <f ca="1"/>
        <v>44823</v>
      </c>
      <c r="P157" s="1434" vm="1174">
        <f ca="1"/>
        <v>140.41</v>
      </c>
      <c r="Q157" s="1435" vm="1173">
        <f ca="1"/>
        <v>44823</v>
      </c>
      <c r="R157" s="1434" vm="1175">
        <f ca="1"/>
        <v>113.78</v>
      </c>
      <c r="S157" s="1435" vm="1173">
        <f ca="1"/>
        <v>44823</v>
      </c>
      <c r="T157" s="1434" vm="1176">
        <f ca="1"/>
        <v>99.17</v>
      </c>
      <c r="U157" s="1435" vm="1173">
        <f ca="1"/>
        <v>44823</v>
      </c>
      <c r="V157" s="1434" vm="1177">
        <f ca="1"/>
        <v>57.7</v>
      </c>
      <c r="W157" s="1435" vm="1173">
        <f ca="1"/>
        <v>44823</v>
      </c>
      <c r="X157" s="1434" vm="1178">
        <f ca="1"/>
        <v>226.41</v>
      </c>
      <c r="Y157" s="1435" vm="1173">
        <f ca="1"/>
        <v>44823</v>
      </c>
      <c r="Z157" s="1434" vm="1179">
        <f ca="1"/>
        <v>56.93</v>
      </c>
      <c r="AA157" s="1435" vm="1173">
        <f ca="1"/>
        <v>44823</v>
      </c>
      <c r="AB157" s="1434" vm="1180">
        <f ca="1"/>
        <v>3693.23</v>
      </c>
    </row>
    <row r="158" spans="15:28" x14ac:dyDescent="0.5">
      <c r="O158" s="1435" vm="1181">
        <f ca="1"/>
        <v>44830</v>
      </c>
      <c r="P158" s="1434" vm="1182">
        <f ca="1"/>
        <v>135.68</v>
      </c>
      <c r="Q158" s="1435" vm="1181">
        <f ca="1"/>
        <v>44830</v>
      </c>
      <c r="R158" s="1434" vm="1183">
        <f ca="1"/>
        <v>113</v>
      </c>
      <c r="S158" s="1435" vm="1181">
        <f ca="1"/>
        <v>44830</v>
      </c>
      <c r="T158" s="1434" vm="1184">
        <f ca="1"/>
        <v>96.15</v>
      </c>
      <c r="U158" s="1435" vm="1181">
        <f ca="1"/>
        <v>44830</v>
      </c>
      <c r="V158" s="1434" vm="1185">
        <f ca="1"/>
        <v>59.75</v>
      </c>
      <c r="W158" s="1435" vm="1181">
        <f ca="1"/>
        <v>44830</v>
      </c>
      <c r="X158" s="1434" vm="1186">
        <f ca="1"/>
        <v>235.44</v>
      </c>
      <c r="Y158" s="1435" vm="1181">
        <f ca="1"/>
        <v>44830</v>
      </c>
      <c r="Z158" s="1434" vm="1187">
        <f ca="1"/>
        <v>56.68</v>
      </c>
      <c r="AA158" s="1435" vm="1181">
        <f ca="1"/>
        <v>44830</v>
      </c>
      <c r="AB158" s="1434" vm="1188">
        <f ca="1"/>
        <v>3585.62</v>
      </c>
    </row>
    <row r="159" spans="15:28" x14ac:dyDescent="0.5">
      <c r="O159" s="1435" vm="1189">
        <f ca="1"/>
        <v>44837</v>
      </c>
      <c r="P159" s="1434" vm="1190">
        <f ca="1"/>
        <v>133.44999999999999</v>
      </c>
      <c r="Q159" s="1435" vm="1189">
        <f ca="1"/>
        <v>44837</v>
      </c>
      <c r="R159" s="1434" vm="1191">
        <f ca="1"/>
        <v>114.56</v>
      </c>
      <c r="S159" s="1435" vm="1189">
        <f ca="1"/>
        <v>44837</v>
      </c>
      <c r="T159" s="1434" vm="1192">
        <f ca="1"/>
        <v>99.57</v>
      </c>
      <c r="U159" s="1435" vm="1189">
        <f ca="1"/>
        <v>44837</v>
      </c>
      <c r="V159" s="1434" vm="1193">
        <f ca="1"/>
        <v>56.79</v>
      </c>
      <c r="W159" s="1435" vm="1189">
        <f ca="1"/>
        <v>44837</v>
      </c>
      <c r="X159" s="1434" vm="1194">
        <f ca="1"/>
        <v>224.75</v>
      </c>
      <c r="Y159" s="1435" vm="1189">
        <f ca="1"/>
        <v>44837</v>
      </c>
      <c r="Z159" s="1434" vm="1195">
        <f ca="1"/>
        <v>57.66</v>
      </c>
      <c r="AA159" s="1435" vm="1189">
        <f ca="1"/>
        <v>44837</v>
      </c>
      <c r="AB159" s="1434" vm="1196">
        <f ca="1"/>
        <v>3790.93</v>
      </c>
    </row>
    <row r="160" spans="15:28" x14ac:dyDescent="0.5">
      <c r="O160" s="1435" vm="1197">
        <f ca="1"/>
        <v>44844</v>
      </c>
      <c r="P160" s="1434" vm="1198">
        <f ca="1"/>
        <v>126.76</v>
      </c>
      <c r="Q160" s="1435" vm="1197">
        <f ca="1"/>
        <v>44844</v>
      </c>
      <c r="R160" s="1434" vm="1199">
        <f ca="1"/>
        <v>106.9</v>
      </c>
      <c r="S160" s="1435" vm="1197">
        <f ca="1"/>
        <v>44844</v>
      </c>
      <c r="T160" s="1434" vm="1200">
        <f ca="1"/>
        <v>97.18</v>
      </c>
      <c r="U160" s="1435" vm="1197">
        <f ca="1"/>
        <v>44844</v>
      </c>
      <c r="V160" s="1434" vm="1201">
        <f ca="1"/>
        <v>50.6</v>
      </c>
      <c r="W160" s="1435" vm="1197">
        <f ca="1"/>
        <v>44844</v>
      </c>
      <c r="X160" s="1434" vm="1202">
        <f ca="1"/>
        <v>230</v>
      </c>
      <c r="Y160" s="1435" vm="1197">
        <f ca="1"/>
        <v>44844</v>
      </c>
      <c r="Z160" s="1434" vm="1203">
        <f ca="1"/>
        <v>54.75</v>
      </c>
      <c r="AA160" s="1435" vm="1197">
        <f ca="1"/>
        <v>44844</v>
      </c>
      <c r="AB160" s="1434" vm="1204">
        <f ca="1"/>
        <v>3583.07</v>
      </c>
    </row>
    <row r="161" spans="15:28" x14ac:dyDescent="0.5">
      <c r="O161" s="1435" vm="1205">
        <f ca="1"/>
        <v>44851</v>
      </c>
      <c r="P161" s="1434" vm="1206">
        <f ca="1"/>
        <v>130.01</v>
      </c>
      <c r="Q161" s="1435" vm="1205">
        <f ca="1"/>
        <v>44851</v>
      </c>
      <c r="R161" s="1434" vm="1207">
        <f ca="1"/>
        <v>119.32</v>
      </c>
      <c r="S161" s="1435" vm="1205">
        <f ca="1"/>
        <v>44851</v>
      </c>
      <c r="T161" s="1434" vm="1208">
        <f ca="1"/>
        <v>101.48</v>
      </c>
      <c r="U161" s="1435" vm="1205">
        <f ca="1"/>
        <v>44851</v>
      </c>
      <c r="V161" s="1434" vm="1179">
        <f ca="1"/>
        <v>56.93</v>
      </c>
      <c r="W161" s="1435" vm="1205">
        <f ca="1"/>
        <v>44851</v>
      </c>
      <c r="X161" s="1434" vm="1209">
        <f ca="1"/>
        <v>289.57</v>
      </c>
      <c r="Y161" s="1435" vm="1205">
        <f ca="1"/>
        <v>44851</v>
      </c>
      <c r="Z161" s="1434" vm="1210">
        <f ca="1"/>
        <v>57.74</v>
      </c>
      <c r="AA161" s="1435" vm="1205">
        <f ca="1"/>
        <v>44851</v>
      </c>
      <c r="AB161" s="1434" vm="1211">
        <f ca="1"/>
        <v>3752.75</v>
      </c>
    </row>
    <row r="162" spans="15:28" x14ac:dyDescent="0.5">
      <c r="O162" s="1435" vm="1212">
        <f ca="1"/>
        <v>44858</v>
      </c>
      <c r="P162" s="1434" vm="1213">
        <f ca="1"/>
        <v>99.2</v>
      </c>
      <c r="Q162" s="1435" vm="1212">
        <f ca="1"/>
        <v>44858</v>
      </c>
      <c r="R162" s="1434" vm="1214">
        <f ca="1"/>
        <v>103.41</v>
      </c>
      <c r="S162" s="1435" vm="1212">
        <f ca="1"/>
        <v>44858</v>
      </c>
      <c r="T162" s="1434" vm="1215">
        <f ca="1"/>
        <v>96.58</v>
      </c>
      <c r="U162" s="1435" vm="1212">
        <f ca="1"/>
        <v>44858</v>
      </c>
      <c r="V162" s="1434" vm="1216">
        <f ca="1"/>
        <v>53.71</v>
      </c>
      <c r="W162" s="1435" vm="1212">
        <f ca="1"/>
        <v>44858</v>
      </c>
      <c r="X162" s="1434" vm="1217">
        <f ca="1"/>
        <v>295.72000000000003</v>
      </c>
      <c r="Y162" s="1435" vm="1212">
        <f ca="1"/>
        <v>44858</v>
      </c>
      <c r="Z162" s="1434" vm="1218">
        <f ca="1"/>
        <v>62.28</v>
      </c>
      <c r="AA162" s="1435" vm="1212">
        <f ca="1"/>
        <v>44858</v>
      </c>
      <c r="AB162" s="1434" vm="1219">
        <f ca="1"/>
        <v>3901.06</v>
      </c>
    </row>
    <row r="163" spans="15:28" x14ac:dyDescent="0.5">
      <c r="O163" s="1435" vm="1220">
        <f ca="1"/>
        <v>44865</v>
      </c>
      <c r="P163" s="1434" vm="1221">
        <f ca="1"/>
        <v>90.79</v>
      </c>
      <c r="Q163" s="1435" vm="1220">
        <f ca="1"/>
        <v>44865</v>
      </c>
      <c r="R163" s="1434" vm="1222">
        <f ca="1"/>
        <v>90.98</v>
      </c>
      <c r="S163" s="1435" vm="1220">
        <f ca="1"/>
        <v>44865</v>
      </c>
      <c r="T163" s="1434" vm="1223">
        <f ca="1"/>
        <v>86.7</v>
      </c>
      <c r="U163" s="1435" vm="1220">
        <f ca="1"/>
        <v>44865</v>
      </c>
      <c r="V163" s="1434" vm="1224">
        <f ca="1"/>
        <v>46.25</v>
      </c>
      <c r="W163" s="1435" vm="1220">
        <f ca="1"/>
        <v>44865</v>
      </c>
      <c r="X163" s="1434" vm="1225">
        <f ca="1"/>
        <v>260.79000000000002</v>
      </c>
      <c r="Y163" s="1435" vm="1220">
        <f ca="1"/>
        <v>44865</v>
      </c>
      <c r="Z163" s="1434" vm="1226">
        <f ca="1"/>
        <v>61.9</v>
      </c>
      <c r="AA163" s="1435" vm="1220">
        <f ca="1"/>
        <v>44865</v>
      </c>
      <c r="AB163" s="1434" vm="1227">
        <f ca="1"/>
        <v>3770.55</v>
      </c>
    </row>
    <row r="164" spans="15:28" x14ac:dyDescent="0.5">
      <c r="O164" s="1435" vm="1228">
        <f ca="1"/>
        <v>44872</v>
      </c>
      <c r="P164" s="1434" vm="1229">
        <f ca="1"/>
        <v>113.02</v>
      </c>
      <c r="Q164" s="1435" vm="1228">
        <f ca="1"/>
        <v>44872</v>
      </c>
      <c r="R164" s="1434" vm="1230">
        <f ca="1"/>
        <v>100.79</v>
      </c>
      <c r="S164" s="1435" vm="1228">
        <f ca="1"/>
        <v>44872</v>
      </c>
      <c r="T164" s="1434" vm="1231">
        <f ca="1"/>
        <v>96.73</v>
      </c>
      <c r="U164" s="1435" vm="1228">
        <f ca="1"/>
        <v>44872</v>
      </c>
      <c r="V164" s="1434" vm="1232">
        <f ca="1"/>
        <v>48.77</v>
      </c>
      <c r="W164" s="1435" vm="1228">
        <f ca="1"/>
        <v>44872</v>
      </c>
      <c r="X164" s="1434" vm="1233">
        <f ca="1"/>
        <v>290.13</v>
      </c>
      <c r="Y164" s="1435" vm="1228">
        <f ca="1"/>
        <v>44872</v>
      </c>
      <c r="Z164" s="1434" vm="1234">
        <f ca="1"/>
        <v>66.400000000000006</v>
      </c>
      <c r="AA164" s="1435" vm="1228">
        <f ca="1"/>
        <v>44872</v>
      </c>
      <c r="AB164" s="1434" vm="1235">
        <f ca="1"/>
        <v>3992.93</v>
      </c>
    </row>
    <row r="165" spans="15:28" x14ac:dyDescent="0.5">
      <c r="O165" s="1435" vm="1236">
        <f ca="1"/>
        <v>44879</v>
      </c>
      <c r="P165" s="1434" vm="1237">
        <f ca="1"/>
        <v>112.05</v>
      </c>
      <c r="Q165" s="1435" vm="1236">
        <f ca="1"/>
        <v>44879</v>
      </c>
      <c r="R165" s="1434" vm="1238">
        <f ca="1"/>
        <v>94.14</v>
      </c>
      <c r="S165" s="1435" vm="1236">
        <f ca="1"/>
        <v>44879</v>
      </c>
      <c r="T165" s="1434" vm="1239">
        <f ca="1"/>
        <v>97.8</v>
      </c>
      <c r="U165" s="1435" vm="1236">
        <f ca="1"/>
        <v>44879</v>
      </c>
      <c r="V165" s="1434" vm="1240">
        <f ca="1"/>
        <v>49.77</v>
      </c>
      <c r="W165" s="1435" vm="1236">
        <f ca="1"/>
        <v>44879</v>
      </c>
      <c r="X165" s="1434" vm="1241">
        <f ca="1"/>
        <v>287.98</v>
      </c>
      <c r="Y165" s="1435" vm="1236">
        <f ca="1"/>
        <v>44879</v>
      </c>
      <c r="Z165" s="1434" vm="1242">
        <f ca="1"/>
        <v>65.52</v>
      </c>
      <c r="AA165" s="1435" vm="1236">
        <f ca="1"/>
        <v>44879</v>
      </c>
      <c r="AB165" s="1434" vm="1243">
        <f ca="1"/>
        <v>3965.34</v>
      </c>
    </row>
    <row r="166" spans="15:28" x14ac:dyDescent="0.5">
      <c r="O166" s="1435" vm="1244">
        <f ca="1"/>
        <v>44886</v>
      </c>
      <c r="P166" s="1434" vm="1245">
        <f ca="1"/>
        <v>111.41</v>
      </c>
      <c r="Q166" s="1435" vm="1244">
        <f ca="1"/>
        <v>44886</v>
      </c>
      <c r="R166" s="1434" vm="1246">
        <f ca="1"/>
        <v>93.41</v>
      </c>
      <c r="S166" s="1435" vm="1244">
        <f ca="1"/>
        <v>44886</v>
      </c>
      <c r="T166" s="1434" vm="1247">
        <f ca="1"/>
        <v>97.6</v>
      </c>
      <c r="U166" s="1435" vm="1244">
        <f ca="1"/>
        <v>44886</v>
      </c>
      <c r="V166" s="1434" vm="1248">
        <f ca="1"/>
        <v>49.39</v>
      </c>
      <c r="W166" s="1435" vm="1244">
        <f ca="1"/>
        <v>44886</v>
      </c>
      <c r="X166" s="1434" vm="1249">
        <f ca="1"/>
        <v>285.54000000000002</v>
      </c>
      <c r="Y166" s="1435" vm="1244">
        <f ca="1"/>
        <v>44886</v>
      </c>
      <c r="Z166" s="1434" vm="1250">
        <f ca="1"/>
        <v>67.150000000000006</v>
      </c>
      <c r="AA166" s="1435" vm="1244">
        <f ca="1"/>
        <v>44886</v>
      </c>
      <c r="AB166" s="1434" vm="1251">
        <f ca="1"/>
        <v>4026.12</v>
      </c>
    </row>
    <row r="167" spans="15:28" x14ac:dyDescent="0.5">
      <c r="O167" s="1435" vm="1252">
        <f ca="1"/>
        <v>44893</v>
      </c>
      <c r="P167" s="1434" vm="1253">
        <f ca="1"/>
        <v>123.49</v>
      </c>
      <c r="Q167" s="1435" vm="1252">
        <f ca="1"/>
        <v>44893</v>
      </c>
      <c r="R167" s="1434" vm="1254">
        <f ca="1"/>
        <v>94.13</v>
      </c>
      <c r="S167" s="1435" vm="1252">
        <f ca="1"/>
        <v>44893</v>
      </c>
      <c r="T167" s="1434" vm="1255">
        <f ca="1"/>
        <v>100.83</v>
      </c>
      <c r="U167" s="1435" vm="1252">
        <f ca="1"/>
        <v>44893</v>
      </c>
      <c r="V167" s="1434" vm="1256">
        <f ca="1"/>
        <v>54.49</v>
      </c>
      <c r="W167" s="1435" vm="1252">
        <f ca="1"/>
        <v>44893</v>
      </c>
      <c r="X167" s="1434" vm="1257">
        <f ca="1"/>
        <v>320.41000000000003</v>
      </c>
      <c r="Y167" s="1435" vm="1252">
        <f ca="1"/>
        <v>44893</v>
      </c>
      <c r="Z167" s="1434" vm="1258">
        <f ca="1"/>
        <v>68.98</v>
      </c>
      <c r="AA167" s="1435" vm="1252">
        <f ca="1"/>
        <v>44893</v>
      </c>
      <c r="AB167" s="1434" vm="1259">
        <f ca="1"/>
        <v>4071.7</v>
      </c>
    </row>
    <row r="168" spans="15:28" x14ac:dyDescent="0.5">
      <c r="O168" s="1435" vm="1260">
        <f ca="1"/>
        <v>44900</v>
      </c>
      <c r="P168" s="1434" vm="1261">
        <f ca="1"/>
        <v>115.9</v>
      </c>
      <c r="Q168" s="1435" vm="1260">
        <f ca="1"/>
        <v>44900</v>
      </c>
      <c r="R168" s="1434" vm="1262">
        <f ca="1"/>
        <v>89.09</v>
      </c>
      <c r="S168" s="1435" vm="1260">
        <f ca="1"/>
        <v>44900</v>
      </c>
      <c r="T168" s="1434" vm="1263">
        <f ca="1"/>
        <v>93.07</v>
      </c>
      <c r="U168" s="1435" vm="1260">
        <f ca="1"/>
        <v>44900</v>
      </c>
      <c r="V168" s="1434" vm="1264">
        <f ca="1"/>
        <v>47.81</v>
      </c>
      <c r="W168" s="1435" vm="1260">
        <f ca="1"/>
        <v>44900</v>
      </c>
      <c r="X168" s="1434" vm="1265">
        <f ca="1"/>
        <v>320.01</v>
      </c>
      <c r="Y168" s="1435" vm="1260">
        <f ca="1"/>
        <v>44900</v>
      </c>
      <c r="Z168" s="1434" vm="1266">
        <f ca="1"/>
        <v>63.2</v>
      </c>
      <c r="AA168" s="1435" vm="1260">
        <f ca="1"/>
        <v>44900</v>
      </c>
      <c r="AB168" s="1434" vm="1267">
        <f ca="1"/>
        <v>3934.38</v>
      </c>
    </row>
    <row r="169" spans="15:28" x14ac:dyDescent="0.5">
      <c r="O169" s="1435" vm="1268">
        <f ca="1"/>
        <v>44907</v>
      </c>
      <c r="P169" s="1434" vm="1269">
        <f ca="1"/>
        <v>119.43</v>
      </c>
      <c r="Q169" s="1435" vm="1268">
        <f ca="1"/>
        <v>44907</v>
      </c>
      <c r="R169" s="1434" vm="1270">
        <f ca="1"/>
        <v>87.86</v>
      </c>
      <c r="S169" s="1435" vm="1268">
        <f ca="1"/>
        <v>44907</v>
      </c>
      <c r="T169" s="1434" vm="1271">
        <f ca="1"/>
        <v>90.86</v>
      </c>
      <c r="U169" s="1435" vm="1268">
        <f ca="1"/>
        <v>44907</v>
      </c>
      <c r="V169" s="1434" vm="1272">
        <f ca="1"/>
        <v>46.15</v>
      </c>
      <c r="W169" s="1435" vm="1268">
        <f ca="1"/>
        <v>44907</v>
      </c>
      <c r="X169" s="1434" vm="1273">
        <f ca="1"/>
        <v>290.70999999999998</v>
      </c>
      <c r="Y169" s="1435" vm="1268">
        <f ca="1"/>
        <v>44907</v>
      </c>
      <c r="Z169" s="1434" vm="1274">
        <f ca="1"/>
        <v>60.62</v>
      </c>
      <c r="AA169" s="1435" vm="1268">
        <f ca="1"/>
        <v>44907</v>
      </c>
      <c r="AB169" s="1434" vm="1275">
        <f ca="1"/>
        <v>3852.36</v>
      </c>
    </row>
    <row r="170" spans="15:28" x14ac:dyDescent="0.5">
      <c r="O170" s="1435" vm="1276">
        <f ca="1"/>
        <v>44914</v>
      </c>
      <c r="P170" s="1434" vm="1277">
        <f ca="1"/>
        <v>118.04</v>
      </c>
      <c r="Q170" s="1435" vm="1276">
        <f ca="1"/>
        <v>44914</v>
      </c>
      <c r="R170" s="1434" vm="1278">
        <f ca="1"/>
        <v>85.25</v>
      </c>
      <c r="S170" s="1435" vm="1276">
        <f ca="1"/>
        <v>44914</v>
      </c>
      <c r="T170" s="1434" vm="1279">
        <f ca="1"/>
        <v>89.81</v>
      </c>
      <c r="U170" s="1435" vm="1276">
        <f ca="1"/>
        <v>44914</v>
      </c>
      <c r="V170" s="1434" vm="1280">
        <f ca="1"/>
        <v>44.88</v>
      </c>
      <c r="W170" s="1435" vm="1276">
        <f ca="1"/>
        <v>44914</v>
      </c>
      <c r="X170" s="1434" vm="1281">
        <f ca="1"/>
        <v>294.96499999999997</v>
      </c>
      <c r="Y170" s="1435" vm="1276">
        <f ca="1"/>
        <v>44914</v>
      </c>
      <c r="Z170" s="1434" vm="1282">
        <f ca="1"/>
        <v>61.28</v>
      </c>
      <c r="AA170" s="1435" vm="1276">
        <f ca="1"/>
        <v>44914</v>
      </c>
      <c r="AB170" s="1434" vm="1283">
        <f ca="1"/>
        <v>3844.82</v>
      </c>
    </row>
    <row r="171" spans="15:28" x14ac:dyDescent="0.5">
      <c r="O171" s="1435" vm="1284">
        <f ca="1"/>
        <v>44922</v>
      </c>
      <c r="P171" s="1434" vm="1285">
        <f ca="1"/>
        <v>120.34</v>
      </c>
      <c r="Q171" s="1435" vm="1284">
        <f ca="1"/>
        <v>44922</v>
      </c>
      <c r="R171" s="1434" vm="1286">
        <f ca="1"/>
        <v>84</v>
      </c>
      <c r="S171" s="1435" vm="1284">
        <f ca="1"/>
        <v>44922</v>
      </c>
      <c r="T171" s="1434" vm="1287">
        <f ca="1"/>
        <v>88.73</v>
      </c>
      <c r="U171" s="1435" vm="1284">
        <f ca="1"/>
        <v>44922</v>
      </c>
      <c r="V171" s="1434" vm="1288">
        <f ca="1"/>
        <v>44.83</v>
      </c>
      <c r="W171" s="1435" vm="1284">
        <f ca="1"/>
        <v>44922</v>
      </c>
      <c r="X171" s="1434" vm="1289">
        <f ca="1"/>
        <v>294.88</v>
      </c>
      <c r="Y171" s="1435" vm="1284">
        <f ca="1"/>
        <v>44922</v>
      </c>
      <c r="Z171" s="1434" vm="1290">
        <f ca="1"/>
        <v>61.35</v>
      </c>
      <c r="AA171" s="1435" vm="1284">
        <f ca="1"/>
        <v>44922</v>
      </c>
      <c r="AB171" s="1434" vm="1291">
        <f ca="1"/>
        <v>3839.5</v>
      </c>
    </row>
    <row r="172" spans="15:28" x14ac:dyDescent="0.5">
      <c r="O172" s="1435" vm="1292">
        <f ca="1"/>
        <v>44929</v>
      </c>
      <c r="P172" s="1434" vm="1293">
        <f ca="1"/>
        <v>130.02000000000001</v>
      </c>
      <c r="Q172" s="1435" vm="1292">
        <f ca="1"/>
        <v>44929</v>
      </c>
      <c r="R172" s="1434" vm="1294">
        <f ca="1"/>
        <v>86.08</v>
      </c>
      <c r="S172" s="1435" vm="1292">
        <f ca="1"/>
        <v>44929</v>
      </c>
      <c r="T172" s="1434" vm="1295">
        <f ca="1"/>
        <v>88.16</v>
      </c>
      <c r="U172" s="1435" vm="1292">
        <f ca="1"/>
        <v>44929</v>
      </c>
      <c r="V172" s="1434" vm="1296">
        <f ca="1"/>
        <v>42.29</v>
      </c>
      <c r="W172" s="1435" vm="1292">
        <f ca="1"/>
        <v>44929</v>
      </c>
      <c r="X172" s="1434" vm="1297">
        <f ca="1"/>
        <v>315.55</v>
      </c>
      <c r="Y172" s="1435" vm="1292">
        <f ca="1"/>
        <v>44929</v>
      </c>
      <c r="Z172" s="1434" vm="1298">
        <f ca="1"/>
        <v>61.65</v>
      </c>
      <c r="AA172" s="1435" vm="1292">
        <f ca="1"/>
        <v>44929</v>
      </c>
      <c r="AB172" s="1434" vm="1299">
        <f ca="1"/>
        <v>3895.08</v>
      </c>
    </row>
    <row r="173" spans="15:28" x14ac:dyDescent="0.5">
      <c r="O173" s="1435" vm="1300">
        <f ca="1"/>
        <v>44935</v>
      </c>
      <c r="P173" s="1434" vm="1301">
        <f ca="1"/>
        <v>136.97999999999999</v>
      </c>
      <c r="Q173" s="1435" vm="1300">
        <f ca="1"/>
        <v>44935</v>
      </c>
      <c r="R173" s="1434" vm="1302">
        <f ca="1"/>
        <v>98.12</v>
      </c>
      <c r="S173" s="1435" vm="1300">
        <f ca="1"/>
        <v>44935</v>
      </c>
      <c r="T173" s="1434" vm="1303">
        <f ca="1"/>
        <v>92.8</v>
      </c>
      <c r="U173" s="1435" vm="1300">
        <f ca="1"/>
        <v>44935</v>
      </c>
      <c r="V173" s="1434" vm="1304">
        <f ca="1"/>
        <v>47.03</v>
      </c>
      <c r="W173" s="1435" vm="1300">
        <f ca="1"/>
        <v>44935</v>
      </c>
      <c r="X173" s="1434" vm="1305">
        <f ca="1"/>
        <v>332.82</v>
      </c>
      <c r="Y173" s="1435" vm="1300">
        <f ca="1"/>
        <v>44935</v>
      </c>
      <c r="Z173" s="1434" vm="1306">
        <f ca="1"/>
        <v>63.35</v>
      </c>
      <c r="AA173" s="1435" vm="1300">
        <f ca="1"/>
        <v>44935</v>
      </c>
      <c r="AB173" s="1434" vm="1307">
        <f ca="1"/>
        <v>3999.09</v>
      </c>
    </row>
    <row r="174" spans="15:28" x14ac:dyDescent="0.5">
      <c r="O174" s="1435" vm="1308">
        <f ca="1"/>
        <v>44943</v>
      </c>
      <c r="P174" s="1434" vm="1309">
        <f ca="1"/>
        <v>139.37</v>
      </c>
      <c r="Q174" s="1435" vm="1308">
        <f ca="1"/>
        <v>44943</v>
      </c>
      <c r="R174" s="1434" vm="1310">
        <f ca="1"/>
        <v>97.25</v>
      </c>
      <c r="S174" s="1435" vm="1308">
        <f ca="1"/>
        <v>44943</v>
      </c>
      <c r="T174" s="1434" vm="1311">
        <f ca="1"/>
        <v>99.28</v>
      </c>
      <c r="U174" s="1435" vm="1308">
        <f ca="1"/>
        <v>44943</v>
      </c>
      <c r="V174" s="1434" vm="1312">
        <f ca="1"/>
        <v>45.57</v>
      </c>
      <c r="W174" s="1435" vm="1308">
        <f ca="1"/>
        <v>44943</v>
      </c>
      <c r="X174" s="1434" vm="1313">
        <f ca="1"/>
        <v>342.5</v>
      </c>
      <c r="Y174" s="1435" vm="1308">
        <f ca="1"/>
        <v>44943</v>
      </c>
      <c r="Z174" s="1434" vm="1314">
        <f ca="1"/>
        <v>62.06</v>
      </c>
      <c r="AA174" s="1435" vm="1308">
        <f ca="1"/>
        <v>44943</v>
      </c>
      <c r="AB174" s="1434" vm="1315">
        <f ca="1"/>
        <v>3972.61</v>
      </c>
    </row>
    <row r="175" spans="15:28" x14ac:dyDescent="0.5">
      <c r="O175" s="1435" vm="1316">
        <f ca="1"/>
        <v>44949</v>
      </c>
      <c r="P175" s="1434" vm="1317">
        <f ca="1"/>
        <v>151.74</v>
      </c>
      <c r="Q175" s="1435" vm="1316">
        <f ca="1"/>
        <v>44949</v>
      </c>
      <c r="R175" s="1434" vm="1318">
        <f ca="1"/>
        <v>102.24</v>
      </c>
      <c r="S175" s="1435" vm="1316">
        <f ca="1"/>
        <v>44949</v>
      </c>
      <c r="T175" s="1434" vm="1319">
        <f ca="1"/>
        <v>100.71</v>
      </c>
      <c r="U175" s="1435" vm="1316">
        <f ca="1"/>
        <v>44949</v>
      </c>
      <c r="V175" s="1434" vm="1320">
        <f ca="1"/>
        <v>51.95</v>
      </c>
      <c r="W175" s="1435" vm="1316">
        <f ca="1"/>
        <v>44949</v>
      </c>
      <c r="X175" s="1434" vm="1321">
        <f ca="1"/>
        <v>360.77</v>
      </c>
      <c r="Y175" s="1435" vm="1316">
        <f ca="1"/>
        <v>44949</v>
      </c>
      <c r="Z175" s="1434" vm="375">
        <f ca="1"/>
        <v>60.5</v>
      </c>
      <c r="AA175" s="1435" vm="1316">
        <f ca="1"/>
        <v>44949</v>
      </c>
      <c r="AB175" s="1434" vm="1322">
        <f ca="1"/>
        <v>4070.56</v>
      </c>
    </row>
    <row r="176" spans="15:28" x14ac:dyDescent="0.5">
      <c r="O176" s="1435" vm="1323">
        <f ca="1"/>
        <v>44956</v>
      </c>
      <c r="P176" s="1434" vm="1324">
        <f ca="1"/>
        <v>186.53</v>
      </c>
      <c r="Q176" s="1435" vm="1323">
        <f ca="1"/>
        <v>44956</v>
      </c>
      <c r="R176" s="1434" vm="1325">
        <f ca="1"/>
        <v>103.39</v>
      </c>
      <c r="S176" s="1435" vm="1323">
        <f ca="1"/>
        <v>44956</v>
      </c>
      <c r="T176" s="1434" vm="1326">
        <f ca="1"/>
        <v>105.22</v>
      </c>
      <c r="U176" s="1435" vm="1323">
        <f ca="1"/>
        <v>44956</v>
      </c>
      <c r="V176" s="1434" vm="1327">
        <f ca="1"/>
        <v>53.1</v>
      </c>
      <c r="W176" s="1435" vm="1323">
        <f ca="1"/>
        <v>44956</v>
      </c>
      <c r="X176" s="1434" vm="1328">
        <f ca="1"/>
        <v>365.9</v>
      </c>
      <c r="Y176" s="1435" vm="1323">
        <f ca="1"/>
        <v>44956</v>
      </c>
      <c r="Z176" s="1434" vm="1329">
        <f ca="1"/>
        <v>60.55</v>
      </c>
      <c r="AA176" s="1435" vm="1323">
        <f ca="1"/>
        <v>44956</v>
      </c>
      <c r="AB176" s="1434" vm="1330">
        <f ca="1"/>
        <v>4136.4799999999996</v>
      </c>
    </row>
    <row r="177" spans="15:28" x14ac:dyDescent="0.5">
      <c r="O177" s="1435" vm="1331">
        <f ca="1"/>
        <v>44963</v>
      </c>
      <c r="P177" s="1434" vm="1332">
        <f ca="1"/>
        <v>174.15</v>
      </c>
      <c r="Q177" s="1435" vm="1331">
        <f ca="1"/>
        <v>44963</v>
      </c>
      <c r="R177" s="1434" vm="1333">
        <f ca="1"/>
        <v>97.61</v>
      </c>
      <c r="S177" s="1435" vm="1331">
        <f ca="1"/>
        <v>44963</v>
      </c>
      <c r="T177" s="1434" vm="1334">
        <f ca="1"/>
        <v>94.86</v>
      </c>
      <c r="U177" s="1435" vm="1331">
        <f ca="1"/>
        <v>44963</v>
      </c>
      <c r="V177" s="1434" vm="1335">
        <f ca="1"/>
        <v>48.69</v>
      </c>
      <c r="W177" s="1435" vm="1331">
        <f ca="1"/>
        <v>44963</v>
      </c>
      <c r="X177" s="1434" vm="1336">
        <f ca="1"/>
        <v>347.36</v>
      </c>
      <c r="Y177" s="1435" vm="1331">
        <f ca="1"/>
        <v>44963</v>
      </c>
      <c r="Z177" s="1434" vm="1337">
        <f ca="1"/>
        <v>59.62</v>
      </c>
      <c r="AA177" s="1435" vm="1331">
        <f ca="1"/>
        <v>44963</v>
      </c>
      <c r="AB177" s="1434" vm="1338">
        <f ca="1"/>
        <v>4090.46</v>
      </c>
    </row>
    <row r="178" spans="15:28" x14ac:dyDescent="0.5">
      <c r="O178" s="1435" vm="1339">
        <f ca="1"/>
        <v>44970</v>
      </c>
      <c r="P178" s="1434" vm="1340">
        <f ca="1"/>
        <v>172.88</v>
      </c>
      <c r="Q178" s="1435" vm="1339">
        <f ca="1"/>
        <v>44970</v>
      </c>
      <c r="R178" s="1434" vm="1341">
        <f ca="1"/>
        <v>97.2</v>
      </c>
      <c r="S178" s="1435" vm="1339">
        <f ca="1"/>
        <v>44970</v>
      </c>
      <c r="T178" s="1434" vm="1342">
        <f ca="1"/>
        <v>94.59</v>
      </c>
      <c r="U178" s="1435" vm="1339">
        <f ca="1"/>
        <v>44970</v>
      </c>
      <c r="V178" s="1434" vm="1343">
        <f ca="1"/>
        <v>60.3</v>
      </c>
      <c r="W178" s="1435" vm="1339">
        <f ca="1"/>
        <v>44970</v>
      </c>
      <c r="X178" s="1434" vm="1344">
        <f ca="1"/>
        <v>347.96</v>
      </c>
      <c r="Y178" s="1435" vm="1339">
        <f ca="1"/>
        <v>44970</v>
      </c>
      <c r="Z178" s="1434" vm="1345">
        <f ca="1"/>
        <v>58.56</v>
      </c>
      <c r="AA178" s="1435" vm="1339">
        <f ca="1"/>
        <v>44970</v>
      </c>
      <c r="AB178" s="1434" vm="1346">
        <f ca="1"/>
        <v>4079.09</v>
      </c>
    </row>
    <row r="179" spans="15:28" x14ac:dyDescent="0.5">
      <c r="O179" s="1435" vm="1347">
        <f ca="1"/>
        <v>44978</v>
      </c>
      <c r="P179" s="1434" vm="1348">
        <f ca="1"/>
        <v>170.39</v>
      </c>
      <c r="Q179" s="1435" vm="1347">
        <f ca="1"/>
        <v>44978</v>
      </c>
      <c r="R179" s="1434" vm="1349">
        <f ca="1"/>
        <v>93.5</v>
      </c>
      <c r="S179" s="1435" vm="1347">
        <f ca="1"/>
        <v>44978</v>
      </c>
      <c r="T179" s="1434" vm="1350">
        <f ca="1"/>
        <v>89.35</v>
      </c>
      <c r="U179" s="1435" vm="1347">
        <f ca="1"/>
        <v>44978</v>
      </c>
      <c r="V179" s="1434" vm="1351">
        <f ca="1"/>
        <v>54.97</v>
      </c>
      <c r="W179" s="1435" vm="1347">
        <f ca="1"/>
        <v>44978</v>
      </c>
      <c r="X179" s="1434" vm="1352">
        <f ca="1"/>
        <v>317.14999999999998</v>
      </c>
      <c r="Y179" s="1435" vm="1347">
        <f ca="1"/>
        <v>44978</v>
      </c>
      <c r="Z179" s="1434" vm="1353">
        <f ca="1"/>
        <v>57.05</v>
      </c>
      <c r="AA179" s="1435" vm="1347">
        <f ca="1"/>
        <v>44978</v>
      </c>
      <c r="AB179" s="1434" vm="1354">
        <f ca="1"/>
        <v>3970.04</v>
      </c>
    </row>
    <row r="180" spans="15:28" x14ac:dyDescent="0.5">
      <c r="O180" s="1435" vm="1355">
        <f ca="1"/>
        <v>44984</v>
      </c>
      <c r="P180" s="1434" vm="1356">
        <f ca="1"/>
        <v>185.25</v>
      </c>
      <c r="Q180" s="1435" vm="1355">
        <f ca="1"/>
        <v>44984</v>
      </c>
      <c r="R180" s="1434" vm="1357">
        <f ca="1"/>
        <v>94.9</v>
      </c>
      <c r="S180" s="1435" vm="1355">
        <f ca="1"/>
        <v>44984</v>
      </c>
      <c r="T180" s="1434" vm="1358">
        <f ca="1"/>
        <v>94.02</v>
      </c>
      <c r="U180" s="1435" vm="1355">
        <f ca="1"/>
        <v>44984</v>
      </c>
      <c r="V180" s="1434" vm="1359">
        <f ca="1"/>
        <v>57.29</v>
      </c>
      <c r="W180" s="1435" vm="1355">
        <f ca="1"/>
        <v>44984</v>
      </c>
      <c r="X180" s="1434" vm="1360">
        <f ca="1"/>
        <v>315.18</v>
      </c>
      <c r="Y180" s="1435" vm="1355">
        <f ca="1"/>
        <v>44984</v>
      </c>
      <c r="Z180" s="1434" vm="1361">
        <f ca="1"/>
        <v>56.22</v>
      </c>
      <c r="AA180" s="1435" vm="1355">
        <f ca="1"/>
        <v>44984</v>
      </c>
      <c r="AB180" s="1434" vm="1362">
        <f ca="1"/>
        <v>4045.64</v>
      </c>
    </row>
    <row r="181" spans="15:28" x14ac:dyDescent="0.5">
      <c r="O181" s="1435" vm="1363">
        <f ca="1"/>
        <v>44991</v>
      </c>
      <c r="P181" s="1434" vm="1364">
        <f ca="1"/>
        <v>179.51</v>
      </c>
      <c r="Q181" s="1435" vm="1363">
        <f ca="1"/>
        <v>44991</v>
      </c>
      <c r="R181" s="1434" vm="1365">
        <f ca="1"/>
        <v>90.73</v>
      </c>
      <c r="S181" s="1435" vm="1363">
        <f ca="1"/>
        <v>44991</v>
      </c>
      <c r="T181" s="1434" vm="1366">
        <f ca="1"/>
        <v>91.01</v>
      </c>
      <c r="U181" s="1435" vm="1363">
        <f ca="1"/>
        <v>44991</v>
      </c>
      <c r="V181" s="1434" vm="1367">
        <f ca="1"/>
        <v>53.35</v>
      </c>
      <c r="W181" s="1435" vm="1363">
        <f ca="1"/>
        <v>44991</v>
      </c>
      <c r="X181" s="1434" vm="1368">
        <f ca="1"/>
        <v>292.76</v>
      </c>
      <c r="Y181" s="1435" vm="1363">
        <f ca="1"/>
        <v>44991</v>
      </c>
      <c r="Z181" s="1434" vm="1369">
        <f ca="1"/>
        <v>52.6</v>
      </c>
      <c r="AA181" s="1435" vm="1363">
        <f ca="1"/>
        <v>44991</v>
      </c>
      <c r="AB181" s="1434" vm="1370">
        <f ca="1"/>
        <v>3861.59</v>
      </c>
    </row>
    <row r="182" spans="15:28" x14ac:dyDescent="0.5">
      <c r="O182" s="1435" vm="1371">
        <f ca="1"/>
        <v>44998</v>
      </c>
      <c r="P182" s="1434" vm="1372">
        <f ca="1"/>
        <v>195.61</v>
      </c>
      <c r="Q182" s="1435" vm="1371">
        <f ca="1"/>
        <v>44998</v>
      </c>
      <c r="R182" s="1434" vm="1373">
        <f ca="1"/>
        <v>98.95</v>
      </c>
      <c r="S182" s="1435" vm="1371">
        <f ca="1"/>
        <v>44998</v>
      </c>
      <c r="T182" s="1434" vm="1374">
        <f ca="1"/>
        <v>102.46</v>
      </c>
      <c r="U182" s="1435" vm="1371">
        <f ca="1"/>
        <v>44998</v>
      </c>
      <c r="V182" s="1434" vm="1375">
        <f ca="1"/>
        <v>58.51</v>
      </c>
      <c r="W182" s="1435" vm="1371">
        <f ca="1"/>
        <v>44998</v>
      </c>
      <c r="X182" s="1434" vm="1376">
        <f ca="1"/>
        <v>303.5</v>
      </c>
      <c r="Y182" s="1435" vm="1371">
        <f ca="1"/>
        <v>44998</v>
      </c>
      <c r="Z182" s="1434" vm="1377">
        <f ca="1"/>
        <v>52.75</v>
      </c>
      <c r="AA182" s="1435" vm="1371">
        <f ca="1"/>
        <v>44998</v>
      </c>
      <c r="AB182" s="1434" vm="1378">
        <f ca="1"/>
        <v>3916.64</v>
      </c>
    </row>
    <row r="183" spans="15:28" x14ac:dyDescent="0.5">
      <c r="O183" s="1435" vm="1379">
        <f ca="1"/>
        <v>45005</v>
      </c>
      <c r="P183" s="1434" vm="1380">
        <f ca="1"/>
        <v>206.01</v>
      </c>
      <c r="Q183" s="1435" vm="1379">
        <f ca="1"/>
        <v>45005</v>
      </c>
      <c r="R183" s="1434" vm="1381">
        <f ca="1"/>
        <v>98.13</v>
      </c>
      <c r="S183" s="1435" vm="1379">
        <f ca="1"/>
        <v>45005</v>
      </c>
      <c r="T183" s="1434" vm="1382">
        <f ca="1"/>
        <v>106.06</v>
      </c>
      <c r="U183" s="1435" vm="1379">
        <f ca="1"/>
        <v>45005</v>
      </c>
      <c r="V183" s="1434" vm="1383">
        <f ca="1"/>
        <v>60.45</v>
      </c>
      <c r="W183" s="1435" vm="1379">
        <f ca="1"/>
        <v>45005</v>
      </c>
      <c r="X183" s="1434" vm="1384">
        <f ca="1"/>
        <v>328.39</v>
      </c>
      <c r="Y183" s="1435" vm="1379">
        <f ca="1"/>
        <v>45005</v>
      </c>
      <c r="Z183" s="1434" vm="1385">
        <f ca="1"/>
        <v>53.07</v>
      </c>
      <c r="AA183" s="1435" vm="1379">
        <f ca="1"/>
        <v>45005</v>
      </c>
      <c r="AB183" s="1434" vm="1386">
        <f ca="1"/>
        <v>3970.99</v>
      </c>
    </row>
    <row r="184" spans="15:28" x14ac:dyDescent="0.5">
      <c r="O184" s="1435" vm="1387">
        <f ca="1"/>
        <v>45012</v>
      </c>
      <c r="P184" s="1434" vm="1388">
        <f ca="1"/>
        <v>211.94</v>
      </c>
      <c r="Q184" s="1435" vm="1387">
        <f ca="1"/>
        <v>45012</v>
      </c>
      <c r="R184" s="1434" vm="1389">
        <f ca="1"/>
        <v>103.29</v>
      </c>
      <c r="S184" s="1435" vm="1387">
        <f ca="1"/>
        <v>45012</v>
      </c>
      <c r="T184" s="1434" vm="1390">
        <f ca="1"/>
        <v>104</v>
      </c>
      <c r="U184" s="1435" vm="1387">
        <f ca="1"/>
        <v>45012</v>
      </c>
      <c r="V184" s="1434" vm="1391">
        <f ca="1"/>
        <v>60.91</v>
      </c>
      <c r="W184" s="1435" vm="1387">
        <f ca="1"/>
        <v>45012</v>
      </c>
      <c r="X184" s="1434" vm="1392">
        <f ca="1"/>
        <v>345.48</v>
      </c>
      <c r="Y184" s="1435" vm="1387">
        <f ca="1"/>
        <v>45012</v>
      </c>
      <c r="Z184" s="1434" vm="1393">
        <f ca="1"/>
        <v>54.67</v>
      </c>
      <c r="AA184" s="1435" vm="1387">
        <f ca="1"/>
        <v>45012</v>
      </c>
      <c r="AB184" s="1434" vm="1394">
        <f ca="1"/>
        <v>4109.3100000000004</v>
      </c>
    </row>
    <row r="185" spans="15:28" x14ac:dyDescent="0.5">
      <c r="O185" s="1435" vm="1395">
        <f ca="1"/>
        <v>45019</v>
      </c>
      <c r="P185" s="1434" vm="1396">
        <f ca="1"/>
        <v>216.1</v>
      </c>
      <c r="Q185" s="1435" vm="1395">
        <f ca="1"/>
        <v>45019</v>
      </c>
      <c r="R185" s="1434" vm="1397">
        <f ca="1"/>
        <v>102.06</v>
      </c>
      <c r="S185" s="1435" vm="1395">
        <f ca="1"/>
        <v>45019</v>
      </c>
      <c r="T185" s="1434" vm="1398">
        <f ca="1"/>
        <v>108.9</v>
      </c>
      <c r="U185" s="1435" vm="1395">
        <f ca="1"/>
        <v>45019</v>
      </c>
      <c r="V185" s="1434" vm="1399">
        <f ca="1"/>
        <v>60.85</v>
      </c>
      <c r="W185" s="1435" vm="1395">
        <f ca="1"/>
        <v>45019</v>
      </c>
      <c r="X185" s="1434" vm="1400">
        <f ca="1"/>
        <v>339.33</v>
      </c>
      <c r="Y185" s="1435" vm="1395">
        <f ca="1"/>
        <v>45019</v>
      </c>
      <c r="Z185" s="1434" vm="1401">
        <f ca="1"/>
        <v>54.9</v>
      </c>
      <c r="AA185" s="1435" vm="1395">
        <f ca="1"/>
        <v>45019</v>
      </c>
      <c r="AB185" s="1434" vm="1402">
        <f ca="1"/>
        <v>4105.0200000000004</v>
      </c>
    </row>
    <row r="186" spans="15:28" x14ac:dyDescent="0.5">
      <c r="O186" s="1435" vm="1403">
        <f ca="1"/>
        <v>45026</v>
      </c>
      <c r="P186" s="1434" vm="1404">
        <f ca="1"/>
        <v>221.49</v>
      </c>
      <c r="Q186" s="1435" vm="1403">
        <f ca="1"/>
        <v>45026</v>
      </c>
      <c r="R186" s="1434" vm="1405">
        <f ca="1"/>
        <v>102.51</v>
      </c>
      <c r="S186" s="1435" vm="1403">
        <f ca="1"/>
        <v>45026</v>
      </c>
      <c r="T186" s="1434" vm="1406">
        <f ca="1"/>
        <v>109.46</v>
      </c>
      <c r="U186" s="1435" vm="1403">
        <f ca="1"/>
        <v>45026</v>
      </c>
      <c r="V186" s="1434" vm="1407">
        <f ca="1"/>
        <v>60.69</v>
      </c>
      <c r="W186" s="1435" vm="1403">
        <f ca="1"/>
        <v>45026</v>
      </c>
      <c r="X186" s="1434" vm="1408">
        <f ca="1"/>
        <v>338.63</v>
      </c>
      <c r="Y186" s="1435" vm="1403">
        <f ca="1"/>
        <v>45026</v>
      </c>
      <c r="Z186" s="1434" vm="1409">
        <f ca="1"/>
        <v>55.16</v>
      </c>
      <c r="AA186" s="1435" vm="1403">
        <f ca="1"/>
        <v>45026</v>
      </c>
      <c r="AB186" s="1434" vm="1410">
        <f ca="1"/>
        <v>4137.6400000000003</v>
      </c>
    </row>
    <row r="187" spans="15:28" x14ac:dyDescent="0.5">
      <c r="O187" s="1435" vm="1411">
        <f ca="1"/>
        <v>45033</v>
      </c>
      <c r="P187" s="1434" vm="1412">
        <f ca="1"/>
        <v>212.89</v>
      </c>
      <c r="Q187" s="1435" vm="1411">
        <f ca="1"/>
        <v>45033</v>
      </c>
      <c r="R187" s="1434" vm="1413">
        <f ca="1"/>
        <v>106.96</v>
      </c>
      <c r="S187" s="1435" vm="1411">
        <f ca="1"/>
        <v>45033</v>
      </c>
      <c r="T187" s="1434" vm="1414">
        <f ca="1"/>
        <v>105.91</v>
      </c>
      <c r="U187" s="1435" vm="1411">
        <f ca="1"/>
        <v>45033</v>
      </c>
      <c r="V187" s="1434" vm="1415">
        <f ca="1"/>
        <v>62.19</v>
      </c>
      <c r="W187" s="1435" vm="1411">
        <f ca="1"/>
        <v>45033</v>
      </c>
      <c r="X187" s="1434" vm="1416">
        <f ca="1"/>
        <v>327.98</v>
      </c>
      <c r="Y187" s="1435" vm="1411">
        <f ca="1"/>
        <v>45033</v>
      </c>
      <c r="Z187" s="1434" vm="1417">
        <f ca="1"/>
        <v>56.97</v>
      </c>
      <c r="AA187" s="1435" vm="1411">
        <f ca="1"/>
        <v>45033</v>
      </c>
      <c r="AB187" s="1434" vm="1418">
        <f ca="1"/>
        <v>4133.5200000000004</v>
      </c>
    </row>
    <row r="188" spans="15:28" x14ac:dyDescent="0.5">
      <c r="O188" s="1435" vm="1419">
        <f ca="1"/>
        <v>45040</v>
      </c>
      <c r="P188" s="1434" vm="1420">
        <f ca="1"/>
        <v>240.32</v>
      </c>
      <c r="Q188" s="1435" vm="1419">
        <f ca="1"/>
        <v>45040</v>
      </c>
      <c r="R188" s="1434" vm="1421">
        <f ca="1"/>
        <v>105.45</v>
      </c>
      <c r="S188" s="1435" vm="1419">
        <f ca="1"/>
        <v>45040</v>
      </c>
      <c r="T188" s="1434" vm="1422">
        <f ca="1"/>
        <v>108.22</v>
      </c>
      <c r="U188" s="1435" vm="1419">
        <f ca="1"/>
        <v>45040</v>
      </c>
      <c r="V188" s="1434" vm="1423">
        <f ca="1"/>
        <v>64.34</v>
      </c>
      <c r="W188" s="1435" vm="1419">
        <f ca="1"/>
        <v>45040</v>
      </c>
      <c r="X188" s="1434" vm="1424">
        <f ca="1"/>
        <v>329.93</v>
      </c>
      <c r="Y188" s="1435" vm="1419">
        <f ca="1"/>
        <v>45040</v>
      </c>
      <c r="Z188" s="1434" vm="1425">
        <f ca="1"/>
        <v>55.37</v>
      </c>
      <c r="AA188" s="1435" vm="1419">
        <f ca="1"/>
        <v>45040</v>
      </c>
      <c r="AB188" s="1434" vm="1426">
        <f ca="1"/>
        <v>4169.4799999999996</v>
      </c>
    </row>
    <row r="189" spans="15:28" x14ac:dyDescent="0.5">
      <c r="O189" s="1435" vm="1427">
        <f ca="1"/>
        <v>45047</v>
      </c>
      <c r="P189" s="1434" vm="36">
        <f ca="1"/>
        <v>232.78</v>
      </c>
      <c r="Q189" s="1435" vm="1427">
        <f ca="1"/>
        <v>45047</v>
      </c>
      <c r="R189" s="1434" vm="37">
        <f ca="1"/>
        <v>105.655</v>
      </c>
      <c r="S189" s="1435" vm="1427">
        <f ca="1"/>
        <v>45047</v>
      </c>
      <c r="T189" s="1434" vm="38">
        <f ca="1"/>
        <v>106.215</v>
      </c>
      <c r="U189" s="1435" vm="1427">
        <f ca="1"/>
        <v>45047</v>
      </c>
      <c r="V189" s="1434" vm="39">
        <f ca="1"/>
        <v>62.7</v>
      </c>
      <c r="W189" s="1435" vm="1427">
        <f ca="1"/>
        <v>45047</v>
      </c>
      <c r="X189" s="1434" vm="40">
        <f ca="1"/>
        <v>322.76</v>
      </c>
      <c r="Y189" s="1435" vm="1427">
        <f ca="1"/>
        <v>45047</v>
      </c>
      <c r="Z189" s="1434" vm="41">
        <f ca="1"/>
        <v>54.92</v>
      </c>
      <c r="AA189" s="1435" vm="1427">
        <f ca="1"/>
        <v>45047</v>
      </c>
      <c r="AB189" s="1434" vm="42">
        <f ca="1"/>
        <v>4136.25</v>
      </c>
    </row>
    <row r="190" spans="15:28" x14ac:dyDescent="0.5">
      <c r="O190" s="1435" vm="1428">
        <f ca="1"/>
        <v>45054</v>
      </c>
      <c r="P190" s="1434" vm="1429">
        <f ca="1"/>
        <v>233.81</v>
      </c>
      <c r="Q190" s="1435" vm="1428">
        <f ca="1"/>
        <v>45054</v>
      </c>
      <c r="R190" s="1434" vm="1430">
        <f ca="1"/>
        <v>110.26</v>
      </c>
      <c r="S190" s="1435" vm="1428">
        <f ca="1"/>
        <v>45054</v>
      </c>
      <c r="T190" s="1434" vm="1431">
        <f ca="1"/>
        <v>117.92</v>
      </c>
      <c r="U190" s="1435" vm="1428">
        <f ca="1"/>
        <v>45054</v>
      </c>
      <c r="V190" s="1434" vm="1432">
        <f ca="1"/>
        <v>62.3</v>
      </c>
      <c r="W190" s="1435" vm="1428">
        <f ca="1"/>
        <v>45054</v>
      </c>
      <c r="X190" s="1434" vm="1433">
        <f ca="1"/>
        <v>339.89</v>
      </c>
      <c r="Y190" s="1435" vm="1428">
        <f ca="1"/>
        <v>45054</v>
      </c>
      <c r="Z190" s="1434" vm="1434">
        <f ca="1"/>
        <v>55.14</v>
      </c>
      <c r="AA190" s="1435" vm="1428">
        <f ca="1"/>
        <v>45054</v>
      </c>
      <c r="AB190" s="1434" vm="1435">
        <f ca="1"/>
        <v>4124.08</v>
      </c>
    </row>
    <row r="191" spans="15:28" x14ac:dyDescent="0.5">
      <c r="O191" s="1435" vm="1436">
        <f ca="1"/>
        <v>45061</v>
      </c>
      <c r="P191" s="1434" vm="1437">
        <f ca="1"/>
        <v>245.64</v>
      </c>
      <c r="Q191" s="1435" vm="1436">
        <f ca="1"/>
        <v>45061</v>
      </c>
      <c r="R191" s="1434" vm="1438">
        <f ca="1"/>
        <v>116.25</v>
      </c>
      <c r="S191" s="1435" vm="1436">
        <f ca="1"/>
        <v>45061</v>
      </c>
      <c r="T191" s="1434" vm="1439">
        <f ca="1"/>
        <v>123.25</v>
      </c>
      <c r="U191" s="1435" vm="1436">
        <f ca="1"/>
        <v>45061</v>
      </c>
      <c r="V191" s="1434" vm="1440">
        <f ca="1"/>
        <v>66.819999999999993</v>
      </c>
      <c r="W191" s="1435" vm="1436">
        <f ca="1"/>
        <v>45061</v>
      </c>
      <c r="X191" s="1434" vm="1441">
        <f ca="1"/>
        <v>365.36</v>
      </c>
      <c r="Y191" s="1435" vm="1436">
        <f ca="1"/>
        <v>45061</v>
      </c>
      <c r="Z191" s="1434" vm="1442">
        <f ca="1"/>
        <v>55.32</v>
      </c>
      <c r="AA191" s="1435" vm="1436">
        <f ca="1"/>
        <v>45061</v>
      </c>
      <c r="AB191" s="1434" vm="1443">
        <f ca="1"/>
        <v>4191.9799999999996</v>
      </c>
    </row>
    <row r="192" spans="15:28" x14ac:dyDescent="0.5">
      <c r="O192" s="1435" vm="1444">
        <f ca="1"/>
        <v>45068</v>
      </c>
      <c r="P192" s="1434" vm="1445">
        <f ca="1"/>
        <v>262.04000000000002</v>
      </c>
      <c r="Q192" s="1435" vm="1444">
        <f ca="1"/>
        <v>45068</v>
      </c>
      <c r="R192" s="1434" vm="1446">
        <f ca="1"/>
        <v>120.11</v>
      </c>
      <c r="S192" s="1435" vm="1444">
        <f ca="1"/>
        <v>45068</v>
      </c>
      <c r="T192" s="1434" vm="1447">
        <f ca="1"/>
        <v>125.43</v>
      </c>
      <c r="U192" s="1435" vm="1444">
        <f ca="1"/>
        <v>45068</v>
      </c>
      <c r="V192" s="1434" vm="1448">
        <f ca="1"/>
        <v>67.67</v>
      </c>
      <c r="W192" s="1435" vm="1444">
        <f ca="1"/>
        <v>45068</v>
      </c>
      <c r="X192" s="1434" vm="1449">
        <f ca="1"/>
        <v>378.88</v>
      </c>
      <c r="Y192" s="1435" vm="1444">
        <f ca="1"/>
        <v>45068</v>
      </c>
      <c r="Z192" s="1434" vm="1450">
        <f ca="1"/>
        <v>54.22</v>
      </c>
      <c r="AA192" s="1435" vm="1444">
        <f ca="1"/>
        <v>45068</v>
      </c>
      <c r="AB192" s="1434" vm="1451">
        <f ca="1"/>
        <v>4205.45</v>
      </c>
    </row>
    <row r="193" spans="15:28" x14ac:dyDescent="0.5">
      <c r="O193" s="1435" vm="1452">
        <f ca="1"/>
        <v>45076</v>
      </c>
      <c r="P193" s="1434" vm="1453">
        <f ca="1"/>
        <v>272.61</v>
      </c>
      <c r="Q193" s="1435" vm="1452">
        <f ca="1"/>
        <v>45076</v>
      </c>
      <c r="R193" s="1434" vm="1454">
        <f ca="1"/>
        <v>124.25</v>
      </c>
      <c r="S193" s="1435" vm="1452">
        <f ca="1"/>
        <v>45076</v>
      </c>
      <c r="T193" s="1434" vm="1455">
        <f ca="1"/>
        <v>125.23</v>
      </c>
      <c r="U193" s="1435" vm="1452">
        <f ca="1"/>
        <v>45076</v>
      </c>
      <c r="V193" s="1434" vm="1456">
        <f ca="1"/>
        <v>74.239999999999995</v>
      </c>
      <c r="W193" s="1435" vm="1452">
        <f ca="1"/>
        <v>45076</v>
      </c>
      <c r="X193" s="1434" vm="1457">
        <f ca="1"/>
        <v>400.47</v>
      </c>
      <c r="Y193" s="1435" vm="1452">
        <f ca="1"/>
        <v>45076</v>
      </c>
      <c r="Z193" s="1434" vm="1458">
        <f ca="1"/>
        <v>56.33</v>
      </c>
      <c r="AA193" s="1435" vm="1452">
        <f ca="1"/>
        <v>45076</v>
      </c>
      <c r="AB193" s="1434" vm="1459">
        <f ca="1"/>
        <v>4282.37</v>
      </c>
    </row>
    <row r="194" spans="15:28" x14ac:dyDescent="0.5">
      <c r="O194" s="1435" vm="1460">
        <f ca="1"/>
        <v>45082</v>
      </c>
      <c r="P194" s="1434" vm="1461">
        <f ca="1"/>
        <v>264.95</v>
      </c>
      <c r="Q194" s="1435" vm="1460">
        <f ca="1"/>
        <v>45082</v>
      </c>
      <c r="R194" s="1434" vm="1462">
        <f ca="1"/>
        <v>123.43</v>
      </c>
      <c r="S194" s="1435" vm="1460">
        <f ca="1"/>
        <v>45082</v>
      </c>
      <c r="T194" s="1434" vm="1463">
        <f ca="1"/>
        <v>122.87</v>
      </c>
      <c r="U194" s="1435" vm="1460">
        <f ca="1"/>
        <v>45082</v>
      </c>
      <c r="V194" s="1434" vm="1464">
        <f ca="1"/>
        <v>74.58</v>
      </c>
      <c r="W194" s="1435" vm="1460">
        <f ca="1"/>
        <v>45082</v>
      </c>
      <c r="X194" s="1434" vm="1465">
        <f ca="1"/>
        <v>420.02</v>
      </c>
      <c r="Y194" s="1435" vm="1460">
        <f ca="1"/>
        <v>45082</v>
      </c>
      <c r="Z194" s="1434" vm="1466">
        <f ca="1"/>
        <v>57.83</v>
      </c>
      <c r="AA194" s="1435" vm="1460">
        <f ca="1"/>
        <v>45082</v>
      </c>
      <c r="AB194" s="1434" vm="1467">
        <f ca="1"/>
        <v>4298.8599999999997</v>
      </c>
    </row>
    <row r="195" spans="15:28" x14ac:dyDescent="0.5">
      <c r="O195" s="1435" vm="1468">
        <f ca="1"/>
        <v>45089</v>
      </c>
      <c r="P195" s="1434" vm="1469">
        <f ca="1"/>
        <v>281</v>
      </c>
      <c r="Q195" s="1435" vm="1468">
        <f ca="1"/>
        <v>45089</v>
      </c>
      <c r="R195" s="1434" vm="1470">
        <f ca="1"/>
        <v>125.49</v>
      </c>
      <c r="S195" s="1435" vm="1468">
        <f ca="1"/>
        <v>45089</v>
      </c>
      <c r="T195" s="1434" vm="1471">
        <f ca="1"/>
        <v>124.06</v>
      </c>
      <c r="U195" s="1435" vm="1468">
        <f ca="1"/>
        <v>45089</v>
      </c>
      <c r="V195" s="1434" vm="1472">
        <f ca="1"/>
        <v>76.430000000000007</v>
      </c>
      <c r="W195" s="1435" vm="1468">
        <f ca="1"/>
        <v>45089</v>
      </c>
      <c r="X195" s="1434" vm="1473">
        <f ca="1"/>
        <v>431.96</v>
      </c>
      <c r="Y195" s="1435" vm="1468">
        <f ca="1"/>
        <v>45089</v>
      </c>
      <c r="Z195" s="1434" vm="1474">
        <f ca="1"/>
        <v>51.22</v>
      </c>
      <c r="AA195" s="1435" vm="1468">
        <f ca="1"/>
        <v>45089</v>
      </c>
      <c r="AB195" s="1434" vm="1475">
        <f ca="1"/>
        <v>4409.59</v>
      </c>
    </row>
    <row r="196" spans="15:28" x14ac:dyDescent="0.5">
      <c r="O196" s="1435" vm="1476">
        <f ca="1"/>
        <v>45097</v>
      </c>
      <c r="P196" s="1434" vm="1477">
        <f ca="1"/>
        <v>288.73</v>
      </c>
      <c r="Q196" s="1435" vm="1476">
        <f ca="1"/>
        <v>45097</v>
      </c>
      <c r="R196" s="1434" vm="1478">
        <f ca="1"/>
        <v>129.33000000000001</v>
      </c>
      <c r="S196" s="1435" vm="1476">
        <f ca="1"/>
        <v>45097</v>
      </c>
      <c r="T196" s="1434" vm="1479">
        <f ca="1"/>
        <v>123.02</v>
      </c>
      <c r="U196" s="1435" vm="1476">
        <f ca="1"/>
        <v>45097</v>
      </c>
      <c r="V196" s="1434" vm="1480">
        <f ca="1"/>
        <v>76.239999999999995</v>
      </c>
      <c r="W196" s="1435" vm="1476">
        <f ca="1"/>
        <v>45097</v>
      </c>
      <c r="X196" s="1434" vm="1481">
        <f ca="1"/>
        <v>424.02</v>
      </c>
      <c r="Y196" s="1435" vm="1476">
        <f ca="1"/>
        <v>45097</v>
      </c>
      <c r="Z196" s="1434" vm="1482">
        <f ca="1"/>
        <v>49.64</v>
      </c>
      <c r="AA196" s="1435" vm="1476">
        <f ca="1"/>
        <v>45097</v>
      </c>
      <c r="AB196" s="1434" vm="1483">
        <f ca="1"/>
        <v>4348.33</v>
      </c>
    </row>
    <row r="197" spans="15:28" x14ac:dyDescent="0.5">
      <c r="O197" s="1435" vm="1484">
        <f ca="1"/>
        <v>45103</v>
      </c>
      <c r="P197" s="1434" vm="1485">
        <f ca="1"/>
        <v>286.98</v>
      </c>
      <c r="Q197" s="1435" vm="1484">
        <f ca="1"/>
        <v>45103</v>
      </c>
      <c r="R197" s="1434" vm="1486">
        <f ca="1"/>
        <v>130.36000000000001</v>
      </c>
      <c r="S197" s="1435" vm="1484">
        <f ca="1"/>
        <v>45103</v>
      </c>
      <c r="T197" s="1434" vm="1487">
        <f ca="1"/>
        <v>120.97</v>
      </c>
      <c r="U197" s="1435" vm="1484">
        <f ca="1"/>
        <v>45103</v>
      </c>
      <c r="V197" s="1434" vm="1488">
        <f ca="1"/>
        <v>77.22</v>
      </c>
      <c r="W197" s="1435" vm="1484">
        <f ca="1"/>
        <v>45103</v>
      </c>
      <c r="X197" s="1434" vm="1489">
        <f ca="1"/>
        <v>440.49</v>
      </c>
      <c r="Y197" s="1435" vm="1484">
        <f ca="1"/>
        <v>45103</v>
      </c>
      <c r="Z197" s="1434" vm="1490">
        <f ca="1"/>
        <v>49.85</v>
      </c>
      <c r="AA197" s="1435" vm="1484">
        <f ca="1"/>
        <v>45103</v>
      </c>
      <c r="AB197" s="1434" vm="1491">
        <f ca="1"/>
        <v>4450.38</v>
      </c>
    </row>
    <row r="198" spans="15:28" x14ac:dyDescent="0.5">
      <c r="O198" s="1435" vm="1492">
        <f ca="1"/>
        <v>45110</v>
      </c>
      <c r="P198" s="1434" vm="1493">
        <f ca="1"/>
        <v>290.52999999999997</v>
      </c>
      <c r="Q198" s="1435" vm="1492">
        <f ca="1"/>
        <v>45110</v>
      </c>
      <c r="R198" s="1434" vm="1494">
        <f ca="1"/>
        <v>129.78</v>
      </c>
      <c r="S198" s="1435" vm="1492">
        <f ca="1"/>
        <v>45110</v>
      </c>
      <c r="T198" s="1434" vm="1495">
        <f ca="1"/>
        <v>120.14</v>
      </c>
      <c r="U198" s="1435" vm="1492">
        <f ca="1"/>
        <v>45110</v>
      </c>
      <c r="V198" s="1434" vm="1496">
        <f ca="1"/>
        <v>75.8</v>
      </c>
      <c r="W198" s="1435" vm="1492">
        <f ca="1"/>
        <v>45110</v>
      </c>
      <c r="X198" s="1434" vm="1497">
        <f ca="1"/>
        <v>438.1</v>
      </c>
      <c r="Y198" s="1435" vm="1492">
        <f ca="1"/>
        <v>45110</v>
      </c>
      <c r="Z198" s="1434" vm="1498">
        <f ca="1"/>
        <v>48.97</v>
      </c>
      <c r="AA198" s="1435" vm="1492">
        <f ca="1"/>
        <v>45110</v>
      </c>
      <c r="AB198" s="1434" vm="1499">
        <f ca="1"/>
        <v>4398.95</v>
      </c>
    </row>
    <row r="199" spans="15:28" x14ac:dyDescent="0.5">
      <c r="O199" s="1435" vm="1500">
        <f ca="1"/>
        <v>45117</v>
      </c>
      <c r="P199" s="1434" vm="1501">
        <f ca="1"/>
        <v>308.87</v>
      </c>
      <c r="Q199" s="1435" vm="1500">
        <f ca="1"/>
        <v>45117</v>
      </c>
      <c r="R199" s="1434" vm="1502">
        <f ca="1"/>
        <v>134.68</v>
      </c>
      <c r="S199" s="1435" vm="1500">
        <f ca="1"/>
        <v>45117</v>
      </c>
      <c r="T199" s="1434" vm="1503">
        <f ca="1"/>
        <v>125.7</v>
      </c>
      <c r="U199" s="1435" vm="1500">
        <f ca="1"/>
        <v>45117</v>
      </c>
      <c r="V199" s="1434" vm="1504">
        <f ca="1"/>
        <v>88</v>
      </c>
      <c r="W199" s="1435" vm="1500">
        <f ca="1"/>
        <v>45117</v>
      </c>
      <c r="X199" s="1434" vm="1505">
        <f ca="1"/>
        <v>441.91</v>
      </c>
      <c r="Y199" s="1435" vm="1500">
        <f ca="1"/>
        <v>45117</v>
      </c>
      <c r="Z199" s="1434" vm="1506">
        <f ca="1"/>
        <v>50.61</v>
      </c>
      <c r="AA199" s="1435" vm="1500">
        <f ca="1"/>
        <v>45117</v>
      </c>
      <c r="AB199" s="1434" vm="1507">
        <f ca="1"/>
        <v>4505.42</v>
      </c>
    </row>
    <row r="200" spans="15:28" x14ac:dyDescent="0.5">
      <c r="O200" s="1435" vm="1508">
        <f ca="1"/>
        <v>45124</v>
      </c>
      <c r="P200" s="1434" vm="1509">
        <f ca="1"/>
        <v>294.26</v>
      </c>
      <c r="Q200" s="1435" vm="1508">
        <f ca="1"/>
        <v>45124</v>
      </c>
      <c r="R200" s="1434" vm="1510">
        <f ca="1"/>
        <v>130</v>
      </c>
      <c r="S200" s="1435" vm="1508">
        <f ca="1"/>
        <v>45124</v>
      </c>
      <c r="T200" s="1434" vm="1511">
        <f ca="1"/>
        <v>120.31</v>
      </c>
      <c r="U200" s="1435" vm="1508">
        <f ca="1"/>
        <v>45124</v>
      </c>
      <c r="V200" s="1434" vm="1512">
        <f ca="1"/>
        <v>84.16</v>
      </c>
      <c r="W200" s="1435" vm="1508">
        <f ca="1"/>
        <v>45124</v>
      </c>
      <c r="X200" s="1434" vm="1513">
        <f ca="1"/>
        <v>427.5</v>
      </c>
      <c r="Y200" s="1435" vm="1508">
        <f ca="1"/>
        <v>45124</v>
      </c>
      <c r="Z200" s="1434" vm="1514">
        <f ca="1"/>
        <v>50.71</v>
      </c>
      <c r="AA200" s="1435" vm="1508">
        <f ca="1"/>
        <v>45124</v>
      </c>
      <c r="AB200" s="1434" vm="1515">
        <f ca="1"/>
        <v>4536.34</v>
      </c>
    </row>
    <row r="201" spans="15:28" x14ac:dyDescent="0.5">
      <c r="O201" s="1435" vm="1516">
        <f ca="1"/>
        <v>45131</v>
      </c>
      <c r="P201" s="1434" vm="1517">
        <f ca="1"/>
        <v>325.48</v>
      </c>
      <c r="Q201" s="1435" vm="1516">
        <f ca="1"/>
        <v>45131</v>
      </c>
      <c r="R201" s="1434" vm="1518">
        <f ca="1"/>
        <v>132.21</v>
      </c>
      <c r="S201" s="1435" vm="1516">
        <f ca="1"/>
        <v>45131</v>
      </c>
      <c r="T201" s="1434" vm="1519">
        <f ca="1"/>
        <v>133.01</v>
      </c>
      <c r="U201" s="1435" vm="1516">
        <f ca="1"/>
        <v>45131</v>
      </c>
      <c r="V201" s="1434" vm="1520">
        <f ca="1"/>
        <v>90.45</v>
      </c>
      <c r="W201" s="1435" vm="1516">
        <f ca="1"/>
        <v>45131</v>
      </c>
      <c r="X201" s="1434" vm="1521">
        <f ca="1"/>
        <v>425.78</v>
      </c>
      <c r="Y201" s="1435" vm="1516">
        <f ca="1"/>
        <v>45131</v>
      </c>
      <c r="Z201" s="1434" vm="1522">
        <f ca="1"/>
        <v>50.49</v>
      </c>
      <c r="AA201" s="1435" vm="1516">
        <f ca="1"/>
        <v>45131</v>
      </c>
      <c r="AB201" s="1434" vm="1523">
        <f ca="1"/>
        <v>4582.2299999999996</v>
      </c>
    </row>
    <row r="202" spans="15:28" x14ac:dyDescent="0.5">
      <c r="O202" s="1435" vm="1524">
        <f ca="1"/>
        <v>45138</v>
      </c>
      <c r="P202" s="1434" vm="1525">
        <f ca="1"/>
        <v>310.73</v>
      </c>
      <c r="Q202" s="1435" vm="1524">
        <f ca="1"/>
        <v>45138</v>
      </c>
      <c r="R202" s="1434" vm="1526">
        <f ca="1"/>
        <v>139.57</v>
      </c>
      <c r="S202" s="1435" vm="1524">
        <f ca="1"/>
        <v>45138</v>
      </c>
      <c r="T202" s="1434" vm="1527">
        <f ca="1"/>
        <v>128.54</v>
      </c>
      <c r="U202" s="1435" vm="1524">
        <f ca="1"/>
        <v>45138</v>
      </c>
      <c r="V202" s="1434" vm="1528">
        <f ca="1"/>
        <v>84.84</v>
      </c>
      <c r="W202" s="1435" vm="1524">
        <f ca="1"/>
        <v>45138</v>
      </c>
      <c r="X202" s="1434" vm="1529">
        <f ca="1"/>
        <v>431.6</v>
      </c>
      <c r="Y202" s="1435" vm="1524">
        <f ca="1"/>
        <v>45138</v>
      </c>
      <c r="Z202" s="1434" vm="1530">
        <f ca="1"/>
        <v>49.45</v>
      </c>
      <c r="AA202" s="1435" vm="1524">
        <f ca="1"/>
        <v>45138</v>
      </c>
      <c r="AB202" s="1434" vm="1531">
        <f ca="1"/>
        <v>4478.03</v>
      </c>
    </row>
    <row r="203" spans="15:28" x14ac:dyDescent="0.5">
      <c r="O203" s="1435" vm="1532">
        <f ca="1"/>
        <v>45145</v>
      </c>
      <c r="P203" s="1434" vm="1533">
        <f ca="1"/>
        <v>301.64</v>
      </c>
      <c r="Q203" s="1435" vm="1532">
        <f ca="1"/>
        <v>45145</v>
      </c>
      <c r="R203" s="1434" vm="1534">
        <f ca="1"/>
        <v>138.41</v>
      </c>
      <c r="S203" s="1435" vm="1532">
        <f ca="1"/>
        <v>45145</v>
      </c>
      <c r="T203" s="1434" vm="1535">
        <f ca="1"/>
        <v>130.16999999999999</v>
      </c>
      <c r="U203" s="1435" vm="1532">
        <f ca="1"/>
        <v>45145</v>
      </c>
      <c r="V203" s="1434" vm="1536">
        <f ca="1"/>
        <v>74.62</v>
      </c>
      <c r="W203" s="1435" vm="1532">
        <f ca="1"/>
        <v>45145</v>
      </c>
      <c r="X203" s="1434" vm="1537">
        <f ca="1"/>
        <v>421.66</v>
      </c>
      <c r="Y203" s="1435" vm="1532">
        <f ca="1"/>
        <v>45145</v>
      </c>
      <c r="Z203" s="1434" vm="1538">
        <f ca="1"/>
        <v>50.96</v>
      </c>
      <c r="AA203" s="1435" vm="1532">
        <f ca="1"/>
        <v>45145</v>
      </c>
      <c r="AB203" s="1434" vm="1539">
        <f ca="1"/>
        <v>4464.05</v>
      </c>
    </row>
    <row r="204" spans="15:28" x14ac:dyDescent="0.5">
      <c r="O204" s="1435" vm="1540">
        <f ca="1"/>
        <v>45152</v>
      </c>
      <c r="P204" s="1434" vm="1541">
        <f ca="1"/>
        <v>283.25</v>
      </c>
      <c r="Q204" s="1435" vm="1540">
        <f ca="1"/>
        <v>45152</v>
      </c>
      <c r="R204" s="1434" vm="1542">
        <f ca="1"/>
        <v>133.22</v>
      </c>
      <c r="S204" s="1435" vm="1540">
        <f ca="1"/>
        <v>45152</v>
      </c>
      <c r="T204" s="1434" vm="1543">
        <f ca="1"/>
        <v>128.11000000000001</v>
      </c>
      <c r="U204" s="1435" vm="1540">
        <f ca="1"/>
        <v>45152</v>
      </c>
      <c r="V204" s="1434" vm="1544">
        <f ca="1"/>
        <v>72.180000000000007</v>
      </c>
      <c r="W204" s="1435" vm="1540">
        <f ca="1"/>
        <v>45152</v>
      </c>
      <c r="X204" s="1434" vm="1545">
        <f ca="1"/>
        <v>404.53</v>
      </c>
      <c r="Y204" s="1435" vm="1540">
        <f ca="1"/>
        <v>45152</v>
      </c>
      <c r="Z204" s="1434" vm="1546">
        <f ca="1"/>
        <v>51.8</v>
      </c>
      <c r="AA204" s="1435" vm="1540">
        <f ca="1"/>
        <v>45152</v>
      </c>
      <c r="AB204" s="1434" vm="1547">
        <f ca="1"/>
        <v>4369.71</v>
      </c>
    </row>
    <row r="205" spans="15:28" x14ac:dyDescent="0.5">
      <c r="O205" s="1435" vm="1548">
        <f ca="1"/>
        <v>45159</v>
      </c>
      <c r="P205" s="1434" vm="1549">
        <f ca="1"/>
        <v>285.5</v>
      </c>
      <c r="Q205" s="1435" vm="1548">
        <f ca="1"/>
        <v>45159</v>
      </c>
      <c r="R205" s="1434" vm="1550">
        <f ca="1"/>
        <v>133.26</v>
      </c>
      <c r="S205" s="1435" vm="1548">
        <f ca="1"/>
        <v>45159</v>
      </c>
      <c r="T205" s="1434" vm="1551">
        <f ca="1"/>
        <v>130.69</v>
      </c>
      <c r="U205" s="1435" vm="1548">
        <f ca="1"/>
        <v>45159</v>
      </c>
      <c r="V205" s="1434" vm="1552">
        <f ca="1"/>
        <v>75.91</v>
      </c>
      <c r="W205" s="1435" vm="1548">
        <f ca="1"/>
        <v>45159</v>
      </c>
      <c r="X205" s="1434" vm="1553">
        <f ca="1"/>
        <v>416.03</v>
      </c>
      <c r="Y205" s="1435" vm="1548">
        <f ca="1"/>
        <v>45159</v>
      </c>
      <c r="Z205" s="1434" vm="1554">
        <f ca="1"/>
        <v>52.73</v>
      </c>
      <c r="AA205" s="1435" vm="1548">
        <f ca="1"/>
        <v>45159</v>
      </c>
      <c r="AB205" s="1434" vm="1555">
        <f ca="1"/>
        <v>4405.71</v>
      </c>
    </row>
    <row r="206" spans="15:28" x14ac:dyDescent="0.5">
      <c r="O206" s="1435" vm="1556">
        <f ca="1"/>
        <v>45166</v>
      </c>
      <c r="P206" s="1434" vm="1557">
        <f ca="1"/>
        <v>296.38</v>
      </c>
      <c r="Q206" s="1435" vm="1556">
        <f ca="1"/>
        <v>45166</v>
      </c>
      <c r="R206" s="1434" vm="1558">
        <f ca="1"/>
        <v>138.12</v>
      </c>
      <c r="S206" s="1435" vm="1556">
        <f ca="1"/>
        <v>45166</v>
      </c>
      <c r="T206" s="1434" vm="1559">
        <f ca="1"/>
        <v>136.80000000000001</v>
      </c>
      <c r="U206" s="1435" vm="1556">
        <f ca="1"/>
        <v>45166</v>
      </c>
      <c r="V206" s="1434" vm="1560">
        <f ca="1"/>
        <v>79.930000000000007</v>
      </c>
      <c r="W206" s="1435" vm="1556">
        <f ca="1"/>
        <v>45166</v>
      </c>
      <c r="X206" s="1434" vm="1561">
        <f ca="1"/>
        <v>439.88</v>
      </c>
      <c r="Y206" s="1435" vm="1556">
        <f ca="1"/>
        <v>45166</v>
      </c>
      <c r="Z206" s="1434" vm="1562">
        <f ca="1"/>
        <v>51.94</v>
      </c>
      <c r="AA206" s="1435" vm="1556">
        <f ca="1"/>
        <v>45166</v>
      </c>
      <c r="AB206" s="1434" vm="1563">
        <f ca="1"/>
        <v>4515.7700000000004</v>
      </c>
    </row>
    <row r="207" spans="15:28" x14ac:dyDescent="0.5">
      <c r="O207" s="1435" vm="1564">
        <f ca="1"/>
        <v>45174</v>
      </c>
      <c r="P207" s="1434" vm="1565">
        <f ca="1"/>
        <v>297.89</v>
      </c>
      <c r="Q207" s="1435" vm="1564">
        <f ca="1"/>
        <v>45174</v>
      </c>
      <c r="R207" s="1434" vm="1136">
        <f ca="1"/>
        <v>138.22999999999999</v>
      </c>
      <c r="S207" s="1435" vm="1564">
        <f ca="1"/>
        <v>45174</v>
      </c>
      <c r="T207" s="1434" vm="1566">
        <f ca="1"/>
        <v>137.19999999999999</v>
      </c>
      <c r="U207" s="1435" vm="1564">
        <f ca="1"/>
        <v>45174</v>
      </c>
      <c r="V207" s="1434" vm="1567">
        <f ca="1"/>
        <v>83.89</v>
      </c>
      <c r="W207" s="1435" vm="1564">
        <f ca="1"/>
        <v>45174</v>
      </c>
      <c r="X207" s="1434" vm="1568">
        <f ca="1"/>
        <v>442.8</v>
      </c>
      <c r="Y207" s="1435" vm="1564">
        <f ca="1"/>
        <v>45174</v>
      </c>
      <c r="Z207" s="1434" vm="1569">
        <f ca="1"/>
        <v>51.43</v>
      </c>
      <c r="AA207" s="1435" vm="1564">
        <f ca="1"/>
        <v>45174</v>
      </c>
      <c r="AB207" s="1434" vm="1570">
        <f ca="1"/>
        <v>4457.49</v>
      </c>
    </row>
    <row r="208" spans="15:28" x14ac:dyDescent="0.5">
      <c r="O208" s="1435" vm="1571">
        <f ca="1"/>
        <v>45180</v>
      </c>
      <c r="P208" s="1434" vm="1572">
        <f ca="1"/>
        <v>300.31</v>
      </c>
      <c r="Q208" s="1435" vm="1571">
        <f ca="1"/>
        <v>45180</v>
      </c>
      <c r="R208" s="1434" vm="1573">
        <f ca="1"/>
        <v>140.38999999999999</v>
      </c>
      <c r="S208" s="1435" vm="1571">
        <f ca="1"/>
        <v>45180</v>
      </c>
      <c r="T208" s="1434" vm="1574">
        <f ca="1"/>
        <v>138.30000000000001</v>
      </c>
      <c r="U208" s="1435" vm="1571">
        <f ca="1"/>
        <v>45180</v>
      </c>
      <c r="V208" s="1434" vm="1575">
        <f ca="1"/>
        <v>83.38</v>
      </c>
      <c r="W208" s="1435" vm="1571">
        <f ca="1"/>
        <v>45180</v>
      </c>
      <c r="X208" s="1434" vm="1576">
        <f ca="1"/>
        <v>396.94</v>
      </c>
      <c r="Y208" s="1435" vm="1571">
        <f ca="1"/>
        <v>45180</v>
      </c>
      <c r="Z208" s="1434" vm="1577">
        <f ca="1"/>
        <v>50.77</v>
      </c>
      <c r="AA208" s="1435" vm="1571">
        <f ca="1"/>
        <v>45180</v>
      </c>
      <c r="AB208" s="1434" vm="1578">
        <f ca="1"/>
        <v>4450.32</v>
      </c>
    </row>
    <row r="209" spans="15:28" x14ac:dyDescent="0.5">
      <c r="O209" s="1435" vm="1579">
        <f ca="1"/>
        <v>45187</v>
      </c>
      <c r="P209" s="1434" vm="1580">
        <f ca="1"/>
        <v>299.08</v>
      </c>
      <c r="Q209" s="1435" vm="1579">
        <f ca="1"/>
        <v>45187</v>
      </c>
      <c r="R209" s="1434" vm="1581">
        <f ca="1"/>
        <v>129.12</v>
      </c>
      <c r="S209" s="1435" vm="1579">
        <f ca="1"/>
        <v>45187</v>
      </c>
      <c r="T209" s="1434" vm="1582">
        <f ca="1"/>
        <v>131.25</v>
      </c>
      <c r="U209" s="1435" vm="1579">
        <f ca="1"/>
        <v>45187</v>
      </c>
      <c r="V209" s="1434" vm="1583">
        <f ca="1"/>
        <v>76.349999999999994</v>
      </c>
      <c r="W209" s="1435" vm="1579">
        <f ca="1"/>
        <v>45187</v>
      </c>
      <c r="X209" s="1434" vm="1584">
        <f ca="1"/>
        <v>379.81</v>
      </c>
      <c r="Y209" s="1435" vm="1579">
        <f ca="1"/>
        <v>45187</v>
      </c>
      <c r="Z209" s="1434" vm="1585">
        <f ca="1"/>
        <v>48.67</v>
      </c>
      <c r="AA209" s="1435" vm="1579">
        <f ca="1"/>
        <v>45187</v>
      </c>
      <c r="AB209" s="1434" vm="1586">
        <f ca="1"/>
        <v>4320.0600000000004</v>
      </c>
    </row>
    <row r="210" spans="15:28" x14ac:dyDescent="0.5">
      <c r="O210" s="1435" vm="1587">
        <f ca="1"/>
        <v>45194</v>
      </c>
      <c r="P210" s="1434" vm="1588">
        <f ca="1"/>
        <v>300.20999999999998</v>
      </c>
      <c r="Q210" s="1435" vm="1587">
        <f ca="1"/>
        <v>45194</v>
      </c>
      <c r="R210" s="1434" vm="1589">
        <f ca="1"/>
        <v>127.12</v>
      </c>
      <c r="S210" s="1435" vm="1587">
        <f ca="1"/>
        <v>45194</v>
      </c>
      <c r="T210" s="1434" vm="1590">
        <f ca="1"/>
        <v>131.85</v>
      </c>
      <c r="U210" s="1435" vm="1587">
        <f ca="1"/>
        <v>45194</v>
      </c>
      <c r="V210" s="1434" vm="1591">
        <f ca="1"/>
        <v>78.150000000000006</v>
      </c>
      <c r="W210" s="1435" vm="1587">
        <f ca="1"/>
        <v>45194</v>
      </c>
      <c r="X210" s="1434" vm="1592">
        <f ca="1"/>
        <v>377.6</v>
      </c>
      <c r="Y210" s="1435" vm="1587">
        <f ca="1"/>
        <v>45194</v>
      </c>
      <c r="Z210" s="1434" vm="1593">
        <f ca="1"/>
        <v>48.59</v>
      </c>
      <c r="AA210" s="1435" vm="1587">
        <f ca="1"/>
        <v>45194</v>
      </c>
      <c r="AB210" s="1434" vm="1594">
        <f ca="1"/>
        <v>4288.05</v>
      </c>
    </row>
    <row r="211" spans="15:28" x14ac:dyDescent="0.5">
      <c r="O211" s="1435" vm="1595">
        <f ca="1"/>
        <v>45201</v>
      </c>
      <c r="P211" s="1434" vm="1596">
        <f ca="1"/>
        <v>315.43</v>
      </c>
      <c r="Q211" s="1435" vm="1595">
        <f ca="1"/>
        <v>45201</v>
      </c>
      <c r="R211" s="1434" vm="1597">
        <f ca="1"/>
        <v>127.96</v>
      </c>
      <c r="S211" s="1435" vm="1595">
        <f ca="1"/>
        <v>45201</v>
      </c>
      <c r="T211" s="1434" vm="1598">
        <f ca="1"/>
        <v>138.72999999999999</v>
      </c>
      <c r="U211" s="1435" vm="1595">
        <f ca="1"/>
        <v>45201</v>
      </c>
      <c r="V211" s="1434" vm="1599">
        <f ca="1"/>
        <v>82.15</v>
      </c>
      <c r="W211" s="1435" vm="1595">
        <f ca="1"/>
        <v>45201</v>
      </c>
      <c r="X211" s="1434" vm="1600">
        <f ca="1"/>
        <v>381.51</v>
      </c>
      <c r="Y211" s="1435" vm="1595">
        <f ca="1"/>
        <v>45201</v>
      </c>
      <c r="Z211" s="1434" vm="1601">
        <f ca="1"/>
        <v>49.61</v>
      </c>
      <c r="AA211" s="1435" vm="1595">
        <f ca="1"/>
        <v>45201</v>
      </c>
      <c r="AB211" s="1434" vm="1602">
        <f ca="1"/>
        <v>4308.5</v>
      </c>
    </row>
    <row r="212" spans="15:28" x14ac:dyDescent="0.5">
      <c r="O212" s="1435" vm="1603">
        <f ca="1"/>
        <v>45208</v>
      </c>
      <c r="P212" s="1434" vm="1604">
        <f ca="1"/>
        <v>314.69</v>
      </c>
      <c r="Q212" s="1435" vm="1603">
        <f ca="1"/>
        <v>45208</v>
      </c>
      <c r="R212" s="1434" vm="1605">
        <f ca="1"/>
        <v>129.79</v>
      </c>
      <c r="S212" s="1435" vm="1603">
        <f ca="1"/>
        <v>45208</v>
      </c>
      <c r="T212" s="1434" vm="1606">
        <f ca="1"/>
        <v>138.58000000000001</v>
      </c>
      <c r="U212" s="1435" vm="1603">
        <f ca="1"/>
        <v>45208</v>
      </c>
      <c r="V212" s="1434" vm="1607">
        <f ca="1"/>
        <v>80.239999999999995</v>
      </c>
      <c r="W212" s="1435" vm="1603">
        <f ca="1"/>
        <v>45208</v>
      </c>
      <c r="X212" s="1434" vm="1608">
        <f ca="1"/>
        <v>355.68</v>
      </c>
      <c r="Y212" s="1435" vm="1603">
        <f ca="1"/>
        <v>45208</v>
      </c>
      <c r="Z212" s="1434" vm="1609">
        <f ca="1"/>
        <v>49.37</v>
      </c>
      <c r="AA212" s="1435" vm="1603">
        <f ca="1"/>
        <v>45208</v>
      </c>
      <c r="AB212" s="1434" vm="1610">
        <f ca="1"/>
        <v>4327.78</v>
      </c>
    </row>
    <row r="213" spans="15:28" x14ac:dyDescent="0.5">
      <c r="O213" s="1435" vm="1611">
        <f ca="1"/>
        <v>45215</v>
      </c>
      <c r="P213" s="1434" vm="1612">
        <f ca="1"/>
        <v>308.64999999999998</v>
      </c>
      <c r="Q213" s="1435" vm="1611">
        <f ca="1"/>
        <v>45215</v>
      </c>
      <c r="R213" s="1434" vm="1613">
        <f ca="1"/>
        <v>125.17</v>
      </c>
      <c r="S213" s="1435" vm="1611">
        <f ca="1"/>
        <v>45215</v>
      </c>
      <c r="T213" s="1434" vm="1614">
        <f ca="1"/>
        <v>136.74</v>
      </c>
      <c r="U213" s="1435" vm="1611">
        <f ca="1"/>
        <v>45215</v>
      </c>
      <c r="V213" s="1434" vm="1615">
        <f ca="1"/>
        <v>74.06</v>
      </c>
      <c r="W213" s="1435" vm="1611">
        <f ca="1"/>
        <v>45215</v>
      </c>
      <c r="X213" s="1434" vm="1616">
        <f ca="1"/>
        <v>400.96</v>
      </c>
      <c r="Y213" s="1435" vm="1611">
        <f ca="1"/>
        <v>45215</v>
      </c>
      <c r="Z213" s="1434" vm="1201">
        <f ca="1"/>
        <v>50.6</v>
      </c>
      <c r="AA213" s="1435" vm="1611">
        <f ca="1"/>
        <v>45215</v>
      </c>
      <c r="AB213" s="1434" vm="1617">
        <f ca="1"/>
        <v>4224.16</v>
      </c>
    </row>
    <row r="214" spans="15:28" x14ac:dyDescent="0.5">
      <c r="O214" s="1435" vm="1618">
        <f ca="1"/>
        <v>45222</v>
      </c>
      <c r="P214" s="1434" vm="1619">
        <f ca="1"/>
        <v>296.73</v>
      </c>
      <c r="Q214" s="1435" vm="1618">
        <f ca="1"/>
        <v>45222</v>
      </c>
      <c r="R214" s="1434" vm="1620">
        <f ca="1"/>
        <v>127.74</v>
      </c>
      <c r="S214" s="1435" vm="1618">
        <f ca="1"/>
        <v>45222</v>
      </c>
      <c r="T214" s="1434" vm="1621">
        <f ca="1"/>
        <v>123.4</v>
      </c>
      <c r="U214" s="1435" vm="1618">
        <f ca="1"/>
        <v>45222</v>
      </c>
      <c r="V214" s="1434" vm="1622">
        <f ca="1"/>
        <v>66.86</v>
      </c>
      <c r="W214" s="1435" vm="1618">
        <f ca="1"/>
        <v>45222</v>
      </c>
      <c r="X214" s="1434" vm="1623">
        <f ca="1"/>
        <v>397.87</v>
      </c>
      <c r="Y214" s="1435" vm="1618">
        <f ca="1"/>
        <v>45222</v>
      </c>
      <c r="Z214" s="1434" vm="1624">
        <f ca="1"/>
        <v>47.59</v>
      </c>
      <c r="AA214" s="1435" vm="1618">
        <f ca="1"/>
        <v>45222</v>
      </c>
      <c r="AB214" s="1434" vm="1625">
        <f ca="1"/>
        <v>4117.37</v>
      </c>
    </row>
    <row r="215" spans="15:28" x14ac:dyDescent="0.5">
      <c r="O215" s="1435" vm="1626">
        <f ca="1"/>
        <v>45229</v>
      </c>
      <c r="P215" s="1434" vm="1627">
        <f ca="1"/>
        <v>314.60000000000002</v>
      </c>
      <c r="Q215" s="1435" vm="1626">
        <f ca="1"/>
        <v>45229</v>
      </c>
      <c r="R215" s="1434" vm="1628">
        <f ca="1"/>
        <v>138.6</v>
      </c>
      <c r="S215" s="1435" vm="1626">
        <f ca="1"/>
        <v>45229</v>
      </c>
      <c r="T215" s="1434" vm="1629">
        <f ca="1"/>
        <v>130.37</v>
      </c>
      <c r="U215" s="1435" vm="1626">
        <f ca="1"/>
        <v>45229</v>
      </c>
      <c r="V215" s="1434" vm="1630">
        <f ca="1"/>
        <v>79.08</v>
      </c>
      <c r="W215" s="1435" vm="1626">
        <f ca="1"/>
        <v>45229</v>
      </c>
      <c r="X215" s="1434" vm="1631">
        <f ca="1"/>
        <v>432.36</v>
      </c>
      <c r="Y215" s="1435" vm="1626">
        <f ca="1"/>
        <v>45229</v>
      </c>
      <c r="Z215" s="1434" vm="1632">
        <f ca="1"/>
        <v>50.22</v>
      </c>
      <c r="AA215" s="1435" vm="1626">
        <f ca="1"/>
        <v>45229</v>
      </c>
      <c r="AB215" s="1434" vm="1633">
        <f ca="1"/>
        <v>4358.34</v>
      </c>
    </row>
    <row r="216" spans="15:28" x14ac:dyDescent="0.5">
      <c r="O216" s="1435" vm="1634">
        <f ca="1"/>
        <v>45236</v>
      </c>
      <c r="P216" s="1434" vm="1635">
        <f ca="1"/>
        <v>328.77</v>
      </c>
      <c r="Q216" s="1435" vm="1634">
        <f ca="1"/>
        <v>45236</v>
      </c>
      <c r="R216" s="1434" vm="1636">
        <f ca="1"/>
        <v>143.56</v>
      </c>
      <c r="S216" s="1435" vm="1634">
        <f ca="1"/>
        <v>45236</v>
      </c>
      <c r="T216" s="1434" vm="1637">
        <f ca="1"/>
        <v>134.06</v>
      </c>
      <c r="U216" s="1435" vm="1634">
        <f ca="1"/>
        <v>45236</v>
      </c>
      <c r="V216" s="1434" vm="1638">
        <f ca="1"/>
        <v>64.010000000000005</v>
      </c>
      <c r="W216" s="1435" vm="1634">
        <f ca="1"/>
        <v>45236</v>
      </c>
      <c r="X216" s="1434" vm="1639">
        <f ca="1"/>
        <v>447.24</v>
      </c>
      <c r="Y216" s="1435" vm="1634">
        <f ca="1"/>
        <v>45236</v>
      </c>
      <c r="Z216" s="1434" vm="1640">
        <f ca="1"/>
        <v>52.11</v>
      </c>
      <c r="AA216" s="1435" vm="1634">
        <f ca="1"/>
        <v>45236</v>
      </c>
      <c r="AB216" s="1434" vm="1641">
        <f ca="1"/>
        <v>4415.24</v>
      </c>
    </row>
    <row r="217" spans="15:28" x14ac:dyDescent="0.5">
      <c r="O217" s="1435" vm="1642">
        <f ca="1"/>
        <v>45243</v>
      </c>
      <c r="P217" s="1434" vm="1643">
        <f ca="1"/>
        <v>335.04</v>
      </c>
      <c r="Q217" s="1435" vm="1642">
        <f ca="1"/>
        <v>45243</v>
      </c>
      <c r="R217" s="1434" vm="1644">
        <f ca="1"/>
        <v>145.18</v>
      </c>
      <c r="S217" s="1435" vm="1642">
        <f ca="1"/>
        <v>45243</v>
      </c>
      <c r="T217" s="1434" vm="1645">
        <f ca="1"/>
        <v>136.94</v>
      </c>
      <c r="U217" s="1435" vm="1642">
        <f ca="1"/>
        <v>45243</v>
      </c>
      <c r="V217" s="1434" vm="1646">
        <f ca="1"/>
        <v>66.47</v>
      </c>
      <c r="W217" s="1435" vm="1642">
        <f ca="1"/>
        <v>45243</v>
      </c>
      <c r="X217" s="1434" vm="1647">
        <f ca="1"/>
        <v>465.91</v>
      </c>
      <c r="Y217" s="1435" vm="1642">
        <f ca="1"/>
        <v>45243</v>
      </c>
      <c r="Z217" s="1434" vm="1648">
        <f ca="1"/>
        <v>53.48</v>
      </c>
      <c r="AA217" s="1435" vm="1642">
        <f ca="1"/>
        <v>45243</v>
      </c>
      <c r="AB217" s="1434" vm="1649">
        <f ca="1"/>
        <v>4514.0200000000004</v>
      </c>
    </row>
    <row r="218" spans="15:28" x14ac:dyDescent="0.5">
      <c r="O218" s="1435" vm="1650">
        <f ca="1"/>
        <v>45250</v>
      </c>
      <c r="P218" s="1434" vm="1651">
        <f ca="1"/>
        <v>338.23</v>
      </c>
      <c r="Q218" s="1435" vm="1650">
        <f ca="1"/>
        <v>45250</v>
      </c>
      <c r="R218" s="1434" vm="1652">
        <f ca="1"/>
        <v>146.74</v>
      </c>
      <c r="S218" s="1435" vm="1650">
        <f ca="1"/>
        <v>45250</v>
      </c>
      <c r="T218" s="1434" vm="1653">
        <f ca="1"/>
        <v>138.22</v>
      </c>
      <c r="U218" s="1435" vm="1650">
        <f ca="1"/>
        <v>45250</v>
      </c>
      <c r="V218" s="1434" vm="1654">
        <f ca="1"/>
        <v>67.27</v>
      </c>
      <c r="W218" s="1435" vm="1650">
        <f ca="1"/>
        <v>45250</v>
      </c>
      <c r="X218" s="1434" vm="1655">
        <f ca="1"/>
        <v>479.56</v>
      </c>
      <c r="Y218" s="1435" vm="1650">
        <f ca="1"/>
        <v>45250</v>
      </c>
      <c r="Z218" s="1434" vm="1656">
        <f ca="1"/>
        <v>55.3</v>
      </c>
      <c r="AA218" s="1435" vm="1650">
        <f ca="1"/>
        <v>45250</v>
      </c>
      <c r="AB218" s="1434" vm="1657">
        <f ca="1"/>
        <v>4559.34</v>
      </c>
    </row>
    <row r="219" spans="15:28" x14ac:dyDescent="0.5">
      <c r="O219" s="1435" vm="1658">
        <f ca="1"/>
        <v>45257</v>
      </c>
      <c r="P219" s="1434" vm="1659">
        <f ca="1"/>
        <v>324.82</v>
      </c>
      <c r="Q219" s="1435" vm="1658">
        <f ca="1"/>
        <v>45257</v>
      </c>
      <c r="R219" s="1434" vm="1660">
        <f ca="1"/>
        <v>147.03</v>
      </c>
      <c r="S219" s="1435" vm="1658">
        <f ca="1"/>
        <v>45257</v>
      </c>
      <c r="T219" s="1434" vm="1661">
        <f ca="1"/>
        <v>133.32</v>
      </c>
      <c r="U219" s="1435" vm="1658">
        <f ca="1"/>
        <v>45257</v>
      </c>
      <c r="V219" s="1434" vm="1662">
        <f ca="1"/>
        <v>71.599999999999994</v>
      </c>
      <c r="W219" s="1435" vm="1658">
        <f ca="1"/>
        <v>45257</v>
      </c>
      <c r="X219" s="1434" vm="1663">
        <f ca="1"/>
        <v>465.74</v>
      </c>
      <c r="Y219" s="1435" vm="1658">
        <f ca="1"/>
        <v>45257</v>
      </c>
      <c r="Z219" s="1434" vm="1664">
        <f ca="1"/>
        <v>55.9</v>
      </c>
      <c r="AA219" s="1435" vm="1658">
        <f ca="1"/>
        <v>45257</v>
      </c>
      <c r="AB219" s="1434" vm="1665">
        <f ca="1"/>
        <v>4594.63</v>
      </c>
    </row>
    <row r="220" spans="15:28" x14ac:dyDescent="0.5">
      <c r="O220" s="1435" vm="1666">
        <f ca="1"/>
        <v>45264</v>
      </c>
      <c r="P220" s="1434" vm="1667">
        <f ca="1"/>
        <v>332.75</v>
      </c>
      <c r="Q220" s="1435" vm="1666">
        <f ca="1"/>
        <v>45264</v>
      </c>
      <c r="R220" s="1434" vm="1668">
        <f ca="1"/>
        <v>147.41999999999999</v>
      </c>
      <c r="S220" s="1435" vm="1666">
        <f ca="1"/>
        <v>45264</v>
      </c>
      <c r="T220" s="1434" vm="1669">
        <f ca="1"/>
        <v>136.63999999999999</v>
      </c>
      <c r="U220" s="1435" vm="1666">
        <f ca="1"/>
        <v>45264</v>
      </c>
      <c r="V220" s="1434" vm="1670">
        <f ca="1"/>
        <v>70.63</v>
      </c>
      <c r="W220" s="1435" vm="1666">
        <f ca="1"/>
        <v>45264</v>
      </c>
      <c r="X220" s="1434" vm="1671">
        <f ca="1"/>
        <v>453.76</v>
      </c>
      <c r="Y220" s="1435" vm="1666">
        <f ca="1"/>
        <v>45264</v>
      </c>
      <c r="Z220" s="1434" vm="1672">
        <f ca="1"/>
        <v>53.97</v>
      </c>
      <c r="AA220" s="1435" vm="1666">
        <f ca="1"/>
        <v>45264</v>
      </c>
      <c r="AB220" s="1434" vm="1673">
        <f ca="1"/>
        <v>4604.37</v>
      </c>
    </row>
    <row r="221" spans="15:28" x14ac:dyDescent="0.5">
      <c r="O221" s="1435" vm="1674">
        <f ca="1"/>
        <v>45271</v>
      </c>
      <c r="P221" s="1434" vm="1675">
        <f ca="1"/>
        <v>334.92</v>
      </c>
      <c r="Q221" s="1435" vm="1674">
        <f ca="1"/>
        <v>45271</v>
      </c>
      <c r="R221" s="1434" vm="1676">
        <f ca="1"/>
        <v>149.97</v>
      </c>
      <c r="S221" s="1435" vm="1674">
        <f ca="1"/>
        <v>45271</v>
      </c>
      <c r="T221" s="1434" vm="1677">
        <f ca="1"/>
        <v>133.84</v>
      </c>
      <c r="U221" s="1435" vm="1674">
        <f ca="1"/>
        <v>45271</v>
      </c>
      <c r="V221" s="1434" vm="1678">
        <f ca="1"/>
        <v>74.89</v>
      </c>
      <c r="W221" s="1435" vm="1674">
        <f ca="1"/>
        <v>45271</v>
      </c>
      <c r="X221" s="1434" vm="1679">
        <f ca="1"/>
        <v>472.06</v>
      </c>
      <c r="Y221" s="1435" vm="1674">
        <f ca="1"/>
        <v>45271</v>
      </c>
      <c r="Z221" s="1434" vm="1680">
        <f ca="1"/>
        <v>54.74</v>
      </c>
      <c r="AA221" s="1435" vm="1674">
        <f ca="1"/>
        <v>45271</v>
      </c>
      <c r="AB221" s="1434" vm="1681">
        <f ca="1"/>
        <v>4719.1899999999996</v>
      </c>
    </row>
    <row r="222" spans="15:28" x14ac:dyDescent="0.5">
      <c r="O222" s="1435" vm="1682">
        <f ca="1"/>
        <v>45278</v>
      </c>
      <c r="P222" s="1434" vm="1683">
        <f ca="1"/>
        <v>353.39</v>
      </c>
      <c r="Q222" s="1435" vm="1682">
        <f ca="1"/>
        <v>45278</v>
      </c>
      <c r="R222" s="1434" vm="1684">
        <f ca="1"/>
        <v>153.41999999999999</v>
      </c>
      <c r="S222" s="1435" vm="1682">
        <f ca="1"/>
        <v>45278</v>
      </c>
      <c r="T222" s="1434" vm="1685">
        <f ca="1"/>
        <v>142.72</v>
      </c>
      <c r="U222" s="1435" vm="1682">
        <f ca="1"/>
        <v>45278</v>
      </c>
      <c r="V222" s="1434" vm="1686">
        <f ca="1"/>
        <v>73.430000000000007</v>
      </c>
      <c r="W222" s="1435" vm="1682">
        <f ca="1"/>
        <v>45278</v>
      </c>
      <c r="X222" s="1434" vm="1687">
        <f ca="1"/>
        <v>486.76</v>
      </c>
      <c r="Y222" s="1435" vm="1682">
        <f ca="1"/>
        <v>45278</v>
      </c>
      <c r="Z222" s="1434" vm="1688">
        <f ca="1"/>
        <v>57.04</v>
      </c>
      <c r="AA222" s="1435" vm="1682">
        <f ca="1"/>
        <v>45278</v>
      </c>
      <c r="AB222" s="1434" vm="1689">
        <f ca="1"/>
        <v>4754.63</v>
      </c>
    </row>
    <row r="223" spans="15:28" x14ac:dyDescent="0.5">
      <c r="O223" s="1435" vm="1690">
        <f ca="1"/>
        <v>45286</v>
      </c>
      <c r="P223" s="1434" vm="1691">
        <f ca="1"/>
        <v>353.96</v>
      </c>
      <c r="Q223" s="1435" vm="1690">
        <f ca="1"/>
        <v>45286</v>
      </c>
      <c r="R223" s="1434" vm="1692">
        <f ca="1"/>
        <v>151.94</v>
      </c>
      <c r="S223" s="1435" vm="1690">
        <f ca="1"/>
        <v>45286</v>
      </c>
      <c r="T223" s="1434" vm="1693">
        <f ca="1"/>
        <v>140.93</v>
      </c>
      <c r="U223" s="1435" vm="1690">
        <f ca="1"/>
        <v>45286</v>
      </c>
      <c r="V223" s="1434" vm="1694">
        <f ca="1"/>
        <v>71.959999999999994</v>
      </c>
      <c r="W223" s="1435" vm="1690">
        <f ca="1"/>
        <v>45286</v>
      </c>
      <c r="X223" s="1434" vm="1695">
        <f ca="1"/>
        <v>486.88</v>
      </c>
      <c r="Y223" s="1435" vm="1690">
        <f ca="1"/>
        <v>45286</v>
      </c>
      <c r="Z223" s="1434" vm="1696">
        <f ca="1"/>
        <v>58.14</v>
      </c>
      <c r="AA223" s="1435" vm="1697">
        <f ca="1"/>
        <v>45285</v>
      </c>
      <c r="AB223" s="1434" vm="1698">
        <f ca="1"/>
        <v>4769.83</v>
      </c>
    </row>
    <row r="224" spans="15:28" x14ac:dyDescent="0.5">
      <c r="O224" s="1435" vm="1699">
        <f ca="1"/>
        <v>45293</v>
      </c>
      <c r="P224" s="1434" vm="1700">
        <f ca="1"/>
        <v>351.95</v>
      </c>
      <c r="Q224" s="1435" vm="1699">
        <f ca="1"/>
        <v>45293</v>
      </c>
      <c r="R224" s="1434" vm="1701">
        <f ca="1"/>
        <v>145.24</v>
      </c>
      <c r="S224" s="1435" vm="1699">
        <f ca="1"/>
        <v>45293</v>
      </c>
      <c r="T224" s="1434" vm="1702">
        <f ca="1"/>
        <v>137.38999999999999</v>
      </c>
      <c r="U224" s="1435" vm="1699">
        <f ca="1"/>
        <v>45293</v>
      </c>
      <c r="V224" s="1434" vm="1703">
        <f ca="1"/>
        <v>67.64</v>
      </c>
      <c r="W224" s="1435" vm="1699">
        <f ca="1"/>
        <v>45293</v>
      </c>
      <c r="X224" s="1434" vm="1704">
        <f ca="1"/>
        <v>474.06</v>
      </c>
      <c r="Y224" s="1435" vm="1699">
        <f ca="1"/>
        <v>45293</v>
      </c>
      <c r="Z224" s="1434" vm="1705">
        <f ca="1"/>
        <v>55.67</v>
      </c>
      <c r="AA224" s="1435" vm="1699">
        <f ca="1"/>
        <v>45293</v>
      </c>
      <c r="AB224" s="1434" vm="1706">
        <f ca="1"/>
        <v>4697.24</v>
      </c>
    </row>
    <row r="225" spans="15:28" x14ac:dyDescent="0.5">
      <c r="O225" s="1435" vm="1707">
        <f ca="1"/>
        <v>45299</v>
      </c>
      <c r="P225" s="1434" vm="1708">
        <f ca="1"/>
        <v>374.49</v>
      </c>
      <c r="Q225" s="1435" vm="1707">
        <f ca="1"/>
        <v>45299</v>
      </c>
      <c r="R225" s="1434" vm="1709">
        <f ca="1"/>
        <v>154.62</v>
      </c>
      <c r="S225" s="1435" vm="1707">
        <f ca="1"/>
        <v>45299</v>
      </c>
      <c r="T225" s="1434" vm="1710">
        <f ca="1"/>
        <v>144.24</v>
      </c>
      <c r="U225" s="1435" vm="1707">
        <f ca="1"/>
        <v>45299</v>
      </c>
      <c r="V225" s="1434" vm="1711">
        <f ca="1"/>
        <v>66.959999999999994</v>
      </c>
      <c r="W225" s="1435" vm="1707">
        <f ca="1"/>
        <v>45299</v>
      </c>
      <c r="X225" s="1434" vm="1712">
        <f ca="1"/>
        <v>492.16</v>
      </c>
      <c r="Y225" s="1435" vm="1707">
        <f ca="1"/>
        <v>45299</v>
      </c>
      <c r="Z225" s="1434" vm="1179">
        <f ca="1"/>
        <v>56.93</v>
      </c>
      <c r="AA225" s="1435" vm="1707">
        <f ca="1"/>
        <v>45299</v>
      </c>
      <c r="AB225" s="1434" vm="1713">
        <f ca="1"/>
        <v>4783.83</v>
      </c>
    </row>
    <row r="226" spans="15:28" x14ac:dyDescent="0.5">
      <c r="O226" s="1435" vm="1714">
        <f ca="1"/>
        <v>45307</v>
      </c>
      <c r="P226" s="1434" vm="1715">
        <f ca="1"/>
        <v>383.45</v>
      </c>
      <c r="Q226" s="1435" vm="1714">
        <f ca="1"/>
        <v>45307</v>
      </c>
      <c r="R226" s="1434" vm="1716">
        <f ca="1"/>
        <v>155.34</v>
      </c>
      <c r="S226" s="1435" vm="1714">
        <f ca="1"/>
        <v>45307</v>
      </c>
      <c r="T226" s="1434" vm="1717">
        <f ca="1"/>
        <v>147.97</v>
      </c>
      <c r="U226" s="1435" vm="1714">
        <f ca="1"/>
        <v>45307</v>
      </c>
      <c r="V226" s="1434" vm="1718">
        <f ca="1"/>
        <v>66.849999999999994</v>
      </c>
      <c r="W226" s="1435" vm="1714">
        <f ca="1"/>
        <v>45307</v>
      </c>
      <c r="X226" s="1434" vm="1719">
        <f ca="1"/>
        <v>482.95</v>
      </c>
      <c r="Y226" s="1435" vm="1714">
        <f ca="1"/>
        <v>45307</v>
      </c>
      <c r="Z226" s="1434" vm="1720">
        <f ca="1"/>
        <v>57.85</v>
      </c>
      <c r="AA226" s="1435" vm="1714">
        <f ca="1"/>
        <v>45307</v>
      </c>
      <c r="AB226" s="1434" vm="1721">
        <f ca="1"/>
        <v>4839.8100000000004</v>
      </c>
    </row>
    <row r="227" spans="15:28" x14ac:dyDescent="0.5">
      <c r="O227" s="1435" vm="1722">
        <f ca="1"/>
        <v>45313</v>
      </c>
      <c r="P227" s="1434" vm="1723">
        <f ca="1"/>
        <v>394.14</v>
      </c>
      <c r="Q227" s="1435" vm="1722">
        <f ca="1"/>
        <v>45313</v>
      </c>
      <c r="R227" s="1434" vm="1724">
        <f ca="1"/>
        <v>159.12</v>
      </c>
      <c r="S227" s="1435" vm="1722">
        <f ca="1"/>
        <v>45313</v>
      </c>
      <c r="T227" s="1434" vm="1725">
        <f ca="1"/>
        <v>153.79</v>
      </c>
      <c r="U227" s="1435" vm="1722">
        <f ca="1"/>
        <v>45313</v>
      </c>
      <c r="V227" s="1434" vm="1726">
        <f ca="1"/>
        <v>68.010000000000005</v>
      </c>
      <c r="W227" s="1435" vm="1722">
        <f ca="1"/>
        <v>45313</v>
      </c>
      <c r="X227" s="1434" vm="1727">
        <f ca="1"/>
        <v>570.41999999999996</v>
      </c>
      <c r="Y227" s="1435" vm="1722">
        <f ca="1"/>
        <v>45313</v>
      </c>
      <c r="Z227" s="1434" vm="1728">
        <f ca="1"/>
        <v>58.62</v>
      </c>
      <c r="AA227" s="1435" vm="1722">
        <f ca="1"/>
        <v>45313</v>
      </c>
      <c r="AB227" s="1434" vm="1729">
        <f ca="1"/>
        <v>4890.97</v>
      </c>
    </row>
    <row r="228" spans="15:28" x14ac:dyDescent="0.5">
      <c r="O228" s="1435" vm="1730">
        <f ca="1"/>
        <v>45320</v>
      </c>
      <c r="P228" s="1434" vm="1731">
        <f ca="1"/>
        <v>474.99</v>
      </c>
      <c r="Q228" s="1435" vm="1730">
        <f ca="1"/>
        <v>45320</v>
      </c>
      <c r="R228" s="1434" vm="1732">
        <f ca="1"/>
        <v>171.81</v>
      </c>
      <c r="S228" s="1435" vm="1730">
        <f ca="1"/>
        <v>45320</v>
      </c>
      <c r="T228" s="1434" vm="1733">
        <f ca="1"/>
        <v>143.54</v>
      </c>
      <c r="U228" s="1435" vm="1730">
        <f ca="1"/>
        <v>45320</v>
      </c>
      <c r="V228" s="1434" vm="1734">
        <f ca="1"/>
        <v>70</v>
      </c>
      <c r="W228" s="1435" vm="1730">
        <f ca="1"/>
        <v>45320</v>
      </c>
      <c r="X228" s="1434" vm="1735">
        <f ca="1"/>
        <v>564.64</v>
      </c>
      <c r="Y228" s="1435" vm="1730">
        <f ca="1"/>
        <v>45320</v>
      </c>
      <c r="Z228" s="1434" vm="1736">
        <f ca="1"/>
        <v>56.65</v>
      </c>
      <c r="AA228" s="1435" vm="1730">
        <f ca="1"/>
        <v>45320</v>
      </c>
      <c r="AB228" s="1434" vm="1737">
        <f ca="1"/>
        <v>4958.6099999999997</v>
      </c>
    </row>
    <row r="229" spans="15:28" x14ac:dyDescent="0.5">
      <c r="O229" s="1435" vm="1738">
        <f ca="1"/>
        <v>45327</v>
      </c>
      <c r="P229" s="1434" vm="1739">
        <f ca="1"/>
        <v>468.11</v>
      </c>
      <c r="Q229" s="1435" vm="1738">
        <f ca="1"/>
        <v>45327</v>
      </c>
      <c r="R229" s="1434" vm="1740">
        <f ca="1"/>
        <v>174.45</v>
      </c>
      <c r="S229" s="1435" vm="1738">
        <f ca="1"/>
        <v>45327</v>
      </c>
      <c r="T229" s="1434" vm="1741">
        <f ca="1"/>
        <v>150.22</v>
      </c>
      <c r="U229" s="1435" vm="1738">
        <f ca="1"/>
        <v>45327</v>
      </c>
      <c r="V229" s="1434" vm="1742">
        <f ca="1"/>
        <v>71.31</v>
      </c>
      <c r="W229" s="1435" vm="1738">
        <f ca="1"/>
        <v>45327</v>
      </c>
      <c r="X229" s="1434" vm="1743">
        <f ca="1"/>
        <v>561.32000000000005</v>
      </c>
      <c r="Y229" s="1435" vm="1738">
        <f ca="1"/>
        <v>45327</v>
      </c>
      <c r="Z229" s="1434" vm="1744">
        <f ca="1"/>
        <v>57.25</v>
      </c>
      <c r="AA229" s="1435" vm="1738">
        <f ca="1"/>
        <v>45327</v>
      </c>
      <c r="AB229" s="1434" vm="1745">
        <f ca="1"/>
        <v>5026.6099999999997</v>
      </c>
    </row>
    <row r="230" spans="15:28" x14ac:dyDescent="0.5">
      <c r="O230" s="1435" vm="1746">
        <f ca="1"/>
        <v>45334</v>
      </c>
      <c r="P230" s="1434" vm="1747">
        <f ca="1"/>
        <v>473.32</v>
      </c>
      <c r="Q230" s="1435" vm="1746">
        <f ca="1"/>
        <v>45334</v>
      </c>
      <c r="R230" s="1434" vm="1748">
        <f ca="1"/>
        <v>169.51</v>
      </c>
      <c r="S230" s="1435" vm="1746">
        <f ca="1"/>
        <v>45334</v>
      </c>
      <c r="T230" s="1434" vm="1749">
        <f ca="1"/>
        <v>141.76</v>
      </c>
      <c r="U230" s="1435" vm="1746">
        <f ca="1"/>
        <v>45334</v>
      </c>
      <c r="V230" s="1434" vm="1750">
        <f ca="1"/>
        <v>88.93</v>
      </c>
      <c r="W230" s="1435" vm="1746">
        <f ca="1"/>
        <v>45334</v>
      </c>
      <c r="X230" s="1434" vm="1751">
        <f ca="1"/>
        <v>583.95000000000005</v>
      </c>
      <c r="Y230" s="1435" vm="1746">
        <f ca="1"/>
        <v>45334</v>
      </c>
      <c r="Z230" s="1434" vm="1752">
        <f ca="1"/>
        <v>55.42</v>
      </c>
      <c r="AA230" s="1435" vm="1746">
        <f ca="1"/>
        <v>45334</v>
      </c>
      <c r="AB230" s="1434" vm="1753">
        <f ca="1"/>
        <v>5005.57</v>
      </c>
    </row>
    <row r="231" spans="15:28" x14ac:dyDescent="0.5">
      <c r="O231" s="1435" vm="1754">
        <f ca="1"/>
        <v>45342</v>
      </c>
      <c r="P231" s="1434" vm="1755">
        <f ca="1"/>
        <v>484.03</v>
      </c>
      <c r="Q231" s="1435" vm="1754">
        <f ca="1"/>
        <v>45342</v>
      </c>
      <c r="R231" s="1434" vm="1756">
        <f ca="1"/>
        <v>174.99</v>
      </c>
      <c r="S231" s="1435" vm="1754">
        <f ca="1"/>
        <v>45342</v>
      </c>
      <c r="T231" s="1434" vm="1757">
        <f ca="1"/>
        <v>145.29</v>
      </c>
      <c r="U231" s="1435" vm="1754">
        <f ca="1"/>
        <v>45342</v>
      </c>
      <c r="V231" s="1434" vm="1758">
        <f ca="1"/>
        <v>81.44</v>
      </c>
      <c r="W231" s="1435" vm="1754">
        <f ca="1"/>
        <v>45342</v>
      </c>
      <c r="X231" s="1434" vm="1759">
        <f ca="1"/>
        <v>583.55999999999995</v>
      </c>
      <c r="Y231" s="1435" vm="1754">
        <f ca="1"/>
        <v>45342</v>
      </c>
      <c r="Z231" s="1434" vm="1736">
        <f ca="1"/>
        <v>56.65</v>
      </c>
      <c r="AA231" s="1435" vm="1754">
        <f ca="1"/>
        <v>45342</v>
      </c>
      <c r="AB231" s="1434" vm="1760">
        <f ca="1"/>
        <v>5088.8</v>
      </c>
    </row>
    <row r="232" spans="15:28" x14ac:dyDescent="0.5">
      <c r="O232" s="1435" vm="1761">
        <f ca="1"/>
        <v>45348</v>
      </c>
      <c r="P232" s="1434" vm="1762">
        <f ca="1"/>
        <v>502.3</v>
      </c>
      <c r="Q232" s="1435" vm="1761">
        <f ca="1"/>
        <v>45348</v>
      </c>
      <c r="R232" s="1434" vm="1763">
        <f ca="1"/>
        <v>178.22</v>
      </c>
      <c r="S232" s="1435" vm="1761">
        <f ca="1"/>
        <v>45348</v>
      </c>
      <c r="T232" s="1434" vm="1764">
        <f ca="1"/>
        <v>138.08000000000001</v>
      </c>
      <c r="U232" s="1435" vm="1761">
        <f ca="1"/>
        <v>45348</v>
      </c>
      <c r="V232" s="1434" vm="1567">
        <f ca="1"/>
        <v>83.89</v>
      </c>
      <c r="W232" s="1435" vm="1761">
        <f ca="1"/>
        <v>45348</v>
      </c>
      <c r="X232" s="1434" vm="1765">
        <f ca="1"/>
        <v>619.34</v>
      </c>
      <c r="Y232" s="1435" vm="1761">
        <f ca="1"/>
        <v>45348</v>
      </c>
      <c r="Z232" s="1434" vm="1766">
        <f ca="1"/>
        <v>56.53</v>
      </c>
      <c r="AA232" s="1435" vm="1761">
        <f ca="1"/>
        <v>45348</v>
      </c>
      <c r="AB232" s="1434" vm="1767">
        <f ca="1"/>
        <v>5137.08</v>
      </c>
    </row>
    <row r="233" spans="15:28" x14ac:dyDescent="0.5">
      <c r="O233" s="1435" vm="1768">
        <f ca="1"/>
        <v>45355</v>
      </c>
      <c r="P233" s="1434" vm="1769">
        <f ca="1"/>
        <v>505.95</v>
      </c>
      <c r="Q233" s="1435" vm="1768">
        <f ca="1"/>
        <v>45355</v>
      </c>
      <c r="R233" s="1434" vm="1770">
        <f ca="1"/>
        <v>175.35</v>
      </c>
      <c r="S233" s="1435" vm="1768">
        <f ca="1"/>
        <v>45355</v>
      </c>
      <c r="T233" s="1434" vm="1771">
        <f ca="1"/>
        <v>136.29</v>
      </c>
      <c r="U233" s="1435" vm="1768">
        <f ca="1"/>
        <v>45355</v>
      </c>
      <c r="V233" s="1434" vm="1772">
        <f ca="1"/>
        <v>81.59</v>
      </c>
      <c r="W233" s="1435" vm="1768">
        <f ca="1"/>
        <v>45355</v>
      </c>
      <c r="X233" s="1434" vm="1773">
        <f ca="1"/>
        <v>604.82000000000005</v>
      </c>
      <c r="Y233" s="1435" vm="1768">
        <f ca="1"/>
        <v>45355</v>
      </c>
      <c r="Z233" s="1434" vm="1774">
        <f ca="1"/>
        <v>60.01</v>
      </c>
      <c r="AA233" s="1435" vm="1768">
        <f ca="1"/>
        <v>45355</v>
      </c>
      <c r="AB233" s="1434" vm="1775">
        <f ca="1"/>
        <v>5123.6899999999996</v>
      </c>
    </row>
    <row r="234" spans="15:28" x14ac:dyDescent="0.5">
      <c r="O234" s="1435" vm="1776">
        <f ca="1"/>
        <v>45362</v>
      </c>
      <c r="P234" s="1434" vm="1777">
        <f ca="1"/>
        <v>484.1</v>
      </c>
      <c r="Q234" s="1435" vm="1776">
        <f ca="1"/>
        <v>45362</v>
      </c>
      <c r="R234" s="1434" vm="1778">
        <f ca="1"/>
        <v>174.42</v>
      </c>
      <c r="S234" s="1435" vm="1776">
        <f ca="1"/>
        <v>45362</v>
      </c>
      <c r="T234" s="1434" vm="1779">
        <f ca="1"/>
        <v>142.16999999999999</v>
      </c>
      <c r="U234" s="1435" vm="1776">
        <f ca="1"/>
        <v>45362</v>
      </c>
      <c r="V234" s="1434" vm="1780">
        <f ca="1"/>
        <v>76.72</v>
      </c>
      <c r="W234" s="1435" vm="1776">
        <f ca="1"/>
        <v>45362</v>
      </c>
      <c r="X234" s="1434" vm="1781">
        <f ca="1"/>
        <v>605.88</v>
      </c>
      <c r="Y234" s="1435" vm="1776">
        <f ca="1"/>
        <v>45362</v>
      </c>
      <c r="Z234" s="1434" vm="1155">
        <f ca="1"/>
        <v>59.68</v>
      </c>
      <c r="AA234" s="1435" vm="1776">
        <f ca="1"/>
        <v>45362</v>
      </c>
      <c r="AB234" s="1434" vm="1782">
        <f ca="1"/>
        <v>5117.09</v>
      </c>
    </row>
    <row r="235" spans="15:28" x14ac:dyDescent="0.5">
      <c r="O235" s="1435" vm="1783">
        <f ca="1"/>
        <v>45369</v>
      </c>
      <c r="P235" s="1434" vm="1784">
        <f ca="1"/>
        <v>509.58</v>
      </c>
      <c r="Q235" s="1435" vm="1783">
        <f ca="1"/>
        <v>45369</v>
      </c>
      <c r="R235" s="1434" vm="1785">
        <f ca="1"/>
        <v>178.87</v>
      </c>
      <c r="S235" s="1435" vm="1783">
        <f ca="1"/>
        <v>45369</v>
      </c>
      <c r="T235" s="1434" vm="1786">
        <f ca="1"/>
        <v>151.77000000000001</v>
      </c>
      <c r="U235" s="1435" vm="1783">
        <f ca="1"/>
        <v>45369</v>
      </c>
      <c r="V235" s="1434" vm="1787">
        <f ca="1"/>
        <v>85.06</v>
      </c>
      <c r="W235" s="1435" vm="1783">
        <f ca="1"/>
        <v>45369</v>
      </c>
      <c r="X235" s="1434" vm="1788">
        <f ca="1"/>
        <v>628.01</v>
      </c>
      <c r="Y235" s="1435" vm="1783">
        <f ca="1"/>
        <v>45369</v>
      </c>
      <c r="Z235" s="1434" vm="1789">
        <f ca="1"/>
        <v>61.63</v>
      </c>
      <c r="AA235" s="1435" vm="1783">
        <f ca="1"/>
        <v>45369</v>
      </c>
      <c r="AB235" s="1434" vm="1790">
        <f ca="1"/>
        <v>5234.18</v>
      </c>
    </row>
    <row r="236" spans="15:28" x14ac:dyDescent="0.5">
      <c r="O236" s="1435" vm="1791">
        <f ca="1"/>
        <v>45376</v>
      </c>
      <c r="P236" s="1434" vm="1792">
        <f ca="1"/>
        <v>485.58</v>
      </c>
      <c r="Q236" s="1435" vm="1791">
        <f ca="1"/>
        <v>45376</v>
      </c>
      <c r="R236" s="1434" vm="1793">
        <f ca="1"/>
        <v>180.38</v>
      </c>
      <c r="S236" s="1435" vm="1791">
        <f ca="1"/>
        <v>45376</v>
      </c>
      <c r="T236" s="1434" vm="1794">
        <f ca="1"/>
        <v>152.26</v>
      </c>
      <c r="U236" s="1435" vm="1791">
        <f ca="1"/>
        <v>45376</v>
      </c>
      <c r="V236" s="1434" vm="1795">
        <f ca="1"/>
        <v>87.42</v>
      </c>
      <c r="W236" s="1435" vm="1791">
        <f ca="1"/>
        <v>45376</v>
      </c>
      <c r="X236" s="1434" vm="1796">
        <f ca="1"/>
        <v>607.33000000000004</v>
      </c>
      <c r="Y236" s="1435" vm="1791">
        <f ca="1"/>
        <v>45376</v>
      </c>
      <c r="Z236" s="1434" vm="1797">
        <f ca="1"/>
        <v>63.1</v>
      </c>
      <c r="AA236" s="1435" vm="1791">
        <f ca="1"/>
        <v>45376</v>
      </c>
      <c r="AB236" s="1434" vm="1798">
        <f ca="1"/>
        <v>5254.35</v>
      </c>
    </row>
    <row r="237" spans="15:28" x14ac:dyDescent="0.5">
      <c r="O237" s="1435" vm="1799">
        <f ca="1"/>
        <v>45383</v>
      </c>
      <c r="P237" s="1434" vm="1800">
        <f ca="1"/>
        <v>527.34</v>
      </c>
      <c r="Q237" s="1435" vm="1799">
        <f ca="1"/>
        <v>45383</v>
      </c>
      <c r="R237" s="1434" vm="1801">
        <f ca="1"/>
        <v>185.07</v>
      </c>
      <c r="S237" s="1435" vm="1799">
        <f ca="1"/>
        <v>45383</v>
      </c>
      <c r="T237" s="1434" vm="1802">
        <f ca="1"/>
        <v>153.94</v>
      </c>
      <c r="U237" s="1435" vm="1799">
        <f ca="1"/>
        <v>45383</v>
      </c>
      <c r="V237" s="1434" vm="1803">
        <f ca="1"/>
        <v>85.83</v>
      </c>
      <c r="W237" s="1435" vm="1799">
        <f ca="1"/>
        <v>45383</v>
      </c>
      <c r="X237" s="1434" vm="1804">
        <f ca="1"/>
        <v>636.17999999999995</v>
      </c>
      <c r="Y237" s="1435" vm="1799">
        <f ca="1"/>
        <v>45383</v>
      </c>
      <c r="Z237" s="1434" vm="1805">
        <f ca="1"/>
        <v>62.04</v>
      </c>
      <c r="AA237" s="1435" vm="1799">
        <f ca="1"/>
        <v>45383</v>
      </c>
      <c r="AB237" s="1434" vm="1806">
        <f ca="1"/>
        <v>5204.34</v>
      </c>
    </row>
    <row r="238" spans="15:28" x14ac:dyDescent="0.5">
      <c r="O238" s="1435" vm="1807">
        <f ca="1"/>
        <v>45390</v>
      </c>
      <c r="P238" s="1434" vm="1808">
        <f ca="1"/>
        <v>511.9</v>
      </c>
      <c r="Q238" s="1435" vm="1807">
        <f ca="1"/>
        <v>45390</v>
      </c>
      <c r="R238" s="1434" vm="1809">
        <f ca="1"/>
        <v>186.13</v>
      </c>
      <c r="S238" s="1435" vm="1807">
        <f ca="1"/>
        <v>45390</v>
      </c>
      <c r="T238" s="1434" vm="1810">
        <f ca="1"/>
        <v>159.19</v>
      </c>
      <c r="U238" s="1435" vm="1807">
        <f ca="1"/>
        <v>45390</v>
      </c>
      <c r="V238" s="1434" vm="1811">
        <f ca="1"/>
        <v>86.37</v>
      </c>
      <c r="W238" s="1435" vm="1807">
        <f ca="1"/>
        <v>45390</v>
      </c>
      <c r="X238" s="1434" vm="1812">
        <f ca="1"/>
        <v>622.83000000000004</v>
      </c>
      <c r="Y238" s="1435" vm="1807">
        <f ca="1"/>
        <v>45390</v>
      </c>
      <c r="Z238" s="1434" vm="1813">
        <f ca="1"/>
        <v>61.52</v>
      </c>
      <c r="AA238" s="1435" vm="1807">
        <f ca="1"/>
        <v>45390</v>
      </c>
      <c r="AB238" s="1434" vm="1814">
        <f ca="1"/>
        <v>5123.41</v>
      </c>
    </row>
    <row r="239" spans="15:28" x14ac:dyDescent="0.5">
      <c r="O239" s="1435" vm="1815">
        <f ca="1"/>
        <v>45397</v>
      </c>
      <c r="P239" s="1434" vm="1816">
        <f ca="1"/>
        <v>481.07</v>
      </c>
      <c r="Q239" s="1435" vm="1815">
        <f ca="1"/>
        <v>45397</v>
      </c>
      <c r="R239" s="1434" vm="1817">
        <f ca="1"/>
        <v>174.63</v>
      </c>
      <c r="S239" s="1435" vm="1815">
        <f ca="1"/>
        <v>45397</v>
      </c>
      <c r="T239" s="1434" vm="1818">
        <f ca="1"/>
        <v>155.72</v>
      </c>
      <c r="U239" s="1435" vm="1815">
        <f ca="1"/>
        <v>45397</v>
      </c>
      <c r="V239" s="1434" vm="1819">
        <f ca="1"/>
        <v>77.3</v>
      </c>
      <c r="W239" s="1435" vm="1815">
        <f ca="1"/>
        <v>45397</v>
      </c>
      <c r="X239" s="1434" vm="1820">
        <f ca="1"/>
        <v>555.04</v>
      </c>
      <c r="Y239" s="1435" vm="1815">
        <f ca="1"/>
        <v>45397</v>
      </c>
      <c r="Z239" s="1434" vm="1821">
        <f ca="1"/>
        <v>60.35</v>
      </c>
      <c r="AA239" s="1435" vm="1815">
        <f ca="1"/>
        <v>45397</v>
      </c>
      <c r="AB239" s="1434" vm="1822">
        <f ca="1"/>
        <v>4967.2299999999996</v>
      </c>
    </row>
    <row r="240" spans="15:28" x14ac:dyDescent="0.5">
      <c r="O240" s="1435" vm="1823">
        <f ca="1"/>
        <v>45404</v>
      </c>
      <c r="P240" s="1434" vm="1824">
        <f ca="1"/>
        <v>443.29</v>
      </c>
      <c r="Q240" s="1435" vm="1823">
        <f ca="1"/>
        <v>45404</v>
      </c>
      <c r="R240" s="1434" vm="1825">
        <f ca="1"/>
        <v>179.62</v>
      </c>
      <c r="S240" s="1435" vm="1823">
        <f ca="1"/>
        <v>45404</v>
      </c>
      <c r="T240" s="1434" vm="1826">
        <f ca="1"/>
        <v>173.69</v>
      </c>
      <c r="U240" s="1435" vm="1823">
        <f ca="1"/>
        <v>45404</v>
      </c>
      <c r="V240" s="1434" vm="1827">
        <f ca="1"/>
        <v>84.73</v>
      </c>
      <c r="W240" s="1435" vm="1823">
        <f ca="1"/>
        <v>45404</v>
      </c>
      <c r="X240" s="1434" vm="1828">
        <f ca="1"/>
        <v>561.23</v>
      </c>
      <c r="Y240" s="1435" vm="1823">
        <f ca="1"/>
        <v>45404</v>
      </c>
      <c r="Z240" s="1434" vm="1829">
        <f ca="1"/>
        <v>60.12</v>
      </c>
      <c r="AA240" s="1435" vm="1823">
        <f ca="1"/>
        <v>45404</v>
      </c>
      <c r="AB240" s="1434" vm="1830">
        <f ca="1"/>
        <v>5099.96</v>
      </c>
    </row>
    <row r="241" spans="15:28" x14ac:dyDescent="0.5">
      <c r="O241" s="1435" vm="1831">
        <f ca="1"/>
        <v>45411</v>
      </c>
      <c r="P241" s="1434" vm="29">
        <f ca="1"/>
        <v>451.96</v>
      </c>
      <c r="Q241" s="1435" vm="1831">
        <f ca="1"/>
        <v>45411</v>
      </c>
      <c r="R241" s="1434" vm="30">
        <f ca="1"/>
        <v>186.21</v>
      </c>
      <c r="S241" s="1435" vm="1831">
        <f ca="1"/>
        <v>45411</v>
      </c>
      <c r="T241" s="1434" vm="31">
        <f ca="1"/>
        <v>168.99</v>
      </c>
      <c r="U241" s="1435" vm="1831">
        <f ca="1"/>
        <v>45411</v>
      </c>
      <c r="V241" s="1434" vm="32">
        <f ca="1"/>
        <v>88.59</v>
      </c>
      <c r="W241" s="1435" vm="1831">
        <f ca="1"/>
        <v>45411</v>
      </c>
      <c r="X241" s="1434" vm="33">
        <f ca="1"/>
        <v>579.34</v>
      </c>
      <c r="Y241" s="1435" vm="1831">
        <f ca="1"/>
        <v>45411</v>
      </c>
      <c r="Z241" s="1434" vm="34">
        <f ca="1"/>
        <v>60.87</v>
      </c>
      <c r="AA241" s="1435" vm="1831">
        <f ca="1"/>
        <v>45411</v>
      </c>
      <c r="AB241" s="1434" vm="35">
        <f ca="1"/>
        <v>5127.79</v>
      </c>
    </row>
    <row r="242" spans="15:28" x14ac:dyDescent="0.5">
      <c r="O242" s="1435" vm="1832">
        <f ca="1"/>
        <v>45418</v>
      </c>
      <c r="P242" s="1434" vm="1833">
        <f ca="1"/>
        <v>476.2</v>
      </c>
      <c r="Q242" s="1435" vm="1832">
        <f ca="1"/>
        <v>45418</v>
      </c>
      <c r="R242" s="1434" vm="1834">
        <f ca="1"/>
        <v>187.48</v>
      </c>
      <c r="S242" s="1435" vm="1832">
        <f ca="1"/>
        <v>45418</v>
      </c>
      <c r="T242" s="1434" vm="1835">
        <f ca="1"/>
        <v>170.29</v>
      </c>
      <c r="U242" s="1435" vm="1832">
        <f ca="1"/>
        <v>45418</v>
      </c>
      <c r="V242" s="1434" vm="1836">
        <f ca="1"/>
        <v>87.26</v>
      </c>
      <c r="W242" s="1435" vm="1832">
        <f ca="1"/>
        <v>45418</v>
      </c>
      <c r="X242" s="1434" vm="1837">
        <f ca="1"/>
        <v>610.87</v>
      </c>
      <c r="Y242" s="1435" vm="1832">
        <f ca="1"/>
        <v>45418</v>
      </c>
      <c r="Z242" s="1434" vm="1838">
        <f ca="1"/>
        <v>60.66</v>
      </c>
      <c r="AA242" s="1435" vm="1832">
        <f ca="1"/>
        <v>45418</v>
      </c>
      <c r="AB242" s="1434" vm="1839">
        <f ca="1"/>
        <v>5222.68</v>
      </c>
    </row>
    <row r="243" spans="15:28" x14ac:dyDescent="0.5">
      <c r="O243" s="1435" vm="1840">
        <f ca="1"/>
        <v>45425</v>
      </c>
      <c r="P243" s="1434" vm="1841">
        <f ca="1"/>
        <v>471.91</v>
      </c>
      <c r="Q243" s="1435" vm="1840">
        <f ca="1"/>
        <v>45425</v>
      </c>
      <c r="R243" s="1434" vm="1842">
        <f ca="1"/>
        <v>184.7</v>
      </c>
      <c r="S243" s="1435" vm="1840">
        <f ca="1"/>
        <v>45425</v>
      </c>
      <c r="T243" s="1434" vm="1843">
        <f ca="1"/>
        <v>177.29</v>
      </c>
      <c r="U243" s="1435" vm="1840">
        <f ca="1"/>
        <v>45425</v>
      </c>
      <c r="V243" s="1434" vm="1844">
        <f ca="1"/>
        <v>94.78</v>
      </c>
      <c r="W243" s="1435" vm="1840">
        <f ca="1"/>
        <v>45425</v>
      </c>
      <c r="X243" s="1434" vm="1845">
        <f ca="1"/>
        <v>621.1</v>
      </c>
      <c r="Y243" s="1435" vm="1840">
        <f ca="1"/>
        <v>45425</v>
      </c>
      <c r="Z243" s="1434" vm="1846">
        <f ca="1"/>
        <v>62.76</v>
      </c>
      <c r="AA243" s="1435" vm="1840">
        <f ca="1"/>
        <v>45425</v>
      </c>
      <c r="AB243" s="1434" vm="1847">
        <f ca="1"/>
        <v>5303.27</v>
      </c>
    </row>
    <row r="244" spans="15:28" x14ac:dyDescent="0.5">
      <c r="O244" s="1435" vm="1848">
        <f ca="1"/>
        <v>45432</v>
      </c>
      <c r="P244" s="1434" vm="1849">
        <f ca="1"/>
        <v>478.22</v>
      </c>
      <c r="Q244" s="1435" vm="1848">
        <f ca="1"/>
        <v>45432</v>
      </c>
      <c r="R244" s="1434" vm="1850">
        <f ca="1"/>
        <v>180.75</v>
      </c>
      <c r="S244" s="1435" vm="1848">
        <f ca="1"/>
        <v>45432</v>
      </c>
      <c r="T244" s="1434" vm="1851">
        <f ca="1"/>
        <v>176.33</v>
      </c>
      <c r="U244" s="1435" vm="1848">
        <f ca="1"/>
        <v>45432</v>
      </c>
      <c r="V244" s="1434" vm="1852">
        <f ca="1"/>
        <v>94.75</v>
      </c>
      <c r="W244" s="1435" vm="1848">
        <f ca="1"/>
        <v>45432</v>
      </c>
      <c r="X244" s="1434" vm="1853">
        <f ca="1"/>
        <v>646.75</v>
      </c>
      <c r="Y244" s="1435" vm="1848">
        <f ca="1"/>
        <v>45432</v>
      </c>
      <c r="Z244" s="1434" vm="1854">
        <f ca="1"/>
        <v>62.23</v>
      </c>
      <c r="AA244" s="1435" vm="1848">
        <f ca="1"/>
        <v>45432</v>
      </c>
      <c r="AB244" s="1434" vm="1855">
        <f ca="1"/>
        <v>5304.72</v>
      </c>
    </row>
    <row r="245" spans="15:28" x14ac:dyDescent="0.5">
      <c r="O245" s="1435" vm="1856">
        <f ca="1"/>
        <v>45440</v>
      </c>
      <c r="P245" s="1434" vm="1857">
        <f ca="1"/>
        <v>466.83</v>
      </c>
      <c r="Q245" s="1435" vm="1856">
        <f ca="1"/>
        <v>45440</v>
      </c>
      <c r="R245" s="1434" vm="1858">
        <f ca="1"/>
        <v>176.44</v>
      </c>
      <c r="S245" s="1435" vm="1856">
        <f ca="1"/>
        <v>45440</v>
      </c>
      <c r="T245" s="1434" vm="1859">
        <f ca="1"/>
        <v>173.96</v>
      </c>
      <c r="U245" s="1435" vm="1856">
        <f ca="1"/>
        <v>45440</v>
      </c>
      <c r="V245" s="1434" vm="1860">
        <f ca="1"/>
        <v>92.78</v>
      </c>
      <c r="W245" s="1435" vm="1856">
        <f ca="1"/>
        <v>45440</v>
      </c>
      <c r="X245" s="1434" vm="1861">
        <f ca="1"/>
        <v>641.62</v>
      </c>
      <c r="Y245" s="1435" vm="1856">
        <f ca="1"/>
        <v>45440</v>
      </c>
      <c r="Z245" s="1434" vm="1862">
        <f ca="1"/>
        <v>59.03</v>
      </c>
      <c r="AA245" s="1435" vm="1856">
        <f ca="1"/>
        <v>45440</v>
      </c>
      <c r="AB245" s="1434" vm="1863">
        <f ca="1"/>
        <v>5277.51</v>
      </c>
    </row>
    <row r="246" spans="15:28" x14ac:dyDescent="0.5">
      <c r="O246" s="1435" vm="1864">
        <f ca="1"/>
        <v>45446</v>
      </c>
      <c r="P246" s="1434" vm="1865">
        <f ca="1"/>
        <v>492.96</v>
      </c>
      <c r="Q246" s="1435" vm="1864">
        <f ca="1"/>
        <v>45446</v>
      </c>
      <c r="R246" s="1434" vm="1866">
        <f ca="1"/>
        <v>184.3</v>
      </c>
      <c r="S246" s="1435" vm="1864">
        <f ca="1"/>
        <v>45446</v>
      </c>
      <c r="T246" s="1434" vm="1867">
        <f ca="1"/>
        <v>175.95</v>
      </c>
      <c r="U246" s="1435" vm="1864">
        <f ca="1"/>
        <v>45446</v>
      </c>
      <c r="V246" s="1434" vm="1868">
        <f ca="1"/>
        <v>94.17</v>
      </c>
      <c r="W246" s="1435" vm="1864">
        <f ca="1"/>
        <v>45446</v>
      </c>
      <c r="X246" s="1434" vm="1869">
        <f ca="1"/>
        <v>641.47</v>
      </c>
      <c r="Y246" s="1435" vm="1864">
        <f ca="1"/>
        <v>45446</v>
      </c>
      <c r="Z246" s="1434" vm="1870">
        <f ca="1"/>
        <v>58.78</v>
      </c>
      <c r="AA246" s="1435" vm="1864">
        <f ca="1"/>
        <v>45446</v>
      </c>
      <c r="AB246" s="1434" vm="1871">
        <f ca="1"/>
        <v>5346.99</v>
      </c>
    </row>
    <row r="247" spans="15:28" x14ac:dyDescent="0.5">
      <c r="O247" s="1435" vm="1872">
        <f ca="1"/>
        <v>45453</v>
      </c>
      <c r="P247" s="1434" vm="1873">
        <f ca="1"/>
        <v>504.16</v>
      </c>
      <c r="Q247" s="1435" vm="1872">
        <f ca="1"/>
        <v>45453</v>
      </c>
      <c r="R247" s="1434" vm="1874">
        <f ca="1"/>
        <v>183.66</v>
      </c>
      <c r="S247" s="1435" vm="1872">
        <f ca="1"/>
        <v>45453</v>
      </c>
      <c r="T247" s="1434" vm="1875">
        <f ca="1"/>
        <v>178.37</v>
      </c>
      <c r="U247" s="1435" vm="1872">
        <f ca="1"/>
        <v>45453</v>
      </c>
      <c r="V247" s="1434" vm="1876">
        <f ca="1"/>
        <v>95.66</v>
      </c>
      <c r="W247" s="1435" vm="1872">
        <f ca="1"/>
        <v>45453</v>
      </c>
      <c r="X247" s="1434" vm="1877">
        <f ca="1"/>
        <v>669.38</v>
      </c>
      <c r="Y247" s="1435" vm="1872">
        <f ca="1"/>
        <v>45453</v>
      </c>
      <c r="Z247" s="1434" vm="1878">
        <f ca="1"/>
        <v>58.6</v>
      </c>
      <c r="AA247" s="1435" vm="1872">
        <f ca="1"/>
        <v>45453</v>
      </c>
      <c r="AB247" s="1434" vm="1879">
        <f ca="1"/>
        <v>5431.6</v>
      </c>
    </row>
    <row r="248" spans="15:28" x14ac:dyDescent="0.5">
      <c r="O248" s="1435" vm="1880">
        <f ca="1"/>
        <v>45460</v>
      </c>
      <c r="P248" s="1434" vm="1881">
        <f ca="1"/>
        <v>494.78</v>
      </c>
      <c r="Q248" s="1435" vm="1880">
        <f ca="1"/>
        <v>45460</v>
      </c>
      <c r="R248" s="1434" vm="1882">
        <f ca="1"/>
        <v>189.08</v>
      </c>
      <c r="S248" s="1435" vm="1880">
        <f ca="1"/>
        <v>45460</v>
      </c>
      <c r="T248" s="1434" vm="1883">
        <f ca="1"/>
        <v>180.26</v>
      </c>
      <c r="U248" s="1435" vm="1880">
        <f ca="1"/>
        <v>45460</v>
      </c>
      <c r="V248" s="1434" vm="1884">
        <f ca="1"/>
        <v>97.71</v>
      </c>
      <c r="W248" s="1435" vm="1880">
        <f ca="1"/>
        <v>45460</v>
      </c>
      <c r="X248" s="1434" vm="1885">
        <f ca="1"/>
        <v>686.12</v>
      </c>
      <c r="Y248" s="1435" vm="1880">
        <f ca="1"/>
        <v>45460</v>
      </c>
      <c r="Z248" s="1434" vm="1886">
        <f ca="1"/>
        <v>60.25</v>
      </c>
      <c r="AA248" s="1435" vm="1880">
        <f ca="1"/>
        <v>45460</v>
      </c>
      <c r="AB248" s="1434" vm="1887">
        <f ca="1"/>
        <v>5464.62</v>
      </c>
    </row>
    <row r="249" spans="15:28" x14ac:dyDescent="0.5">
      <c r="O249" s="1435" vm="1888">
        <f ca="1"/>
        <v>45467</v>
      </c>
      <c r="P249" s="1434" vm="1889">
        <f ca="1"/>
        <v>504.22</v>
      </c>
      <c r="Q249" s="1435" vm="1888">
        <f ca="1"/>
        <v>45467</v>
      </c>
      <c r="R249" s="1434" vm="1890">
        <f ca="1"/>
        <v>193.25</v>
      </c>
      <c r="S249" s="1435" vm="1888">
        <f ca="1"/>
        <v>45467</v>
      </c>
      <c r="T249" s="1434" vm="1891">
        <f ca="1"/>
        <v>183.42</v>
      </c>
      <c r="U249" s="1435" vm="1888">
        <f ca="1"/>
        <v>45467</v>
      </c>
      <c r="V249" s="1434" vm="1892">
        <f ca="1"/>
        <v>97.67</v>
      </c>
      <c r="W249" s="1435" vm="1888">
        <f ca="1"/>
        <v>45467</v>
      </c>
      <c r="X249" s="1434" vm="1893">
        <f ca="1"/>
        <v>674.88</v>
      </c>
      <c r="Y249" s="1435" vm="1888">
        <f ca="1"/>
        <v>45467</v>
      </c>
      <c r="Z249" s="1434" vm="1894">
        <f ca="1"/>
        <v>60.26</v>
      </c>
      <c r="AA249" s="1435" vm="1888">
        <f ca="1"/>
        <v>45467</v>
      </c>
      <c r="AB249" s="1434" vm="1895">
        <f ca="1"/>
        <v>5460.48</v>
      </c>
    </row>
    <row r="250" spans="15:28" x14ac:dyDescent="0.5">
      <c r="O250" s="1435" vm="1896">
        <f ca="1"/>
        <v>45474</v>
      </c>
      <c r="P250" s="1434" vm="1897">
        <f ca="1"/>
        <v>539.91</v>
      </c>
      <c r="Q250" s="1435" vm="1896">
        <f ca="1"/>
        <v>45474</v>
      </c>
      <c r="R250" s="1434" vm="1898">
        <f ca="1"/>
        <v>200</v>
      </c>
      <c r="S250" s="1435" vm="1896">
        <f ca="1"/>
        <v>45474</v>
      </c>
      <c r="T250" s="1434" vm="1899">
        <f ca="1"/>
        <v>191.96</v>
      </c>
      <c r="U250" s="1435" vm="1896">
        <f ca="1"/>
        <v>45474</v>
      </c>
      <c r="V250" s="1434" vm="1900">
        <f ca="1"/>
        <v>99.9</v>
      </c>
      <c r="W250" s="1435" vm="1896">
        <f ca="1"/>
        <v>45474</v>
      </c>
      <c r="X250" s="1434" vm="1901">
        <f ca="1"/>
        <v>690.65</v>
      </c>
      <c r="Y250" s="1435" vm="1896">
        <f ca="1"/>
        <v>45474</v>
      </c>
      <c r="Z250" s="1434" vm="1902">
        <f ca="1"/>
        <v>60.38</v>
      </c>
      <c r="AA250" s="1435" vm="1896">
        <f ca="1"/>
        <v>45474</v>
      </c>
      <c r="AB250" s="1434" vm="1903">
        <f ca="1"/>
        <v>5567.19</v>
      </c>
    </row>
    <row r="251" spans="15:28" x14ac:dyDescent="0.5">
      <c r="O251" s="1435" vm="1904">
        <f ca="1"/>
        <v>45481</v>
      </c>
      <c r="P251" s="1434" vm="1905">
        <f ca="1"/>
        <v>498.87</v>
      </c>
      <c r="Q251" s="1435" vm="1904">
        <f ca="1"/>
        <v>45481</v>
      </c>
      <c r="R251" s="1434" vm="1906">
        <f ca="1"/>
        <v>194.49</v>
      </c>
      <c r="S251" s="1435" vm="1904">
        <f ca="1"/>
        <v>45481</v>
      </c>
      <c r="T251" s="1434" vm="1907">
        <f ca="1"/>
        <v>186.78</v>
      </c>
      <c r="U251" s="1435" vm="1904">
        <f ca="1"/>
        <v>45481</v>
      </c>
      <c r="V251" s="1434" vm="1908">
        <f ca="1"/>
        <v>99.48</v>
      </c>
      <c r="W251" s="1435" vm="1904">
        <f ca="1"/>
        <v>45481</v>
      </c>
      <c r="X251" s="1434" vm="1909">
        <f ca="1"/>
        <v>647.6</v>
      </c>
      <c r="Y251" s="1435" vm="1904">
        <f ca="1"/>
        <v>45481</v>
      </c>
      <c r="Z251" s="1434" vm="39">
        <f ca="1"/>
        <v>62.7</v>
      </c>
      <c r="AA251" s="1435" vm="1904">
        <f ca="1"/>
        <v>45481</v>
      </c>
      <c r="AB251" s="1434" vm="1910">
        <f ca="1"/>
        <v>5615.35</v>
      </c>
    </row>
    <row r="252" spans="15:28" x14ac:dyDescent="0.5">
      <c r="O252" s="1435" vm="1911">
        <f ca="1"/>
        <v>45488</v>
      </c>
      <c r="P252" s="1434" vm="1912">
        <f ca="1"/>
        <v>476.79</v>
      </c>
      <c r="Q252" s="1435" vm="1911">
        <f ca="1"/>
        <v>45488</v>
      </c>
      <c r="R252" s="1434" vm="1913">
        <f ca="1"/>
        <v>183.13</v>
      </c>
      <c r="S252" s="1435" vm="1911">
        <f ca="1"/>
        <v>45488</v>
      </c>
      <c r="T252" s="1434" vm="1914">
        <f ca="1"/>
        <v>179.39</v>
      </c>
      <c r="U252" s="1435" vm="1911">
        <f ca="1"/>
        <v>45488</v>
      </c>
      <c r="V252" s="1434" vm="1915">
        <f ca="1"/>
        <v>96.01</v>
      </c>
      <c r="W252" s="1435" vm="1911">
        <f ca="1"/>
        <v>45488</v>
      </c>
      <c r="X252" s="1434" vm="1916">
        <f ca="1"/>
        <v>633.34</v>
      </c>
      <c r="Y252" s="1435" vm="1911">
        <f ca="1"/>
        <v>45488</v>
      </c>
      <c r="Z252" s="1434" vm="1917">
        <f ca="1"/>
        <v>62.51</v>
      </c>
      <c r="AA252" s="1435" vm="1911">
        <f ca="1"/>
        <v>45488</v>
      </c>
      <c r="AB252" s="1434" vm="1918">
        <f ca="1"/>
        <v>5505</v>
      </c>
    </row>
    <row r="253" spans="15:28" x14ac:dyDescent="0.5">
      <c r="O253" s="1435" vm="1919">
        <f ca="1"/>
        <v>45495</v>
      </c>
      <c r="P253" s="1434" vm="1920">
        <f ca="1"/>
        <v>465.7</v>
      </c>
      <c r="Q253" s="1435" vm="1919">
        <f ca="1"/>
        <v>45495</v>
      </c>
      <c r="R253" s="1434" vm="1921">
        <f ca="1"/>
        <v>182.5</v>
      </c>
      <c r="S253" s="1435" vm="1919">
        <f ca="1"/>
        <v>45495</v>
      </c>
      <c r="T253" s="1434" vm="1922">
        <f ca="1"/>
        <v>168.68</v>
      </c>
      <c r="U253" s="1435" vm="1919">
        <f ca="1"/>
        <v>45495</v>
      </c>
      <c r="V253" s="1434" vm="1923">
        <f ca="1"/>
        <v>92.43</v>
      </c>
      <c r="W253" s="1435" vm="1919">
        <f ca="1"/>
        <v>45495</v>
      </c>
      <c r="X253" s="1434" vm="1924">
        <f ca="1"/>
        <v>631.37</v>
      </c>
      <c r="Y253" s="1435" vm="1919">
        <f ca="1"/>
        <v>45495</v>
      </c>
      <c r="Z253" s="1434" vm="1711">
        <f ca="1"/>
        <v>66.959999999999994</v>
      </c>
      <c r="AA253" s="1435" vm="1919">
        <f ca="1"/>
        <v>45495</v>
      </c>
      <c r="AB253" s="1434" vm="1925">
        <f ca="1"/>
        <v>5459.1</v>
      </c>
    </row>
    <row r="254" spans="15:28" x14ac:dyDescent="0.5">
      <c r="O254" s="1435" vm="1926">
        <f ca="1"/>
        <v>45502</v>
      </c>
      <c r="P254" s="1434" vm="1927">
        <f ca="1"/>
        <v>488.14</v>
      </c>
      <c r="Q254" s="1435" vm="1926">
        <f ca="1"/>
        <v>45502</v>
      </c>
      <c r="R254" s="1434" vm="1928">
        <f ca="1"/>
        <v>167.9</v>
      </c>
      <c r="S254" s="1435" vm="1926">
        <f ca="1"/>
        <v>45502</v>
      </c>
      <c r="T254" s="1434" vm="1929">
        <f ca="1"/>
        <v>168.4</v>
      </c>
      <c r="U254" s="1435" vm="1926">
        <f ca="1"/>
        <v>45502</v>
      </c>
      <c r="V254" s="1434" vm="1930">
        <f ca="1"/>
        <v>83.08</v>
      </c>
      <c r="W254" s="1435" vm="1926">
        <f ca="1"/>
        <v>45502</v>
      </c>
      <c r="X254" s="1434" vm="1931">
        <f ca="1"/>
        <v>613.64</v>
      </c>
      <c r="Y254" s="1435" vm="1926">
        <f ca="1"/>
        <v>45502</v>
      </c>
      <c r="Z254" s="1434" vm="1622">
        <f ca="1"/>
        <v>66.86</v>
      </c>
      <c r="AA254" s="1435" vm="1926">
        <f ca="1"/>
        <v>45502</v>
      </c>
      <c r="AB254" s="1434" vm="1932">
        <f ca="1"/>
        <v>5346.56</v>
      </c>
    </row>
    <row r="255" spans="15:28" x14ac:dyDescent="0.5">
      <c r="O255" s="1435" vm="1933">
        <f ca="1"/>
        <v>45509</v>
      </c>
      <c r="P255" s="1434" vm="1934">
        <f ca="1"/>
        <v>517.77</v>
      </c>
      <c r="Q255" s="1435" vm="1933">
        <f ca="1"/>
        <v>45509</v>
      </c>
      <c r="R255" s="1434" vm="1935">
        <f ca="1"/>
        <v>166.94</v>
      </c>
      <c r="S255" s="1435" vm="1933">
        <f ca="1"/>
        <v>45509</v>
      </c>
      <c r="T255" s="1434" vm="1936">
        <f ca="1"/>
        <v>165.39</v>
      </c>
      <c r="U255" s="1435" vm="1933">
        <f ca="1"/>
        <v>45509</v>
      </c>
      <c r="V255" s="1434" vm="1937">
        <f ca="1"/>
        <v>99.3</v>
      </c>
      <c r="W255" s="1435" vm="1933">
        <f ca="1"/>
        <v>45509</v>
      </c>
      <c r="X255" s="1434" vm="1938">
        <f ca="1"/>
        <v>633.94000000000005</v>
      </c>
      <c r="Y255" s="1435" vm="1933">
        <f ca="1"/>
        <v>45509</v>
      </c>
      <c r="Z255" s="1434" vm="1939">
        <f ca="1"/>
        <v>68.09</v>
      </c>
      <c r="AA255" s="1435" vm="1933">
        <f ca="1"/>
        <v>45509</v>
      </c>
      <c r="AB255" s="1434" vm="1940">
        <f ca="1"/>
        <v>5344.16</v>
      </c>
    </row>
    <row r="256" spans="15:28" x14ac:dyDescent="0.5">
      <c r="O256" s="1435" vm="1941">
        <f ca="1"/>
        <v>45516</v>
      </c>
      <c r="P256" s="1434" vm="1942">
        <f ca="1"/>
        <v>527.41999999999996</v>
      </c>
      <c r="Q256" s="1435" vm="1941">
        <f ca="1"/>
        <v>45516</v>
      </c>
      <c r="R256" s="1434" vm="1943">
        <f ca="1"/>
        <v>177.06</v>
      </c>
      <c r="S256" s="1435" vm="1941">
        <f ca="1"/>
        <v>45516</v>
      </c>
      <c r="T256" s="1434" vm="1944">
        <f ca="1"/>
        <v>164.74</v>
      </c>
      <c r="U256" s="1435" vm="1941">
        <f ca="1"/>
        <v>45516</v>
      </c>
      <c r="V256" s="1434" vm="1945">
        <f ca="1"/>
        <v>101.43</v>
      </c>
      <c r="W256" s="1435" vm="1941">
        <f ca="1"/>
        <v>45516</v>
      </c>
      <c r="X256" s="1434" vm="1946">
        <f ca="1"/>
        <v>674.07</v>
      </c>
      <c r="Y256" s="1435" vm="1941">
        <f ca="1"/>
        <v>45516</v>
      </c>
      <c r="Z256" s="1434" vm="1947">
        <f ca="1"/>
        <v>69.83</v>
      </c>
      <c r="AA256" s="1435" vm="1941">
        <f ca="1"/>
        <v>45516</v>
      </c>
      <c r="AB256" s="1434" vm="1948">
        <f ca="1"/>
        <v>5554.25</v>
      </c>
    </row>
    <row r="257" spans="15:28" x14ac:dyDescent="0.5">
      <c r="O257" s="1435" vm="1949">
        <f ca="1"/>
        <v>45523</v>
      </c>
      <c r="P257" s="1434" vm="1950">
        <f ca="1"/>
        <v>528</v>
      </c>
      <c r="Q257" s="1435" vm="1949">
        <f ca="1"/>
        <v>45523</v>
      </c>
      <c r="R257" s="1434" vm="1951">
        <f ca="1"/>
        <v>177.04</v>
      </c>
      <c r="S257" s="1435" vm="1949">
        <f ca="1"/>
        <v>45523</v>
      </c>
      <c r="T257" s="1434" vm="1952">
        <f ca="1"/>
        <v>167.43</v>
      </c>
      <c r="U257" s="1435" vm="1949">
        <f ca="1"/>
        <v>45523</v>
      </c>
      <c r="V257" s="1434" vm="1953">
        <f ca="1"/>
        <v>105</v>
      </c>
      <c r="W257" s="1435" vm="1949">
        <f ca="1"/>
        <v>45523</v>
      </c>
      <c r="X257" s="1434" vm="1954">
        <f ca="1"/>
        <v>686.73</v>
      </c>
      <c r="Y257" s="1435" vm="1949">
        <f ca="1"/>
        <v>45523</v>
      </c>
      <c r="Z257" s="1434" vm="1955">
        <f ca="1"/>
        <v>70.349999999999994</v>
      </c>
      <c r="AA257" s="1435" vm="1949">
        <f ca="1"/>
        <v>45523</v>
      </c>
      <c r="AB257" s="1434" vm="1956">
        <f ca="1"/>
        <v>5634.61</v>
      </c>
    </row>
    <row r="258" spans="15:28" x14ac:dyDescent="0.5">
      <c r="O258" s="1435" vm="1957">
        <f ca="1"/>
        <v>45530</v>
      </c>
      <c r="P258" s="1434" vm="1958">
        <f ca="1"/>
        <v>521.30999999999995</v>
      </c>
      <c r="Q258" s="1435" vm="1957">
        <f ca="1"/>
        <v>45530</v>
      </c>
      <c r="R258" s="1434" vm="1959">
        <f ca="1"/>
        <v>178.5</v>
      </c>
      <c r="S258" s="1435" vm="1957">
        <f ca="1"/>
        <v>45530</v>
      </c>
      <c r="T258" s="1434" vm="1960">
        <f ca="1"/>
        <v>165.11</v>
      </c>
      <c r="U258" s="1435" vm="1957">
        <f ca="1"/>
        <v>45530</v>
      </c>
      <c r="V258" s="1434" vm="1961">
        <f ca="1"/>
        <v>104.53</v>
      </c>
      <c r="W258" s="1435" vm="1957">
        <f ca="1"/>
        <v>45530</v>
      </c>
      <c r="X258" s="1434" vm="1962">
        <f ca="1"/>
        <v>701.35</v>
      </c>
      <c r="Y258" s="1435" vm="1957">
        <f ca="1"/>
        <v>45530</v>
      </c>
      <c r="Z258" s="1434" vm="1963">
        <f ca="1"/>
        <v>72.08</v>
      </c>
      <c r="AA258" s="1435" vm="1957">
        <f ca="1"/>
        <v>45530</v>
      </c>
      <c r="AB258" s="1434" vm="1964">
        <f ca="1"/>
        <v>5648.4</v>
      </c>
    </row>
    <row r="259" spans="15:28" x14ac:dyDescent="0.5">
      <c r="O259" s="1435" vm="1965">
        <f ca="1"/>
        <v>45538</v>
      </c>
      <c r="P259" s="1434" vm="1966">
        <f ca="1"/>
        <v>500.27</v>
      </c>
      <c r="Q259" s="1435" vm="1965">
        <f ca="1"/>
        <v>45538</v>
      </c>
      <c r="R259" s="1434" vm="1967">
        <f ca="1"/>
        <v>171.39</v>
      </c>
      <c r="S259" s="1435" vm="1965">
        <f ca="1"/>
        <v>45538</v>
      </c>
      <c r="T259" s="1434" vm="1968">
        <f ca="1"/>
        <v>152.13</v>
      </c>
      <c r="U259" s="1435" vm="1965">
        <f ca="1"/>
        <v>45538</v>
      </c>
      <c r="V259" s="1434" vm="1969">
        <f ca="1"/>
        <v>100.31</v>
      </c>
      <c r="W259" s="1435" vm="1965">
        <f ca="1"/>
        <v>45538</v>
      </c>
      <c r="X259" s="1434" vm="1970">
        <f ca="1"/>
        <v>665.77</v>
      </c>
      <c r="Y259" s="1435" vm="1965">
        <f ca="1"/>
        <v>45538</v>
      </c>
      <c r="Z259" s="1434" vm="1971">
        <f ca="1"/>
        <v>71.95</v>
      </c>
      <c r="AA259" s="1435" vm="1965">
        <f ca="1"/>
        <v>45538</v>
      </c>
      <c r="AB259" s="1434" vm="1972">
        <f ca="1"/>
        <v>5408.42</v>
      </c>
    </row>
    <row r="260" spans="15:28" x14ac:dyDescent="0.5">
      <c r="O260" s="1435" vm="1973">
        <f ca="1"/>
        <v>45544</v>
      </c>
      <c r="P260" s="1434" vm="1974">
        <f ca="1"/>
        <v>524.62</v>
      </c>
      <c r="Q260" s="1435" vm="1973">
        <f ca="1"/>
        <v>45544</v>
      </c>
      <c r="R260" s="1434" vm="1975">
        <f ca="1"/>
        <v>186.49</v>
      </c>
      <c r="S260" s="1435" vm="1973">
        <f ca="1"/>
        <v>45544</v>
      </c>
      <c r="T260" s="1434" vm="1976">
        <f ca="1"/>
        <v>158.37</v>
      </c>
      <c r="U260" s="1435" vm="1973">
        <f ca="1"/>
        <v>45544</v>
      </c>
      <c r="V260" s="1434" vm="1382">
        <f ca="1"/>
        <v>106.06</v>
      </c>
      <c r="W260" s="1435" vm="1973">
        <f ca="1"/>
        <v>45544</v>
      </c>
      <c r="X260" s="1434" vm="1977">
        <f ca="1"/>
        <v>697.06</v>
      </c>
      <c r="Y260" s="1435" vm="1973">
        <f ca="1"/>
        <v>45544</v>
      </c>
      <c r="Z260" s="1434" vm="1978">
        <f ca="1"/>
        <v>73</v>
      </c>
      <c r="AA260" s="1435" vm="1973">
        <f ca="1"/>
        <v>45544</v>
      </c>
      <c r="AB260" s="1434" vm="1979">
        <f ca="1"/>
        <v>5626.02</v>
      </c>
    </row>
    <row r="261" spans="15:28" x14ac:dyDescent="0.5">
      <c r="O261" s="1435" vm="1980">
        <f ca="1"/>
        <v>45551</v>
      </c>
      <c r="P261" s="1434" vm="1981">
        <f ca="1"/>
        <v>561.35</v>
      </c>
      <c r="Q261" s="1435" vm="1980">
        <f ca="1"/>
        <v>45551</v>
      </c>
      <c r="R261" s="1434" vm="1982">
        <f ca="1"/>
        <v>191.6</v>
      </c>
      <c r="S261" s="1435" vm="1980">
        <f ca="1"/>
        <v>45551</v>
      </c>
      <c r="T261" s="1434" vm="1983">
        <f ca="1"/>
        <v>164.64</v>
      </c>
      <c r="U261" s="1435" vm="1980">
        <f ca="1"/>
        <v>45551</v>
      </c>
      <c r="V261" s="1434" vm="1984">
        <f ca="1"/>
        <v>109.51</v>
      </c>
      <c r="W261" s="1435" vm="1980">
        <f ca="1"/>
        <v>45551</v>
      </c>
      <c r="X261" s="1434" vm="1985">
        <f ca="1"/>
        <v>701.03</v>
      </c>
      <c r="Y261" s="1435" vm="1980">
        <f ca="1"/>
        <v>45551</v>
      </c>
      <c r="Z261" s="1434" vm="1986">
        <f ca="1"/>
        <v>74.290000000000006</v>
      </c>
      <c r="AA261" s="1435" vm="1980">
        <f ca="1"/>
        <v>45551</v>
      </c>
      <c r="AB261" s="1434" vm="1987">
        <f ca="1"/>
        <v>5702.55</v>
      </c>
    </row>
    <row r="262" spans="15:28" x14ac:dyDescent="0.5">
      <c r="O262" s="1435" vm="1988">
        <f ca="1"/>
        <v>45558</v>
      </c>
      <c r="P262" s="1434" vm="1989">
        <f ca="1"/>
        <v>567.36</v>
      </c>
      <c r="Q262" s="1435" vm="1988">
        <f ca="1"/>
        <v>45558</v>
      </c>
      <c r="R262" s="1434" vm="1990">
        <f ca="1"/>
        <v>187.97</v>
      </c>
      <c r="S262" s="1435" vm="1988">
        <f ca="1"/>
        <v>45558</v>
      </c>
      <c r="T262" s="1434" vm="1991">
        <f ca="1"/>
        <v>165.29</v>
      </c>
      <c r="U262" s="1435" vm="1988">
        <f ca="1"/>
        <v>45558</v>
      </c>
      <c r="V262" s="1434" vm="1992">
        <f ca="1"/>
        <v>109.45</v>
      </c>
      <c r="W262" s="1435" vm="1988">
        <f ca="1"/>
        <v>45558</v>
      </c>
      <c r="X262" s="1434" vm="1993">
        <f ca="1"/>
        <v>707.35</v>
      </c>
      <c r="Y262" s="1435" vm="1988">
        <f ca="1"/>
        <v>45558</v>
      </c>
      <c r="Z262" s="1434" vm="1994">
        <f ca="1"/>
        <v>72.599999999999994</v>
      </c>
      <c r="AA262" s="1435" vm="1988">
        <f ca="1"/>
        <v>45558</v>
      </c>
      <c r="AB262" s="1434" vm="1995">
        <f ca="1"/>
        <v>5738.17</v>
      </c>
    </row>
    <row r="263" spans="15:28" x14ac:dyDescent="0.5">
      <c r="O263" s="1435" vm="1996">
        <f ca="1"/>
        <v>45565</v>
      </c>
      <c r="P263" s="1434" vm="1997">
        <f ca="1"/>
        <v>595.94000000000005</v>
      </c>
      <c r="Q263" s="1435" vm="1996">
        <f ca="1"/>
        <v>45565</v>
      </c>
      <c r="R263" s="1434" vm="1998">
        <f ca="1"/>
        <v>186.51</v>
      </c>
      <c r="S263" s="1435" vm="1996">
        <f ca="1"/>
        <v>45565</v>
      </c>
      <c r="T263" s="1434" vm="1999">
        <f ca="1"/>
        <v>168.56</v>
      </c>
      <c r="U263" s="1435" vm="1996">
        <f ca="1"/>
        <v>45565</v>
      </c>
      <c r="V263" s="1434" vm="1183">
        <f ca="1"/>
        <v>113</v>
      </c>
      <c r="W263" s="1435" vm="1996">
        <f ca="1"/>
        <v>45565</v>
      </c>
      <c r="X263" s="1434" vm="2000">
        <f ca="1"/>
        <v>719.7</v>
      </c>
      <c r="Y263" s="1435" vm="1996">
        <f ca="1"/>
        <v>45565</v>
      </c>
      <c r="Z263" s="1434" vm="2001">
        <f ca="1"/>
        <v>72.12</v>
      </c>
      <c r="AA263" s="1435" vm="1996">
        <f ca="1"/>
        <v>45565</v>
      </c>
      <c r="AB263" s="1434" vm="2002">
        <f ca="1"/>
        <v>5751.07</v>
      </c>
    </row>
    <row r="264" spans="15:28" x14ac:dyDescent="0.5">
      <c r="O264" s="1435" vm="2003">
        <f ca="1"/>
        <v>45572</v>
      </c>
      <c r="P264" s="1434" vm="2004">
        <f ca="1"/>
        <v>589.95000000000005</v>
      </c>
      <c r="Q264" s="1435" vm="2003">
        <f ca="1"/>
        <v>45572</v>
      </c>
      <c r="R264" s="1434" vm="2005">
        <f ca="1"/>
        <v>188.82</v>
      </c>
      <c r="S264" s="1435" vm="2003">
        <f ca="1"/>
        <v>45572</v>
      </c>
      <c r="T264" s="1434" vm="2006">
        <f ca="1"/>
        <v>164.52</v>
      </c>
      <c r="U264" s="1435" vm="2003">
        <f ca="1"/>
        <v>45572</v>
      </c>
      <c r="V264" s="1434" vm="2007">
        <f ca="1"/>
        <v>117.9</v>
      </c>
      <c r="W264" s="1435" vm="2003">
        <f ca="1"/>
        <v>45572</v>
      </c>
      <c r="X264" s="1434" vm="2008">
        <f ca="1"/>
        <v>722.79</v>
      </c>
      <c r="Y264" s="1435" vm="2003">
        <f ca="1"/>
        <v>45572</v>
      </c>
      <c r="Z264" s="1434" vm="2009">
        <f ca="1"/>
        <v>71.62</v>
      </c>
      <c r="AA264" s="1435" vm="2003">
        <f ca="1"/>
        <v>45572</v>
      </c>
      <c r="AB264" s="1434" vm="2010">
        <f ca="1"/>
        <v>5815.03</v>
      </c>
    </row>
    <row r="265" spans="15:28" x14ac:dyDescent="0.5">
      <c r="O265" s="1435" vm="2011">
        <f ca="1"/>
        <v>45579</v>
      </c>
      <c r="P265" s="1434" vm="2012">
        <f ca="1"/>
        <v>576.47</v>
      </c>
      <c r="Q265" s="1435" vm="2011">
        <f ca="1"/>
        <v>45579</v>
      </c>
      <c r="R265" s="1434" vm="2013">
        <f ca="1"/>
        <v>188.99</v>
      </c>
      <c r="S265" s="1435" vm="2011">
        <f ca="1"/>
        <v>45579</v>
      </c>
      <c r="T265" s="1434" vm="2014">
        <f ca="1"/>
        <v>165.05</v>
      </c>
      <c r="U265" s="1435" vm="2011">
        <f ca="1"/>
        <v>45579</v>
      </c>
      <c r="V265" s="1434" vm="2015">
        <f ca="1"/>
        <v>118.76</v>
      </c>
      <c r="W265" s="1435" vm="2011">
        <f ca="1"/>
        <v>45579</v>
      </c>
      <c r="X265" s="1434" vm="2016">
        <f ca="1"/>
        <v>763.89</v>
      </c>
      <c r="Y265" s="1435" vm="2011">
        <f ca="1"/>
        <v>45579</v>
      </c>
      <c r="Z265" s="1434" vm="807">
        <f ca="1"/>
        <v>74.91</v>
      </c>
      <c r="AA265" s="1435" vm="2011">
        <f ca="1"/>
        <v>45579</v>
      </c>
      <c r="AB265" s="1434" vm="2017">
        <f ca="1"/>
        <v>5864.67</v>
      </c>
    </row>
    <row r="266" spans="15:28" x14ac:dyDescent="0.5">
      <c r="O266" s="1435" vm="2018">
        <f ca="1"/>
        <v>45586</v>
      </c>
      <c r="P266" s="1434" vm="2019">
        <f ca="1"/>
        <v>573.25</v>
      </c>
      <c r="Q266" s="1435" vm="2018">
        <f ca="1"/>
        <v>45586</v>
      </c>
      <c r="R266" s="1434" vm="2020">
        <f ca="1"/>
        <v>187.83</v>
      </c>
      <c r="S266" s="1435" vm="2018">
        <f ca="1"/>
        <v>45586</v>
      </c>
      <c r="T266" s="1434" vm="2021">
        <f ca="1"/>
        <v>166.99</v>
      </c>
      <c r="U266" s="1435" vm="2018">
        <f ca="1"/>
        <v>45586</v>
      </c>
      <c r="V266" s="1434" vm="2022">
        <f ca="1"/>
        <v>119.47</v>
      </c>
      <c r="W266" s="1435" vm="2018">
        <f ca="1"/>
        <v>45586</v>
      </c>
      <c r="X266" s="1434" vm="2023">
        <f ca="1"/>
        <v>754.68</v>
      </c>
      <c r="Y266" s="1435" vm="2018">
        <f ca="1"/>
        <v>45586</v>
      </c>
      <c r="Z266" s="1434" vm="2024">
        <f ca="1"/>
        <v>74.69</v>
      </c>
      <c r="AA266" s="1435" vm="2018">
        <f ca="1"/>
        <v>45586</v>
      </c>
      <c r="AB266" s="1434" vm="2025">
        <f ca="1"/>
        <v>5808.12</v>
      </c>
    </row>
    <row r="267" spans="15:28" x14ac:dyDescent="0.5">
      <c r="O267" s="1435" vm="2026">
        <f ca="1"/>
        <v>45593</v>
      </c>
      <c r="P267" s="1434" vm="2027">
        <f ca="1"/>
        <v>567.16</v>
      </c>
      <c r="Q267" s="1435" vm="2026">
        <f ca="1"/>
        <v>45593</v>
      </c>
      <c r="R267" s="1434" vm="2028">
        <f ca="1"/>
        <v>197.93</v>
      </c>
      <c r="S267" s="1435" vm="2026">
        <f ca="1"/>
        <v>45593</v>
      </c>
      <c r="T267" s="1434" vm="2029">
        <f ca="1"/>
        <v>172.65</v>
      </c>
      <c r="U267" s="1435" vm="2026">
        <f ca="1"/>
        <v>45593</v>
      </c>
      <c r="V267" s="1434" vm="2030">
        <f ca="1"/>
        <v>119.19</v>
      </c>
      <c r="W267" s="1435" vm="2026">
        <f ca="1"/>
        <v>45593</v>
      </c>
      <c r="X267" s="1434" vm="2031">
        <f ca="1"/>
        <v>756.1</v>
      </c>
      <c r="Y267" s="1435" vm="2026">
        <f ca="1"/>
        <v>45593</v>
      </c>
      <c r="Z267" s="1434" vm="2032">
        <f ca="1"/>
        <v>74.319999999999993</v>
      </c>
      <c r="AA267" s="1435" vm="2026">
        <f ca="1"/>
        <v>45593</v>
      </c>
      <c r="AB267" s="1434" vm="2033">
        <f ca="1"/>
        <v>5728.8</v>
      </c>
    </row>
    <row r="268" spans="15:28" x14ac:dyDescent="0.5">
      <c r="O268" s="1435" vm="2034">
        <f ca="1"/>
        <v>45600</v>
      </c>
      <c r="P268" s="1434" vm="22">
        <f ca="1"/>
        <v>589.34</v>
      </c>
      <c r="Q268" s="1435" vm="2034">
        <f ca="1"/>
        <v>45600</v>
      </c>
      <c r="R268" s="1434" vm="23">
        <f ca="1"/>
        <v>208.18</v>
      </c>
      <c r="S268" s="1435" vm="2034">
        <f ca="1"/>
        <v>45600</v>
      </c>
      <c r="T268" s="1434" vm="24">
        <f ca="1"/>
        <v>179.86</v>
      </c>
      <c r="U268" s="1435" vm="2034">
        <f ca="1"/>
        <v>45600</v>
      </c>
      <c r="V268" s="1434" vm="25">
        <f ca="1"/>
        <v>125.13</v>
      </c>
      <c r="W268" s="1435" vm="2034">
        <f ca="1"/>
        <v>45600</v>
      </c>
      <c r="X268" s="1434" vm="26">
        <f ca="1"/>
        <v>795.04</v>
      </c>
      <c r="Y268" s="1435" vm="2034">
        <f ca="1"/>
        <v>45600</v>
      </c>
      <c r="Z268" s="1434" vm="27">
        <f ca="1"/>
        <v>78.69</v>
      </c>
      <c r="AA268" s="1435" vm="2034">
        <f ca="1"/>
        <v>45600</v>
      </c>
      <c r="AB268" s="1434" vm="28">
        <f ca="1"/>
        <v>5995.54</v>
      </c>
    </row>
    <row r="269" spans="15:28" x14ac:dyDescent="0.5">
      <c r="O269" s="1435" vm="2035">
        <f ca="1"/>
        <v>45607</v>
      </c>
      <c r="P269" s="1434" vm="2036">
        <f ca="1"/>
        <v>554.08000000000004</v>
      </c>
      <c r="Q269" s="1435" vm="2035">
        <f ca="1"/>
        <v>45607</v>
      </c>
      <c r="R269" s="1434" vm="2037">
        <f ca="1"/>
        <v>202.61</v>
      </c>
      <c r="S269" s="1435" vm="2035">
        <f ca="1"/>
        <v>45607</v>
      </c>
      <c r="T269" s="1434" vm="2038">
        <f ca="1"/>
        <v>173.89</v>
      </c>
      <c r="U269" s="1435" vm="2035">
        <f ca="1"/>
        <v>45607</v>
      </c>
      <c r="V269" s="1434" vm="2039">
        <f ca="1"/>
        <v>118.15</v>
      </c>
      <c r="W269" s="1435" vm="2035">
        <f ca="1"/>
        <v>45607</v>
      </c>
      <c r="X269" s="1434" vm="2040">
        <f ca="1"/>
        <v>823.96</v>
      </c>
      <c r="Y269" s="1435" vm="2035">
        <f ca="1"/>
        <v>45607</v>
      </c>
      <c r="Z269" s="1434" vm="2041">
        <f ca="1"/>
        <v>78.760000000000005</v>
      </c>
      <c r="AA269" s="1435" vm="2035">
        <f ca="1"/>
        <v>45607</v>
      </c>
      <c r="AB269" s="1434" vm="2042">
        <f ca="1"/>
        <v>5870.62</v>
      </c>
    </row>
    <row r="270" spans="15:28" x14ac:dyDescent="0.5">
      <c r="O270" s="1435" vm="2043">
        <f ca="1"/>
        <v>45614</v>
      </c>
      <c r="P270" s="1434" vm="2044">
        <f ca="1"/>
        <v>559.14</v>
      </c>
      <c r="Q270" s="1435" vm="2043">
        <f ca="1"/>
        <v>45614</v>
      </c>
      <c r="R270" s="1434" vm="2045">
        <f ca="1"/>
        <v>197.12</v>
      </c>
      <c r="S270" s="1435" vm="2043">
        <f ca="1"/>
        <v>45614</v>
      </c>
      <c r="T270" s="1434" vm="2046">
        <f ca="1"/>
        <v>166.57</v>
      </c>
      <c r="U270" s="1435" vm="2043">
        <f ca="1"/>
        <v>45614</v>
      </c>
      <c r="V270" s="1434" vm="2047">
        <f ca="1"/>
        <v>129.69999999999999</v>
      </c>
      <c r="W270" s="1435" vm="2043">
        <f ca="1"/>
        <v>45614</v>
      </c>
      <c r="X270" s="1434" vm="2048">
        <f ca="1"/>
        <v>897.79</v>
      </c>
      <c r="Y270" s="1435" vm="2043">
        <f ca="1"/>
        <v>45614</v>
      </c>
      <c r="Z270" s="1434" vm="2049">
        <f ca="1"/>
        <v>81.069999999999993</v>
      </c>
      <c r="AA270" s="1435" vm="2043">
        <f ca="1"/>
        <v>45614</v>
      </c>
      <c r="AB270" s="1434" vm="2050">
        <f ca="1"/>
        <v>5969.34</v>
      </c>
    </row>
    <row r="271" spans="15:28" x14ac:dyDescent="0.5">
      <c r="O271" s="1435" vm="2051">
        <f ca="1"/>
        <v>45621</v>
      </c>
      <c r="P271" s="1434" vm="2052">
        <f ca="1"/>
        <v>574.32000000000005</v>
      </c>
      <c r="Q271" s="1435" vm="2051">
        <f ca="1"/>
        <v>45621</v>
      </c>
      <c r="R271" s="1434" vm="2053">
        <f ca="1"/>
        <v>207.89</v>
      </c>
      <c r="S271" s="1435" vm="2051">
        <f ca="1"/>
        <v>45621</v>
      </c>
      <c r="T271" s="1434" vm="2054">
        <f ca="1"/>
        <v>170.49</v>
      </c>
      <c r="U271" s="1435" vm="2051">
        <f ca="1"/>
        <v>45621</v>
      </c>
      <c r="V271" s="1434" vm="2055">
        <f ca="1"/>
        <v>128.55000000000001</v>
      </c>
      <c r="W271" s="1435" vm="2051">
        <f ca="1"/>
        <v>45621</v>
      </c>
      <c r="X271" s="1434" vm="2056">
        <f ca="1"/>
        <v>886.81</v>
      </c>
      <c r="Y271" s="1435" vm="2051">
        <f ca="1"/>
        <v>45621</v>
      </c>
      <c r="Z271" s="1434" vm="2057">
        <f ca="1"/>
        <v>82.99</v>
      </c>
      <c r="AA271" s="1435" vm="2051">
        <f ca="1"/>
        <v>45621</v>
      </c>
      <c r="AB271" s="1434" vm="2058">
        <f ca="1"/>
        <v>6032.38</v>
      </c>
    </row>
    <row r="272" spans="15:28" x14ac:dyDescent="0.5">
      <c r="O272" s="1435" vm="2059">
        <f ca="1"/>
        <v>45628</v>
      </c>
      <c r="P272" s="1434" vm="2060">
        <f ca="1"/>
        <v>623.77</v>
      </c>
      <c r="Q272" s="1435" vm="2059">
        <f ca="1"/>
        <v>45628</v>
      </c>
      <c r="R272" s="1434" vm="2061">
        <f ca="1"/>
        <v>227.03</v>
      </c>
      <c r="S272" s="1435" vm="2059">
        <f ca="1"/>
        <v>45628</v>
      </c>
      <c r="T272" s="1434" vm="2062">
        <f ca="1"/>
        <v>176.49</v>
      </c>
      <c r="U272" s="1435" vm="2059">
        <f ca="1"/>
        <v>45628</v>
      </c>
      <c r="V272" s="1434" vm="2063">
        <f ca="1"/>
        <v>139.11000000000001</v>
      </c>
      <c r="W272" s="1435" vm="2059">
        <f ca="1"/>
        <v>45628</v>
      </c>
      <c r="X272" s="1434" vm="2064">
        <f ca="1"/>
        <v>934.74</v>
      </c>
      <c r="Y272" s="1435" vm="2059">
        <f ca="1"/>
        <v>45628</v>
      </c>
      <c r="Z272" s="1434" vm="2065">
        <f ca="1"/>
        <v>81.14</v>
      </c>
      <c r="AA272" s="1435" vm="2059">
        <f ca="1"/>
        <v>45628</v>
      </c>
      <c r="AB272" s="1434" vm="2066">
        <f ca="1"/>
        <v>6090.27</v>
      </c>
    </row>
    <row r="273" spans="15:28" x14ac:dyDescent="0.5">
      <c r="O273" s="1435" vm="2067">
        <f ca="1"/>
        <v>45635</v>
      </c>
      <c r="P273" s="1434" vm="2068">
        <f ca="1"/>
        <v>620.35</v>
      </c>
      <c r="Q273" s="1435" vm="2067">
        <f ca="1"/>
        <v>45635</v>
      </c>
      <c r="R273" s="1434" vm="2069">
        <f ca="1"/>
        <v>227.46</v>
      </c>
      <c r="S273" s="1435" vm="2067">
        <f ca="1"/>
        <v>45635</v>
      </c>
      <c r="T273" s="1434" vm="2070">
        <f ca="1"/>
        <v>191.38</v>
      </c>
      <c r="U273" s="1435" vm="2067">
        <f ca="1"/>
        <v>45635</v>
      </c>
      <c r="V273" s="1434" vm="2071">
        <f ca="1"/>
        <v>132.41999999999999</v>
      </c>
      <c r="W273" s="1435" vm="2067">
        <f ca="1"/>
        <v>45635</v>
      </c>
      <c r="X273" s="1434" vm="2072">
        <f ca="1"/>
        <v>918.87</v>
      </c>
      <c r="Y273" s="1435" vm="2067">
        <f ca="1"/>
        <v>45635</v>
      </c>
      <c r="Z273" s="1434" vm="2073">
        <f ca="1"/>
        <v>80.12</v>
      </c>
      <c r="AA273" s="1435" vm="2067">
        <f ca="1"/>
        <v>45635</v>
      </c>
      <c r="AB273" s="1434" vm="2074">
        <f ca="1"/>
        <v>6051.09</v>
      </c>
    </row>
    <row r="274" spans="15:28" x14ac:dyDescent="0.5">
      <c r="O274" s="1435" vm="2075">
        <f ca="1"/>
        <v>45642</v>
      </c>
      <c r="P274" s="1434" vm="2076">
        <f ca="1"/>
        <v>585.25</v>
      </c>
      <c r="Q274" s="1435" vm="2075">
        <f ca="1"/>
        <v>45642</v>
      </c>
      <c r="R274" s="1434" vm="2077">
        <f ca="1"/>
        <v>224.92</v>
      </c>
      <c r="S274" s="1435" vm="2075">
        <f ca="1"/>
        <v>45642</v>
      </c>
      <c r="T274" s="1434" vm="2078">
        <f ca="1"/>
        <v>192.96</v>
      </c>
      <c r="U274" s="1435" vm="2075">
        <f ca="1"/>
        <v>45642</v>
      </c>
      <c r="V274" s="1434" vm="2079">
        <f ca="1"/>
        <v>125.01</v>
      </c>
      <c r="W274" s="1435" vm="2075">
        <f ca="1"/>
        <v>45642</v>
      </c>
      <c r="X274" s="1434" vm="2080">
        <f ca="1"/>
        <v>909.05</v>
      </c>
      <c r="Y274" s="1435" vm="2075">
        <f ca="1"/>
        <v>45642</v>
      </c>
      <c r="Z274" s="1434" vm="2081">
        <f ca="1"/>
        <v>77.7</v>
      </c>
      <c r="AA274" s="1435" vm="2075">
        <f ca="1"/>
        <v>45642</v>
      </c>
      <c r="AB274" s="1434" vm="2082">
        <f ca="1"/>
        <v>5930.85</v>
      </c>
    </row>
    <row r="275" spans="15:28" x14ac:dyDescent="0.5">
      <c r="O275" s="1435" vm="2083">
        <f ca="1"/>
        <v>45649</v>
      </c>
      <c r="P275" s="1434" vm="2084">
        <f ca="1"/>
        <v>599.80999999999995</v>
      </c>
      <c r="Q275" s="1435" vm="2083">
        <f ca="1"/>
        <v>45649</v>
      </c>
      <c r="R275" s="1434" vm="2085">
        <f ca="1"/>
        <v>223.75</v>
      </c>
      <c r="S275" s="1435" vm="2083">
        <f ca="1"/>
        <v>45649</v>
      </c>
      <c r="T275" s="1434" vm="2086">
        <f ca="1"/>
        <v>194.04</v>
      </c>
      <c r="U275" s="1435" vm="2083">
        <f ca="1"/>
        <v>45649</v>
      </c>
      <c r="V275" s="1434" vm="2087">
        <f ca="1"/>
        <v>121.39</v>
      </c>
      <c r="W275" s="1435" vm="2083">
        <f ca="1"/>
        <v>45649</v>
      </c>
      <c r="X275" s="1434" vm="2088">
        <f ca="1"/>
        <v>907.55</v>
      </c>
      <c r="Y275" s="1435" vm="2083">
        <f ca="1"/>
        <v>45649</v>
      </c>
      <c r="Z275" s="1434" vm="2089">
        <f ca="1"/>
        <v>78.42</v>
      </c>
      <c r="AA275" s="1435" vm="2083">
        <f ca="1"/>
        <v>45649</v>
      </c>
      <c r="AB275" s="1434" vm="2090">
        <f ca="1"/>
        <v>5970.84</v>
      </c>
    </row>
    <row r="276" spans="15:28" x14ac:dyDescent="0.5">
      <c r="O276" s="1435" vm="2091">
        <f ca="1"/>
        <v>45656</v>
      </c>
      <c r="P276" s="1434" vm="2092">
        <f ca="1"/>
        <v>604.63</v>
      </c>
      <c r="Q276" s="1435" vm="2091">
        <f ca="1"/>
        <v>45656</v>
      </c>
      <c r="R276" s="1434" vm="2093">
        <f ca="1"/>
        <v>224.19</v>
      </c>
      <c r="S276" s="1435" vm="2091">
        <f ca="1"/>
        <v>45656</v>
      </c>
      <c r="T276" s="1434" vm="2094">
        <f ca="1"/>
        <v>193.13</v>
      </c>
      <c r="U276" s="1435" vm="2091">
        <f ca="1"/>
        <v>45656</v>
      </c>
      <c r="V276" s="1434" vm="2095">
        <f ca="1"/>
        <v>121.84</v>
      </c>
      <c r="W276" s="1435" vm="2091">
        <f ca="1"/>
        <v>45656</v>
      </c>
      <c r="X276" s="1434" vm="2096">
        <f ca="1"/>
        <v>881.05</v>
      </c>
      <c r="Y276" s="1435" vm="2091">
        <f ca="1"/>
        <v>45656</v>
      </c>
      <c r="Z276" s="1434" vm="2097">
        <f ca="1"/>
        <v>78.22</v>
      </c>
      <c r="AA276" s="1435" vm="2091">
        <f ca="1"/>
        <v>45656</v>
      </c>
      <c r="AB276" s="1434" vm="2098">
        <f ca="1"/>
        <v>5942.47</v>
      </c>
    </row>
    <row r="277" spans="15:28" x14ac:dyDescent="0.5">
      <c r="O277" s="1435" vm="2099">
        <f ca="1"/>
        <v>45663</v>
      </c>
      <c r="P277" s="1434" vm="2100">
        <f ca="1"/>
        <v>615.86</v>
      </c>
      <c r="Q277" s="1435" vm="2099">
        <f ca="1"/>
        <v>45663</v>
      </c>
      <c r="R277" s="1434" vm="2101">
        <f ca="1"/>
        <v>218.94</v>
      </c>
      <c r="S277" s="1435" vm="2099">
        <f ca="1"/>
        <v>45663</v>
      </c>
      <c r="T277" s="1434" vm="2102">
        <f ca="1"/>
        <v>193.17</v>
      </c>
      <c r="U277" s="1435" vm="2099">
        <f ca="1"/>
        <v>45663</v>
      </c>
      <c r="V277" s="1434" vm="2103">
        <f ca="1"/>
        <v>118.8</v>
      </c>
      <c r="W277" s="1435" vm="2099">
        <f ca="1"/>
        <v>45663</v>
      </c>
      <c r="X277" s="1434" vm="2104">
        <f ca="1"/>
        <v>837.69</v>
      </c>
      <c r="Y277" s="1435" vm="2099">
        <f ca="1"/>
        <v>45663</v>
      </c>
      <c r="Z277" s="1434" vm="2105">
        <f ca="1"/>
        <v>75.88</v>
      </c>
      <c r="AA277" s="1435" vm="2099">
        <f ca="1"/>
        <v>45663</v>
      </c>
      <c r="AB277" s="1434" vm="2106">
        <f ca="1"/>
        <v>5827.04</v>
      </c>
    </row>
    <row r="278" spans="15:28" x14ac:dyDescent="0.5">
      <c r="O278" s="1435" vm="2107">
        <f ca="1"/>
        <v>45670</v>
      </c>
      <c r="P278" s="1434" vm="2108">
        <f ca="1"/>
        <v>612.77</v>
      </c>
      <c r="Q278" s="1435" vm="2107">
        <f ca="1"/>
        <v>45670</v>
      </c>
      <c r="R278" s="1434" vm="2109">
        <f ca="1"/>
        <v>225.94</v>
      </c>
      <c r="S278" s="1435" vm="2107">
        <f ca="1"/>
        <v>45670</v>
      </c>
      <c r="T278" s="1434" vm="2110">
        <f ca="1"/>
        <v>197.55</v>
      </c>
      <c r="U278" s="1435" vm="2107">
        <f ca="1"/>
        <v>45670</v>
      </c>
      <c r="V278" s="1434" vm="2111">
        <f ca="1"/>
        <v>124.42</v>
      </c>
      <c r="W278" s="1435" vm="2107">
        <f ca="1"/>
        <v>45670</v>
      </c>
      <c r="X278" s="1434" vm="2112">
        <f ca="1"/>
        <v>858.1</v>
      </c>
      <c r="Y278" s="1435" vm="2107">
        <f ca="1"/>
        <v>45670</v>
      </c>
      <c r="Z278" s="1434" vm="2113">
        <f ca="1"/>
        <v>78.83</v>
      </c>
      <c r="AA278" s="1435" vm="2107">
        <f ca="1"/>
        <v>45670</v>
      </c>
      <c r="AB278" s="1434" vm="2114">
        <f ca="1"/>
        <v>5996.66</v>
      </c>
    </row>
    <row r="279" spans="15:28" x14ac:dyDescent="0.5">
      <c r="O279" s="1435" vm="2115">
        <f ca="1"/>
        <v>45678</v>
      </c>
      <c r="P279" s="1434" vm="2116">
        <f ca="1"/>
        <v>647.49</v>
      </c>
      <c r="Q279" s="1435" vm="2115">
        <f ca="1"/>
        <v>45678</v>
      </c>
      <c r="R279" s="1434" vm="2117">
        <f ca="1"/>
        <v>234.85</v>
      </c>
      <c r="S279" s="1435" vm="2115">
        <f ca="1"/>
        <v>45678</v>
      </c>
      <c r="T279" s="1434" vm="2118">
        <f ca="1"/>
        <v>201.9</v>
      </c>
      <c r="U279" s="1435" vm="2115">
        <f ca="1"/>
        <v>45678</v>
      </c>
      <c r="V279" s="1434" vm="2119">
        <f ca="1"/>
        <v>119.96</v>
      </c>
      <c r="W279" s="1435" vm="2115">
        <f ca="1"/>
        <v>45678</v>
      </c>
      <c r="X279" s="1434" vm="2120">
        <f ca="1"/>
        <v>977.59</v>
      </c>
      <c r="Y279" s="1435" vm="2115">
        <f ca="1"/>
        <v>45678</v>
      </c>
      <c r="Z279" s="1434" vm="695">
        <f ca="1"/>
        <v>81.150000000000006</v>
      </c>
      <c r="AA279" s="1435" vm="2115">
        <f ca="1"/>
        <v>45678</v>
      </c>
      <c r="AB279" s="1434" vm="2121">
        <f ca="1"/>
        <v>6101.24</v>
      </c>
    </row>
    <row r="280" spans="15:28" x14ac:dyDescent="0.5">
      <c r="O280" s="1435" vm="2122">
        <f ca="1"/>
        <v>45684</v>
      </c>
      <c r="P280" s="1434" vm="2123">
        <f ca="1"/>
        <v>689.18</v>
      </c>
      <c r="Q280" s="1435" vm="2122">
        <f ca="1"/>
        <v>45684</v>
      </c>
      <c r="R280" s="1434" vm="2124">
        <f ca="1"/>
        <v>237.68</v>
      </c>
      <c r="S280" s="1435" vm="2122">
        <f ca="1"/>
        <v>45684</v>
      </c>
      <c r="T280" s="1434" vm="2125">
        <f ca="1"/>
        <v>205.6</v>
      </c>
      <c r="U280" s="1435" vm="2122">
        <f ca="1"/>
        <v>45684</v>
      </c>
      <c r="V280" s="1434" vm="2126">
        <f ca="1"/>
        <v>118.68</v>
      </c>
      <c r="W280" s="1435" vm="2122">
        <f ca="1"/>
        <v>45684</v>
      </c>
      <c r="X280" s="1434" vm="2127">
        <f ca="1"/>
        <v>976.76</v>
      </c>
      <c r="Y280" s="1435" vm="2122">
        <f ca="1"/>
        <v>45684</v>
      </c>
      <c r="Z280" s="1434" vm="2128">
        <f ca="1"/>
        <v>82.34</v>
      </c>
      <c r="AA280" s="1435" vm="2122">
        <f ca="1"/>
        <v>45684</v>
      </c>
      <c r="AB280" s="1434" vm="2129">
        <f ca="1"/>
        <v>6040.53</v>
      </c>
    </row>
    <row r="281" spans="15:28" x14ac:dyDescent="0.5">
      <c r="O281" s="1435" vm="2130">
        <f ca="1"/>
        <v>45691</v>
      </c>
      <c r="P281" s="1434" vm="2131">
        <f ca="1"/>
        <v>714.52</v>
      </c>
      <c r="Q281" s="1435" vm="2130">
        <f ca="1"/>
        <v>45691</v>
      </c>
      <c r="R281" s="1434" vm="2132">
        <f ca="1"/>
        <v>229.15</v>
      </c>
      <c r="S281" s="1435" vm="2130">
        <f ca="1"/>
        <v>45691</v>
      </c>
      <c r="T281" s="1434" vm="2133">
        <f ca="1"/>
        <v>187.14</v>
      </c>
      <c r="U281" s="1435" vm="2130">
        <f ca="1"/>
        <v>45691</v>
      </c>
      <c r="V281" s="1434" vm="2134">
        <f ca="1"/>
        <v>117.29</v>
      </c>
      <c r="W281" s="1435" vm="2130">
        <f ca="1"/>
        <v>45691</v>
      </c>
      <c r="X281" s="1434" vm="2135">
        <f ca="1"/>
        <v>1013.93</v>
      </c>
      <c r="Y281" s="1435" vm="2130">
        <f ca="1"/>
        <v>45691</v>
      </c>
      <c r="Z281" s="1434" vm="2136">
        <f ca="1"/>
        <v>82.82</v>
      </c>
      <c r="AA281" s="1435" vm="2130">
        <f ca="1"/>
        <v>45691</v>
      </c>
      <c r="AB281" s="1434" vm="2137">
        <f ca="1"/>
        <v>6025.99</v>
      </c>
    </row>
    <row r="282" spans="15:28" x14ac:dyDescent="0.5">
      <c r="O282" s="1435" vm="2138">
        <f ca="1"/>
        <v>45698</v>
      </c>
      <c r="P282" s="1434" vm="2139">
        <f ca="1"/>
        <v>736.67</v>
      </c>
      <c r="Q282" s="1435" vm="2138">
        <f ca="1"/>
        <v>45698</v>
      </c>
      <c r="R282" s="1434" vm="2140">
        <f ca="1"/>
        <v>228.68</v>
      </c>
      <c r="S282" s="1435" vm="2138">
        <f ca="1"/>
        <v>45698</v>
      </c>
      <c r="T282" s="1434" vm="2141">
        <f ca="1"/>
        <v>186.87</v>
      </c>
      <c r="U282" s="1435" vm="2138">
        <f ca="1"/>
        <v>45698</v>
      </c>
      <c r="V282" s="1434" vm="2142">
        <f ca="1"/>
        <v>80.16</v>
      </c>
      <c r="W282" s="1435" vm="2138">
        <f ca="1"/>
        <v>45698</v>
      </c>
      <c r="X282" s="1434" vm="2143">
        <f ca="1"/>
        <v>1058.5999999999999</v>
      </c>
      <c r="Y282" s="1435" vm="2138">
        <f ca="1"/>
        <v>45698</v>
      </c>
      <c r="Z282" s="1434" vm="719">
        <f ca="1"/>
        <v>80.91</v>
      </c>
      <c r="AA282" s="1435" vm="2138">
        <f ca="1"/>
        <v>45698</v>
      </c>
      <c r="AB282" s="1434" vm="2144">
        <f ca="1"/>
        <v>6114.63</v>
      </c>
    </row>
    <row r="283" spans="15:28" x14ac:dyDescent="0.5">
      <c r="O283" s="1435" vm="2145">
        <f ca="1"/>
        <v>45706</v>
      </c>
      <c r="P283" s="1434" vm="2146">
        <f ca="1"/>
        <v>683.55</v>
      </c>
      <c r="Q283" s="1435" vm="2145">
        <f ca="1"/>
        <v>45706</v>
      </c>
      <c r="R283" s="1434" vm="2147">
        <f ca="1"/>
        <v>216.58</v>
      </c>
      <c r="S283" s="1435" vm="2145">
        <f ca="1"/>
        <v>45706</v>
      </c>
      <c r="T283" s="1434" vm="2148">
        <f ca="1"/>
        <v>181.58</v>
      </c>
      <c r="U283" s="1435" vm="2145">
        <f ca="1"/>
        <v>45706</v>
      </c>
      <c r="V283" s="1434" vm="2149">
        <f ca="1"/>
        <v>72.06</v>
      </c>
      <c r="W283" s="1435" vm="2145">
        <f ca="1"/>
        <v>45706</v>
      </c>
      <c r="X283" s="1434" vm="2150">
        <f ca="1"/>
        <v>1003.15</v>
      </c>
      <c r="Y283" s="1435" vm="2145">
        <f ca="1"/>
        <v>45706</v>
      </c>
      <c r="Z283" s="1434" vm="2049">
        <f ca="1"/>
        <v>81.069999999999993</v>
      </c>
      <c r="AA283" s="1435" vm="2145">
        <f ca="1"/>
        <v>45706</v>
      </c>
      <c r="AB283" s="1434" vm="2151">
        <f ca="1"/>
        <v>6013.13</v>
      </c>
    </row>
    <row r="284" spans="15:28" x14ac:dyDescent="0.5">
      <c r="O284" s="1435" vm="2152">
        <f ca="1"/>
        <v>45712</v>
      </c>
      <c r="P284" s="1434" vm="2153">
        <f ca="1"/>
        <v>668.2</v>
      </c>
      <c r="Q284" s="1435" vm="2152">
        <f ca="1"/>
        <v>45712</v>
      </c>
      <c r="R284" s="1434" vm="2154">
        <f ca="1"/>
        <v>212.28</v>
      </c>
      <c r="S284" s="1435" vm="2152">
        <f ca="1"/>
        <v>45712</v>
      </c>
      <c r="T284" s="1434" vm="2155">
        <f ca="1"/>
        <v>172.22</v>
      </c>
      <c r="U284" s="1435" vm="2152">
        <f ca="1"/>
        <v>45712</v>
      </c>
      <c r="V284" s="1434" vm="2156">
        <f ca="1"/>
        <v>70.319999999999993</v>
      </c>
      <c r="W284" s="1435" vm="2152">
        <f ca="1"/>
        <v>45712</v>
      </c>
      <c r="X284" s="1434" vm="2157">
        <f ca="1"/>
        <v>980.56</v>
      </c>
      <c r="Y284" s="1435" vm="2152">
        <f ca="1"/>
        <v>45712</v>
      </c>
      <c r="Z284" s="1434" vm="2158">
        <f ca="1"/>
        <v>82.78</v>
      </c>
      <c r="AA284" s="1435" vm="2152">
        <f ca="1"/>
        <v>45712</v>
      </c>
      <c r="AB284" s="1434" vm="2159">
        <f ca="1"/>
        <v>5954.5</v>
      </c>
    </row>
    <row r="285" spans="15:28" x14ac:dyDescent="0.5">
      <c r="O285" s="1435" vm="2160">
        <f ca="1"/>
        <v>45719</v>
      </c>
      <c r="P285" s="1434" vm="15">
        <f ca="1"/>
        <v>625.66</v>
      </c>
      <c r="Q285" s="1435" vm="2160">
        <f ca="1"/>
        <v>45719</v>
      </c>
      <c r="R285" s="1434" vm="16">
        <f ca="1"/>
        <v>199.25</v>
      </c>
      <c r="S285" s="1435" vm="2160">
        <f ca="1"/>
        <v>45719</v>
      </c>
      <c r="T285" s="1434" vm="17">
        <f ca="1"/>
        <v>175.75</v>
      </c>
      <c r="U285" s="1435" vm="2160">
        <f ca="1"/>
        <v>45719</v>
      </c>
      <c r="V285" s="1434" vm="18">
        <f ca="1"/>
        <v>64.91</v>
      </c>
      <c r="W285" s="1435" vm="2160">
        <f ca="1"/>
        <v>45719</v>
      </c>
      <c r="X285" s="1434" vm="19">
        <f ca="1"/>
        <v>891.11</v>
      </c>
      <c r="Y285" s="1435" vm="2160">
        <f ca="1"/>
        <v>45719</v>
      </c>
      <c r="Z285" s="1434" vm="20">
        <f ca="1"/>
        <v>74.66</v>
      </c>
      <c r="AA285" s="1435" vm="2160">
        <f ca="1"/>
        <v>45719</v>
      </c>
      <c r="AB285" s="1434" vm="21">
        <f ca="1"/>
        <v>5770.2</v>
      </c>
    </row>
    <row r="286" spans="15:28" x14ac:dyDescent="0.5">
      <c r="O286" s="1435" vm="2161">
        <f ca="1"/>
        <v>45726</v>
      </c>
      <c r="P286" s="1434" vm="2162">
        <f ca="1"/>
        <v>607.6</v>
      </c>
      <c r="Q286" s="1435" vm="2161">
        <f ca="1"/>
        <v>45726</v>
      </c>
      <c r="R286" s="1434" vm="2163">
        <f ca="1"/>
        <v>197.95</v>
      </c>
      <c r="S286" s="1435" vm="2161">
        <f ca="1"/>
        <v>45726</v>
      </c>
      <c r="T286" s="1434" vm="2164">
        <f ca="1"/>
        <v>167.62</v>
      </c>
      <c r="U286" s="1435" vm="2161">
        <f ca="1"/>
        <v>45726</v>
      </c>
      <c r="V286" s="1434" vm="2165">
        <f ca="1"/>
        <v>53.94</v>
      </c>
      <c r="W286" s="1435" vm="2161">
        <f ca="1"/>
        <v>45726</v>
      </c>
      <c r="X286" s="1434" vm="2166">
        <f ca="1"/>
        <v>918</v>
      </c>
      <c r="Y286" s="1435" vm="2161">
        <f ca="1"/>
        <v>45726</v>
      </c>
      <c r="Z286" s="1434" vm="2167">
        <f ca="1"/>
        <v>73.260000000000005</v>
      </c>
      <c r="AA286" s="1435" vm="2161">
        <f ca="1"/>
        <v>45726</v>
      </c>
      <c r="AB286" s="1434" vm="2168">
        <f ca="1"/>
        <v>5638.94</v>
      </c>
    </row>
    <row r="287" spans="15:28" x14ac:dyDescent="0.5">
      <c r="O287" s="1435" vm="2169">
        <f ca="1"/>
        <v>45733</v>
      </c>
      <c r="P287" s="1434" vm="2170">
        <f ca="1"/>
        <v>596.25</v>
      </c>
      <c r="Q287" s="1435" vm="2169">
        <f ca="1"/>
        <v>45733</v>
      </c>
      <c r="R287" s="1434" vm="2171">
        <f ca="1"/>
        <v>196.21</v>
      </c>
      <c r="S287" s="1435" vm="2169">
        <f ca="1"/>
        <v>45733</v>
      </c>
      <c r="T287" s="1434" vm="2172">
        <f ca="1"/>
        <v>166.25</v>
      </c>
      <c r="U287" s="1435" vm="2169">
        <f ca="1"/>
        <v>45733</v>
      </c>
      <c r="V287" s="1434" vm="2173">
        <f ca="1"/>
        <v>56.31</v>
      </c>
      <c r="W287" s="1435" vm="2169">
        <f ca="1"/>
        <v>45733</v>
      </c>
      <c r="X287" s="1434" vm="2174">
        <f ca="1"/>
        <v>960.29</v>
      </c>
      <c r="Y287" s="1435" vm="2169">
        <f ca="1"/>
        <v>45733</v>
      </c>
      <c r="Z287" s="1434" vm="2175">
        <f ca="1"/>
        <v>75.55</v>
      </c>
      <c r="AA287" s="1435" vm="2169">
        <f ca="1"/>
        <v>45733</v>
      </c>
      <c r="AB287" s="1434" vm="2176">
        <f ca="1"/>
        <v>5667.56</v>
      </c>
    </row>
    <row r="288" spans="15:28" x14ac:dyDescent="0.5">
      <c r="O288" s="1435" vm="2177">
        <f ca="1"/>
        <v>45740</v>
      </c>
      <c r="P288" s="1434" vm="2178">
        <f ca="1"/>
        <v>576.74</v>
      </c>
      <c r="Q288" s="1435" vm="2177">
        <f ca="1"/>
        <v>45740</v>
      </c>
      <c r="R288" s="1434" vm="2179">
        <f ca="1"/>
        <v>192.72</v>
      </c>
      <c r="S288" s="1435" vm="2177">
        <f ca="1"/>
        <v>45740</v>
      </c>
      <c r="T288" s="1434" vm="2180">
        <f ca="1"/>
        <v>156.06</v>
      </c>
      <c r="U288" s="1435" vm="2177">
        <f ca="1"/>
        <v>45740</v>
      </c>
      <c r="V288" s="1434" vm="2181">
        <f ca="1"/>
        <v>55.85</v>
      </c>
      <c r="W288" s="1435" vm="2177">
        <f ca="1"/>
        <v>45740</v>
      </c>
      <c r="X288" s="1434" vm="2182">
        <f ca="1"/>
        <v>933.85</v>
      </c>
      <c r="Y288" s="1435" vm="2177">
        <f ca="1"/>
        <v>45740</v>
      </c>
      <c r="Z288" s="1434" vm="807">
        <f ca="1"/>
        <v>74.91</v>
      </c>
      <c r="AA288" s="1435" vm="2177">
        <f ca="1"/>
        <v>45740</v>
      </c>
      <c r="AB288" s="1434" vm="2183">
        <f ca="1"/>
        <v>5580.94</v>
      </c>
    </row>
    <row r="289" spans="15:28" x14ac:dyDescent="0.5">
      <c r="O289" s="1435" vm="2184">
        <f ca="1"/>
        <v>45747</v>
      </c>
      <c r="P289" s="1434" vm="8">
        <f ca="1"/>
        <v>504.73</v>
      </c>
      <c r="Q289" s="1435" vm="2184">
        <f ca="1"/>
        <v>45747</v>
      </c>
      <c r="R289" s="1434" vm="9">
        <f ca="1"/>
        <v>171</v>
      </c>
      <c r="S289" s="1435" vm="2184">
        <f ca="1"/>
        <v>45747</v>
      </c>
      <c r="T289" s="1434" vm="10">
        <f ca="1"/>
        <v>147.74</v>
      </c>
      <c r="U289" s="1435" vm="2184">
        <f ca="1"/>
        <v>45747</v>
      </c>
      <c r="V289" s="1434" vm="11">
        <f ca="1"/>
        <v>46.24</v>
      </c>
      <c r="W289" s="1435" vm="2184">
        <f ca="1"/>
        <v>45747</v>
      </c>
      <c r="X289" s="1434" vm="12">
        <f ca="1"/>
        <v>855.86</v>
      </c>
      <c r="Y289" s="1435" vm="2184">
        <f ca="1"/>
        <v>45747</v>
      </c>
      <c r="Z289" s="1434" vm="13">
        <f ca="1"/>
        <v>68.25</v>
      </c>
      <c r="AA289" s="1435" vm="2184">
        <f ca="1"/>
        <v>45747</v>
      </c>
      <c r="AB289" s="1434" vm="14">
        <f ca="1"/>
        <v>5074.08</v>
      </c>
    </row>
    <row r="290" spans="15:28" x14ac:dyDescent="0.5">
      <c r="O290" s="1435" vm="2185">
        <f ca="1"/>
        <v>45754</v>
      </c>
      <c r="P290" s="1434" vm="2186">
        <f ca="1"/>
        <v>543.57000000000005</v>
      </c>
      <c r="Q290" s="1435" vm="2185">
        <f ca="1"/>
        <v>45754</v>
      </c>
      <c r="R290" s="1434" vm="2187">
        <f ca="1"/>
        <v>184.87</v>
      </c>
      <c r="S290" s="1435" vm="2185">
        <f ca="1"/>
        <v>45754</v>
      </c>
      <c r="T290" s="1434" vm="2188">
        <f ca="1"/>
        <v>159.4</v>
      </c>
      <c r="U290" s="1435" vm="2185">
        <f ca="1"/>
        <v>45754</v>
      </c>
      <c r="V290" s="1434" vm="2189">
        <f ca="1"/>
        <v>49.78</v>
      </c>
      <c r="W290" s="1435" vm="2185">
        <f ca="1"/>
        <v>45754</v>
      </c>
      <c r="X290" s="1434" vm="2190">
        <f ca="1"/>
        <v>918.29</v>
      </c>
      <c r="Y290" s="1435" vm="2185">
        <f ca="1"/>
        <v>45754</v>
      </c>
      <c r="Z290" s="1434" vm="2191">
        <f ca="1"/>
        <v>71.53</v>
      </c>
      <c r="AA290" s="1435" vm="2185">
        <f ca="1"/>
        <v>45754</v>
      </c>
      <c r="AB290" s="1434" vm="2192">
        <f ca="1"/>
        <v>5363.36</v>
      </c>
    </row>
    <row r="291" spans="15:28" x14ac:dyDescent="0.5">
      <c r="O291" s="1435" vm="2193">
        <f ca="1"/>
        <v>45761</v>
      </c>
      <c r="P291" s="1434" vm="2194">
        <f ca="1"/>
        <v>501.48</v>
      </c>
      <c r="Q291" s="1435" vm="2193">
        <f ca="1"/>
        <v>45761</v>
      </c>
      <c r="R291" s="1434" vm="2195">
        <f ca="1"/>
        <v>172.61</v>
      </c>
      <c r="S291" s="1435" vm="2193">
        <f ca="1"/>
        <v>45761</v>
      </c>
      <c r="T291" s="1434" vm="2196">
        <f ca="1"/>
        <v>153.36000000000001</v>
      </c>
      <c r="U291" s="1435" vm="2193">
        <f ca="1"/>
        <v>45761</v>
      </c>
      <c r="V291" s="1434" vm="2197">
        <f ca="1"/>
        <v>50.26</v>
      </c>
      <c r="W291" s="1435" vm="2193">
        <f ca="1"/>
        <v>45761</v>
      </c>
      <c r="X291" s="1434" vm="2198">
        <f ca="1"/>
        <v>973.03</v>
      </c>
      <c r="Y291" s="1435" vm="2193">
        <f ca="1"/>
        <v>45761</v>
      </c>
      <c r="Z291" s="1434" vm="1544">
        <f ca="1"/>
        <v>72.180000000000007</v>
      </c>
      <c r="AA291" s="1435" vm="2193">
        <f ca="1"/>
        <v>45761</v>
      </c>
      <c r="AB291" s="1434" vm="2199">
        <f ca="1"/>
        <v>5282.7</v>
      </c>
    </row>
    <row r="292" spans="15:28" x14ac:dyDescent="0.5">
      <c r="O292" s="1435" vm="2200">
        <f ca="1"/>
        <v>45768</v>
      </c>
      <c r="P292" s="1434" vm="2201">
        <f ca="1"/>
        <v>547.27</v>
      </c>
      <c r="Q292" s="1435" vm="2200">
        <f ca="1"/>
        <v>45768</v>
      </c>
      <c r="R292" s="1434" vm="2013">
        <f ca="1"/>
        <v>188.99</v>
      </c>
      <c r="S292" s="1435" vm="2200">
        <f ca="1"/>
        <v>45768</v>
      </c>
      <c r="T292" s="1434" vm="2202">
        <f ca="1"/>
        <v>163.85</v>
      </c>
      <c r="U292" s="1435" vm="2200">
        <f ca="1"/>
        <v>45768</v>
      </c>
      <c r="V292" s="1434" vm="1672">
        <f ca="1"/>
        <v>53.97</v>
      </c>
      <c r="W292" s="1435" vm="2200">
        <f ca="1"/>
        <v>45768</v>
      </c>
      <c r="X292" s="1434" vm="2203">
        <f ca="1"/>
        <v>1101.53</v>
      </c>
      <c r="Y292" s="1435" vm="2200">
        <f ca="1"/>
        <v>45768</v>
      </c>
      <c r="Z292" s="1434" vm="2204">
        <f ca="1"/>
        <v>75.36</v>
      </c>
      <c r="AA292" s="1435" vm="2200">
        <f ca="1"/>
        <v>45768</v>
      </c>
      <c r="AB292" s="1434" vm="2205">
        <f ca="1"/>
        <v>5525.21</v>
      </c>
    </row>
    <row r="293" spans="15:28" x14ac:dyDescent="0.5">
      <c r="O293" s="1435" vm="2206">
        <f ca="1"/>
        <v>45775</v>
      </c>
      <c r="P293" s="1434" vm="2207">
        <f ca="1"/>
        <v>597.02</v>
      </c>
      <c r="Q293" s="1435" vm="2206">
        <f ca="1"/>
        <v>45775</v>
      </c>
      <c r="R293" s="1434" vm="2208">
        <f ca="1"/>
        <v>189.98</v>
      </c>
      <c r="S293" s="1435" vm="2206">
        <f ca="1"/>
        <v>45775</v>
      </c>
      <c r="T293" s="1434" vm="2209">
        <f ca="1"/>
        <v>165.81</v>
      </c>
      <c r="U293" s="1435" vm="2206">
        <f ca="1"/>
        <v>45775</v>
      </c>
      <c r="V293" s="1434" vm="2210">
        <f ca="1"/>
        <v>54.09</v>
      </c>
      <c r="W293" s="1435" vm="2206">
        <f ca="1"/>
        <v>45775</v>
      </c>
      <c r="X293" s="1434" vm="2211">
        <f ca="1"/>
        <v>1156.49</v>
      </c>
      <c r="Y293" s="1435" vm="2206">
        <f ca="1"/>
        <v>45775</v>
      </c>
      <c r="Z293" s="1434" vm="2212">
        <f ca="1"/>
        <v>78.180000000000007</v>
      </c>
      <c r="AA293" s="1435" vm="2206">
        <f ca="1"/>
        <v>45775</v>
      </c>
      <c r="AB293" s="1434" vm="2213">
        <f ca="1"/>
        <v>5686.67</v>
      </c>
    </row>
    <row r="294" spans="15:28" x14ac:dyDescent="0.5">
      <c r="O294" s="1435"/>
      <c r="P294" s="1434"/>
      <c r="Q294" s="1435"/>
      <c r="R294" s="1434"/>
      <c r="S294" s="1435"/>
      <c r="T294" s="1434"/>
      <c r="U294" s="1435"/>
      <c r="V294" s="1434"/>
      <c r="W294" s="1435"/>
      <c r="X294" s="1434"/>
      <c r="Y294" s="1435"/>
      <c r="Z294" s="1434"/>
      <c r="AA294" s="1435"/>
      <c r="AB294" s="1434"/>
    </row>
    <row r="295" spans="15:28" x14ac:dyDescent="0.5">
      <c r="O295" s="1435"/>
      <c r="P295" s="1434"/>
      <c r="Q295" s="1435"/>
      <c r="R295" s="1434"/>
      <c r="S295" s="1435"/>
      <c r="T295" s="1434"/>
      <c r="U295" s="1435"/>
      <c r="V295" s="1434"/>
      <c r="W295" s="1435"/>
      <c r="X295" s="1434"/>
      <c r="Y295" s="1435"/>
      <c r="Z295" s="1434"/>
      <c r="AA295" s="1435"/>
      <c r="AB295" s="1434"/>
    </row>
    <row r="296" spans="15:28" x14ac:dyDescent="0.5">
      <c r="O296" s="1435"/>
      <c r="P296" s="1434"/>
      <c r="Q296" s="1435"/>
      <c r="R296" s="1434"/>
      <c r="S296" s="1435"/>
      <c r="T296" s="1434"/>
      <c r="U296" s="1435"/>
      <c r="V296" s="1434"/>
      <c r="W296" s="1435"/>
      <c r="X296" s="1434"/>
      <c r="Y296" s="1435"/>
      <c r="Z296" s="1434"/>
      <c r="AA296" s="1435"/>
      <c r="AB296" s="1434"/>
    </row>
    <row r="297" spans="15:28" x14ac:dyDescent="0.5">
      <c r="O297" s="1435"/>
      <c r="P297" s="1434"/>
      <c r="Q297" s="1435"/>
      <c r="R297" s="1434"/>
      <c r="S297" s="1435"/>
      <c r="T297" s="1434"/>
      <c r="U297" s="1435"/>
      <c r="V297" s="1434"/>
      <c r="W297" s="1435"/>
      <c r="X297" s="1434"/>
      <c r="Y297" s="1435"/>
      <c r="Z297" s="1434"/>
      <c r="AA297" s="1435"/>
      <c r="AB297" s="1434"/>
    </row>
    <row r="298" spans="15:28" x14ac:dyDescent="0.5">
      <c r="O298" s="1435"/>
      <c r="P298" s="1434"/>
      <c r="Q298" s="1435"/>
      <c r="R298" s="1434"/>
      <c r="S298" s="1435"/>
      <c r="T298" s="1434"/>
      <c r="U298" s="1435"/>
      <c r="V298" s="1434"/>
      <c r="W298" s="1435"/>
      <c r="X298" s="1434"/>
      <c r="Y298" s="1435"/>
      <c r="Z298" s="1434"/>
      <c r="AA298" s="1435"/>
      <c r="AB298" s="1434"/>
    </row>
    <row r="299" spans="15:28" x14ac:dyDescent="0.5">
      <c r="O299" s="1435"/>
      <c r="P299" s="1434"/>
      <c r="Q299" s="1435"/>
      <c r="R299" s="1434"/>
      <c r="S299" s="1435"/>
      <c r="T299" s="1434"/>
      <c r="U299" s="1435"/>
      <c r="V299" s="1434"/>
      <c r="W299" s="1435"/>
      <c r="X299" s="1434"/>
      <c r="Y299" s="1435"/>
      <c r="Z299" s="1434"/>
      <c r="AA299" s="1435"/>
      <c r="AB299" s="1434"/>
    </row>
  </sheetData>
  <conditionalFormatting sqref="D10:H15">
    <cfRule type="colorScale" priority="1">
      <colorScale>
        <cfvo type="min"/>
        <cfvo type="percentile" val="50"/>
        <cfvo type="max"/>
        <color rgb="FFF8696B"/>
        <color rgb="FFFFEB84"/>
        <color rgb="FF63BE7B"/>
      </colorScale>
    </cfRule>
  </conditionalFormatting>
  <conditionalFormatting sqref="D19:L19">
    <cfRule type="colorScale" priority="2">
      <colorScale>
        <cfvo type="min"/>
        <cfvo type="percentile" val="50"/>
        <cfvo type="max"/>
        <color rgb="FFF8696B"/>
        <color rgb="FFFFEB84"/>
        <color rgb="FF63BE7B"/>
      </colorScale>
    </cfRule>
  </conditionalFormatting>
  <conditionalFormatting sqref="I10:L10 I11:J15">
    <cfRule type="colorScale" priority="8">
      <colorScale>
        <cfvo type="min"/>
        <cfvo type="percentile" val="50"/>
        <cfvo type="max"/>
        <color rgb="FFF8696B"/>
        <color rgb="FFFFEB84"/>
        <color rgb="FF63BE7B"/>
      </colorScale>
    </cfRule>
  </conditionalFormatting>
  <conditionalFormatting sqref="K11:L11">
    <cfRule type="colorScale" priority="7">
      <colorScale>
        <cfvo type="min"/>
        <cfvo type="percentile" val="50"/>
        <cfvo type="max"/>
        <color rgb="FFF8696B"/>
        <color rgb="FFFFEB84"/>
        <color rgb="FF63BE7B"/>
      </colorScale>
    </cfRule>
  </conditionalFormatting>
  <conditionalFormatting sqref="K12:L12">
    <cfRule type="colorScale" priority="6">
      <colorScale>
        <cfvo type="min"/>
        <cfvo type="percentile" val="50"/>
        <cfvo type="max"/>
        <color rgb="FFF8696B"/>
        <color rgb="FFFFEB84"/>
        <color rgb="FF63BE7B"/>
      </colorScale>
    </cfRule>
  </conditionalFormatting>
  <conditionalFormatting sqref="K13:L13">
    <cfRule type="colorScale" priority="5">
      <colorScale>
        <cfvo type="min"/>
        <cfvo type="percentile" val="50"/>
        <cfvo type="max"/>
        <color rgb="FFF8696B"/>
        <color rgb="FFFFEB84"/>
        <color rgb="FF63BE7B"/>
      </colorScale>
    </cfRule>
  </conditionalFormatting>
  <conditionalFormatting sqref="K14:L14">
    <cfRule type="colorScale" priority="4">
      <colorScale>
        <cfvo type="min"/>
        <cfvo type="percentile" val="50"/>
        <cfvo type="max"/>
        <color rgb="FFF8696B"/>
        <color rgb="FFFFEB84"/>
        <color rgb="FF63BE7B"/>
      </colorScale>
    </cfRule>
  </conditionalFormatting>
  <conditionalFormatting sqref="K15:L15">
    <cfRule type="colorScale" priority="3">
      <colorScale>
        <cfvo type="min"/>
        <cfvo type="percentile" val="50"/>
        <cfvo type="max"/>
        <color rgb="FFF8696B"/>
        <color rgb="FFFFEB84"/>
        <color rgb="FF63BE7B"/>
      </colorScale>
    </cfRule>
  </conditionalFormatting>
  <pageMargins left="0.7" right="0.7" top="0.75" bottom="0.75" header="0.3" footer="0.3"/>
  <pageSetup scale="25"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F483-DFFE-4EEB-BEC7-7173C81FEB84}">
  <sheetPr>
    <tabColor rgb="FF0E2841"/>
    <pageSetUpPr fitToPage="1"/>
  </sheetPr>
  <dimension ref="B2:J34"/>
  <sheetViews>
    <sheetView showGridLines="0" view="pageBreakPreview" topLeftCell="A13" zoomScaleSheetLayoutView="100" workbookViewId="0">
      <selection activeCell="E42" sqref="E42"/>
    </sheetView>
  </sheetViews>
  <sheetFormatPr defaultRowHeight="12.6" x14ac:dyDescent="0.45"/>
  <cols>
    <col min="1" max="3" width="2.89453125" style="1405" customWidth="1"/>
    <col min="4" max="4" width="8.83984375" style="1407"/>
    <col min="5" max="5" width="22.7890625" style="1407" customWidth="1"/>
    <col min="6" max="6" width="82.89453125" style="1407" bestFit="1" customWidth="1"/>
    <col min="7" max="7" width="55.9453125" style="1407" customWidth="1"/>
    <col min="8" max="10" width="2.89453125" style="1407" customWidth="1"/>
    <col min="11" max="16384" width="8.83984375" style="1405"/>
  </cols>
  <sheetData>
    <row r="2" spans="2:6" ht="21" x14ac:dyDescent="0.45">
      <c r="E2" s="1425" t="s">
        <v>1507</v>
      </c>
      <c r="F2" s="1423" t="s">
        <v>1508</v>
      </c>
    </row>
    <row r="3" spans="2:6" s="1408" customFormat="1" ht="12.6" customHeight="1" x14ac:dyDescent="0.55000000000000004">
      <c r="B3" s="1411"/>
      <c r="C3" s="1411"/>
      <c r="D3" s="1418" t="s">
        <v>1507</v>
      </c>
      <c r="E3" s="1417"/>
      <c r="F3" s="1416"/>
    </row>
    <row r="4" spans="2:6" s="1408" customFormat="1" ht="4" customHeight="1" x14ac:dyDescent="0.55000000000000004">
      <c r="B4" s="1411"/>
      <c r="C4" s="1411"/>
      <c r="D4" s="1411"/>
      <c r="E4" s="1411"/>
      <c r="F4" s="1415"/>
    </row>
    <row r="5" spans="2:6" s="1408" customFormat="1" ht="12.6" customHeight="1" x14ac:dyDescent="0.85">
      <c r="B5" s="1411"/>
      <c r="C5" s="1411"/>
      <c r="D5" s="1414" t="s">
        <v>1376</v>
      </c>
      <c r="E5" s="1414" t="s">
        <v>1375</v>
      </c>
      <c r="F5" s="1413" t="s">
        <v>1374</v>
      </c>
    </row>
    <row r="6" spans="2:6" s="1408" customFormat="1" ht="4" customHeight="1" x14ac:dyDescent="0.85">
      <c r="B6" s="1411"/>
      <c r="C6" s="1411"/>
      <c r="D6" s="1414"/>
      <c r="E6" s="1414"/>
      <c r="F6" s="1413"/>
    </row>
    <row r="7" spans="2:6" s="1408" customFormat="1" ht="12.6" customHeight="1" x14ac:dyDescent="0.55000000000000004">
      <c r="B7" s="1411"/>
      <c r="C7" s="1411"/>
      <c r="D7" s="1410">
        <v>1</v>
      </c>
      <c r="E7" s="1433" t="s">
        <v>1506</v>
      </c>
      <c r="F7" s="1412" t="s">
        <v>1505</v>
      </c>
    </row>
    <row r="8" spans="2:6" s="1408" customFormat="1" ht="12.6" customHeight="1" x14ac:dyDescent="0.55000000000000004">
      <c r="B8" s="1411"/>
      <c r="C8" s="1411"/>
      <c r="D8" s="1410">
        <f t="shared" ref="D8:D25" si="0">D7+1</f>
        <v>2</v>
      </c>
      <c r="E8" s="1410" t="s">
        <v>1504</v>
      </c>
      <c r="F8" s="1412" t="s">
        <v>1503</v>
      </c>
    </row>
    <row r="9" spans="2:6" s="1408" customFormat="1" ht="12.6" customHeight="1" x14ac:dyDescent="0.55000000000000004">
      <c r="B9" s="1411"/>
      <c r="C9" s="1411"/>
      <c r="D9" s="1410">
        <f t="shared" si="0"/>
        <v>3</v>
      </c>
      <c r="E9" s="1410" t="s">
        <v>1502</v>
      </c>
      <c r="F9" s="1412" t="s">
        <v>1501</v>
      </c>
    </row>
    <row r="10" spans="2:6" s="1408" customFormat="1" ht="12.6" customHeight="1" x14ac:dyDescent="0.55000000000000004">
      <c r="B10" s="1411"/>
      <c r="C10" s="1411"/>
      <c r="D10" s="1410">
        <f t="shared" si="0"/>
        <v>4</v>
      </c>
      <c r="E10" s="1410" t="s">
        <v>1500</v>
      </c>
      <c r="F10" s="1412" t="s">
        <v>1499</v>
      </c>
    </row>
    <row r="11" spans="2:6" s="1408" customFormat="1" ht="12.6" customHeight="1" x14ac:dyDescent="0.55000000000000004">
      <c r="B11" s="1411"/>
      <c r="C11" s="1411"/>
      <c r="D11" s="1410">
        <f t="shared" si="0"/>
        <v>5</v>
      </c>
      <c r="E11" s="1410" t="s">
        <v>1498</v>
      </c>
      <c r="F11" s="1409" t="s">
        <v>1497</v>
      </c>
    </row>
    <row r="12" spans="2:6" s="1408" customFormat="1" ht="12.6" customHeight="1" x14ac:dyDescent="0.55000000000000004">
      <c r="B12" s="1411"/>
      <c r="C12" s="1411"/>
      <c r="D12" s="1410">
        <f t="shared" si="0"/>
        <v>6</v>
      </c>
      <c r="E12" s="1410" t="s">
        <v>1496</v>
      </c>
      <c r="F12" s="1409" t="s">
        <v>1495</v>
      </c>
    </row>
    <row r="13" spans="2:6" s="1408" customFormat="1" ht="12.6" customHeight="1" x14ac:dyDescent="0.55000000000000004">
      <c r="B13" s="1411"/>
      <c r="C13" s="1411"/>
      <c r="D13" s="1410">
        <f t="shared" si="0"/>
        <v>7</v>
      </c>
      <c r="E13" s="1410" t="s">
        <v>1494</v>
      </c>
      <c r="F13" s="1409" t="s">
        <v>1493</v>
      </c>
    </row>
    <row r="14" spans="2:6" s="1408" customFormat="1" ht="12.6" customHeight="1" x14ac:dyDescent="0.55000000000000004">
      <c r="B14" s="1411"/>
      <c r="C14" s="1411"/>
      <c r="D14" s="1410">
        <f t="shared" si="0"/>
        <v>8</v>
      </c>
      <c r="E14" s="1410" t="s">
        <v>1492</v>
      </c>
      <c r="F14" s="1409" t="s">
        <v>1491</v>
      </c>
    </row>
    <row r="15" spans="2:6" s="1408" customFormat="1" ht="12.6" customHeight="1" x14ac:dyDescent="0.55000000000000004">
      <c r="B15" s="1411"/>
      <c r="C15" s="1411"/>
      <c r="D15" s="1410">
        <f t="shared" si="0"/>
        <v>9</v>
      </c>
      <c r="E15" s="1410" t="s">
        <v>1490</v>
      </c>
      <c r="F15" s="1409" t="s">
        <v>1489</v>
      </c>
    </row>
    <row r="16" spans="2:6" s="1408" customFormat="1" ht="12.6" customHeight="1" x14ac:dyDescent="0.55000000000000004">
      <c r="B16" s="1411"/>
      <c r="C16" s="1411"/>
      <c r="D16" s="1410">
        <f t="shared" si="0"/>
        <v>10</v>
      </c>
      <c r="E16" s="1410" t="s">
        <v>1488</v>
      </c>
      <c r="F16" s="1409" t="s">
        <v>1487</v>
      </c>
    </row>
    <row r="17" spans="2:6" s="1408" customFormat="1" ht="12.6" customHeight="1" x14ac:dyDescent="0.55000000000000004">
      <c r="B17" s="1411"/>
      <c r="C17" s="1411"/>
      <c r="D17" s="1410">
        <f t="shared" si="0"/>
        <v>11</v>
      </c>
      <c r="E17" s="1410" t="s">
        <v>1486</v>
      </c>
      <c r="F17" s="1409" t="s">
        <v>1485</v>
      </c>
    </row>
    <row r="18" spans="2:6" s="1408" customFormat="1" ht="12.6" customHeight="1" x14ac:dyDescent="0.55000000000000004">
      <c r="B18" s="1411"/>
      <c r="C18" s="1411"/>
      <c r="D18" s="1410">
        <f t="shared" si="0"/>
        <v>12</v>
      </c>
      <c r="E18" s="1410"/>
      <c r="F18" s="1431" t="s">
        <v>1484</v>
      </c>
    </row>
    <row r="19" spans="2:6" s="1408" customFormat="1" ht="12.6" customHeight="1" x14ac:dyDescent="0.55000000000000004">
      <c r="B19" s="1411"/>
      <c r="C19" s="1411"/>
      <c r="D19" s="1410">
        <f t="shared" si="0"/>
        <v>13</v>
      </c>
      <c r="E19" s="1410"/>
      <c r="F19" s="1409"/>
    </row>
    <row r="20" spans="2:6" s="1408" customFormat="1" ht="12.6" customHeight="1" x14ac:dyDescent="0.55000000000000004">
      <c r="B20" s="1411"/>
      <c r="C20" s="1411"/>
      <c r="D20" s="1410">
        <f t="shared" si="0"/>
        <v>14</v>
      </c>
      <c r="E20" s="1410" t="s">
        <v>1483</v>
      </c>
      <c r="F20" s="1409" t="s">
        <v>1482</v>
      </c>
    </row>
    <row r="21" spans="2:6" s="1408" customFormat="1" ht="12.6" customHeight="1" x14ac:dyDescent="0.55000000000000004">
      <c r="B21" s="1411"/>
      <c r="C21" s="1411"/>
      <c r="D21" s="1410">
        <f t="shared" si="0"/>
        <v>15</v>
      </c>
      <c r="E21" s="1432" t="s">
        <v>1481</v>
      </c>
      <c r="F21" s="1431" t="s">
        <v>1480</v>
      </c>
    </row>
    <row r="22" spans="2:6" s="1408" customFormat="1" ht="12.6" customHeight="1" x14ac:dyDescent="0.55000000000000004">
      <c r="B22" s="1411"/>
      <c r="C22" s="1411"/>
      <c r="D22" s="1410">
        <f t="shared" si="0"/>
        <v>16</v>
      </c>
      <c r="E22" s="1410" t="s">
        <v>1479</v>
      </c>
      <c r="F22" s="1409" t="s">
        <v>1478</v>
      </c>
    </row>
    <row r="23" spans="2:6" s="1408" customFormat="1" ht="12.6" customHeight="1" x14ac:dyDescent="0.55000000000000004">
      <c r="B23" s="1411"/>
      <c r="C23" s="1411"/>
      <c r="D23" s="1410">
        <f t="shared" si="0"/>
        <v>17</v>
      </c>
      <c r="E23" s="1410" t="s">
        <v>1477</v>
      </c>
      <c r="F23" s="1409" t="s">
        <v>1476</v>
      </c>
    </row>
    <row r="24" spans="2:6" s="1408" customFormat="1" ht="12.6" customHeight="1" x14ac:dyDescent="0.55000000000000004">
      <c r="B24" s="1411"/>
      <c r="C24" s="1411"/>
      <c r="D24" s="1410">
        <f t="shared" si="0"/>
        <v>18</v>
      </c>
      <c r="E24" s="1410" t="s">
        <v>1475</v>
      </c>
      <c r="F24" s="1409" t="s">
        <v>1474</v>
      </c>
    </row>
    <row r="25" spans="2:6" s="1408" customFormat="1" ht="12.6" customHeight="1" x14ac:dyDescent="0.55000000000000004">
      <c r="B25" s="1411"/>
      <c r="C25" s="1411"/>
      <c r="D25" s="1410">
        <f t="shared" si="0"/>
        <v>19</v>
      </c>
      <c r="E25" s="1410"/>
      <c r="F25" s="1409"/>
    </row>
    <row r="26" spans="2:6" s="1408" customFormat="1" ht="12.6" customHeight="1" x14ac:dyDescent="0.55000000000000004">
      <c r="B26" s="1411"/>
      <c r="C26" s="1411"/>
      <c r="D26" s="1430"/>
      <c r="E26" s="1429">
        <v>0.99305555555555558</v>
      </c>
      <c r="F26" s="1428"/>
    </row>
    <row r="27" spans="2:6" x14ac:dyDescent="0.45">
      <c r="D27" s="1407" t="s">
        <v>1473</v>
      </c>
    </row>
    <row r="28" spans="2:6" x14ac:dyDescent="0.45">
      <c r="D28" s="1407">
        <v>1</v>
      </c>
      <c r="E28" s="1427" t="s">
        <v>1472</v>
      </c>
    </row>
    <row r="29" spans="2:6" x14ac:dyDescent="0.45">
      <c r="D29" s="1407">
        <f t="shared" ref="D29:D34" si="1">D28+1</f>
        <v>2</v>
      </c>
      <c r="E29" s="1427" t="s">
        <v>1471</v>
      </c>
    </row>
    <row r="30" spans="2:6" x14ac:dyDescent="0.45">
      <c r="D30" s="1407">
        <f t="shared" si="1"/>
        <v>3</v>
      </c>
      <c r="E30" s="1427" t="s">
        <v>1470</v>
      </c>
    </row>
    <row r="31" spans="2:6" x14ac:dyDescent="0.45">
      <c r="D31" s="1407">
        <f t="shared" si="1"/>
        <v>4</v>
      </c>
      <c r="E31" s="1427" t="s">
        <v>1469</v>
      </c>
    </row>
    <row r="32" spans="2:6" x14ac:dyDescent="0.45">
      <c r="D32" s="1407">
        <f t="shared" si="1"/>
        <v>5</v>
      </c>
      <c r="E32" s="1427" t="s">
        <v>1468</v>
      </c>
    </row>
    <row r="33" spans="4:4" x14ac:dyDescent="0.45">
      <c r="D33" s="1407">
        <f t="shared" si="1"/>
        <v>6</v>
      </c>
    </row>
    <row r="34" spans="4:4" x14ac:dyDescent="0.45">
      <c r="D34" s="1407">
        <f t="shared" si="1"/>
        <v>7</v>
      </c>
    </row>
  </sheetData>
  <pageMargins left="0.7" right="0.7" top="0.75" bottom="0.75" header="0.3" footer="0.3"/>
  <pageSetup scale="5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5356B-8485-4A1E-8FDD-FC62B5403AF8}">
  <sheetPr>
    <tabColor rgb="FF0E2841"/>
    <pageSetUpPr fitToPage="1"/>
  </sheetPr>
  <dimension ref="B3:I160"/>
  <sheetViews>
    <sheetView showGridLines="0" view="pageBreakPreview" zoomScale="89" zoomScaleSheetLayoutView="100" workbookViewId="0"/>
  </sheetViews>
  <sheetFormatPr defaultRowHeight="12.6" x14ac:dyDescent="0.45"/>
  <cols>
    <col min="1" max="1" width="2.89453125" style="1405" customWidth="1"/>
    <col min="2" max="3" width="2.89453125" style="1407" customWidth="1"/>
    <col min="4" max="4" width="8.83984375" style="1407"/>
    <col min="5" max="5" width="28.3125" style="1407" customWidth="1"/>
    <col min="6" max="6" width="133.3125" style="1406" customWidth="1"/>
    <col min="7" max="7" width="2.89453125" style="1405" customWidth="1"/>
    <col min="8" max="16384" width="8.83984375" style="1405"/>
  </cols>
  <sheetData>
    <row r="3" spans="2:6" x14ac:dyDescent="0.45">
      <c r="D3" s="1419" t="s">
        <v>1440</v>
      </c>
    </row>
    <row r="4" spans="2:6" s="1408" customFormat="1" ht="12.6" customHeight="1" x14ac:dyDescent="0.55000000000000004">
      <c r="B4" s="1411"/>
      <c r="C4" s="1411"/>
      <c r="D4" s="1418" t="s">
        <v>1439</v>
      </c>
      <c r="E4" s="1417"/>
      <c r="F4" s="1416"/>
    </row>
    <row r="5" spans="2:6" s="1408" customFormat="1" ht="4" customHeight="1" x14ac:dyDescent="0.55000000000000004">
      <c r="B5" s="1411"/>
      <c r="C5" s="1411"/>
      <c r="D5" s="1411"/>
      <c r="E5" s="1411"/>
      <c r="F5" s="1415"/>
    </row>
    <row r="6" spans="2:6" s="1408" customFormat="1" ht="12.6" customHeight="1" x14ac:dyDescent="0.85">
      <c r="B6" s="1411"/>
      <c r="C6" s="1411"/>
      <c r="D6" s="1414" t="s">
        <v>1376</v>
      </c>
      <c r="E6" s="1414" t="s">
        <v>1375</v>
      </c>
      <c r="F6" s="1413" t="s">
        <v>1374</v>
      </c>
    </row>
    <row r="7" spans="2:6" s="1408" customFormat="1" ht="4" customHeight="1" x14ac:dyDescent="0.85">
      <c r="B7" s="1411"/>
      <c r="C7" s="1411"/>
      <c r="D7" s="1414"/>
      <c r="E7" s="1414"/>
      <c r="F7" s="1413"/>
    </row>
    <row r="8" spans="2:6" s="1408" customFormat="1" ht="12.6" customHeight="1" x14ac:dyDescent="0.55000000000000004">
      <c r="B8" s="1411"/>
      <c r="C8" s="1411"/>
      <c r="D8" s="1410">
        <v>1</v>
      </c>
      <c r="E8" s="1410" t="s">
        <v>1438</v>
      </c>
      <c r="F8" s="1412" t="s">
        <v>1437</v>
      </c>
    </row>
    <row r="9" spans="2:6" s="1408" customFormat="1" ht="12.6" customHeight="1" x14ac:dyDescent="0.55000000000000004">
      <c r="B9" s="1411"/>
      <c r="C9" s="1411"/>
      <c r="D9" s="1410">
        <f t="shared" ref="D9:D26" si="0">D8+1</f>
        <v>2</v>
      </c>
      <c r="E9" s="1410" t="s">
        <v>1436</v>
      </c>
      <c r="F9" s="1412" t="s">
        <v>1435</v>
      </c>
    </row>
    <row r="10" spans="2:6" s="1408" customFormat="1" ht="12.6" customHeight="1" x14ac:dyDescent="0.55000000000000004">
      <c r="B10" s="1411"/>
      <c r="C10" s="1411"/>
      <c r="D10" s="1410">
        <f t="shared" si="0"/>
        <v>3</v>
      </c>
      <c r="E10" s="1410" t="s">
        <v>1434</v>
      </c>
      <c r="F10" s="1412" t="s">
        <v>1433</v>
      </c>
    </row>
    <row r="11" spans="2:6" s="1408" customFormat="1" ht="12.6" customHeight="1" x14ac:dyDescent="0.55000000000000004">
      <c r="B11" s="1411"/>
      <c r="C11" s="1411"/>
      <c r="D11" s="1410">
        <f t="shared" si="0"/>
        <v>4</v>
      </c>
      <c r="E11" s="1410" t="s">
        <v>1432</v>
      </c>
      <c r="F11" s="1412" t="s">
        <v>1431</v>
      </c>
    </row>
    <row r="12" spans="2:6" s="1408" customFormat="1" ht="12.6" customHeight="1" x14ac:dyDescent="0.55000000000000004">
      <c r="B12" s="1411"/>
      <c r="C12" s="1411"/>
      <c r="D12" s="1410">
        <f t="shared" si="0"/>
        <v>5</v>
      </c>
      <c r="E12" s="1410" t="s">
        <v>1430</v>
      </c>
      <c r="F12" s="1409" t="s">
        <v>1429</v>
      </c>
    </row>
    <row r="13" spans="2:6" s="1408" customFormat="1" ht="12.6" customHeight="1" x14ac:dyDescent="0.55000000000000004">
      <c r="B13" s="1411"/>
      <c r="C13" s="1411"/>
      <c r="D13" s="1410">
        <f t="shared" si="0"/>
        <v>6</v>
      </c>
      <c r="E13" s="1410" t="s">
        <v>1428</v>
      </c>
      <c r="F13" s="1409" t="s">
        <v>1427</v>
      </c>
    </row>
    <row r="14" spans="2:6" s="1408" customFormat="1" ht="12.6" customHeight="1" x14ac:dyDescent="0.55000000000000004">
      <c r="B14" s="1411"/>
      <c r="C14" s="1411"/>
      <c r="D14" s="1410">
        <f t="shared" si="0"/>
        <v>7</v>
      </c>
      <c r="E14" s="1410" t="s">
        <v>1426</v>
      </c>
      <c r="F14" s="1409" t="s">
        <v>1425</v>
      </c>
    </row>
    <row r="15" spans="2:6" s="1408" customFormat="1" ht="12.6" customHeight="1" x14ac:dyDescent="0.55000000000000004">
      <c r="B15" s="1411"/>
      <c r="C15" s="1411"/>
      <c r="D15" s="1410">
        <f t="shared" si="0"/>
        <v>8</v>
      </c>
      <c r="E15" s="1410" t="s">
        <v>1424</v>
      </c>
      <c r="F15" s="1409" t="s">
        <v>1423</v>
      </c>
    </row>
    <row r="16" spans="2:6" s="1408" customFormat="1" ht="12.6" customHeight="1" x14ac:dyDescent="0.55000000000000004">
      <c r="B16" s="1411"/>
      <c r="C16" s="1411"/>
      <c r="D16" s="1410">
        <f t="shared" si="0"/>
        <v>9</v>
      </c>
      <c r="E16" s="1410" t="s">
        <v>1422</v>
      </c>
      <c r="F16" s="1409" t="s">
        <v>1421</v>
      </c>
    </row>
    <row r="17" spans="2:6" s="1408" customFormat="1" ht="12.6" customHeight="1" x14ac:dyDescent="0.55000000000000004">
      <c r="B17" s="1411"/>
      <c r="C17" s="1411"/>
      <c r="D17" s="1410">
        <f t="shared" si="0"/>
        <v>10</v>
      </c>
      <c r="E17" s="1410" t="s">
        <v>1420</v>
      </c>
      <c r="F17" s="1409" t="s">
        <v>1419</v>
      </c>
    </row>
    <row r="18" spans="2:6" s="1408" customFormat="1" ht="12.6" customHeight="1" x14ac:dyDescent="0.55000000000000004">
      <c r="B18" s="1411"/>
      <c r="C18" s="1411"/>
      <c r="D18" s="1410">
        <f t="shared" si="0"/>
        <v>11</v>
      </c>
      <c r="E18" s="1410" t="s">
        <v>1418</v>
      </c>
      <c r="F18" s="1409" t="s">
        <v>1417</v>
      </c>
    </row>
    <row r="19" spans="2:6" s="1408" customFormat="1" ht="12.6" customHeight="1" x14ac:dyDescent="0.55000000000000004">
      <c r="B19" s="1411"/>
      <c r="C19" s="1411"/>
      <c r="D19" s="1410">
        <f t="shared" si="0"/>
        <v>12</v>
      </c>
      <c r="E19" s="1410" t="s">
        <v>1416</v>
      </c>
      <c r="F19" s="1409" t="s">
        <v>1415</v>
      </c>
    </row>
    <row r="20" spans="2:6" s="1408" customFormat="1" ht="12.6" customHeight="1" x14ac:dyDescent="0.55000000000000004">
      <c r="B20" s="1411"/>
      <c r="C20" s="1411"/>
      <c r="D20" s="1410">
        <f t="shared" si="0"/>
        <v>13</v>
      </c>
      <c r="E20" s="1410" t="s">
        <v>1414</v>
      </c>
      <c r="F20" s="1409" t="s">
        <v>1413</v>
      </c>
    </row>
    <row r="21" spans="2:6" s="1408" customFormat="1" ht="12.6" customHeight="1" x14ac:dyDescent="0.55000000000000004">
      <c r="B21" s="1411"/>
      <c r="C21" s="1411"/>
      <c r="D21" s="1410">
        <f t="shared" si="0"/>
        <v>14</v>
      </c>
      <c r="E21" s="1410" t="s">
        <v>1412</v>
      </c>
      <c r="F21" s="1409" t="s">
        <v>1411</v>
      </c>
    </row>
    <row r="22" spans="2:6" s="1408" customFormat="1" ht="12.6" customHeight="1" x14ac:dyDescent="0.55000000000000004">
      <c r="B22" s="1411"/>
      <c r="C22" s="1411"/>
      <c r="D22" s="1410">
        <f t="shared" si="0"/>
        <v>15</v>
      </c>
      <c r="E22" s="1410" t="s">
        <v>1410</v>
      </c>
      <c r="F22" s="1409" t="s">
        <v>1409</v>
      </c>
    </row>
    <row r="23" spans="2:6" s="1408" customFormat="1" ht="12.6" customHeight="1" x14ac:dyDescent="0.55000000000000004">
      <c r="B23" s="1411"/>
      <c r="C23" s="1411"/>
      <c r="D23" s="1410">
        <f t="shared" si="0"/>
        <v>16</v>
      </c>
      <c r="E23" s="1410" t="s">
        <v>1408</v>
      </c>
      <c r="F23" s="1409"/>
    </row>
    <row r="24" spans="2:6" s="1408" customFormat="1" ht="12.6" customHeight="1" x14ac:dyDescent="0.55000000000000004">
      <c r="B24" s="1411"/>
      <c r="C24" s="1411"/>
      <c r="D24" s="1410">
        <f t="shared" si="0"/>
        <v>17</v>
      </c>
      <c r="E24" s="1410"/>
      <c r="F24" s="1409"/>
    </row>
    <row r="25" spans="2:6" s="1408" customFormat="1" ht="12.6" customHeight="1" x14ac:dyDescent="0.55000000000000004">
      <c r="B25" s="1411"/>
      <c r="C25" s="1411"/>
      <c r="D25" s="1410">
        <f t="shared" si="0"/>
        <v>18</v>
      </c>
      <c r="E25" s="1410"/>
      <c r="F25" s="1409"/>
    </row>
    <row r="26" spans="2:6" s="1408" customFormat="1" ht="12.6" customHeight="1" x14ac:dyDescent="0.55000000000000004">
      <c r="B26" s="1411"/>
      <c r="C26" s="1411"/>
      <c r="D26" s="1410">
        <f t="shared" si="0"/>
        <v>19</v>
      </c>
      <c r="E26" s="1410"/>
      <c r="F26" s="1409"/>
    </row>
    <row r="28" spans="2:6" x14ac:dyDescent="0.45">
      <c r="D28" s="1419" t="s">
        <v>1407</v>
      </c>
    </row>
    <row r="29" spans="2:6" s="1408" customFormat="1" ht="12.6" customHeight="1" x14ac:dyDescent="0.55000000000000004">
      <c r="B29" s="1411"/>
      <c r="C29" s="1411"/>
      <c r="D29" s="1418" t="s">
        <v>1406</v>
      </c>
      <c r="E29" s="1417"/>
      <c r="F29" s="1416"/>
    </row>
    <row r="30" spans="2:6" s="1408" customFormat="1" ht="4" customHeight="1" x14ac:dyDescent="0.55000000000000004">
      <c r="B30" s="1411"/>
      <c r="C30" s="1411"/>
      <c r="D30" s="1411"/>
      <c r="E30" s="1411"/>
      <c r="F30" s="1415"/>
    </row>
    <row r="31" spans="2:6" s="1408" customFormat="1" ht="12.6" customHeight="1" x14ac:dyDescent="0.85">
      <c r="B31" s="1411"/>
      <c r="C31" s="1411"/>
      <c r="D31" s="1414" t="s">
        <v>1376</v>
      </c>
      <c r="E31" s="1414" t="s">
        <v>1375</v>
      </c>
      <c r="F31" s="1413" t="s">
        <v>1374</v>
      </c>
    </row>
    <row r="32" spans="2:6" s="1408" customFormat="1" ht="4" customHeight="1" x14ac:dyDescent="0.85">
      <c r="B32" s="1411"/>
      <c r="C32" s="1411"/>
      <c r="D32" s="1414"/>
      <c r="E32" s="1414"/>
      <c r="F32" s="1413"/>
    </row>
    <row r="33" spans="2:6" s="1408" customFormat="1" ht="12.6" customHeight="1" x14ac:dyDescent="0.55000000000000004">
      <c r="B33" s="1411"/>
      <c r="C33" s="1411"/>
      <c r="D33" s="1410">
        <v>1</v>
      </c>
      <c r="E33" s="1410"/>
      <c r="F33" s="1409"/>
    </row>
    <row r="34" spans="2:6" s="1408" customFormat="1" ht="12.6" customHeight="1" x14ac:dyDescent="0.55000000000000004">
      <c r="B34" s="1411"/>
      <c r="C34" s="1411"/>
      <c r="D34" s="1410">
        <f t="shared" ref="D34:D51" si="1">D33+1</f>
        <v>2</v>
      </c>
      <c r="E34" s="1410"/>
      <c r="F34" s="1409"/>
    </row>
    <row r="35" spans="2:6" s="1408" customFormat="1" ht="12.6" customHeight="1" x14ac:dyDescent="0.55000000000000004">
      <c r="B35" s="1411"/>
      <c r="C35" s="1411"/>
      <c r="D35" s="1410">
        <f t="shared" si="1"/>
        <v>3</v>
      </c>
      <c r="E35" s="1410"/>
      <c r="F35" s="1409"/>
    </row>
    <row r="36" spans="2:6" s="1408" customFormat="1" ht="12.6" customHeight="1" x14ac:dyDescent="0.55000000000000004">
      <c r="B36" s="1411"/>
      <c r="C36" s="1411"/>
      <c r="D36" s="1410">
        <f t="shared" si="1"/>
        <v>4</v>
      </c>
      <c r="E36" s="1410"/>
      <c r="F36" s="1412"/>
    </row>
    <row r="37" spans="2:6" s="1408" customFormat="1" ht="12.6" customHeight="1" x14ac:dyDescent="0.55000000000000004">
      <c r="B37" s="1411"/>
      <c r="C37" s="1411"/>
      <c r="D37" s="1410">
        <f t="shared" si="1"/>
        <v>5</v>
      </c>
      <c r="E37" s="1410"/>
      <c r="F37" s="1409"/>
    </row>
    <row r="38" spans="2:6" s="1408" customFormat="1" ht="12.6" customHeight="1" x14ac:dyDescent="0.55000000000000004">
      <c r="B38" s="1411"/>
      <c r="C38" s="1411"/>
      <c r="D38" s="1410">
        <f t="shared" si="1"/>
        <v>6</v>
      </c>
      <c r="E38" s="1410"/>
      <c r="F38" s="1409"/>
    </row>
    <row r="39" spans="2:6" s="1408" customFormat="1" ht="12.6" customHeight="1" x14ac:dyDescent="0.55000000000000004">
      <c r="B39" s="1411"/>
      <c r="C39" s="1411"/>
      <c r="D39" s="1410">
        <f t="shared" si="1"/>
        <v>7</v>
      </c>
      <c r="E39" s="1410"/>
      <c r="F39" s="1409"/>
    </row>
    <row r="40" spans="2:6" s="1408" customFormat="1" ht="12.6" customHeight="1" x14ac:dyDescent="0.55000000000000004">
      <c r="B40" s="1411"/>
      <c r="C40" s="1411"/>
      <c r="D40" s="1410">
        <f t="shared" si="1"/>
        <v>8</v>
      </c>
      <c r="E40" s="1410"/>
      <c r="F40" s="1409"/>
    </row>
    <row r="41" spans="2:6" s="1408" customFormat="1" ht="12.6" customHeight="1" x14ac:dyDescent="0.55000000000000004">
      <c r="B41" s="1411"/>
      <c r="C41" s="1411"/>
      <c r="D41" s="1410">
        <f t="shared" si="1"/>
        <v>9</v>
      </c>
      <c r="E41" s="1410"/>
      <c r="F41" s="1409"/>
    </row>
    <row r="42" spans="2:6" s="1408" customFormat="1" ht="12.6" customHeight="1" x14ac:dyDescent="0.55000000000000004">
      <c r="B42" s="1411"/>
      <c r="C42" s="1411"/>
      <c r="D42" s="1410">
        <f t="shared" si="1"/>
        <v>10</v>
      </c>
      <c r="E42" s="1410"/>
      <c r="F42" s="1409"/>
    </row>
    <row r="43" spans="2:6" s="1408" customFormat="1" ht="12.6" customHeight="1" x14ac:dyDescent="0.55000000000000004">
      <c r="B43" s="1411"/>
      <c r="C43" s="1411"/>
      <c r="D43" s="1410">
        <f t="shared" si="1"/>
        <v>11</v>
      </c>
      <c r="E43" s="1410"/>
      <c r="F43" s="1409"/>
    </row>
    <row r="44" spans="2:6" s="1408" customFormat="1" ht="12.6" customHeight="1" x14ac:dyDescent="0.55000000000000004">
      <c r="B44" s="1411"/>
      <c r="C44" s="1411"/>
      <c r="D44" s="1410">
        <f t="shared" si="1"/>
        <v>12</v>
      </c>
      <c r="E44" s="1410"/>
      <c r="F44" s="1409"/>
    </row>
    <row r="45" spans="2:6" s="1408" customFormat="1" ht="12.6" customHeight="1" x14ac:dyDescent="0.55000000000000004">
      <c r="B45" s="1411"/>
      <c r="C45" s="1411"/>
      <c r="D45" s="1410">
        <f t="shared" si="1"/>
        <v>13</v>
      </c>
      <c r="E45" s="1410"/>
      <c r="F45" s="1409"/>
    </row>
    <row r="46" spans="2:6" s="1408" customFormat="1" ht="12.6" customHeight="1" x14ac:dyDescent="0.55000000000000004">
      <c r="B46" s="1411"/>
      <c r="C46" s="1411"/>
      <c r="D46" s="1410">
        <f t="shared" si="1"/>
        <v>14</v>
      </c>
      <c r="E46" s="1410"/>
      <c r="F46" s="1409"/>
    </row>
    <row r="47" spans="2:6" s="1408" customFormat="1" ht="12.6" customHeight="1" x14ac:dyDescent="0.55000000000000004">
      <c r="B47" s="1411"/>
      <c r="C47" s="1411"/>
      <c r="D47" s="1410">
        <f t="shared" si="1"/>
        <v>15</v>
      </c>
      <c r="E47" s="1410"/>
      <c r="F47" s="1409"/>
    </row>
    <row r="48" spans="2:6" s="1408" customFormat="1" ht="12.6" customHeight="1" x14ac:dyDescent="0.55000000000000004">
      <c r="B48" s="1411"/>
      <c r="C48" s="1411"/>
      <c r="D48" s="1410">
        <f t="shared" si="1"/>
        <v>16</v>
      </c>
      <c r="E48" s="1410"/>
      <c r="F48" s="1409"/>
    </row>
    <row r="49" spans="2:6" s="1408" customFormat="1" ht="12.6" customHeight="1" x14ac:dyDescent="0.55000000000000004">
      <c r="B49" s="1411"/>
      <c r="C49" s="1411"/>
      <c r="D49" s="1410">
        <f t="shared" si="1"/>
        <v>17</v>
      </c>
      <c r="E49" s="1410"/>
      <c r="F49" s="1409"/>
    </row>
    <row r="50" spans="2:6" s="1408" customFormat="1" ht="12.6" customHeight="1" x14ac:dyDescent="0.55000000000000004">
      <c r="B50" s="1411"/>
      <c r="C50" s="1411"/>
      <c r="D50" s="1410">
        <f t="shared" si="1"/>
        <v>18</v>
      </c>
      <c r="E50" s="1410"/>
      <c r="F50" s="1409"/>
    </row>
    <row r="51" spans="2:6" s="1408" customFormat="1" ht="12.6" customHeight="1" x14ac:dyDescent="0.55000000000000004">
      <c r="B51" s="1411"/>
      <c r="C51" s="1411"/>
      <c r="D51" s="1410">
        <f t="shared" si="1"/>
        <v>19</v>
      </c>
      <c r="E51" s="1410"/>
      <c r="F51" s="1409"/>
    </row>
    <row r="54" spans="2:6" x14ac:dyDescent="0.45">
      <c r="D54" s="1419" t="s">
        <v>1405</v>
      </c>
    </row>
    <row r="55" spans="2:6" s="1408" customFormat="1" ht="12.6" customHeight="1" x14ac:dyDescent="0.55000000000000004">
      <c r="B55" s="1411"/>
      <c r="C55" s="1411"/>
      <c r="D55" s="1418" t="s">
        <v>1404</v>
      </c>
      <c r="E55" s="1417"/>
      <c r="F55" s="1416"/>
    </row>
    <row r="56" spans="2:6" s="1408" customFormat="1" ht="4" customHeight="1" x14ac:dyDescent="0.55000000000000004">
      <c r="B56" s="1411"/>
      <c r="C56" s="1411"/>
      <c r="D56" s="1411"/>
      <c r="E56" s="1411"/>
      <c r="F56" s="1415"/>
    </row>
    <row r="57" spans="2:6" s="1408" customFormat="1" ht="12.6" customHeight="1" x14ac:dyDescent="0.85">
      <c r="B57" s="1411"/>
      <c r="C57" s="1411"/>
      <c r="D57" s="1414" t="s">
        <v>1376</v>
      </c>
      <c r="E57" s="1414" t="s">
        <v>1375</v>
      </c>
      <c r="F57" s="1413" t="s">
        <v>1374</v>
      </c>
    </row>
    <row r="58" spans="2:6" s="1408" customFormat="1" ht="4" customHeight="1" x14ac:dyDescent="0.85">
      <c r="B58" s="1411"/>
      <c r="C58" s="1411"/>
      <c r="D58" s="1414"/>
      <c r="E58" s="1414"/>
      <c r="F58" s="1413"/>
    </row>
    <row r="59" spans="2:6" s="1408" customFormat="1" ht="12.6" customHeight="1" x14ac:dyDescent="0.55000000000000004">
      <c r="B59" s="1411"/>
      <c r="C59" s="1411"/>
      <c r="D59" s="1410">
        <v>1</v>
      </c>
      <c r="E59" s="1410" t="s">
        <v>1403</v>
      </c>
      <c r="F59" s="1412" t="s">
        <v>1402</v>
      </c>
    </row>
    <row r="60" spans="2:6" s="1408" customFormat="1" ht="12.6" customHeight="1" x14ac:dyDescent="0.55000000000000004">
      <c r="B60" s="1411"/>
      <c r="C60" s="1411"/>
      <c r="D60" s="1410">
        <f t="shared" ref="D60:D77" si="2">D59+1</f>
        <v>2</v>
      </c>
      <c r="E60" s="1410" t="s">
        <v>1401</v>
      </c>
      <c r="F60" s="1412" t="s">
        <v>1400</v>
      </c>
    </row>
    <row r="61" spans="2:6" s="1408" customFormat="1" ht="12.6" customHeight="1" x14ac:dyDescent="0.55000000000000004">
      <c r="B61" s="1411"/>
      <c r="C61" s="1411"/>
      <c r="D61" s="1410">
        <f t="shared" si="2"/>
        <v>3</v>
      </c>
      <c r="E61" s="1410" t="s">
        <v>1399</v>
      </c>
      <c r="F61" s="1412" t="s">
        <v>1398</v>
      </c>
    </row>
    <row r="62" spans="2:6" s="1408" customFormat="1" ht="12.6" customHeight="1" x14ac:dyDescent="0.55000000000000004">
      <c r="B62" s="1411"/>
      <c r="C62" s="1411"/>
      <c r="D62" s="1410">
        <f t="shared" si="2"/>
        <v>4</v>
      </c>
      <c r="E62" s="1410" t="s">
        <v>1397</v>
      </c>
      <c r="F62" s="1412" t="s">
        <v>1396</v>
      </c>
    </row>
    <row r="63" spans="2:6" s="1408" customFormat="1" ht="12.6" customHeight="1" x14ac:dyDescent="0.55000000000000004">
      <c r="B63" s="1411"/>
      <c r="C63" s="1411"/>
      <c r="D63" s="1410">
        <f t="shared" si="2"/>
        <v>5</v>
      </c>
      <c r="E63" s="1410" t="s">
        <v>1395</v>
      </c>
      <c r="F63" s="1409" t="s">
        <v>1394</v>
      </c>
    </row>
    <row r="64" spans="2:6" s="1408" customFormat="1" ht="12.6" customHeight="1" x14ac:dyDescent="0.55000000000000004">
      <c r="B64" s="1411"/>
      <c r="C64" s="1411"/>
      <c r="D64" s="1410">
        <f t="shared" si="2"/>
        <v>6</v>
      </c>
      <c r="E64" s="1410"/>
      <c r="F64" s="1409"/>
    </row>
    <row r="65" spans="2:6" s="1408" customFormat="1" ht="12.6" customHeight="1" x14ac:dyDescent="0.55000000000000004">
      <c r="B65" s="1411"/>
      <c r="C65" s="1411"/>
      <c r="D65" s="1410">
        <f t="shared" si="2"/>
        <v>7</v>
      </c>
      <c r="E65" s="1410"/>
      <c r="F65" s="1409"/>
    </row>
    <row r="66" spans="2:6" s="1408" customFormat="1" ht="12.6" customHeight="1" x14ac:dyDescent="0.55000000000000004">
      <c r="B66" s="1411"/>
      <c r="C66" s="1411"/>
      <c r="D66" s="1410">
        <f t="shared" si="2"/>
        <v>8</v>
      </c>
      <c r="E66" s="1410"/>
      <c r="F66" s="1409"/>
    </row>
    <row r="67" spans="2:6" s="1408" customFormat="1" ht="12.6" customHeight="1" x14ac:dyDescent="0.55000000000000004">
      <c r="B67" s="1411"/>
      <c r="C67" s="1411"/>
      <c r="D67" s="1410">
        <f t="shared" si="2"/>
        <v>9</v>
      </c>
      <c r="E67" s="1410"/>
      <c r="F67" s="1409"/>
    </row>
    <row r="68" spans="2:6" s="1408" customFormat="1" ht="12.6" customHeight="1" x14ac:dyDescent="0.55000000000000004">
      <c r="B68" s="1411"/>
      <c r="C68" s="1411"/>
      <c r="D68" s="1410">
        <f t="shared" si="2"/>
        <v>10</v>
      </c>
      <c r="E68" s="1410"/>
      <c r="F68" s="1409"/>
    </row>
    <row r="69" spans="2:6" s="1408" customFormat="1" ht="12.6" customHeight="1" x14ac:dyDescent="0.55000000000000004">
      <c r="B69" s="1411"/>
      <c r="C69" s="1411"/>
      <c r="D69" s="1410">
        <f t="shared" si="2"/>
        <v>11</v>
      </c>
      <c r="E69" s="1410"/>
      <c r="F69" s="1409"/>
    </row>
    <row r="70" spans="2:6" s="1408" customFormat="1" ht="12.6" customHeight="1" x14ac:dyDescent="0.55000000000000004">
      <c r="B70" s="1411"/>
      <c r="C70" s="1411"/>
      <c r="D70" s="1410">
        <f t="shared" si="2"/>
        <v>12</v>
      </c>
      <c r="E70" s="1410"/>
      <c r="F70" s="1409"/>
    </row>
    <row r="71" spans="2:6" s="1408" customFormat="1" ht="12.6" customHeight="1" x14ac:dyDescent="0.55000000000000004">
      <c r="B71" s="1411"/>
      <c r="C71" s="1411"/>
      <c r="D71" s="1410">
        <f t="shared" si="2"/>
        <v>13</v>
      </c>
      <c r="E71" s="1410"/>
      <c r="F71" s="1409"/>
    </row>
    <row r="72" spans="2:6" s="1408" customFormat="1" ht="12.6" customHeight="1" x14ac:dyDescent="0.55000000000000004">
      <c r="B72" s="1411"/>
      <c r="C72" s="1411"/>
      <c r="D72" s="1410">
        <f t="shared" si="2"/>
        <v>14</v>
      </c>
      <c r="E72" s="1410"/>
      <c r="F72" s="1409"/>
    </row>
    <row r="73" spans="2:6" s="1408" customFormat="1" ht="12.6" customHeight="1" x14ac:dyDescent="0.55000000000000004">
      <c r="B73" s="1411"/>
      <c r="C73" s="1411"/>
      <c r="D73" s="1410">
        <f t="shared" si="2"/>
        <v>15</v>
      </c>
      <c r="E73" s="1410"/>
      <c r="F73" s="1409"/>
    </row>
    <row r="74" spans="2:6" s="1408" customFormat="1" ht="12.6" customHeight="1" x14ac:dyDescent="0.55000000000000004">
      <c r="B74" s="1411"/>
      <c r="C74" s="1411"/>
      <c r="D74" s="1410">
        <f t="shared" si="2"/>
        <v>16</v>
      </c>
      <c r="E74" s="1410"/>
      <c r="F74" s="1409"/>
    </row>
    <row r="75" spans="2:6" s="1408" customFormat="1" ht="12.6" customHeight="1" x14ac:dyDescent="0.55000000000000004">
      <c r="B75" s="1411"/>
      <c r="C75" s="1411"/>
      <c r="D75" s="1410">
        <f t="shared" si="2"/>
        <v>17</v>
      </c>
      <c r="E75" s="1410"/>
      <c r="F75" s="1409"/>
    </row>
    <row r="76" spans="2:6" s="1408" customFormat="1" ht="12.6" customHeight="1" x14ac:dyDescent="0.55000000000000004">
      <c r="B76" s="1411"/>
      <c r="C76" s="1411"/>
      <c r="D76" s="1410">
        <f t="shared" si="2"/>
        <v>18</v>
      </c>
      <c r="E76" s="1410"/>
      <c r="F76" s="1409"/>
    </row>
    <row r="77" spans="2:6" s="1408" customFormat="1" ht="12.6" customHeight="1" x14ac:dyDescent="0.55000000000000004">
      <c r="B77" s="1411"/>
      <c r="C77" s="1411"/>
      <c r="D77" s="1410">
        <f t="shared" si="2"/>
        <v>19</v>
      </c>
      <c r="E77" s="1410"/>
      <c r="F77" s="1409"/>
    </row>
    <row r="103" spans="2:9" x14ac:dyDescent="0.45">
      <c r="I103" s="1407" t="s">
        <v>1393</v>
      </c>
    </row>
    <row r="107" spans="2:9" x14ac:dyDescent="0.45">
      <c r="D107" s="1419" t="s">
        <v>1392</v>
      </c>
    </row>
    <row r="108" spans="2:9" s="1408" customFormat="1" ht="12.6" customHeight="1" x14ac:dyDescent="0.55000000000000004">
      <c r="B108" s="1411"/>
      <c r="C108" s="1411"/>
      <c r="D108" s="1418" t="s">
        <v>1391</v>
      </c>
      <c r="E108" s="1417"/>
      <c r="F108" s="1416"/>
    </row>
    <row r="109" spans="2:9" s="1408" customFormat="1" ht="4" customHeight="1" x14ac:dyDescent="0.55000000000000004">
      <c r="B109" s="1411"/>
      <c r="C109" s="1411"/>
      <c r="D109" s="1411"/>
      <c r="E109" s="1411"/>
      <c r="F109" s="1415"/>
    </row>
    <row r="110" spans="2:9" s="1408" customFormat="1" ht="12.6" customHeight="1" x14ac:dyDescent="0.85">
      <c r="B110" s="1411"/>
      <c r="C110" s="1411"/>
      <c r="D110" s="1414" t="s">
        <v>1376</v>
      </c>
      <c r="E110" s="1414" t="s">
        <v>1375</v>
      </c>
      <c r="F110" s="1413" t="s">
        <v>1374</v>
      </c>
    </row>
    <row r="111" spans="2:9" s="1408" customFormat="1" ht="4" customHeight="1" x14ac:dyDescent="0.85">
      <c r="B111" s="1411"/>
      <c r="C111" s="1411"/>
      <c r="D111" s="1414"/>
      <c r="E111" s="1414"/>
      <c r="F111" s="1413"/>
    </row>
    <row r="112" spans="2:9" s="1408" customFormat="1" ht="12.6" customHeight="1" x14ac:dyDescent="0.55000000000000004">
      <c r="B112" s="1411"/>
      <c r="C112" s="1411"/>
      <c r="D112" s="1410">
        <v>1</v>
      </c>
      <c r="E112" s="1410" t="s">
        <v>1390</v>
      </c>
      <c r="F112" s="1412" t="s">
        <v>1389</v>
      </c>
    </row>
    <row r="113" spans="2:6" s="1408" customFormat="1" ht="12.6" customHeight="1" x14ac:dyDescent="0.55000000000000004">
      <c r="B113" s="1411"/>
      <c r="C113" s="1411"/>
      <c r="D113" s="1410">
        <f t="shared" ref="D113:D130" si="3">D112+1</f>
        <v>2</v>
      </c>
      <c r="E113" s="1410" t="s">
        <v>1388</v>
      </c>
      <c r="F113" s="1412" t="s">
        <v>1387</v>
      </c>
    </row>
    <row r="114" spans="2:6" s="1408" customFormat="1" ht="12.6" customHeight="1" x14ac:dyDescent="0.55000000000000004">
      <c r="B114" s="1411"/>
      <c r="C114" s="1411"/>
      <c r="D114" s="1410">
        <f t="shared" si="3"/>
        <v>3</v>
      </c>
      <c r="E114" s="1410" t="s">
        <v>1386</v>
      </c>
      <c r="F114" s="1412" t="s">
        <v>1385</v>
      </c>
    </row>
    <row r="115" spans="2:6" s="1408" customFormat="1" ht="12.6" customHeight="1" x14ac:dyDescent="0.55000000000000004">
      <c r="B115" s="1411"/>
      <c r="C115" s="1411"/>
      <c r="D115" s="1410">
        <f t="shared" si="3"/>
        <v>4</v>
      </c>
      <c r="E115" s="1410" t="s">
        <v>1384</v>
      </c>
      <c r="F115" s="1412" t="s">
        <v>1383</v>
      </c>
    </row>
    <row r="116" spans="2:6" s="1408" customFormat="1" ht="12.6" customHeight="1" x14ac:dyDescent="0.55000000000000004">
      <c r="B116" s="1411"/>
      <c r="C116" s="1411"/>
      <c r="D116" s="1410">
        <f t="shared" si="3"/>
        <v>5</v>
      </c>
      <c r="E116" s="1410" t="s">
        <v>1382</v>
      </c>
      <c r="F116" s="1409" t="s">
        <v>1381</v>
      </c>
    </row>
    <row r="117" spans="2:6" s="1408" customFormat="1" ht="12.6" customHeight="1" x14ac:dyDescent="0.55000000000000004">
      <c r="B117" s="1411"/>
      <c r="C117" s="1411"/>
      <c r="D117" s="1410">
        <f t="shared" si="3"/>
        <v>6</v>
      </c>
      <c r="E117" s="1410" t="s">
        <v>1380</v>
      </c>
      <c r="F117" s="1409" t="s">
        <v>1379</v>
      </c>
    </row>
    <row r="118" spans="2:6" s="1408" customFormat="1" ht="12.6" customHeight="1" x14ac:dyDescent="0.55000000000000004">
      <c r="B118" s="1411"/>
      <c r="C118" s="1411"/>
      <c r="D118" s="1410">
        <f t="shared" si="3"/>
        <v>7</v>
      </c>
      <c r="E118" s="1410"/>
      <c r="F118" s="1409"/>
    </row>
    <row r="119" spans="2:6" s="1408" customFormat="1" ht="12.6" customHeight="1" x14ac:dyDescent="0.55000000000000004">
      <c r="B119" s="1411"/>
      <c r="C119" s="1411"/>
      <c r="D119" s="1410">
        <f t="shared" si="3"/>
        <v>8</v>
      </c>
      <c r="E119" s="1410"/>
      <c r="F119" s="1409"/>
    </row>
    <row r="120" spans="2:6" s="1408" customFormat="1" ht="12.6" customHeight="1" x14ac:dyDescent="0.55000000000000004">
      <c r="B120" s="1411"/>
      <c r="C120" s="1411"/>
      <c r="D120" s="1410">
        <f t="shared" si="3"/>
        <v>9</v>
      </c>
      <c r="E120" s="1410"/>
      <c r="F120" s="1409"/>
    </row>
    <row r="121" spans="2:6" s="1408" customFormat="1" ht="12.6" customHeight="1" x14ac:dyDescent="0.55000000000000004">
      <c r="B121" s="1411"/>
      <c r="C121" s="1411"/>
      <c r="D121" s="1410">
        <f t="shared" si="3"/>
        <v>10</v>
      </c>
      <c r="E121" s="1410"/>
      <c r="F121" s="1409"/>
    </row>
    <row r="122" spans="2:6" s="1408" customFormat="1" ht="12.6" customHeight="1" x14ac:dyDescent="0.55000000000000004">
      <c r="B122" s="1411"/>
      <c r="C122" s="1411"/>
      <c r="D122" s="1410">
        <f t="shared" si="3"/>
        <v>11</v>
      </c>
      <c r="E122" s="1410"/>
      <c r="F122" s="1409"/>
    </row>
    <row r="123" spans="2:6" s="1408" customFormat="1" ht="12.6" customHeight="1" x14ac:dyDescent="0.55000000000000004">
      <c r="B123" s="1411"/>
      <c r="C123" s="1411"/>
      <c r="D123" s="1410">
        <f t="shared" si="3"/>
        <v>12</v>
      </c>
      <c r="E123" s="1410"/>
      <c r="F123" s="1409"/>
    </row>
    <row r="124" spans="2:6" s="1408" customFormat="1" ht="12.6" customHeight="1" x14ac:dyDescent="0.55000000000000004">
      <c r="B124" s="1411"/>
      <c r="C124" s="1411"/>
      <c r="D124" s="1410">
        <f t="shared" si="3"/>
        <v>13</v>
      </c>
      <c r="E124" s="1410"/>
      <c r="F124" s="1409"/>
    </row>
    <row r="125" spans="2:6" s="1408" customFormat="1" ht="12.6" customHeight="1" x14ac:dyDescent="0.55000000000000004">
      <c r="B125" s="1411"/>
      <c r="C125" s="1411"/>
      <c r="D125" s="1410">
        <f t="shared" si="3"/>
        <v>14</v>
      </c>
      <c r="E125" s="1410"/>
      <c r="F125" s="1409"/>
    </row>
    <row r="126" spans="2:6" s="1408" customFormat="1" ht="12.6" customHeight="1" x14ac:dyDescent="0.55000000000000004">
      <c r="B126" s="1411"/>
      <c r="C126" s="1411"/>
      <c r="D126" s="1410">
        <f t="shared" si="3"/>
        <v>15</v>
      </c>
      <c r="E126" s="1410"/>
      <c r="F126" s="1409"/>
    </row>
    <row r="127" spans="2:6" s="1408" customFormat="1" ht="12.6" customHeight="1" x14ac:dyDescent="0.55000000000000004">
      <c r="B127" s="1411"/>
      <c r="C127" s="1411"/>
      <c r="D127" s="1410">
        <f t="shared" si="3"/>
        <v>16</v>
      </c>
      <c r="E127" s="1410"/>
      <c r="F127" s="1409"/>
    </row>
    <row r="128" spans="2:6" s="1408" customFormat="1" ht="12.6" customHeight="1" x14ac:dyDescent="0.55000000000000004">
      <c r="B128" s="1411"/>
      <c r="C128" s="1411"/>
      <c r="D128" s="1410">
        <f t="shared" si="3"/>
        <v>17</v>
      </c>
      <c r="E128" s="1410"/>
      <c r="F128" s="1409"/>
    </row>
    <row r="129" spans="2:6" s="1408" customFormat="1" ht="12.6" customHeight="1" x14ac:dyDescent="0.55000000000000004">
      <c r="B129" s="1411"/>
      <c r="C129" s="1411"/>
      <c r="D129" s="1410">
        <f t="shared" si="3"/>
        <v>18</v>
      </c>
      <c r="E129" s="1410"/>
      <c r="F129" s="1409"/>
    </row>
    <row r="130" spans="2:6" s="1408" customFormat="1" ht="12.6" customHeight="1" x14ac:dyDescent="0.55000000000000004">
      <c r="B130" s="1411"/>
      <c r="C130" s="1411"/>
      <c r="D130" s="1410">
        <f t="shared" si="3"/>
        <v>19</v>
      </c>
      <c r="E130" s="1410"/>
      <c r="F130" s="1409"/>
    </row>
    <row r="132" spans="2:6" x14ac:dyDescent="0.45">
      <c r="D132" s="1419" t="s">
        <v>1378</v>
      </c>
    </row>
    <row r="133" spans="2:6" s="1408" customFormat="1" ht="12.6" customHeight="1" x14ac:dyDescent="0.55000000000000004">
      <c r="B133" s="1411"/>
      <c r="C133" s="1411"/>
      <c r="D133" s="1418" t="s">
        <v>1377</v>
      </c>
      <c r="E133" s="1417"/>
      <c r="F133" s="1416"/>
    </row>
    <row r="134" spans="2:6" s="1408" customFormat="1" ht="4" customHeight="1" x14ac:dyDescent="0.55000000000000004">
      <c r="B134" s="1411"/>
      <c r="C134" s="1411"/>
      <c r="D134" s="1411"/>
      <c r="E134" s="1411"/>
      <c r="F134" s="1415"/>
    </row>
    <row r="135" spans="2:6" s="1408" customFormat="1" ht="12.6" customHeight="1" x14ac:dyDescent="0.85">
      <c r="B135" s="1411"/>
      <c r="C135" s="1411"/>
      <c r="D135" s="1414" t="s">
        <v>1376</v>
      </c>
      <c r="E135" s="1414" t="s">
        <v>1375</v>
      </c>
      <c r="F135" s="1413" t="s">
        <v>1374</v>
      </c>
    </row>
    <row r="136" spans="2:6" s="1408" customFormat="1" ht="4" customHeight="1" x14ac:dyDescent="0.85">
      <c r="B136" s="1411"/>
      <c r="C136" s="1411"/>
      <c r="D136" s="1414"/>
      <c r="E136" s="1414"/>
      <c r="F136" s="1413"/>
    </row>
    <row r="137" spans="2:6" s="1408" customFormat="1" ht="12.6" customHeight="1" x14ac:dyDescent="0.55000000000000004">
      <c r="B137" s="1411"/>
      <c r="C137" s="1411"/>
      <c r="D137" s="1410">
        <v>1</v>
      </c>
      <c r="E137" s="1410"/>
      <c r="F137" s="1412" t="s">
        <v>1373</v>
      </c>
    </row>
    <row r="138" spans="2:6" s="1408" customFormat="1" ht="12.6" customHeight="1" x14ac:dyDescent="0.55000000000000004">
      <c r="B138" s="1411"/>
      <c r="C138" s="1411"/>
      <c r="D138" s="1410">
        <f t="shared" ref="D138:D155" si="4">D137+1</f>
        <v>2</v>
      </c>
      <c r="E138" s="1410"/>
      <c r="F138" s="1412" t="s">
        <v>1372</v>
      </c>
    </row>
    <row r="139" spans="2:6" s="1408" customFormat="1" ht="12.6" customHeight="1" x14ac:dyDescent="0.55000000000000004">
      <c r="B139" s="1411"/>
      <c r="C139" s="1411"/>
      <c r="D139" s="1410">
        <f t="shared" si="4"/>
        <v>3</v>
      </c>
      <c r="E139" s="1410"/>
      <c r="F139" s="1412" t="s">
        <v>1371</v>
      </c>
    </row>
    <row r="140" spans="2:6" s="1408" customFormat="1" ht="12.6" customHeight="1" x14ac:dyDescent="0.55000000000000004">
      <c r="B140" s="1411"/>
      <c r="C140" s="1411"/>
      <c r="D140" s="1410">
        <f t="shared" si="4"/>
        <v>4</v>
      </c>
      <c r="E140" s="1410"/>
      <c r="F140" s="1412" t="s">
        <v>1370</v>
      </c>
    </row>
    <row r="141" spans="2:6" s="1408" customFormat="1" ht="12.6" customHeight="1" x14ac:dyDescent="0.55000000000000004">
      <c r="B141" s="1411"/>
      <c r="C141" s="1411"/>
      <c r="D141" s="1410">
        <f t="shared" si="4"/>
        <v>5</v>
      </c>
      <c r="E141" s="1410"/>
      <c r="F141" s="1409" t="s">
        <v>1369</v>
      </c>
    </row>
    <row r="142" spans="2:6" s="1408" customFormat="1" ht="12.6" customHeight="1" x14ac:dyDescent="0.55000000000000004">
      <c r="B142" s="1411"/>
      <c r="C142" s="1411"/>
      <c r="D142" s="1410">
        <f t="shared" si="4"/>
        <v>6</v>
      </c>
      <c r="E142" s="1410"/>
      <c r="F142" s="1409" t="s">
        <v>1368</v>
      </c>
    </row>
    <row r="143" spans="2:6" s="1408" customFormat="1" ht="12.6" customHeight="1" x14ac:dyDescent="0.55000000000000004">
      <c r="B143" s="1411"/>
      <c r="C143" s="1411"/>
      <c r="D143" s="1410">
        <f t="shared" si="4"/>
        <v>7</v>
      </c>
      <c r="E143" s="1410"/>
      <c r="F143" s="1409" t="s">
        <v>1367</v>
      </c>
    </row>
    <row r="144" spans="2:6" s="1408" customFormat="1" ht="12.6" customHeight="1" x14ac:dyDescent="0.55000000000000004">
      <c r="B144" s="1411"/>
      <c r="C144" s="1411"/>
      <c r="D144" s="1410">
        <f t="shared" si="4"/>
        <v>8</v>
      </c>
      <c r="E144" s="1410"/>
      <c r="F144" s="1409" t="s">
        <v>1366</v>
      </c>
    </row>
    <row r="145" spans="2:6" s="1408" customFormat="1" ht="12.6" customHeight="1" x14ac:dyDescent="0.55000000000000004">
      <c r="B145" s="1411"/>
      <c r="C145" s="1411"/>
      <c r="D145" s="1410">
        <f t="shared" si="4"/>
        <v>9</v>
      </c>
      <c r="E145" s="1410"/>
      <c r="F145" s="1409" t="s">
        <v>1365</v>
      </c>
    </row>
    <row r="146" spans="2:6" s="1408" customFormat="1" ht="12.6" customHeight="1" x14ac:dyDescent="0.55000000000000004">
      <c r="B146" s="1411"/>
      <c r="C146" s="1411"/>
      <c r="D146" s="1410">
        <f t="shared" si="4"/>
        <v>10</v>
      </c>
      <c r="E146" s="1410"/>
      <c r="F146" s="1409" t="s">
        <v>1364</v>
      </c>
    </row>
    <row r="147" spans="2:6" s="1408" customFormat="1" ht="12.6" customHeight="1" x14ac:dyDescent="0.55000000000000004">
      <c r="B147" s="1411"/>
      <c r="C147" s="1411"/>
      <c r="D147" s="1410">
        <f t="shared" si="4"/>
        <v>11</v>
      </c>
      <c r="E147" s="1410"/>
      <c r="F147" s="1409" t="s">
        <v>1363</v>
      </c>
    </row>
    <row r="148" spans="2:6" s="1408" customFormat="1" ht="12.6" customHeight="1" x14ac:dyDescent="0.55000000000000004">
      <c r="B148" s="1411"/>
      <c r="C148" s="1411"/>
      <c r="D148" s="1410">
        <f t="shared" si="4"/>
        <v>12</v>
      </c>
      <c r="E148" s="1410"/>
      <c r="F148" s="1409"/>
    </row>
    <row r="149" spans="2:6" s="1408" customFormat="1" ht="12.6" customHeight="1" x14ac:dyDescent="0.55000000000000004">
      <c r="B149" s="1411"/>
      <c r="C149" s="1411"/>
      <c r="D149" s="1410">
        <f t="shared" si="4"/>
        <v>13</v>
      </c>
      <c r="E149" s="1410"/>
      <c r="F149" s="1409"/>
    </row>
    <row r="150" spans="2:6" s="1408" customFormat="1" ht="12.6" customHeight="1" x14ac:dyDescent="0.55000000000000004">
      <c r="B150" s="1411"/>
      <c r="C150" s="1411"/>
      <c r="D150" s="1410">
        <f t="shared" si="4"/>
        <v>14</v>
      </c>
      <c r="E150" s="1410"/>
      <c r="F150" s="1409"/>
    </row>
    <row r="151" spans="2:6" s="1408" customFormat="1" ht="12.6" customHeight="1" x14ac:dyDescent="0.55000000000000004">
      <c r="B151" s="1411"/>
      <c r="C151" s="1411"/>
      <c r="D151" s="1410">
        <f t="shared" si="4"/>
        <v>15</v>
      </c>
      <c r="E151" s="1410"/>
      <c r="F151" s="1409"/>
    </row>
    <row r="152" spans="2:6" s="1408" customFormat="1" ht="12.6" customHeight="1" x14ac:dyDescent="0.55000000000000004">
      <c r="B152" s="1411"/>
      <c r="C152" s="1411"/>
      <c r="D152" s="1410">
        <f t="shared" si="4"/>
        <v>16</v>
      </c>
      <c r="E152" s="1410"/>
      <c r="F152" s="1409"/>
    </row>
    <row r="153" spans="2:6" s="1408" customFormat="1" ht="12.6" customHeight="1" x14ac:dyDescent="0.55000000000000004">
      <c r="B153" s="1411"/>
      <c r="C153" s="1411"/>
      <c r="D153" s="1410">
        <f t="shared" si="4"/>
        <v>17</v>
      </c>
      <c r="E153" s="1410"/>
      <c r="F153" s="1409"/>
    </row>
    <row r="154" spans="2:6" s="1408" customFormat="1" ht="12.6" customHeight="1" x14ac:dyDescent="0.55000000000000004">
      <c r="B154" s="1411"/>
      <c r="C154" s="1411"/>
      <c r="D154" s="1410">
        <f t="shared" si="4"/>
        <v>18</v>
      </c>
      <c r="E154" s="1410"/>
      <c r="F154" s="1409"/>
    </row>
    <row r="155" spans="2:6" s="1408" customFormat="1" ht="12.6" customHeight="1" x14ac:dyDescent="0.55000000000000004">
      <c r="B155" s="1411"/>
      <c r="C155" s="1411"/>
      <c r="D155" s="1410">
        <f t="shared" si="4"/>
        <v>19</v>
      </c>
      <c r="E155" s="1410"/>
      <c r="F155" s="1409"/>
    </row>
    <row r="159" spans="2:6" x14ac:dyDescent="0.45">
      <c r="F159" s="1406" t="s">
        <v>1362</v>
      </c>
    </row>
    <row r="160" spans="2:6" x14ac:dyDescent="0.45">
      <c r="F160" s="1406" t="s">
        <v>1361</v>
      </c>
    </row>
  </sheetData>
  <pageMargins left="0.7" right="0.7" top="0.75" bottom="0.75" header="0.3" footer="0.3"/>
  <pageSetup scale="34"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03DEC-384E-4735-BC6F-FADD55EACFA4}">
  <sheetPr>
    <tabColor rgb="FF0E2841"/>
    <pageSetUpPr fitToPage="1"/>
  </sheetPr>
  <dimension ref="B2:AE70"/>
  <sheetViews>
    <sheetView showGridLines="0" view="pageBreakPreview" zoomScale="85" zoomScaleSheetLayoutView="85" workbookViewId="0">
      <selection activeCell="E42" sqref="E42"/>
    </sheetView>
  </sheetViews>
  <sheetFormatPr defaultRowHeight="12.9" x14ac:dyDescent="0.5"/>
  <cols>
    <col min="1" max="1" width="2.89453125" style="1171" customWidth="1"/>
    <col min="2" max="2" width="18.89453125" style="1171" bestFit="1" customWidth="1"/>
    <col min="3" max="3" width="11.41796875" style="1171" bestFit="1" customWidth="1"/>
    <col min="4" max="4" width="18.83984375" style="1171" bestFit="1" customWidth="1"/>
    <col min="5" max="5" width="20.578125" style="1171" customWidth="1"/>
    <col min="6" max="6" width="11.734375" style="1171" customWidth="1"/>
    <col min="7" max="7" width="20.578125" style="1171" customWidth="1"/>
    <col min="8" max="8" width="11.734375" style="1171" customWidth="1"/>
    <col min="9" max="11" width="8.83984375" style="1171"/>
    <col min="12" max="12" width="15.47265625" style="1171" bestFit="1" customWidth="1"/>
    <col min="13" max="21" width="9.5234375" style="1171" customWidth="1"/>
    <col min="22" max="16384" width="8.83984375" style="1171"/>
  </cols>
  <sheetData>
    <row r="2" spans="2:8" x14ac:dyDescent="0.5">
      <c r="B2" s="1404" t="s">
        <v>1143</v>
      </c>
      <c r="C2" s="1403"/>
      <c r="E2" s="1352" t="s">
        <v>1349</v>
      </c>
      <c r="F2" s="1352"/>
      <c r="G2" s="1352" t="s">
        <v>1348</v>
      </c>
      <c r="H2" s="1201"/>
    </row>
    <row r="3" spans="2:8" x14ac:dyDescent="0.5">
      <c r="B3" s="1400" t="s">
        <v>1136</v>
      </c>
      <c r="C3" s="1399" t="e">
        <f>#REF!</f>
        <v>#REF!</v>
      </c>
      <c r="E3" s="1171" t="s">
        <v>1347</v>
      </c>
      <c r="F3" s="1178">
        <f>[1]Historicals!AX946+[1]Historicals!AX947+[1]Historicals!AX950</f>
        <v>78168</v>
      </c>
      <c r="G3" s="1171" t="s">
        <v>1346</v>
      </c>
      <c r="H3" s="1178">
        <f>[1]Historicals!AX978</f>
        <v>33596</v>
      </c>
    </row>
    <row r="4" spans="2:8" x14ac:dyDescent="0.5">
      <c r="B4" s="1398" t="s">
        <v>1345</v>
      </c>
      <c r="C4" s="1402">
        <f>[1]Historicals!AX489</f>
        <v>2604</v>
      </c>
      <c r="E4" s="1171" t="s">
        <v>1344</v>
      </c>
      <c r="F4" s="1178">
        <f>[1]Historicals!AX952-'EV &amp; CE'!F3</f>
        <v>21877</v>
      </c>
      <c r="G4" s="1171" t="s">
        <v>115</v>
      </c>
      <c r="H4" s="1178">
        <f>[1]Historicals!AX983</f>
        <v>28826</v>
      </c>
    </row>
    <row r="5" spans="2:8" x14ac:dyDescent="0.5">
      <c r="B5" s="1401" t="s">
        <v>1343</v>
      </c>
      <c r="C5" s="1395" t="e">
        <f>C3*C4</f>
        <v>#REF!</v>
      </c>
      <c r="E5" s="1171" t="s">
        <v>1342</v>
      </c>
      <c r="F5" s="1178">
        <f>[1]Historicals!AX957</f>
        <v>14922</v>
      </c>
      <c r="G5" s="1171" t="s">
        <v>1341</v>
      </c>
      <c r="H5" s="1178">
        <f>[1]Historicals!AX982+[1]Historicals!AX983</f>
        <v>47118</v>
      </c>
    </row>
    <row r="6" spans="2:8" x14ac:dyDescent="0.5">
      <c r="B6" s="1400" t="s">
        <v>1340</v>
      </c>
      <c r="C6" s="1399">
        <f>[1]Historicals!AX982+[1]Historicals!AX983</f>
        <v>47118</v>
      </c>
      <c r="E6" s="1171" t="s">
        <v>1339</v>
      </c>
      <c r="F6" s="1178">
        <f>[1]Historicals!AX956</f>
        <v>121346</v>
      </c>
      <c r="G6" s="1171" t="s">
        <v>1338</v>
      </c>
      <c r="H6" s="1178">
        <f>[1]Historicals!AX986-'EV &amp; CE'!H5-'EV &amp; CE'!H4</f>
        <v>-16123</v>
      </c>
    </row>
    <row r="7" spans="2:8" x14ac:dyDescent="0.5">
      <c r="B7" s="1400" t="s">
        <v>211</v>
      </c>
      <c r="C7" s="1399"/>
      <c r="E7" s="1201" t="s">
        <v>1337</v>
      </c>
      <c r="F7" s="1315">
        <f>[1]Historicals!AX962-'EV &amp; CE'!F6-'EV &amp; CE'!F5</f>
        <v>39741</v>
      </c>
      <c r="G7" s="1201" t="s">
        <v>1336</v>
      </c>
      <c r="H7" s="1315">
        <f>[1]Historicals!AX994</f>
        <v>182637</v>
      </c>
    </row>
    <row r="8" spans="2:8" x14ac:dyDescent="0.5">
      <c r="B8" s="1398" t="s">
        <v>1335</v>
      </c>
      <c r="C8" s="1397">
        <f>-([1]Historicals!AX946+[1]Historicals!AX947+[1]Historicals!AX950+[1]Historicals!AX960)</f>
        <v>-79364</v>
      </c>
      <c r="E8" s="1197" t="s">
        <v>1334</v>
      </c>
      <c r="F8" s="1295">
        <f>SUM(F3:F7)</f>
        <v>276054</v>
      </c>
      <c r="G8" s="1197" t="s">
        <v>1333</v>
      </c>
      <c r="H8" s="1295">
        <f>SUM(H3:H7)</f>
        <v>276054</v>
      </c>
    </row>
    <row r="9" spans="2:8" x14ac:dyDescent="0.5">
      <c r="B9" s="1396" t="s">
        <v>1143</v>
      </c>
      <c r="C9" s="1395" t="e">
        <f>SUM(C5:C8)</f>
        <v>#REF!</v>
      </c>
    </row>
    <row r="10" spans="2:8" x14ac:dyDescent="0.5">
      <c r="E10" s="1394" t="s">
        <v>1332</v>
      </c>
      <c r="F10" s="1393">
        <f>[1]Historicals!AX952/[1]Historicals!AX978</f>
        <v>2.9778842719371355</v>
      </c>
    </row>
    <row r="11" spans="2:8" x14ac:dyDescent="0.5">
      <c r="E11" s="1385" t="s">
        <v>1331</v>
      </c>
      <c r="F11" s="1392">
        <f>[1]Historicals!AX952-[1]Historicals!AX978</f>
        <v>66449</v>
      </c>
    </row>
    <row r="12" spans="2:8" x14ac:dyDescent="0.5">
      <c r="E12" s="1385" t="s">
        <v>1330</v>
      </c>
      <c r="F12" s="1391">
        <f>[1]Historicals!AX987/[1]Historicals!AX994</f>
        <v>0.51149000476354733</v>
      </c>
    </row>
    <row r="13" spans="2:8" x14ac:dyDescent="0.5">
      <c r="E13" s="1390" t="s">
        <v>1329</v>
      </c>
      <c r="F13" s="1389">
        <f>[1]Historicals!AX994/[1]Historicals!AX963</f>
        <v>0.66159881762263906</v>
      </c>
    </row>
    <row r="19" spans="3:31" ht="12.9" customHeight="1" x14ac:dyDescent="0.5"/>
    <row r="20" spans="3:31" ht="12.9" customHeight="1" x14ac:dyDescent="0.5"/>
    <row r="21" spans="3:31" ht="12.9" customHeight="1" x14ac:dyDescent="0.5"/>
    <row r="22" spans="3:31" ht="12.9" customHeight="1" x14ac:dyDescent="0.5"/>
    <row r="26" spans="3:31" ht="4" customHeight="1" x14ac:dyDescent="0.5"/>
    <row r="27" spans="3:31" ht="12.9" customHeight="1" x14ac:dyDescent="0.5"/>
    <row r="28" spans="3:31" ht="4" customHeight="1" x14ac:dyDescent="0.5"/>
    <row r="29" spans="3:31" ht="12.9" customHeight="1" x14ac:dyDescent="0.5"/>
    <row r="30" spans="3:31" x14ac:dyDescent="0.5">
      <c r="AE30" s="1171">
        <v>576</v>
      </c>
    </row>
    <row r="31" spans="3:31" ht="8.0500000000000007" customHeight="1" x14ac:dyDescent="0.5">
      <c r="AE31" s="1171">
        <v>737</v>
      </c>
    </row>
    <row r="32" spans="3:31" x14ac:dyDescent="0.5">
      <c r="C32" s="1180"/>
      <c r="AE32" s="1229">
        <f>AE31/AE30-1</f>
        <v>0.27951388888888884</v>
      </c>
    </row>
    <row r="33" spans="2:21" x14ac:dyDescent="0.5">
      <c r="C33" s="1180"/>
    </row>
    <row r="35" spans="2:21" ht="8.0500000000000007" customHeight="1" x14ac:dyDescent="0.5">
      <c r="C35" s="1180"/>
    </row>
    <row r="36" spans="2:21" s="1172" customFormat="1" x14ac:dyDescent="0.5">
      <c r="C36" s="1174"/>
    </row>
    <row r="38" spans="2:21" x14ac:dyDescent="0.5">
      <c r="C38" s="1180"/>
    </row>
    <row r="39" spans="2:21" ht="8.0500000000000007" customHeight="1" x14ac:dyDescent="0.5">
      <c r="B39" s="1172"/>
      <c r="C39" s="1174"/>
    </row>
    <row r="40" spans="2:21" x14ac:dyDescent="0.5">
      <c r="C40" s="1358"/>
    </row>
    <row r="41" spans="2:21" x14ac:dyDescent="0.5">
      <c r="C41" s="1358"/>
    </row>
    <row r="42" spans="2:21" x14ac:dyDescent="0.5">
      <c r="C42" s="1358"/>
    </row>
    <row r="43" spans="2:21" x14ac:dyDescent="0.5">
      <c r="C43" s="1358"/>
      <c r="L43" s="1171" t="s">
        <v>1326</v>
      </c>
      <c r="M43" s="1178">
        <f>[1]Historicals!BT749</f>
        <v>921210</v>
      </c>
      <c r="N43" s="1178">
        <f>[1]Historicals!BU749</f>
        <v>299747.44</v>
      </c>
      <c r="O43" s="1178">
        <f>[1]Historicals!BV749</f>
        <v>900011</v>
      </c>
      <c r="P43" s="1178">
        <f>[1]Historicals!BW749</f>
        <v>1509284.96</v>
      </c>
      <c r="Q43" s="1381" t="e">
        <f>$C$9</f>
        <v>#REF!</v>
      </c>
      <c r="R43" s="1180" t="e">
        <f>$C$9</f>
        <v>#REF!</v>
      </c>
      <c r="S43" s="1180" t="e">
        <f>$C$9</f>
        <v>#REF!</v>
      </c>
      <c r="T43" s="1380"/>
      <c r="U43" s="1176"/>
    </row>
    <row r="44" spans="2:21" x14ac:dyDescent="0.5">
      <c r="C44" s="1358"/>
      <c r="L44" s="1171" t="s">
        <v>1172</v>
      </c>
      <c r="M44" s="1378">
        <f>M43/'[1]Old Summary'!H137</f>
        <v>23.398780797561596</v>
      </c>
      <c r="N44" s="1378">
        <f>N43/'[1]Old Summary'!I137</f>
        <v>12.920148275862068</v>
      </c>
      <c r="O44" s="1378">
        <f>O43/'[1]Old Summary'!J137</f>
        <v>23.019361604174126</v>
      </c>
      <c r="P44" s="1378">
        <f>P43/'[1]Old Summary'!K137</f>
        <v>24.202773572803078</v>
      </c>
      <c r="Q44" s="1379" t="e">
        <f>Q43/'[1]Old Summary'!L137</f>
        <v>#REF!</v>
      </c>
      <c r="R44" s="1378" t="e">
        <f>R43/'[1]Old Summary'!M137</f>
        <v>#REF!</v>
      </c>
      <c r="S44" s="1378" t="e">
        <f>S43/'[1]Old Summary'!N137</f>
        <v>#REF!</v>
      </c>
      <c r="T44" s="1380"/>
      <c r="U44" s="1176"/>
    </row>
    <row r="45" spans="2:21" x14ac:dyDescent="0.5">
      <c r="C45" s="1358"/>
      <c r="L45" s="1171" t="s">
        <v>1325</v>
      </c>
      <c r="M45" s="1378">
        <f>M43/'[1]Old Summary'!H133</f>
        <v>19.703762325412274</v>
      </c>
      <c r="N45" s="1378">
        <f>N43/'[1]Old Summary'!I133</f>
        <v>10.356116639027087</v>
      </c>
      <c r="O45" s="1378">
        <f>O43/'[1]Old Summary'!J133</f>
        <v>19.251160402986031</v>
      </c>
      <c r="P45" s="1378">
        <f>P43/'[1]Old Summary'!K133</f>
        <v>21.753891034880368</v>
      </c>
      <c r="Q45" s="1379" t="e">
        <f>Q43/'[1]Old Summary'!L133</f>
        <v>#REF!</v>
      </c>
      <c r="R45" s="1378" t="e">
        <f>R43/'[1]Old Summary'!M133</f>
        <v>#REF!</v>
      </c>
      <c r="S45" s="1378" t="e">
        <f>S43/'[1]Old Summary'!N133</f>
        <v>#REF!</v>
      </c>
      <c r="T45" s="1380"/>
      <c r="U45" s="1176"/>
    </row>
    <row r="46" spans="2:21" x14ac:dyDescent="0.5">
      <c r="L46" s="1171" t="s">
        <v>1169</v>
      </c>
      <c r="P46" s="1378">
        <f>P43/'[1]Old Summary'!K141</f>
        <v>28.967333166996141</v>
      </c>
    </row>
    <row r="47" spans="2:21" x14ac:dyDescent="0.5">
      <c r="P47" s="1180">
        <f>P48*P45</f>
        <v>369816.14759296627</v>
      </c>
    </row>
    <row r="48" spans="2:21" x14ac:dyDescent="0.5">
      <c r="P48" s="1230">
        <v>17000</v>
      </c>
    </row>
    <row r="49" spans="12:21" x14ac:dyDescent="0.5">
      <c r="P49" s="1230">
        <f>'[1]Old Summary'!K130-'[1]Old Summary'!J130</f>
        <v>29599</v>
      </c>
    </row>
    <row r="50" spans="12:21" x14ac:dyDescent="0.5">
      <c r="P50" s="1230">
        <f>'[1]Old Summary'!K133-'[1]Old Summary'!J133</f>
        <v>22629</v>
      </c>
    </row>
    <row r="51" spans="12:21" x14ac:dyDescent="0.5">
      <c r="P51" s="1171">
        <f>P50/P49</f>
        <v>0.76451907159025645</v>
      </c>
    </row>
    <row r="53" spans="12:21" x14ac:dyDescent="0.5">
      <c r="L53" s="1285" t="s">
        <v>1228</v>
      </c>
      <c r="M53" s="1284" t="s">
        <v>1227</v>
      </c>
      <c r="N53" s="1283"/>
      <c r="O53" s="1283"/>
      <c r="P53" s="1283"/>
      <c r="Q53" s="1282" t="s">
        <v>1226</v>
      </c>
      <c r="R53" s="1279"/>
      <c r="S53" s="1279"/>
      <c r="T53" s="1282" t="s">
        <v>1225</v>
      </c>
      <c r="U53" s="1279"/>
    </row>
    <row r="55" spans="12:21" ht="14.7" x14ac:dyDescent="0.8">
      <c r="L55" s="1277" t="s">
        <v>1224</v>
      </c>
      <c r="M55" s="1275" t="s">
        <v>1221</v>
      </c>
      <c r="N55" s="1275" t="s">
        <v>1220</v>
      </c>
      <c r="O55" s="1275" t="s">
        <v>1219</v>
      </c>
      <c r="P55" s="1275" t="s">
        <v>1218</v>
      </c>
      <c r="Q55" s="1388" t="s">
        <v>1217</v>
      </c>
      <c r="R55" s="1275" t="s">
        <v>1216</v>
      </c>
      <c r="S55" s="1275" t="s">
        <v>1215</v>
      </c>
      <c r="T55" s="1387" t="s">
        <v>1206</v>
      </c>
      <c r="U55" s="1273" t="s">
        <v>1205</v>
      </c>
    </row>
    <row r="56" spans="12:21" x14ac:dyDescent="0.5">
      <c r="Q56" s="1385"/>
      <c r="T56" s="1385"/>
    </row>
    <row r="57" spans="12:21" x14ac:dyDescent="0.5">
      <c r="L57" s="1171" t="s">
        <v>40</v>
      </c>
      <c r="M57" s="1178">
        <f>'[1]Old Summary'!H130</f>
        <v>117929</v>
      </c>
      <c r="N57" s="1178" t="e">
        <f>#REF!</f>
        <v>#REF!</v>
      </c>
      <c r="O57" s="1178" t="e">
        <f>#REF!</f>
        <v>#REF!</v>
      </c>
      <c r="P57" s="1178" t="e">
        <f>#REF!</f>
        <v>#REF!</v>
      </c>
      <c r="Q57" s="1381" t="e" cm="1">
        <f t="array" ref="Q57">_xldudf_TEGUS_CE('[1]Old Summary'!$G$124,$W57,'[1]Old Summary'!L$124)/1000000</f>
        <v>#REF!</v>
      </c>
      <c r="R57" s="1180" t="e" cm="1">
        <f t="array" ref="R57">_xldudf_TEGUS_CE('[1]Old Summary'!$G$124,$W57,'[1]Old Summary'!M$124)/1000000</f>
        <v>#REF!</v>
      </c>
      <c r="S57" s="1180" t="e" cm="1">
        <f t="array" ref="S57">_xldudf_TEGUS_CE('[1]Old Summary'!$G$124,$W57,'[1]Old Summary'!N$124)/1000000</f>
        <v>#REF!</v>
      </c>
      <c r="T57" s="1380" t="e">
        <f>(P57/M57)^(1/3)-1</f>
        <v>#REF!</v>
      </c>
      <c r="U57" s="1176" t="e">
        <f>(S57/P57)^(1/3)-1</f>
        <v>#REF!</v>
      </c>
    </row>
    <row r="58" spans="12:21" x14ac:dyDescent="0.5">
      <c r="L58" s="1175" t="s">
        <v>1154</v>
      </c>
      <c r="M58" s="1384"/>
      <c r="N58" s="1384"/>
      <c r="O58" s="1174" t="e">
        <f>O57/N57-1</f>
        <v>#REF!</v>
      </c>
      <c r="P58" s="1174" t="e">
        <f>P57/O57-1</f>
        <v>#REF!</v>
      </c>
      <c r="Q58" s="1382" t="e">
        <f>Q57/P57-1</f>
        <v>#REF!</v>
      </c>
      <c r="R58" s="1174" t="e">
        <f>R57/Q57-1</f>
        <v>#REF!</v>
      </c>
      <c r="S58" s="1174" t="e">
        <f>S57/R57-1</f>
        <v>#REF!</v>
      </c>
      <c r="T58" s="1385"/>
    </row>
    <row r="59" spans="12:21" x14ac:dyDescent="0.5">
      <c r="Q59" s="1385"/>
      <c r="T59" s="1380"/>
      <c r="U59" s="1176"/>
    </row>
    <row r="60" spans="12:21" x14ac:dyDescent="0.5">
      <c r="L60" s="1171" t="s">
        <v>77</v>
      </c>
      <c r="M60" s="1178" t="e">
        <f>#REF!</f>
        <v>#REF!</v>
      </c>
      <c r="N60" s="1178" t="e">
        <f>#REF!</f>
        <v>#REF!</v>
      </c>
      <c r="O60" s="1178" t="e">
        <f>#REF!</f>
        <v>#REF!</v>
      </c>
      <c r="P60" s="1178" t="e">
        <f>#REF!</f>
        <v>#REF!</v>
      </c>
      <c r="Q60" s="1381" t="e" cm="1">
        <f t="array" ref="Q60">_xldudf_TEGUS_CE('[1]Old Summary'!$G$124,$W60,'[1]Old Summary'!L$124)/1000000</f>
        <v>#REF!</v>
      </c>
      <c r="R60" s="1180" t="e" cm="1">
        <f t="array" ref="R60">_xldudf_TEGUS_CE('[1]Old Summary'!$G$124,$W60,'[1]Old Summary'!M$124)/1000000</f>
        <v>#REF!</v>
      </c>
      <c r="S60" s="1180" t="e" cm="1">
        <f t="array" ref="S60">_xldudf_TEGUS_CE('[1]Old Summary'!$G$124,$W60,'[1]Old Summary'!N$124)/1000000</f>
        <v>#REF!</v>
      </c>
      <c r="T60" s="1380" t="e">
        <f>(P60/M60)^(1/3)-1</f>
        <v>#REF!</v>
      </c>
      <c r="U60" s="1176" t="e">
        <f>(S60/P60)^(1/3)-1</f>
        <v>#REF!</v>
      </c>
    </row>
    <row r="61" spans="12:21" x14ac:dyDescent="0.5">
      <c r="L61" s="1175" t="s">
        <v>1154</v>
      </c>
      <c r="M61" s="1384"/>
      <c r="N61" s="1384"/>
      <c r="O61" s="1174" t="e">
        <f>O60/N60-1</f>
        <v>#REF!</v>
      </c>
      <c r="P61" s="1174" t="e">
        <f>P60/O60-1</f>
        <v>#REF!</v>
      </c>
      <c r="Q61" s="1382" t="e">
        <f>Q60/P60-1</f>
        <v>#REF!</v>
      </c>
      <c r="R61" s="1174" t="e">
        <f>R60/Q60-1</f>
        <v>#REF!</v>
      </c>
      <c r="S61" s="1174" t="e">
        <f>S60/R60-1</f>
        <v>#REF!</v>
      </c>
      <c r="T61" s="1386"/>
      <c r="U61" s="1223"/>
    </row>
    <row r="62" spans="12:21" x14ac:dyDescent="0.5">
      <c r="L62" s="1175" t="s">
        <v>1328</v>
      </c>
      <c r="M62" s="1174" t="e">
        <f t="shared" ref="M62:S62" si="0">M60/M57</f>
        <v>#REF!</v>
      </c>
      <c r="N62" s="1174" t="e">
        <f t="shared" si="0"/>
        <v>#REF!</v>
      </c>
      <c r="O62" s="1174" t="e">
        <f t="shared" si="0"/>
        <v>#REF!</v>
      </c>
      <c r="P62" s="1174" t="e">
        <f t="shared" si="0"/>
        <v>#REF!</v>
      </c>
      <c r="Q62" s="1382" t="e">
        <f t="shared" si="0"/>
        <v>#REF!</v>
      </c>
      <c r="R62" s="1174" t="e">
        <f t="shared" si="0"/>
        <v>#REF!</v>
      </c>
      <c r="S62" s="1174" t="e">
        <f t="shared" si="0"/>
        <v>#REF!</v>
      </c>
      <c r="T62" s="1380" t="e">
        <f>(P62/M62)^(1/3)-1</f>
        <v>#REF!</v>
      </c>
      <c r="U62" s="1176" t="e">
        <f>(S62/P62)^(1/3)-1</f>
        <v>#REF!</v>
      </c>
    </row>
    <row r="63" spans="12:21" x14ac:dyDescent="0.5">
      <c r="Q63" s="1385"/>
      <c r="T63" s="1385"/>
    </row>
    <row r="64" spans="12:21" x14ac:dyDescent="0.5">
      <c r="L64" s="1171" t="s">
        <v>51</v>
      </c>
      <c r="M64" s="1178" t="e">
        <f>#REF!</f>
        <v>#REF!</v>
      </c>
      <c r="N64" s="1178" t="e">
        <f>#REF!</f>
        <v>#REF!</v>
      </c>
      <c r="O64" s="1178" t="e">
        <f>#REF!</f>
        <v>#REF!</v>
      </c>
      <c r="P64" s="1178" t="e">
        <f>#REF!</f>
        <v>#REF!</v>
      </c>
      <c r="Q64" s="1381" t="e" cm="1">
        <f t="array" ref="Q64">_xldudf_TEGUS_CE('[1]Old Summary'!$G$124,$W64,'[1]Old Summary'!L$124)/1000000</f>
        <v>#REF!</v>
      </c>
      <c r="R64" s="1180" t="e" cm="1">
        <f t="array" ref="R64">_xldudf_TEGUS_CE('[1]Old Summary'!$G$124,$W64,'[1]Old Summary'!M$124)/1000000</f>
        <v>#REF!</v>
      </c>
      <c r="S64" s="1180" t="e" cm="1">
        <f t="array" ref="S64">_xldudf_TEGUS_CE('[1]Old Summary'!$G$124,$W64,'[1]Old Summary'!N$124)/1000000</f>
        <v>#REF!</v>
      </c>
      <c r="T64" s="1380" t="e">
        <f>(P64/M64)^(1/3)-1</f>
        <v>#REF!</v>
      </c>
      <c r="U64" s="1176" t="e">
        <f>(S64/P64)^(1/3)-1</f>
        <v>#REF!</v>
      </c>
    </row>
    <row r="65" spans="12:21" x14ac:dyDescent="0.5">
      <c r="L65" s="1175" t="s">
        <v>1154</v>
      </c>
      <c r="M65" s="1384"/>
      <c r="N65" s="1384"/>
      <c r="O65" s="1174" t="e">
        <f>O64/N64-1</f>
        <v>#REF!</v>
      </c>
      <c r="P65" s="1174" t="e">
        <f>P64/O64-1</f>
        <v>#REF!</v>
      </c>
      <c r="Q65" s="1382" t="e">
        <f>Q64/P64-1</f>
        <v>#REF!</v>
      </c>
      <c r="R65" s="1174" t="e">
        <f>R64/Q64-1</f>
        <v>#REF!</v>
      </c>
      <c r="S65" s="1174" t="e">
        <f>S64/R64-1</f>
        <v>#REF!</v>
      </c>
      <c r="T65" s="1383"/>
    </row>
    <row r="66" spans="12:21" x14ac:dyDescent="0.5">
      <c r="L66" s="1175" t="s">
        <v>1327</v>
      </c>
      <c r="M66" s="1174" t="e">
        <f t="shared" ref="M66:S66" si="1">M64/M57</f>
        <v>#REF!</v>
      </c>
      <c r="N66" s="1174" t="e">
        <f t="shared" si="1"/>
        <v>#REF!</v>
      </c>
      <c r="O66" s="1174" t="e">
        <f t="shared" si="1"/>
        <v>#REF!</v>
      </c>
      <c r="P66" s="1174" t="e">
        <f t="shared" si="1"/>
        <v>#REF!</v>
      </c>
      <c r="Q66" s="1382" t="e">
        <f t="shared" si="1"/>
        <v>#REF!</v>
      </c>
      <c r="R66" s="1174" t="e">
        <f t="shared" si="1"/>
        <v>#REF!</v>
      </c>
      <c r="S66" s="1174" t="e">
        <f t="shared" si="1"/>
        <v>#REF!</v>
      </c>
      <c r="T66" s="1380" t="e">
        <f>(P66/M66)^(1/3)-1</f>
        <v>#REF!</v>
      </c>
      <c r="U66" s="1176" t="e">
        <f>(S66/P66)^(1/3)-1</f>
        <v>#REF!</v>
      </c>
    </row>
    <row r="68" spans="12:21" x14ac:dyDescent="0.5">
      <c r="L68" s="1171" t="s">
        <v>1326</v>
      </c>
      <c r="M68" s="1178">
        <f>[1]Historicals!BT774</f>
        <v>0</v>
      </c>
      <c r="N68" s="1178">
        <f>[1]Historicals!BU774</f>
        <v>0</v>
      </c>
      <c r="O68" s="1178">
        <f>[1]Historicals!BV774</f>
        <v>0</v>
      </c>
      <c r="P68" s="1178">
        <f>[1]Historicals!BW774</f>
        <v>0</v>
      </c>
      <c r="Q68" s="1381" t="e">
        <f>$C$9</f>
        <v>#REF!</v>
      </c>
      <c r="R68" s="1180" t="e">
        <f>$C$9</f>
        <v>#REF!</v>
      </c>
      <c r="S68" s="1180" t="e">
        <f>$C$9</f>
        <v>#REF!</v>
      </c>
      <c r="T68" s="1380"/>
      <c r="U68" s="1176"/>
    </row>
    <row r="69" spans="12:21" x14ac:dyDescent="0.5">
      <c r="L69" s="1171" t="s">
        <v>1172</v>
      </c>
      <c r="M69" s="1378" t="e">
        <f t="shared" ref="M69:S69" si="2">M68/M64</f>
        <v>#REF!</v>
      </c>
      <c r="N69" s="1378" t="e">
        <f t="shared" si="2"/>
        <v>#REF!</v>
      </c>
      <c r="O69" s="1378" t="e">
        <f t="shared" si="2"/>
        <v>#REF!</v>
      </c>
      <c r="P69" s="1378" t="e">
        <f t="shared" si="2"/>
        <v>#REF!</v>
      </c>
      <c r="Q69" s="1379" t="e">
        <f t="shared" si="2"/>
        <v>#REF!</v>
      </c>
      <c r="R69" s="1378" t="e">
        <f t="shared" si="2"/>
        <v>#REF!</v>
      </c>
      <c r="S69" s="1378" t="e">
        <f t="shared" si="2"/>
        <v>#REF!</v>
      </c>
      <c r="T69" s="1380"/>
      <c r="U69" s="1176"/>
    </row>
    <row r="70" spans="12:21" x14ac:dyDescent="0.5">
      <c r="L70" s="1171" t="s">
        <v>1325</v>
      </c>
      <c r="M70" s="1378" t="e">
        <f t="shared" ref="M70:S70" si="3">M68/M60</f>
        <v>#REF!</v>
      </c>
      <c r="N70" s="1378" t="e">
        <f t="shared" si="3"/>
        <v>#REF!</v>
      </c>
      <c r="O70" s="1378" t="e">
        <f t="shared" si="3"/>
        <v>#REF!</v>
      </c>
      <c r="P70" s="1378" t="e">
        <f t="shared" si="3"/>
        <v>#REF!</v>
      </c>
      <c r="Q70" s="1379" t="e">
        <f t="shared" si="3"/>
        <v>#REF!</v>
      </c>
      <c r="R70" s="1378" t="e">
        <f t="shared" si="3"/>
        <v>#REF!</v>
      </c>
      <c r="S70" s="1378" t="e">
        <f t="shared" si="3"/>
        <v>#REF!</v>
      </c>
    </row>
  </sheetData>
  <pageMargins left="0.7" right="0.7" top="0.75" bottom="0.75" header="0.3" footer="0.3"/>
  <pageSetup scale="66"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EEC-AC19-4CB5-AE7E-D60583BEF771}">
  <sheetPr codeName="Sheet5">
    <pageSetUpPr fitToPage="1"/>
  </sheetPr>
  <dimension ref="A1:X57"/>
  <sheetViews>
    <sheetView showGridLines="0" workbookViewId="0"/>
  </sheetViews>
  <sheetFormatPr defaultColWidth="8.734375" defaultRowHeight="14.4" x14ac:dyDescent="0.55000000000000004"/>
  <cols>
    <col min="1" max="1" width="5.734375" style="2" customWidth="1"/>
    <col min="2" max="2" width="7.734375" style="2" customWidth="1"/>
    <col min="3" max="3" width="10.26171875" style="2" customWidth="1"/>
    <col min="4" max="4" width="13.734375" style="2" customWidth="1"/>
    <col min="5" max="5" width="5.41796875" style="2" customWidth="1"/>
    <col min="6" max="6" width="13.734375" style="2" customWidth="1"/>
    <col min="7" max="7" width="6.734375" style="2" customWidth="1"/>
    <col min="8" max="8" width="31.734375" style="2" customWidth="1"/>
    <col min="9" max="15" width="8.734375" style="2" customWidth="1"/>
    <col min="16" max="16" width="45.734375" style="2" customWidth="1"/>
    <col min="17" max="20" width="8.734375" style="2" customWidth="1"/>
    <col min="21" max="16384" width="8.734375" style="2"/>
  </cols>
  <sheetData>
    <row r="1" spans="1:24" x14ac:dyDescent="0.55000000000000004">
      <c r="A1" s="3"/>
      <c r="B1" s="3"/>
      <c r="C1" s="3"/>
      <c r="D1" s="3"/>
      <c r="E1" s="3"/>
      <c r="F1" s="3"/>
      <c r="G1" s="3"/>
      <c r="H1" s="3"/>
      <c r="I1" s="3"/>
      <c r="J1" s="3"/>
      <c r="K1" s="3"/>
      <c r="L1" s="3"/>
      <c r="M1" s="3"/>
      <c r="N1" s="3"/>
      <c r="O1" s="3"/>
      <c r="P1" s="3"/>
      <c r="Q1" s="3"/>
      <c r="R1" s="3"/>
      <c r="S1" s="3"/>
      <c r="T1" s="3"/>
      <c r="U1" s="3"/>
      <c r="V1" s="3"/>
      <c r="W1" s="3"/>
      <c r="X1" s="3"/>
    </row>
    <row r="2" spans="1:24" x14ac:dyDescent="0.55000000000000004">
      <c r="A2" s="3"/>
      <c r="B2" s="3"/>
      <c r="C2" s="3"/>
      <c r="D2" s="3"/>
      <c r="E2" s="3"/>
      <c r="F2" s="3"/>
      <c r="G2" s="3"/>
      <c r="H2" s="3"/>
      <c r="I2" s="3"/>
      <c r="J2" s="3"/>
      <c r="K2" s="3"/>
      <c r="L2" s="3"/>
      <c r="M2" s="3"/>
      <c r="N2" s="3"/>
      <c r="O2" s="3"/>
      <c r="P2" s="3"/>
      <c r="Q2" s="3"/>
      <c r="R2" s="3"/>
      <c r="S2" s="3"/>
      <c r="T2" s="3"/>
      <c r="U2" s="3"/>
      <c r="V2" s="3"/>
      <c r="W2" s="3"/>
      <c r="X2" s="3"/>
    </row>
    <row r="3" spans="1:24" x14ac:dyDescent="0.55000000000000004">
      <c r="A3" s="3"/>
      <c r="B3" s="3"/>
      <c r="C3" s="3"/>
      <c r="D3" s="3"/>
      <c r="E3" s="3"/>
      <c r="F3" s="3"/>
      <c r="G3" s="3"/>
      <c r="H3" s="3"/>
      <c r="I3" s="3"/>
      <c r="J3" s="3"/>
      <c r="K3" s="3"/>
      <c r="L3" s="3"/>
      <c r="M3" s="3"/>
      <c r="N3" s="3"/>
      <c r="O3" s="3"/>
      <c r="P3" s="3"/>
      <c r="Q3" s="3"/>
      <c r="R3" s="3"/>
      <c r="S3" s="3"/>
      <c r="T3" s="3"/>
      <c r="U3" s="3"/>
      <c r="V3" s="3"/>
      <c r="W3" s="3"/>
      <c r="X3" s="3"/>
    </row>
    <row r="4" spans="1:24" x14ac:dyDescent="0.55000000000000004">
      <c r="A4" s="3"/>
      <c r="B4" s="3"/>
      <c r="C4" s="3"/>
      <c r="D4" s="3"/>
      <c r="E4" s="3"/>
      <c r="F4" s="3"/>
      <c r="G4" s="3"/>
      <c r="H4" s="3"/>
      <c r="I4" s="3"/>
      <c r="J4" s="3"/>
      <c r="K4" s="3"/>
      <c r="L4" s="3"/>
      <c r="M4" s="3"/>
      <c r="N4" s="3"/>
      <c r="O4" s="3"/>
      <c r="P4" s="3"/>
      <c r="Q4" s="3"/>
      <c r="R4" s="3"/>
      <c r="S4" s="3"/>
      <c r="T4" s="3"/>
      <c r="U4" s="3"/>
      <c r="V4" s="3"/>
      <c r="W4" s="3"/>
      <c r="X4" s="3"/>
    </row>
    <row r="5" spans="1:24" x14ac:dyDescent="0.55000000000000004">
      <c r="A5" s="3"/>
      <c r="B5" s="3"/>
      <c r="C5" s="3"/>
      <c r="D5" s="3"/>
      <c r="E5" s="3"/>
      <c r="F5" s="3"/>
      <c r="G5" s="3"/>
      <c r="H5" s="3"/>
      <c r="I5" s="3"/>
      <c r="J5" s="3"/>
      <c r="K5" s="3"/>
      <c r="L5" s="3"/>
      <c r="M5" s="3"/>
      <c r="N5" s="3"/>
      <c r="O5" s="3"/>
      <c r="P5" s="3"/>
      <c r="Q5" s="3"/>
      <c r="R5" s="3"/>
      <c r="S5" s="3"/>
      <c r="T5" s="3"/>
      <c r="U5" s="3"/>
      <c r="V5" s="3"/>
      <c r="W5" s="3"/>
      <c r="X5" s="3"/>
    </row>
    <row r="6" spans="1:24" ht="18.3" x14ac:dyDescent="0.55000000000000004">
      <c r="A6" s="3"/>
      <c r="B6" s="3"/>
      <c r="C6" s="3"/>
      <c r="D6" s="3"/>
      <c r="E6" s="3"/>
      <c r="F6" s="3"/>
      <c r="G6" s="3"/>
      <c r="H6" s="3"/>
      <c r="I6" s="3"/>
      <c r="J6" s="3"/>
      <c r="K6" s="3"/>
      <c r="L6" s="3"/>
      <c r="M6" s="449" t="s">
        <v>0</v>
      </c>
      <c r="N6" s="3"/>
      <c r="O6" s="3"/>
      <c r="P6" s="3"/>
      <c r="Q6" s="3"/>
      <c r="R6" s="3"/>
      <c r="S6" s="3"/>
      <c r="T6" s="3"/>
      <c r="U6" s="3"/>
      <c r="V6" s="3"/>
      <c r="W6" s="3"/>
      <c r="X6" s="3"/>
    </row>
    <row r="7" spans="1:24" ht="18.3" x14ac:dyDescent="0.7">
      <c r="A7" s="3"/>
      <c r="B7" s="3"/>
      <c r="C7" s="3"/>
      <c r="D7" s="3"/>
      <c r="E7" s="3"/>
      <c r="F7" s="3"/>
      <c r="G7" s="3"/>
      <c r="H7" s="3"/>
      <c r="I7" s="3"/>
      <c r="J7" s="3"/>
      <c r="K7" s="3"/>
      <c r="L7" s="3"/>
      <c r="M7" s="1560" t="s">
        <v>1</v>
      </c>
      <c r="N7" s="1560"/>
      <c r="O7" s="1560"/>
      <c r="P7" s="3"/>
      <c r="Q7" s="3"/>
      <c r="R7" s="3"/>
      <c r="S7" s="3"/>
      <c r="T7" s="3"/>
      <c r="U7" s="3"/>
      <c r="V7" s="3"/>
      <c r="W7" s="3"/>
      <c r="X7" s="3"/>
    </row>
    <row r="8" spans="1:24" ht="28.2" x14ac:dyDescent="1.05">
      <c r="A8" s="3"/>
      <c r="B8" s="3"/>
      <c r="C8" s="3"/>
      <c r="D8" s="3"/>
      <c r="E8" s="3"/>
      <c r="F8" s="1545"/>
      <c r="G8" s="1545"/>
      <c r="H8" s="1545"/>
      <c r="I8" s="1545"/>
      <c r="J8" s="1545"/>
      <c r="K8" s="1545"/>
      <c r="L8" s="3"/>
      <c r="M8" s="3"/>
      <c r="N8" s="3"/>
      <c r="O8" s="3"/>
      <c r="P8" s="3"/>
      <c r="Q8" s="3"/>
      <c r="R8" s="3"/>
      <c r="S8" s="3"/>
      <c r="T8" s="3"/>
      <c r="U8" s="3"/>
      <c r="V8" s="3"/>
      <c r="W8" s="3"/>
      <c r="X8" s="3"/>
    </row>
    <row r="9" spans="1:24" ht="18.3" x14ac:dyDescent="0.7">
      <c r="A9" s="3"/>
      <c r="B9" s="3"/>
      <c r="C9" s="450" t="s">
        <v>2</v>
      </c>
      <c r="D9" s="451"/>
      <c r="E9" s="451"/>
      <c r="F9" s="451"/>
      <c r="G9" s="451"/>
      <c r="H9" s="452" t="str">
        <f>Model!A1</f>
        <v>Meta Platforms, Inc.</v>
      </c>
      <c r="I9" s="451"/>
      <c r="J9" s="451"/>
      <c r="K9" s="451"/>
      <c r="L9" s="451"/>
      <c r="M9" s="517"/>
      <c r="N9" s="451"/>
      <c r="O9" s="451"/>
      <c r="Q9" s="3"/>
      <c r="R9" s="3"/>
      <c r="S9" s="3"/>
      <c r="T9" s="3"/>
      <c r="U9" s="3"/>
      <c r="V9" s="3"/>
      <c r="W9" s="3"/>
      <c r="X9" s="3"/>
    </row>
    <row r="10" spans="1:24" ht="18.3" x14ac:dyDescent="0.7">
      <c r="A10" s="3"/>
      <c r="B10" s="3"/>
      <c r="C10" s="453"/>
      <c r="D10" s="3"/>
      <c r="E10" s="3"/>
      <c r="F10" s="3"/>
      <c r="G10" s="3"/>
      <c r="H10" s="3"/>
      <c r="I10" s="3"/>
      <c r="J10" s="3"/>
      <c r="K10" s="3"/>
      <c r="L10" s="3"/>
      <c r="M10" s="518"/>
      <c r="N10" s="3"/>
      <c r="O10" s="3"/>
      <c r="Q10" s="3"/>
      <c r="R10" s="3"/>
      <c r="S10" s="3"/>
      <c r="T10" s="3"/>
      <c r="U10" s="3"/>
      <c r="V10" s="3"/>
      <c r="W10" s="3"/>
      <c r="X10" s="3"/>
    </row>
    <row r="11" spans="1:24" ht="18.3" x14ac:dyDescent="0.55000000000000004">
      <c r="A11" s="3"/>
      <c r="B11" s="3"/>
      <c r="C11" s="450" t="s">
        <v>4</v>
      </c>
      <c r="D11" s="3"/>
      <c r="E11" s="3"/>
      <c r="F11" s="3"/>
      <c r="G11" s="3"/>
      <c r="H11" s="487">
        <f ca="1">OFFSET('Update Log'!$C$10,1,0,1,1)</f>
        <v>45777</v>
      </c>
      <c r="I11" s="3"/>
      <c r="J11" s="3"/>
      <c r="K11" s="3"/>
      <c r="L11" s="3"/>
      <c r="M11" s="3"/>
      <c r="N11" s="3"/>
      <c r="O11" s="3"/>
      <c r="Q11" s="3"/>
      <c r="R11" s="3"/>
      <c r="S11" s="3"/>
      <c r="T11" s="3"/>
      <c r="U11" s="3"/>
      <c r="V11" s="3"/>
      <c r="W11" s="3"/>
      <c r="X11" s="3"/>
    </row>
    <row r="12" spans="1:24" ht="18.3" x14ac:dyDescent="0.7">
      <c r="A12" s="3"/>
      <c r="B12" s="3"/>
      <c r="C12" s="3"/>
      <c r="D12" s="3"/>
      <c r="E12" s="3"/>
      <c r="F12" s="3"/>
      <c r="G12" s="3"/>
      <c r="H12" s="455"/>
      <c r="I12" s="3"/>
      <c r="J12" s="3"/>
      <c r="K12" s="3"/>
      <c r="L12" s="3"/>
      <c r="M12" s="450" t="s">
        <v>3</v>
      </c>
      <c r="N12" s="3"/>
      <c r="O12" s="3"/>
      <c r="Q12" s="3"/>
      <c r="R12" s="3"/>
      <c r="S12" s="3"/>
      <c r="T12" s="3"/>
      <c r="U12" s="3"/>
      <c r="V12" s="3"/>
      <c r="W12" s="3"/>
      <c r="X12" s="3"/>
    </row>
    <row r="13" spans="1:24" ht="18.3" x14ac:dyDescent="0.55000000000000004">
      <c r="A13" s="3"/>
      <c r="B13" s="3"/>
      <c r="C13" s="450" t="s">
        <v>5</v>
      </c>
      <c r="D13" s="3"/>
      <c r="E13" s="3"/>
      <c r="F13" s="3"/>
      <c r="G13" s="3"/>
      <c r="H13" s="488" t="str">
        <f ca="1">OFFSET('Update Log'!$E$10,1,0,1,1)</f>
        <v>Initial (Press Release)</v>
      </c>
      <c r="I13" s="3"/>
      <c r="J13" s="3"/>
      <c r="K13" s="3"/>
      <c r="L13" s="3"/>
      <c r="M13" s="1555" t="s">
        <v>1086</v>
      </c>
      <c r="N13" s="1556"/>
      <c r="O13" s="1556"/>
      <c r="P13" s="1557"/>
      <c r="Q13" s="3"/>
      <c r="R13" s="3"/>
      <c r="S13" s="3"/>
      <c r="T13" s="3"/>
      <c r="U13" s="3"/>
      <c r="V13" s="3"/>
      <c r="W13" s="3"/>
      <c r="X13" s="3"/>
    </row>
    <row r="14" spans="1:24" x14ac:dyDescent="0.55000000000000004">
      <c r="A14" s="3"/>
      <c r="B14" s="3"/>
      <c r="C14" s="3"/>
      <c r="D14" s="3"/>
      <c r="E14" s="3"/>
      <c r="F14" s="3"/>
      <c r="G14" s="3"/>
      <c r="H14" s="3"/>
      <c r="I14" s="3"/>
      <c r="J14" s="3"/>
      <c r="K14" s="3"/>
      <c r="L14" s="3"/>
      <c r="M14" s="1555"/>
      <c r="N14" s="1556"/>
      <c r="O14" s="1556"/>
      <c r="P14" s="1557"/>
      <c r="Q14" s="3"/>
      <c r="R14" s="3"/>
      <c r="S14" s="3"/>
      <c r="T14" s="3"/>
      <c r="U14" s="3"/>
      <c r="V14" s="3"/>
      <c r="W14" s="3"/>
      <c r="X14" s="3"/>
    </row>
    <row r="15" spans="1:24" ht="18.75" customHeight="1" x14ac:dyDescent="0.55000000000000004">
      <c r="A15" s="3"/>
      <c r="B15" s="3"/>
      <c r="C15" s="450" t="s">
        <v>6</v>
      </c>
      <c r="D15" s="451"/>
      <c r="E15" s="451"/>
      <c r="F15" s="451"/>
      <c r="G15" s="451"/>
      <c r="H15" s="489" t="s">
        <v>7</v>
      </c>
      <c r="I15" s="3"/>
      <c r="J15" s="456"/>
      <c r="K15" s="3"/>
      <c r="L15" s="3"/>
      <c r="M15" s="1555"/>
      <c r="N15" s="1556"/>
      <c r="O15" s="1556"/>
      <c r="P15" s="1557"/>
      <c r="Q15" s="3"/>
      <c r="R15" s="3"/>
      <c r="S15" s="3"/>
      <c r="T15" s="3"/>
      <c r="U15" s="3"/>
      <c r="V15" s="3"/>
      <c r="W15" s="3"/>
      <c r="X15" s="3"/>
    </row>
    <row r="16" spans="1:24" ht="15" customHeight="1" x14ac:dyDescent="0.55000000000000004">
      <c r="A16" s="3"/>
      <c r="B16" s="3"/>
      <c r="C16" s="451"/>
      <c r="D16" s="1"/>
      <c r="E16" s="1"/>
      <c r="F16" s="1"/>
      <c r="G16" s="1"/>
      <c r="H16" s="457">
        <f>IF(FP.DataSourceName="Bloomberg",1,IF(FP.DataSourceName="Capital IQ",2,IF(FP.DataSourceName="FactSet",3,IF(FP.DataSourceName="Refinitiv",4))))</f>
        <v>1</v>
      </c>
      <c r="I16" s="458"/>
      <c r="J16" s="456"/>
      <c r="K16" s="3"/>
      <c r="L16" s="3"/>
      <c r="M16" s="1555"/>
      <c r="N16" s="1556"/>
      <c r="O16" s="1556"/>
      <c r="P16" s="1557"/>
      <c r="Q16" s="3"/>
      <c r="R16" s="3"/>
      <c r="S16" s="3"/>
      <c r="T16" s="3"/>
      <c r="U16" s="3"/>
      <c r="V16" s="3"/>
      <c r="W16" s="3"/>
      <c r="X16" s="3"/>
    </row>
    <row r="17" spans="1:24" s="39" customFormat="1" ht="18.3" x14ac:dyDescent="0.7">
      <c r="A17" s="1"/>
      <c r="B17" s="1"/>
      <c r="C17" s="453"/>
      <c r="D17" s="1"/>
      <c r="E17" s="1"/>
      <c r="F17" s="1"/>
      <c r="G17" s="1"/>
      <c r="H17" s="1"/>
      <c r="I17" s="458"/>
      <c r="J17" s="456"/>
      <c r="K17" s="3"/>
      <c r="L17" s="3"/>
      <c r="M17" s="1555"/>
      <c r="N17" s="1558"/>
      <c r="O17" s="1558"/>
      <c r="P17" s="1559"/>
      <c r="Q17" s="1"/>
      <c r="R17" s="1"/>
      <c r="S17" s="1"/>
      <c r="T17" s="1"/>
      <c r="U17" s="1"/>
      <c r="V17" s="1"/>
      <c r="W17" s="3"/>
      <c r="X17" s="1"/>
    </row>
    <row r="18" spans="1:24" s="39" customFormat="1" ht="18.75" customHeight="1" x14ac:dyDescent="0.55000000000000004">
      <c r="A18" s="1"/>
      <c r="B18" s="1"/>
      <c r="C18" s="450" t="s">
        <v>8</v>
      </c>
      <c r="D18" s="451"/>
      <c r="E18" s="451"/>
      <c r="F18" s="451"/>
      <c r="G18" s="451"/>
      <c r="H18" s="489" t="s">
        <v>610</v>
      </c>
      <c r="I18" s="459"/>
      <c r="J18" s="459"/>
      <c r="K18" s="3"/>
      <c r="L18" s="3"/>
      <c r="M18" s="1555"/>
      <c r="N18" s="1558"/>
      <c r="O18" s="1558"/>
      <c r="P18" s="1559"/>
      <c r="Q18" s="1"/>
      <c r="R18" s="1"/>
      <c r="S18" s="1"/>
      <c r="T18" s="1"/>
      <c r="U18" s="1"/>
      <c r="V18" s="1"/>
      <c r="W18" s="3"/>
      <c r="X18" s="1"/>
    </row>
    <row r="19" spans="1:24" s="39" customFormat="1" x14ac:dyDescent="0.55000000000000004">
      <c r="A19" s="1"/>
      <c r="B19" s="1"/>
      <c r="C19" s="451"/>
      <c r="D19" s="1"/>
      <c r="E19" s="1"/>
      <c r="F19" s="1"/>
      <c r="G19" s="1"/>
      <c r="H19" s="1"/>
      <c r="I19" s="458"/>
      <c r="J19" s="456"/>
      <c r="K19" s="3"/>
      <c r="L19" s="3"/>
      <c r="M19" s="1555"/>
      <c r="N19" s="1558"/>
      <c r="O19" s="1558"/>
      <c r="P19" s="1559"/>
      <c r="Q19" s="1"/>
      <c r="R19" s="1"/>
      <c r="S19" s="1"/>
      <c r="T19" s="1"/>
      <c r="U19" s="1"/>
      <c r="V19" s="1"/>
      <c r="W19" s="3"/>
      <c r="X19" s="1"/>
    </row>
    <row r="20" spans="1:24" s="39" customFormat="1" ht="18.75" customHeight="1" x14ac:dyDescent="0.7">
      <c r="A20" s="1"/>
      <c r="B20" s="1"/>
      <c r="C20" s="460" t="s">
        <v>9</v>
      </c>
      <c r="D20" s="1"/>
      <c r="E20" s="1"/>
      <c r="F20" s="461">
        <v>45776</v>
      </c>
      <c r="G20" s="1"/>
      <c r="H20" s="490">
        <v>554.44000000000005</v>
      </c>
      <c r="I20" s="458"/>
      <c r="J20" s="456"/>
      <c r="K20" s="3"/>
      <c r="L20" s="3"/>
      <c r="M20" s="1555"/>
      <c r="N20" s="1558"/>
      <c r="O20" s="1558"/>
      <c r="P20" s="1559"/>
      <c r="Q20" s="1"/>
      <c r="R20" s="1"/>
      <c r="S20" s="1"/>
      <c r="T20" s="1"/>
      <c r="U20" s="1"/>
      <c r="V20" s="1"/>
      <c r="W20" s="3"/>
      <c r="X20" s="1"/>
    </row>
    <row r="21" spans="1:24" s="39" customFormat="1" x14ac:dyDescent="0.55000000000000004">
      <c r="A21" s="1"/>
      <c r="B21" s="1"/>
      <c r="C21" s="1"/>
      <c r="D21" s="3"/>
      <c r="E21" s="3"/>
      <c r="F21" s="3"/>
      <c r="G21" s="3"/>
      <c r="H21" s="3"/>
      <c r="I21" s="3"/>
      <c r="J21" s="3"/>
      <c r="K21" s="3"/>
      <c r="L21" s="3"/>
      <c r="M21" s="3"/>
      <c r="N21" s="1"/>
      <c r="O21" s="1"/>
      <c r="P21" s="1"/>
      <c r="Q21" s="1"/>
      <c r="R21" s="1"/>
      <c r="S21" s="1"/>
      <c r="T21" s="1"/>
      <c r="U21" s="1"/>
      <c r="V21" s="1"/>
      <c r="W21" s="1"/>
      <c r="X21" s="1"/>
    </row>
    <row r="22" spans="1:24" ht="16.149999999999999" customHeight="1" x14ac:dyDescent="0.55000000000000004">
      <c r="A22" s="3"/>
      <c r="B22" s="3"/>
      <c r="C22" s="1546" t="s">
        <v>344</v>
      </c>
      <c r="D22" s="1547"/>
      <c r="E22" s="1547"/>
      <c r="F22" s="1547"/>
      <c r="G22" s="1547"/>
      <c r="H22" s="1547"/>
      <c r="I22" s="1547"/>
      <c r="J22" s="1547"/>
      <c r="K22" s="1547"/>
      <c r="L22" s="1547"/>
      <c r="M22" s="1547"/>
      <c r="N22" s="1547"/>
      <c r="O22" s="1547"/>
      <c r="P22" s="1548"/>
      <c r="Q22" s="3"/>
      <c r="R22" s="3"/>
      <c r="S22" s="3"/>
      <c r="T22" s="3"/>
      <c r="U22" s="3"/>
      <c r="V22" s="3"/>
      <c r="W22" s="3"/>
      <c r="X22" s="3"/>
    </row>
    <row r="23" spans="1:24" ht="16.149999999999999" customHeight="1" x14ac:dyDescent="0.55000000000000004">
      <c r="A23" s="3"/>
      <c r="B23" s="3"/>
      <c r="C23" s="1549"/>
      <c r="D23" s="1550"/>
      <c r="E23" s="1550"/>
      <c r="F23" s="1550"/>
      <c r="G23" s="1550"/>
      <c r="H23" s="1550"/>
      <c r="I23" s="1550"/>
      <c r="J23" s="1550"/>
      <c r="K23" s="1550"/>
      <c r="L23" s="1550"/>
      <c r="M23" s="1550"/>
      <c r="N23" s="1550"/>
      <c r="O23" s="1550"/>
      <c r="P23" s="1551"/>
      <c r="Q23" s="3"/>
      <c r="R23" s="3"/>
      <c r="S23" s="3"/>
      <c r="T23" s="3"/>
      <c r="U23" s="3"/>
      <c r="V23" s="3"/>
      <c r="W23" s="3"/>
      <c r="X23" s="3"/>
    </row>
    <row r="24" spans="1:24" ht="16.149999999999999" customHeight="1" x14ac:dyDescent="0.55000000000000004">
      <c r="A24" s="3"/>
      <c r="B24" s="3"/>
      <c r="C24" s="1549"/>
      <c r="D24" s="1550"/>
      <c r="E24" s="1550"/>
      <c r="F24" s="1550"/>
      <c r="G24" s="1550"/>
      <c r="H24" s="1550"/>
      <c r="I24" s="1550"/>
      <c r="J24" s="1550"/>
      <c r="K24" s="1550"/>
      <c r="L24" s="1550"/>
      <c r="M24" s="1550"/>
      <c r="N24" s="1550"/>
      <c r="O24" s="1550"/>
      <c r="P24" s="1551"/>
      <c r="Q24" s="3"/>
      <c r="R24" s="3"/>
      <c r="S24" s="3"/>
      <c r="T24" s="3"/>
      <c r="U24" s="3"/>
      <c r="V24" s="3"/>
      <c r="W24" s="3"/>
      <c r="X24" s="3"/>
    </row>
    <row r="25" spans="1:24" ht="16.149999999999999" customHeight="1" x14ac:dyDescent="0.55000000000000004">
      <c r="A25" s="3"/>
      <c r="B25" s="3"/>
      <c r="C25" s="1549"/>
      <c r="D25" s="1550"/>
      <c r="E25" s="1550"/>
      <c r="F25" s="1550"/>
      <c r="G25" s="1550"/>
      <c r="H25" s="1550"/>
      <c r="I25" s="1550"/>
      <c r="J25" s="1550"/>
      <c r="K25" s="1550"/>
      <c r="L25" s="1550"/>
      <c r="M25" s="1550"/>
      <c r="N25" s="1550"/>
      <c r="O25" s="1550"/>
      <c r="P25" s="1551"/>
      <c r="Q25" s="3"/>
      <c r="R25" s="3"/>
      <c r="S25" s="3"/>
      <c r="T25" s="3"/>
      <c r="U25" s="3"/>
      <c r="V25" s="3"/>
      <c r="W25" s="3"/>
      <c r="X25" s="3"/>
    </row>
    <row r="26" spans="1:24" ht="16.149999999999999" customHeight="1" x14ac:dyDescent="0.55000000000000004">
      <c r="A26" s="3"/>
      <c r="B26" s="3"/>
      <c r="C26" s="1549"/>
      <c r="D26" s="1550"/>
      <c r="E26" s="1550"/>
      <c r="F26" s="1550"/>
      <c r="G26" s="1550"/>
      <c r="H26" s="1550"/>
      <c r="I26" s="1550"/>
      <c r="J26" s="1550"/>
      <c r="K26" s="1550"/>
      <c r="L26" s="1550"/>
      <c r="M26" s="1550"/>
      <c r="N26" s="1550"/>
      <c r="O26" s="1550"/>
      <c r="P26" s="1551"/>
      <c r="Q26" s="3"/>
      <c r="R26" s="3"/>
      <c r="S26" s="3"/>
      <c r="T26" s="3"/>
      <c r="U26" s="3"/>
      <c r="V26" s="3"/>
      <c r="W26" s="3"/>
      <c r="X26" s="3"/>
    </row>
    <row r="27" spans="1:24" ht="16.149999999999999" customHeight="1" x14ac:dyDescent="0.55000000000000004">
      <c r="A27" s="3"/>
      <c r="B27" s="3"/>
      <c r="C27" s="1549"/>
      <c r="D27" s="1550"/>
      <c r="E27" s="1550"/>
      <c r="F27" s="1550"/>
      <c r="G27" s="1550"/>
      <c r="H27" s="1550"/>
      <c r="I27" s="1550"/>
      <c r="J27" s="1550"/>
      <c r="K27" s="1550"/>
      <c r="L27" s="1550"/>
      <c r="M27" s="1550"/>
      <c r="N27" s="1550"/>
      <c r="O27" s="1550"/>
      <c r="P27" s="1551"/>
      <c r="Q27" s="3"/>
      <c r="R27" s="3"/>
      <c r="S27" s="3"/>
      <c r="T27" s="3"/>
      <c r="U27" s="3"/>
      <c r="V27" s="3"/>
      <c r="W27" s="3"/>
      <c r="X27" s="3"/>
    </row>
    <row r="28" spans="1:24" ht="16.149999999999999" customHeight="1" x14ac:dyDescent="0.55000000000000004">
      <c r="A28" s="3"/>
      <c r="B28" s="3"/>
      <c r="C28" s="1549"/>
      <c r="D28" s="1550"/>
      <c r="E28" s="1550"/>
      <c r="F28" s="1550"/>
      <c r="G28" s="1550"/>
      <c r="H28" s="1550"/>
      <c r="I28" s="1550"/>
      <c r="J28" s="1550"/>
      <c r="K28" s="1550"/>
      <c r="L28" s="1550"/>
      <c r="M28" s="1550"/>
      <c r="N28" s="1550"/>
      <c r="O28" s="1550"/>
      <c r="P28" s="1551"/>
      <c r="Q28" s="3"/>
      <c r="R28" s="3"/>
      <c r="S28" s="3"/>
      <c r="T28" s="3"/>
      <c r="U28" s="3"/>
      <c r="V28" s="3"/>
      <c r="W28" s="3"/>
      <c r="X28" s="3"/>
    </row>
    <row r="29" spans="1:24" ht="16.149999999999999" customHeight="1" x14ac:dyDescent="0.55000000000000004">
      <c r="A29" s="3"/>
      <c r="B29" s="3"/>
      <c r="C29" s="1549"/>
      <c r="D29" s="1550"/>
      <c r="E29" s="1550"/>
      <c r="F29" s="1550"/>
      <c r="G29" s="1550"/>
      <c r="H29" s="1550"/>
      <c r="I29" s="1550"/>
      <c r="J29" s="1550"/>
      <c r="K29" s="1550"/>
      <c r="L29" s="1550"/>
      <c r="M29" s="1550"/>
      <c r="N29" s="1550"/>
      <c r="O29" s="1550"/>
      <c r="P29" s="1551"/>
      <c r="Q29" s="3"/>
      <c r="R29" s="3"/>
      <c r="S29" s="3"/>
      <c r="T29" s="3"/>
      <c r="U29" s="3"/>
      <c r="V29" s="3"/>
      <c r="W29" s="3"/>
      <c r="X29" s="3"/>
    </row>
    <row r="30" spans="1:24" ht="16.149999999999999" customHeight="1" x14ac:dyDescent="0.55000000000000004">
      <c r="A30" s="3"/>
      <c r="B30" s="3"/>
      <c r="C30" s="1549"/>
      <c r="D30" s="1550"/>
      <c r="E30" s="1550"/>
      <c r="F30" s="1550"/>
      <c r="G30" s="1550"/>
      <c r="H30" s="1550"/>
      <c r="I30" s="1550"/>
      <c r="J30" s="1550"/>
      <c r="K30" s="1550"/>
      <c r="L30" s="1550"/>
      <c r="M30" s="1550"/>
      <c r="N30" s="1550"/>
      <c r="O30" s="1550"/>
      <c r="P30" s="1551"/>
      <c r="Q30" s="3"/>
      <c r="R30" s="3"/>
      <c r="S30" s="3"/>
      <c r="T30" s="3"/>
      <c r="U30" s="3"/>
      <c r="V30" s="3"/>
      <c r="W30" s="3"/>
      <c r="X30" s="3"/>
    </row>
    <row r="31" spans="1:24" ht="16.149999999999999" customHeight="1" x14ac:dyDescent="0.55000000000000004">
      <c r="A31" s="3"/>
      <c r="B31" s="3"/>
      <c r="C31" s="1549"/>
      <c r="D31" s="1550"/>
      <c r="E31" s="1550"/>
      <c r="F31" s="1550"/>
      <c r="G31" s="1550"/>
      <c r="H31" s="1550"/>
      <c r="I31" s="1550"/>
      <c r="J31" s="1550"/>
      <c r="K31" s="1550"/>
      <c r="L31" s="1550"/>
      <c r="M31" s="1550"/>
      <c r="N31" s="1550"/>
      <c r="O31" s="1550"/>
      <c r="P31" s="1551"/>
      <c r="Q31" s="3"/>
      <c r="R31" s="3"/>
      <c r="S31" s="3"/>
      <c r="T31" s="3"/>
      <c r="U31" s="3"/>
      <c r="V31" s="3"/>
      <c r="W31" s="3"/>
      <c r="X31" s="3"/>
    </row>
    <row r="32" spans="1:24" ht="16.149999999999999" customHeight="1" x14ac:dyDescent="0.55000000000000004">
      <c r="A32" s="3"/>
      <c r="B32" s="3"/>
      <c r="C32" s="1549"/>
      <c r="D32" s="1550"/>
      <c r="E32" s="1550"/>
      <c r="F32" s="1550"/>
      <c r="G32" s="1550"/>
      <c r="H32" s="1550"/>
      <c r="I32" s="1550"/>
      <c r="J32" s="1550"/>
      <c r="K32" s="1550"/>
      <c r="L32" s="1550"/>
      <c r="M32" s="1550"/>
      <c r="N32" s="1550"/>
      <c r="O32" s="1550"/>
      <c r="P32" s="1551"/>
      <c r="Q32" s="3"/>
      <c r="R32" s="3"/>
      <c r="S32" s="3"/>
      <c r="T32" s="3"/>
      <c r="U32" s="3"/>
      <c r="V32" s="3"/>
      <c r="W32" s="3"/>
      <c r="X32" s="3"/>
    </row>
    <row r="33" spans="1:24" ht="16.149999999999999" customHeight="1" x14ac:dyDescent="0.55000000000000004">
      <c r="A33" s="3"/>
      <c r="B33" s="3"/>
      <c r="C33" s="1549"/>
      <c r="D33" s="1550"/>
      <c r="E33" s="1550"/>
      <c r="F33" s="1550"/>
      <c r="G33" s="1550"/>
      <c r="H33" s="1550"/>
      <c r="I33" s="1550"/>
      <c r="J33" s="1550"/>
      <c r="K33" s="1550"/>
      <c r="L33" s="1550"/>
      <c r="M33" s="1550"/>
      <c r="N33" s="1550"/>
      <c r="O33" s="1550"/>
      <c r="P33" s="1551"/>
      <c r="Q33" s="3"/>
      <c r="R33" s="3"/>
      <c r="S33" s="3"/>
      <c r="T33" s="3"/>
      <c r="U33" s="3"/>
      <c r="V33" s="3"/>
      <c r="W33" s="3"/>
      <c r="X33" s="3"/>
    </row>
    <row r="34" spans="1:24" ht="16.149999999999999" customHeight="1" x14ac:dyDescent="0.55000000000000004">
      <c r="A34" s="3"/>
      <c r="B34" s="3"/>
      <c r="C34" s="1549"/>
      <c r="D34" s="1550"/>
      <c r="E34" s="1550"/>
      <c r="F34" s="1550"/>
      <c r="G34" s="1550"/>
      <c r="H34" s="1550"/>
      <c r="I34" s="1550"/>
      <c r="J34" s="1550"/>
      <c r="K34" s="1550"/>
      <c r="L34" s="1550"/>
      <c r="M34" s="1550"/>
      <c r="N34" s="1550"/>
      <c r="O34" s="1550"/>
      <c r="P34" s="1551"/>
      <c r="Q34" s="3"/>
      <c r="R34" s="3"/>
      <c r="S34" s="3"/>
      <c r="T34" s="3"/>
      <c r="U34" s="3"/>
      <c r="V34" s="3"/>
      <c r="W34" s="3"/>
      <c r="X34" s="3"/>
    </row>
    <row r="35" spans="1:24" ht="16.149999999999999" customHeight="1" x14ac:dyDescent="0.55000000000000004">
      <c r="A35" s="3"/>
      <c r="B35" s="3"/>
      <c r="C35" s="1549"/>
      <c r="D35" s="1550"/>
      <c r="E35" s="1550"/>
      <c r="F35" s="1550"/>
      <c r="G35" s="1550"/>
      <c r="H35" s="1550"/>
      <c r="I35" s="1550"/>
      <c r="J35" s="1550"/>
      <c r="K35" s="1550"/>
      <c r="L35" s="1550"/>
      <c r="M35" s="1550"/>
      <c r="N35" s="1550"/>
      <c r="O35" s="1550"/>
      <c r="P35" s="1551"/>
      <c r="Q35" s="3"/>
      <c r="R35" s="3"/>
      <c r="S35" s="3"/>
      <c r="T35" s="3"/>
      <c r="U35" s="3"/>
      <c r="V35" s="3"/>
      <c r="W35" s="3"/>
      <c r="X35" s="3"/>
    </row>
    <row r="36" spans="1:24" ht="16.149999999999999" customHeight="1" x14ac:dyDescent="0.55000000000000004">
      <c r="A36" s="3"/>
      <c r="B36" s="3"/>
      <c r="C36" s="1549"/>
      <c r="D36" s="1550"/>
      <c r="E36" s="1550"/>
      <c r="F36" s="1550"/>
      <c r="G36" s="1550"/>
      <c r="H36" s="1550"/>
      <c r="I36" s="1550"/>
      <c r="J36" s="1550"/>
      <c r="K36" s="1550"/>
      <c r="L36" s="1550"/>
      <c r="M36" s="1550"/>
      <c r="N36" s="1550"/>
      <c r="O36" s="1550"/>
      <c r="P36" s="1551"/>
      <c r="Q36" s="3"/>
      <c r="R36" s="3"/>
      <c r="S36" s="3"/>
      <c r="T36" s="3"/>
      <c r="U36" s="3"/>
      <c r="V36" s="3"/>
      <c r="W36" s="3"/>
      <c r="X36" s="3"/>
    </row>
    <row r="37" spans="1:24" ht="16.149999999999999" customHeight="1" x14ac:dyDescent="0.55000000000000004">
      <c r="A37" s="3"/>
      <c r="B37" s="3"/>
      <c r="C37" s="1549"/>
      <c r="D37" s="1550"/>
      <c r="E37" s="1550"/>
      <c r="F37" s="1550"/>
      <c r="G37" s="1550"/>
      <c r="H37" s="1550"/>
      <c r="I37" s="1550"/>
      <c r="J37" s="1550"/>
      <c r="K37" s="1550"/>
      <c r="L37" s="1550"/>
      <c r="M37" s="1550"/>
      <c r="N37" s="1550"/>
      <c r="O37" s="1550"/>
      <c r="P37" s="1551"/>
      <c r="Q37" s="3"/>
      <c r="R37" s="3"/>
      <c r="S37" s="3"/>
      <c r="T37" s="3"/>
      <c r="U37" s="3"/>
      <c r="V37" s="3"/>
      <c r="W37" s="3"/>
      <c r="X37" s="3"/>
    </row>
    <row r="38" spans="1:24" ht="16.149999999999999" customHeight="1" x14ac:dyDescent="0.55000000000000004">
      <c r="A38" s="3"/>
      <c r="B38" s="3"/>
      <c r="C38" s="1549"/>
      <c r="D38" s="1550"/>
      <c r="E38" s="1550"/>
      <c r="F38" s="1550"/>
      <c r="G38" s="1550"/>
      <c r="H38" s="1550"/>
      <c r="I38" s="1550"/>
      <c r="J38" s="1550"/>
      <c r="K38" s="1550"/>
      <c r="L38" s="1550"/>
      <c r="M38" s="1550"/>
      <c r="N38" s="1550"/>
      <c r="O38" s="1550"/>
      <c r="P38" s="1551"/>
      <c r="Q38" s="3"/>
      <c r="R38" s="3"/>
      <c r="S38" s="3"/>
      <c r="T38" s="3"/>
      <c r="U38" s="3"/>
      <c r="V38" s="3"/>
      <c r="W38" s="3"/>
      <c r="X38" s="3"/>
    </row>
    <row r="39" spans="1:24" ht="16.149999999999999" customHeight="1" x14ac:dyDescent="0.55000000000000004">
      <c r="A39" s="3"/>
      <c r="B39" s="3"/>
      <c r="C39" s="1549"/>
      <c r="D39" s="1550"/>
      <c r="E39" s="1550"/>
      <c r="F39" s="1550"/>
      <c r="G39" s="1550"/>
      <c r="H39" s="1550"/>
      <c r="I39" s="1550"/>
      <c r="J39" s="1550"/>
      <c r="K39" s="1550"/>
      <c r="L39" s="1550"/>
      <c r="M39" s="1550"/>
      <c r="N39" s="1550"/>
      <c r="O39" s="1550"/>
      <c r="P39" s="1551"/>
      <c r="Q39" s="3"/>
      <c r="R39" s="3"/>
      <c r="S39" s="3"/>
      <c r="T39" s="3"/>
      <c r="U39" s="3"/>
      <c r="V39" s="3"/>
      <c r="W39" s="3"/>
      <c r="X39" s="3"/>
    </row>
    <row r="40" spans="1:24" ht="16.149999999999999" customHeight="1" x14ac:dyDescent="0.55000000000000004">
      <c r="A40" s="3"/>
      <c r="B40" s="3"/>
      <c r="C40" s="1549"/>
      <c r="D40" s="1550"/>
      <c r="E40" s="1550"/>
      <c r="F40" s="1550"/>
      <c r="G40" s="1550"/>
      <c r="H40" s="1550"/>
      <c r="I40" s="1550"/>
      <c r="J40" s="1550"/>
      <c r="K40" s="1550"/>
      <c r="L40" s="1550"/>
      <c r="M40" s="1550"/>
      <c r="N40" s="1550"/>
      <c r="O40" s="1550"/>
      <c r="P40" s="1551"/>
      <c r="Q40" s="3"/>
      <c r="R40" s="3"/>
      <c r="S40" s="3"/>
      <c r="T40" s="3"/>
      <c r="U40" s="3"/>
      <c r="V40" s="3"/>
      <c r="W40" s="3"/>
      <c r="X40" s="3"/>
    </row>
    <row r="41" spans="1:24" ht="16.149999999999999" customHeight="1" x14ac:dyDescent="0.55000000000000004">
      <c r="A41" s="3"/>
      <c r="B41" s="3"/>
      <c r="C41" s="1552"/>
      <c r="D41" s="1553"/>
      <c r="E41" s="1553"/>
      <c r="F41" s="1553"/>
      <c r="G41" s="1553"/>
      <c r="H41" s="1553"/>
      <c r="I41" s="1553"/>
      <c r="J41" s="1553"/>
      <c r="K41" s="1553"/>
      <c r="L41" s="1553"/>
      <c r="M41" s="1553"/>
      <c r="N41" s="1553"/>
      <c r="O41" s="1553"/>
      <c r="P41" s="1554"/>
      <c r="Q41" s="3"/>
      <c r="R41" s="3"/>
      <c r="S41" s="3"/>
      <c r="T41" s="3"/>
      <c r="U41" s="3"/>
      <c r="V41" s="3"/>
      <c r="W41" s="3"/>
      <c r="X41" s="3"/>
    </row>
    <row r="42" spans="1:24" x14ac:dyDescent="0.55000000000000004">
      <c r="A42" s="3"/>
      <c r="B42" s="3"/>
      <c r="C42" s="3"/>
      <c r="D42" s="3"/>
      <c r="E42" s="3"/>
      <c r="F42" s="3"/>
      <c r="G42" s="3"/>
      <c r="H42" s="3"/>
      <c r="I42" s="3"/>
      <c r="J42" s="3"/>
      <c r="K42" s="3"/>
      <c r="L42" s="3"/>
      <c r="M42" s="3"/>
      <c r="N42" s="3"/>
      <c r="O42" s="3"/>
      <c r="P42" s="3"/>
      <c r="Q42" s="3"/>
      <c r="R42" s="3"/>
      <c r="S42" s="3"/>
      <c r="T42" s="3"/>
      <c r="U42" s="3"/>
      <c r="V42" s="3"/>
      <c r="W42" s="3"/>
      <c r="X42" s="3"/>
    </row>
    <row r="43" spans="1:24" x14ac:dyDescent="0.55000000000000004">
      <c r="A43" s="3"/>
      <c r="B43" s="3"/>
      <c r="C43" s="3"/>
      <c r="D43" s="3"/>
      <c r="E43" s="3"/>
      <c r="F43" s="3"/>
      <c r="G43" s="3"/>
      <c r="H43" s="3"/>
      <c r="I43" s="3"/>
      <c r="J43" s="3"/>
      <c r="K43" s="3"/>
      <c r="L43" s="3"/>
      <c r="M43" s="3"/>
      <c r="N43" s="3"/>
      <c r="O43" s="3"/>
      <c r="P43" s="3"/>
      <c r="Q43" s="3"/>
      <c r="R43" s="3"/>
      <c r="S43" s="3"/>
      <c r="T43" s="3"/>
      <c r="U43" s="3"/>
      <c r="V43" s="3"/>
      <c r="W43" s="3"/>
      <c r="X43" s="3"/>
    </row>
    <row r="44" spans="1:24" x14ac:dyDescent="0.55000000000000004">
      <c r="A44" s="3"/>
      <c r="B44" s="3"/>
      <c r="C44" s="3"/>
      <c r="D44" s="3"/>
      <c r="E44" s="3"/>
      <c r="F44" s="3"/>
      <c r="G44" s="3"/>
      <c r="H44" s="3"/>
      <c r="I44" s="3"/>
      <c r="J44" s="3"/>
      <c r="K44" s="3"/>
      <c r="L44" s="3"/>
      <c r="M44" s="3"/>
      <c r="N44" s="3"/>
      <c r="O44" s="3"/>
      <c r="P44" s="3"/>
      <c r="Q44" s="3"/>
      <c r="R44" s="3"/>
      <c r="S44" s="3"/>
      <c r="T44" s="3"/>
      <c r="U44" s="3"/>
      <c r="V44" s="3"/>
      <c r="W44" s="3"/>
      <c r="X44" s="3"/>
    </row>
    <row r="45" spans="1:24" x14ac:dyDescent="0.55000000000000004">
      <c r="A45" s="3"/>
      <c r="B45" s="3"/>
      <c r="C45" s="3"/>
      <c r="D45" s="3"/>
      <c r="E45" s="3"/>
      <c r="F45" s="3"/>
      <c r="G45" s="3"/>
      <c r="H45" s="3"/>
      <c r="I45" s="3"/>
      <c r="J45" s="3"/>
      <c r="K45" s="3"/>
      <c r="L45" s="3"/>
      <c r="M45" s="3"/>
      <c r="N45" s="3"/>
      <c r="O45" s="3"/>
      <c r="P45" s="3"/>
      <c r="Q45" s="3"/>
      <c r="R45" s="3"/>
      <c r="S45" s="3"/>
      <c r="T45" s="3"/>
      <c r="U45" s="3"/>
      <c r="V45" s="3"/>
      <c r="W45" s="3"/>
      <c r="X45" s="3"/>
    </row>
    <row r="46" spans="1:24" x14ac:dyDescent="0.55000000000000004">
      <c r="A46" s="3"/>
      <c r="B46" s="3"/>
      <c r="C46" s="3"/>
      <c r="D46" s="3"/>
      <c r="E46" s="3"/>
      <c r="F46" s="3"/>
      <c r="G46" s="3"/>
      <c r="H46" s="3"/>
      <c r="I46" s="3"/>
      <c r="J46" s="3"/>
      <c r="K46" s="3"/>
      <c r="L46" s="3"/>
      <c r="M46" s="3"/>
      <c r="N46" s="3"/>
      <c r="O46" s="3"/>
      <c r="P46" s="3"/>
      <c r="Q46" s="3"/>
      <c r="R46" s="3"/>
      <c r="S46" s="3"/>
      <c r="T46" s="3"/>
      <c r="U46" s="3"/>
      <c r="V46" s="3"/>
      <c r="W46" s="3"/>
      <c r="X46" s="3"/>
    </row>
    <row r="47" spans="1:24" x14ac:dyDescent="0.55000000000000004">
      <c r="A47" s="3"/>
      <c r="B47" s="3"/>
      <c r="C47" s="3"/>
      <c r="D47" s="3"/>
      <c r="E47" s="3"/>
      <c r="F47" s="3"/>
      <c r="G47" s="3"/>
      <c r="H47" s="3"/>
      <c r="I47" s="3"/>
      <c r="J47" s="3"/>
      <c r="K47" s="3"/>
      <c r="L47" s="3"/>
      <c r="M47" s="3"/>
      <c r="N47" s="3"/>
      <c r="O47" s="3"/>
      <c r="P47" s="3"/>
      <c r="Q47" s="3"/>
      <c r="R47" s="3"/>
      <c r="S47" s="3"/>
      <c r="T47" s="3"/>
      <c r="U47" s="3"/>
      <c r="V47" s="3"/>
      <c r="W47" s="3"/>
      <c r="X47" s="3"/>
    </row>
    <row r="48" spans="1:24" x14ac:dyDescent="0.55000000000000004">
      <c r="A48" s="3"/>
      <c r="B48" s="3"/>
      <c r="C48" s="3"/>
      <c r="D48" s="3"/>
      <c r="E48" s="3"/>
      <c r="F48" s="3"/>
      <c r="G48" s="3"/>
      <c r="H48" s="3"/>
      <c r="I48" s="3"/>
      <c r="J48" s="3"/>
      <c r="K48" s="3"/>
      <c r="L48" s="3"/>
      <c r="M48" s="3"/>
      <c r="N48" s="3"/>
      <c r="O48" s="3"/>
      <c r="P48" s="3"/>
      <c r="Q48" s="3"/>
      <c r="R48" s="3"/>
      <c r="S48" s="3"/>
      <c r="T48" s="3"/>
      <c r="U48" s="3"/>
      <c r="V48" s="3"/>
      <c r="W48" s="3"/>
      <c r="X48" s="3"/>
    </row>
    <row r="49" spans="1:24" x14ac:dyDescent="0.55000000000000004">
      <c r="A49" s="3"/>
      <c r="B49" s="3"/>
      <c r="C49" s="3"/>
      <c r="D49" s="3"/>
      <c r="E49" s="3"/>
      <c r="F49" s="3"/>
      <c r="G49" s="3"/>
      <c r="H49" s="3"/>
      <c r="I49" s="3"/>
      <c r="J49" s="3"/>
      <c r="K49" s="3"/>
      <c r="L49" s="3"/>
      <c r="M49" s="3"/>
      <c r="N49" s="3"/>
      <c r="O49" s="3"/>
      <c r="P49" s="3"/>
      <c r="Q49" s="3"/>
      <c r="R49" s="3"/>
      <c r="S49" s="3"/>
      <c r="T49" s="3"/>
      <c r="U49" s="3"/>
      <c r="V49" s="3"/>
      <c r="W49" s="3"/>
      <c r="X49" s="3"/>
    </row>
    <row r="50" spans="1:24" x14ac:dyDescent="0.55000000000000004">
      <c r="A50" s="3"/>
      <c r="B50" s="3"/>
      <c r="C50" s="3"/>
      <c r="D50" s="3"/>
      <c r="E50" s="3"/>
      <c r="F50" s="3"/>
      <c r="G50" s="3"/>
      <c r="H50" s="3"/>
      <c r="I50" s="3"/>
      <c r="J50" s="3"/>
      <c r="K50" s="3"/>
      <c r="L50" s="3"/>
      <c r="M50" s="3"/>
      <c r="N50" s="3"/>
      <c r="O50" s="3"/>
      <c r="P50" s="3"/>
      <c r="Q50" s="3"/>
      <c r="R50" s="3"/>
      <c r="S50" s="3"/>
      <c r="T50" s="3"/>
      <c r="U50" s="3"/>
      <c r="V50" s="3"/>
      <c r="W50" s="3"/>
      <c r="X50" s="3"/>
    </row>
    <row r="51" spans="1:24" x14ac:dyDescent="0.55000000000000004">
      <c r="A51" s="3"/>
      <c r="B51" s="3"/>
      <c r="C51" s="3"/>
      <c r="D51" s="3"/>
      <c r="E51" s="3"/>
      <c r="F51" s="3"/>
      <c r="G51" s="3"/>
      <c r="H51" s="3"/>
      <c r="I51" s="3"/>
      <c r="J51" s="3"/>
      <c r="K51" s="3"/>
      <c r="L51" s="3"/>
      <c r="M51" s="3"/>
      <c r="N51" s="3"/>
      <c r="O51" s="3"/>
      <c r="P51" s="3"/>
      <c r="Q51" s="3"/>
      <c r="R51" s="3"/>
      <c r="S51" s="3"/>
      <c r="T51" s="3"/>
      <c r="U51" s="3"/>
      <c r="V51" s="3"/>
      <c r="W51" s="3"/>
      <c r="X51" s="3"/>
    </row>
    <row r="52" spans="1:24" x14ac:dyDescent="0.55000000000000004">
      <c r="A52" s="3"/>
      <c r="B52" s="3"/>
      <c r="C52" s="3"/>
      <c r="D52" s="3"/>
      <c r="E52" s="3"/>
      <c r="F52" s="3"/>
      <c r="G52" s="3"/>
      <c r="H52" s="3"/>
      <c r="I52" s="3"/>
      <c r="J52" s="3"/>
      <c r="K52" s="3"/>
      <c r="L52" s="3"/>
      <c r="M52" s="3"/>
      <c r="N52" s="3"/>
      <c r="O52" s="3"/>
      <c r="P52" s="3"/>
      <c r="Q52" s="3"/>
      <c r="R52" s="3"/>
      <c r="S52" s="3"/>
      <c r="T52" s="3"/>
      <c r="U52" s="3"/>
      <c r="V52" s="3"/>
      <c r="W52" s="3"/>
      <c r="X52" s="3"/>
    </row>
    <row r="53" spans="1:24" x14ac:dyDescent="0.55000000000000004">
      <c r="A53" s="3"/>
      <c r="B53" s="3"/>
      <c r="C53" s="3"/>
      <c r="D53" s="3"/>
      <c r="E53" s="3"/>
      <c r="F53" s="3"/>
      <c r="G53" s="3"/>
      <c r="H53" s="3"/>
      <c r="I53" s="3"/>
      <c r="J53" s="3"/>
      <c r="K53" s="3"/>
      <c r="L53" s="3"/>
      <c r="M53" s="3"/>
      <c r="N53" s="3"/>
      <c r="O53" s="3"/>
      <c r="P53" s="3"/>
      <c r="Q53" s="3"/>
      <c r="R53" s="3"/>
      <c r="S53" s="3"/>
      <c r="T53" s="3"/>
      <c r="U53" s="3"/>
      <c r="V53" s="3"/>
      <c r="W53" s="3"/>
      <c r="X53" s="3"/>
    </row>
    <row r="54" spans="1:24" x14ac:dyDescent="0.55000000000000004">
      <c r="A54" s="3"/>
      <c r="B54" s="3"/>
      <c r="C54" s="3"/>
      <c r="D54" s="3"/>
      <c r="E54" s="3"/>
      <c r="F54" s="3"/>
      <c r="G54" s="3"/>
      <c r="H54" s="3"/>
      <c r="I54" s="3"/>
      <c r="J54" s="3"/>
      <c r="K54" s="3"/>
      <c r="L54" s="3"/>
      <c r="M54" s="3"/>
      <c r="N54" s="3"/>
      <c r="O54" s="3"/>
      <c r="P54" s="3"/>
      <c r="Q54" s="3"/>
      <c r="R54" s="3"/>
      <c r="S54" s="3"/>
      <c r="T54" s="3"/>
      <c r="U54" s="3"/>
      <c r="V54" s="3"/>
      <c r="W54" s="3"/>
      <c r="X54" s="3"/>
    </row>
    <row r="55" spans="1:24" x14ac:dyDescent="0.55000000000000004">
      <c r="A55" s="3"/>
      <c r="B55" s="3"/>
      <c r="C55" s="3"/>
      <c r="D55" s="3"/>
      <c r="E55" s="3"/>
      <c r="F55" s="3"/>
      <c r="G55" s="3"/>
      <c r="H55" s="3"/>
      <c r="I55" s="3"/>
      <c r="J55" s="3"/>
      <c r="K55" s="3"/>
      <c r="L55" s="3"/>
      <c r="M55" s="3"/>
      <c r="N55" s="3"/>
      <c r="O55" s="3"/>
      <c r="P55" s="3"/>
      <c r="Q55" s="3"/>
      <c r="R55" s="3"/>
      <c r="S55" s="3"/>
      <c r="T55" s="3"/>
      <c r="U55" s="3"/>
      <c r="V55" s="3"/>
      <c r="W55" s="3"/>
      <c r="X55" s="3"/>
    </row>
    <row r="56" spans="1:24" x14ac:dyDescent="0.55000000000000004">
      <c r="A56" s="3"/>
      <c r="B56" s="3"/>
      <c r="C56" s="3"/>
      <c r="D56" s="3"/>
      <c r="E56" s="3"/>
      <c r="F56" s="3"/>
      <c r="G56" s="3"/>
      <c r="H56" s="3"/>
      <c r="I56" s="3"/>
      <c r="J56" s="3"/>
      <c r="K56" s="3"/>
      <c r="L56" s="3"/>
      <c r="M56" s="3"/>
      <c r="N56" s="3"/>
      <c r="O56" s="3"/>
      <c r="P56" s="3"/>
      <c r="Q56" s="3"/>
      <c r="R56" s="3"/>
      <c r="S56" s="3"/>
      <c r="T56" s="3"/>
      <c r="U56" s="3"/>
      <c r="V56" s="3"/>
      <c r="W56" s="3"/>
      <c r="X56" s="3"/>
    </row>
    <row r="57" spans="1:24" x14ac:dyDescent="0.55000000000000004">
      <c r="A57" s="3"/>
      <c r="B57" s="3"/>
      <c r="C57" s="3"/>
      <c r="D57" s="3"/>
      <c r="E57" s="3"/>
      <c r="F57" s="3"/>
      <c r="G57" s="3"/>
      <c r="H57" s="3"/>
      <c r="I57" s="3"/>
      <c r="J57" s="3"/>
      <c r="K57" s="3"/>
      <c r="L57" s="3"/>
      <c r="M57" s="3"/>
      <c r="N57" s="3"/>
      <c r="O57" s="3"/>
      <c r="P57" s="3"/>
      <c r="Q57" s="3"/>
      <c r="R57" s="3"/>
      <c r="S57" s="3"/>
      <c r="T57" s="3"/>
      <c r="U57" s="3"/>
      <c r="V57" s="3"/>
      <c r="W57" s="3"/>
      <c r="X57" s="3"/>
    </row>
  </sheetData>
  <mergeCells count="4">
    <mergeCell ref="F8:K8"/>
    <mergeCell ref="C22:P41"/>
    <mergeCell ref="M13:P20"/>
    <mergeCell ref="M7:O7"/>
  </mergeCells>
  <conditionalFormatting sqref="C20:H20">
    <cfRule type="expression" dxfId="10" priority="54">
      <formula>AND(FP.RealTimeToggle="ON",MO.RealTime="ON")</formula>
    </cfRule>
  </conditionalFormatting>
  <dataValidations disablePrompts="1" count="3">
    <dataValidation type="list" allowBlank="1" showInputMessage="1" showErrorMessage="1" sqref="H18" xr:uid="{00000000-0002-0000-0000-000000000000}">
      <formula1>"ON, OFF"</formula1>
    </dataValidation>
    <dataValidation allowBlank="1" showInputMessage="1" showErrorMessage="1" sqref="H16" xr:uid="{00000000-0002-0000-0000-000001000000}"/>
    <dataValidation type="list" allowBlank="1" showInputMessage="1" showErrorMessage="1" sqref="H15" xr:uid="{00000000-0002-0000-0000-000002000000}">
      <formula1>"Bloomberg, Capital IQ, FactSet, Refinitiv"</formula1>
    </dataValidation>
  </dataValidations>
  <hyperlinks>
    <hyperlink ref="M7" r:id="rId1" tooltip="Click to directly email Canalyst support" xr:uid="{00000000-0004-0000-0000-000000000000}"/>
    <hyperlink ref="M7:O7" r:id="rId2" tooltip="Click to directly email Canalyst support" display="support@tegus.com" xr:uid="{00000000-0004-0000-0000-000001000000}"/>
  </hyperlinks>
  <pageMargins left="0.7" right="0.7" top="0.75" bottom="0.75" header="0.3" footer="0.3"/>
  <pageSetup scale="45"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C2555-2DD7-4826-8B9F-458D44E3DBBB}">
  <sheetPr>
    <tabColor rgb="FF0E2841"/>
    <pageSetUpPr fitToPage="1"/>
  </sheetPr>
  <dimension ref="C1:AX289"/>
  <sheetViews>
    <sheetView showGridLines="0" view="pageBreakPreview" zoomScale="70" zoomScaleSheetLayoutView="70" workbookViewId="0">
      <pane xSplit="3" ySplit="5" topLeftCell="T6" activePane="bottomRight" state="frozen"/>
      <selection activeCell="D1" sqref="D1:D1048576"/>
      <selection pane="topRight" activeCell="D1" sqref="D1:D1048576"/>
      <selection pane="bottomLeft" activeCell="D1" sqref="D1:D1048576"/>
      <selection pane="bottomRight" activeCell="C5" sqref="C5:AB11"/>
    </sheetView>
  </sheetViews>
  <sheetFormatPr defaultRowHeight="12.9" outlineLevelRow="1" outlineLevelCol="1" x14ac:dyDescent="0.5"/>
  <cols>
    <col min="1" max="2" width="2.89453125" style="1171" customWidth="1"/>
    <col min="3" max="3" width="37.20703125" style="1288" bestFit="1" customWidth="1"/>
    <col min="4" max="11" width="10.578125" style="1287" hidden="1" customWidth="1"/>
    <col min="12" max="15" width="10.578125" style="1287" hidden="1" customWidth="1" outlineLevel="1"/>
    <col min="16" max="19" width="10.578125" style="1180" hidden="1" customWidth="1" outlineLevel="1"/>
    <col min="20" max="20" width="10.578125" style="1180" customWidth="1" collapsed="1"/>
    <col min="21" max="31" width="10.578125" style="1180" customWidth="1"/>
    <col min="32" max="32" width="2.89453125" style="1171" customWidth="1"/>
    <col min="33" max="35" width="11.734375" style="1171" customWidth="1"/>
    <col min="36" max="36" width="2.89453125" style="1171" customWidth="1"/>
    <col min="37" max="37" width="8.83984375" style="1171"/>
    <col min="38" max="40" width="2.89453125" style="1171" customWidth="1"/>
    <col min="41" max="41" width="11.734375" style="1171" customWidth="1"/>
    <col min="42" max="49" width="8.83984375" style="1171"/>
    <col min="50" max="51" width="2.89453125" style="1171" customWidth="1"/>
    <col min="52" max="16384" width="8.83984375" style="1171"/>
  </cols>
  <sheetData>
    <row r="1" spans="3:35" x14ac:dyDescent="0.5">
      <c r="C1" s="1171"/>
      <c r="D1" s="1171"/>
      <c r="E1" s="1171"/>
      <c r="F1" s="1171"/>
      <c r="G1" s="1171"/>
      <c r="H1" s="1171"/>
      <c r="I1" s="1171"/>
      <c r="J1" s="1171"/>
      <c r="K1" s="1171"/>
      <c r="L1" s="1171"/>
      <c r="M1" s="1171"/>
      <c r="N1" s="1171"/>
      <c r="O1" s="1171"/>
      <c r="P1" s="1171"/>
      <c r="Q1" s="1171"/>
      <c r="R1" s="1171"/>
      <c r="S1" s="1171"/>
      <c r="T1" s="1171"/>
      <c r="U1" s="1171"/>
      <c r="V1" s="1171"/>
      <c r="W1" s="1171"/>
      <c r="X1" s="1171"/>
      <c r="Y1" s="1171"/>
      <c r="Z1" s="1171"/>
      <c r="AA1" s="1171"/>
      <c r="AB1" s="1171"/>
      <c r="AC1" s="1171"/>
      <c r="AD1" s="1171"/>
      <c r="AE1" s="1171"/>
    </row>
    <row r="2" spans="3:35" x14ac:dyDescent="0.5">
      <c r="C2" s="1171"/>
      <c r="D2" s="1171"/>
      <c r="E2" s="1171"/>
      <c r="F2" s="1171"/>
      <c r="G2" s="1171"/>
      <c r="H2" s="1171"/>
      <c r="I2" s="1171"/>
      <c r="J2" s="1171"/>
      <c r="K2" s="1171"/>
      <c r="L2" s="1171"/>
      <c r="M2" s="1171"/>
      <c r="N2" s="1171"/>
      <c r="O2" s="1171"/>
      <c r="P2" s="1171"/>
      <c r="Q2" s="1171"/>
      <c r="R2" s="1171"/>
      <c r="S2" s="1171"/>
      <c r="T2" s="1171"/>
      <c r="U2" s="1171"/>
      <c r="V2" s="1171"/>
      <c r="W2" s="1171"/>
      <c r="X2" s="1171"/>
      <c r="Y2" s="1171"/>
      <c r="Z2" s="1171"/>
      <c r="AA2" s="1171"/>
      <c r="AB2" s="1171"/>
      <c r="AC2" s="1171"/>
      <c r="AD2" s="1171"/>
      <c r="AE2" s="1171"/>
    </row>
    <row r="3" spans="3:35" s="1365" customFormat="1" x14ac:dyDescent="0.55000000000000004">
      <c r="C3" s="1372" t="s">
        <v>1319</v>
      </c>
      <c r="D3" s="1371" t="s">
        <v>1318</v>
      </c>
      <c r="E3" s="1370"/>
      <c r="F3" s="1370"/>
      <c r="G3" s="1370"/>
      <c r="H3" s="1370"/>
      <c r="I3" s="1370"/>
      <c r="J3" s="1370"/>
      <c r="K3" s="1370"/>
      <c r="L3" s="1370"/>
      <c r="M3" s="1370"/>
      <c r="N3" s="1370"/>
      <c r="O3" s="1370"/>
      <c r="P3" s="1370"/>
      <c r="Q3" s="1370"/>
      <c r="R3" s="1370"/>
      <c r="S3" s="1370"/>
      <c r="T3" s="1370"/>
      <c r="U3" s="1370"/>
      <c r="V3" s="1370"/>
      <c r="W3" s="1370"/>
      <c r="X3" s="1370"/>
      <c r="Y3" s="1370"/>
      <c r="Z3" s="1370"/>
      <c r="AA3" s="1370"/>
      <c r="AB3" s="1369" t="s">
        <v>1226</v>
      </c>
      <c r="AC3" s="1367"/>
      <c r="AD3" s="1367"/>
      <c r="AE3" s="1367"/>
      <c r="AF3" s="1368"/>
      <c r="AG3" s="1367" t="s">
        <v>1317</v>
      </c>
      <c r="AH3" s="1366"/>
      <c r="AI3" s="1366"/>
    </row>
    <row r="4" spans="3:35" ht="4" customHeight="1" x14ac:dyDescent="0.5">
      <c r="C4" s="1358"/>
      <c r="D4" s="1358"/>
      <c r="E4" s="1358"/>
      <c r="F4" s="1358"/>
      <c r="G4" s="1358"/>
      <c r="H4" s="1358"/>
      <c r="I4" s="1358"/>
      <c r="J4" s="1358"/>
      <c r="K4" s="1358"/>
      <c r="L4" s="1358"/>
      <c r="M4" s="1358"/>
      <c r="N4" s="1358"/>
      <c r="O4" s="1358"/>
      <c r="P4" s="1358"/>
      <c r="Q4" s="1358"/>
      <c r="R4" s="1358"/>
      <c r="S4" s="1358"/>
      <c r="T4" s="1358"/>
      <c r="U4" s="1358"/>
      <c r="V4" s="1358"/>
      <c r="W4" s="1358"/>
      <c r="X4" s="1358"/>
      <c r="Y4" s="1358"/>
      <c r="Z4" s="1358"/>
      <c r="AA4" s="1358"/>
      <c r="AB4" s="1358"/>
      <c r="AC4" s="1358"/>
      <c r="AD4" s="1358"/>
      <c r="AE4" s="1358"/>
    </row>
    <row r="5" spans="3:35" ht="14.7" x14ac:dyDescent="0.8">
      <c r="C5" s="1364" t="s">
        <v>1224</v>
      </c>
      <c r="D5" s="1275" t="s">
        <v>349</v>
      </c>
      <c r="E5" s="1275" t="s">
        <v>354</v>
      </c>
      <c r="F5" s="1275" t="s">
        <v>371</v>
      </c>
      <c r="G5" s="1275" t="s">
        <v>379</v>
      </c>
      <c r="H5" s="1275" t="s">
        <v>401</v>
      </c>
      <c r="I5" s="1275" t="s">
        <v>421</v>
      </c>
      <c r="J5" s="1275" t="s">
        <v>423</v>
      </c>
      <c r="K5" s="1275" t="s">
        <v>446</v>
      </c>
      <c r="L5" s="1275" t="s">
        <v>449</v>
      </c>
      <c r="M5" s="1275" t="s">
        <v>451</v>
      </c>
      <c r="N5" s="1275" t="s">
        <v>491</v>
      </c>
      <c r="O5" s="1275" t="s">
        <v>495</v>
      </c>
      <c r="P5" s="1275" t="s">
        <v>536</v>
      </c>
      <c r="Q5" s="1275" t="s">
        <v>570</v>
      </c>
      <c r="R5" s="1275" t="s">
        <v>600</v>
      </c>
      <c r="S5" s="1275" t="s">
        <v>608</v>
      </c>
      <c r="T5" s="1275" t="s">
        <v>617</v>
      </c>
      <c r="U5" s="1275" t="s">
        <v>697</v>
      </c>
      <c r="V5" s="1275" t="s">
        <v>841</v>
      </c>
      <c r="W5" s="1275" t="s">
        <v>868</v>
      </c>
      <c r="X5" s="1275" t="s">
        <v>875</v>
      </c>
      <c r="Y5" s="1275" t="s">
        <v>1010</v>
      </c>
      <c r="Z5" s="1275" t="s">
        <v>1053</v>
      </c>
      <c r="AA5" s="1275" t="s">
        <v>1058</v>
      </c>
      <c r="AB5" s="1275" t="s">
        <v>1082</v>
      </c>
      <c r="AC5" s="1275" t="s">
        <v>1095</v>
      </c>
      <c r="AD5" s="1275" t="s">
        <v>1111</v>
      </c>
      <c r="AE5" s="1275" t="s">
        <v>1112</v>
      </c>
      <c r="AG5" s="1273" t="s">
        <v>1219</v>
      </c>
      <c r="AH5" s="1273" t="s">
        <v>1218</v>
      </c>
      <c r="AI5" s="1273" t="s">
        <v>1217</v>
      </c>
    </row>
    <row r="6" spans="3:35" ht="12.9" customHeight="1" x14ac:dyDescent="0.5">
      <c r="C6" s="1358"/>
      <c r="D6" s="1358"/>
      <c r="E6" s="1358"/>
      <c r="F6" s="1358"/>
      <c r="G6" s="1358"/>
      <c r="H6" s="1358"/>
      <c r="I6" s="1358"/>
      <c r="J6" s="1358"/>
      <c r="K6" s="1358"/>
      <c r="L6" s="1192"/>
      <c r="M6" s="1192"/>
      <c r="N6" s="1192"/>
      <c r="O6" s="1192"/>
      <c r="P6" s="1192"/>
      <c r="Q6" s="1192"/>
      <c r="R6" s="1192"/>
      <c r="S6" s="1192"/>
      <c r="T6" s="1192"/>
      <c r="U6" s="1192"/>
      <c r="V6" s="1192"/>
      <c r="W6" s="1192"/>
      <c r="X6" s="1192"/>
      <c r="Y6" s="1192"/>
      <c r="Z6" s="1192"/>
      <c r="AA6" s="1192"/>
      <c r="AB6" s="1192"/>
      <c r="AC6" s="1192"/>
      <c r="AD6" s="1358"/>
      <c r="AE6" s="1358"/>
      <c r="AG6" s="1357"/>
      <c r="AH6" s="1357"/>
      <c r="AI6" s="1357"/>
    </row>
    <row r="7" spans="3:35" s="1197" customFormat="1" ht="12.9" customHeight="1" x14ac:dyDescent="0.5">
      <c r="C7" s="1290" t="s">
        <v>1316</v>
      </c>
      <c r="D7" s="1362"/>
      <c r="E7" s="1362"/>
      <c r="F7" s="1362"/>
      <c r="G7" s="1362"/>
      <c r="H7" s="1362"/>
      <c r="I7" s="1362"/>
      <c r="J7" s="1362"/>
      <c r="K7" s="1362"/>
      <c r="L7" s="1363">
        <f>[1]Historicals!AI297</f>
        <v>0.3</v>
      </c>
      <c r="M7" s="1363">
        <f>[1]Historicals!AJ297</f>
        <v>0.47</v>
      </c>
      <c r="N7" s="1363">
        <f>[1]Historicals!AK297</f>
        <v>0.22</v>
      </c>
      <c r="O7" s="1363">
        <f>[1]Historicals!AL297</f>
        <v>0.06</v>
      </c>
      <c r="P7" s="1363">
        <f>[1]Historicals!AM297</f>
        <v>-0.08</v>
      </c>
      <c r="Q7" s="1363">
        <f>[1]Historicals!AN297</f>
        <v>-0.14000000000000001</v>
      </c>
      <c r="R7" s="1363">
        <f>[1]Historicals!AO297</f>
        <v>-0.18</v>
      </c>
      <c r="S7" s="1363">
        <f>[1]Historicals!AP297</f>
        <v>-0.22</v>
      </c>
      <c r="T7" s="1363">
        <f>[1]Historicals!AQ297</f>
        <v>-0.17</v>
      </c>
      <c r="U7" s="1363">
        <f>[1]Historicals!AR297</f>
        <v>-0.16</v>
      </c>
      <c r="V7" s="1363">
        <f>[1]Historicals!AS297</f>
        <v>-0.06</v>
      </c>
      <c r="W7" s="1363">
        <f>[1]Historicals!AT297</f>
        <v>0.02</v>
      </c>
      <c r="X7" s="1363">
        <f>[1]Historicals!AU297</f>
        <v>0.06</v>
      </c>
      <c r="Y7" s="1363">
        <f>[1]Historicals!AV297</f>
        <v>0.1</v>
      </c>
      <c r="Z7" s="1363">
        <f>[1]Historicals!AW297</f>
        <v>0.11</v>
      </c>
      <c r="AA7" s="1363">
        <f>[1]Historicals!AX297</f>
        <v>0.14000000000000001</v>
      </c>
      <c r="AB7" s="1363">
        <f>Model!AY265</f>
        <v>0.1</v>
      </c>
      <c r="AC7" s="1226"/>
      <c r="AD7" s="1362"/>
      <c r="AE7" s="1362"/>
      <c r="AG7" s="1361"/>
      <c r="AH7" s="1361"/>
      <c r="AI7" s="1361"/>
    </row>
    <row r="8" spans="3:35" s="1172" customFormat="1" ht="12.9" customHeight="1" x14ac:dyDescent="0.5">
      <c r="C8" s="1175" t="s">
        <v>1250</v>
      </c>
      <c r="D8" s="1359"/>
      <c r="E8" s="1359"/>
      <c r="F8" s="1359"/>
      <c r="G8" s="1359"/>
      <c r="H8" s="1359"/>
      <c r="I8" s="1359"/>
      <c r="J8" s="1359"/>
      <c r="K8" s="1359"/>
      <c r="L8" s="1210">
        <f>[1]Historicals!AI293</f>
        <v>0</v>
      </c>
      <c r="M8" s="1210">
        <f>[1]Historicals!AJ293</f>
        <v>0</v>
      </c>
      <c r="N8" s="1210">
        <f>[1]Historicals!AK293</f>
        <v>0</v>
      </c>
      <c r="O8" s="1210">
        <f>[1]Historicals!AL293</f>
        <v>0</v>
      </c>
      <c r="P8" s="1210">
        <f>[1]Historicals!AM293</f>
        <v>0</v>
      </c>
      <c r="Q8" s="1210">
        <f>[1]Historicals!AN293</f>
        <v>0</v>
      </c>
      <c r="R8" s="1210">
        <f>[1]Historicals!AO293</f>
        <v>0</v>
      </c>
      <c r="S8" s="1210">
        <f>[1]Historicals!AP293</f>
        <v>0</v>
      </c>
      <c r="T8" s="1210">
        <f>[1]Historicals!AQ293</f>
        <v>-0.13</v>
      </c>
      <c r="U8" s="1210">
        <f>[1]Historicals!AR293</f>
        <v>-0.14000000000000001</v>
      </c>
      <c r="V8" s="1210">
        <f>[1]Historicals!AS293</f>
        <v>-7.0000000000000007E-2</v>
      </c>
      <c r="W8" s="1210">
        <f>[1]Historicals!AT293</f>
        <v>0.02</v>
      </c>
      <c r="X8" s="1210">
        <f>[1]Historicals!AU293</f>
        <v>0.05</v>
      </c>
      <c r="Y8" s="1210">
        <f>[1]Historicals!AV293</f>
        <v>0.09</v>
      </c>
      <c r="Z8" s="1210">
        <f>[1]Historicals!AW293</f>
        <v>0.09</v>
      </c>
      <c r="AA8" s="1210">
        <f>[1]Historicals!AX293</f>
        <v>0.12</v>
      </c>
      <c r="AB8" s="1327">
        <f>Model!AY261</f>
        <v>0.14000000000000001</v>
      </c>
      <c r="AC8" s="1270"/>
      <c r="AD8" s="1359"/>
      <c r="AE8" s="1359"/>
    </row>
    <row r="9" spans="3:35" s="1172" customFormat="1" ht="12.9" customHeight="1" x14ac:dyDescent="0.5">
      <c r="C9" s="1175" t="s">
        <v>1314</v>
      </c>
      <c r="D9" s="1359"/>
      <c r="E9" s="1359"/>
      <c r="F9" s="1359"/>
      <c r="G9" s="1359"/>
      <c r="H9" s="1359"/>
      <c r="I9" s="1359"/>
      <c r="J9" s="1359"/>
      <c r="K9" s="1359"/>
      <c r="L9" s="1210">
        <f>[1]Historicals!AI294</f>
        <v>0</v>
      </c>
      <c r="M9" s="1210">
        <f>[1]Historicals!AJ294</f>
        <v>0</v>
      </c>
      <c r="N9" s="1210">
        <f>[1]Historicals!AK294</f>
        <v>0</v>
      </c>
      <c r="O9" s="1210">
        <f>[1]Historicals!AL294</f>
        <v>0</v>
      </c>
      <c r="P9" s="1210">
        <f>[1]Historicals!AM294</f>
        <v>0</v>
      </c>
      <c r="Q9" s="1210">
        <f>[1]Historicals!AN294</f>
        <v>0</v>
      </c>
      <c r="R9" s="1210">
        <f>[1]Historicals!AO294</f>
        <v>0</v>
      </c>
      <c r="S9" s="1210">
        <f>[1]Historicals!AP294</f>
        <v>0</v>
      </c>
      <c r="T9" s="1210">
        <f>[1]Historicals!AQ294</f>
        <v>-0.11</v>
      </c>
      <c r="U9" s="1210">
        <f>[1]Historicals!AR294</f>
        <v>-0.09</v>
      </c>
      <c r="V9" s="1210">
        <f>[1]Historicals!AS294</f>
        <v>0.08</v>
      </c>
      <c r="W9" s="1210">
        <f>[1]Historicals!AT294</f>
        <v>0.14000000000000001</v>
      </c>
      <c r="X9" s="1210">
        <f>[1]Historicals!AU294</f>
        <v>0.18</v>
      </c>
      <c r="Y9" s="1210">
        <f>[1]Historicals!AV294</f>
        <v>0.18</v>
      </c>
      <c r="Z9" s="1210">
        <f>[1]Historicals!AW294</f>
        <v>0.16</v>
      </c>
      <c r="AA9" s="1210">
        <f>[1]Historicals!AX294</f>
        <v>0.16</v>
      </c>
      <c r="AB9" s="1327">
        <f>Model!AY262</f>
        <v>0.09</v>
      </c>
      <c r="AC9" s="1270"/>
      <c r="AD9" s="1359"/>
      <c r="AE9" s="1359"/>
    </row>
    <row r="10" spans="3:35" s="1172" customFormat="1" ht="12.9" customHeight="1" x14ac:dyDescent="0.5">
      <c r="C10" s="1175" t="s">
        <v>1149</v>
      </c>
      <c r="D10" s="1359"/>
      <c r="E10" s="1359"/>
      <c r="F10" s="1359"/>
      <c r="G10" s="1359"/>
      <c r="H10" s="1359"/>
      <c r="I10" s="1359"/>
      <c r="J10" s="1359"/>
      <c r="K10" s="1359"/>
      <c r="L10" s="1210">
        <f>[1]Historicals!AI295</f>
        <v>0</v>
      </c>
      <c r="M10" s="1210">
        <f>[1]Historicals!AJ295</f>
        <v>0</v>
      </c>
      <c r="N10" s="1210">
        <f>[1]Historicals!AK295</f>
        <v>0</v>
      </c>
      <c r="O10" s="1210">
        <f>[1]Historicals!AL295</f>
        <v>0</v>
      </c>
      <c r="P10" s="1210">
        <f>[1]Historicals!AM295</f>
        <v>0</v>
      </c>
      <c r="Q10" s="1210">
        <f>[1]Historicals!AN295</f>
        <v>0</v>
      </c>
      <c r="R10" s="1210">
        <f>[1]Historicals!AO295</f>
        <v>0</v>
      </c>
      <c r="S10" s="1210">
        <f>[1]Historicals!AP295</f>
        <v>0</v>
      </c>
      <c r="T10" s="1210">
        <f>[1]Historicals!AQ295</f>
        <v>-0.22</v>
      </c>
      <c r="U10" s="1210">
        <f>[1]Historicals!AR295</f>
        <v>-0.22</v>
      </c>
      <c r="V10" s="1210">
        <f>[1]Historicals!AS295</f>
        <v>-0.14000000000000001</v>
      </c>
      <c r="W10" s="1210">
        <f>[1]Historicals!AT295</f>
        <v>-0.06</v>
      </c>
      <c r="X10" s="1210">
        <f>[1]Historicals!AU295</f>
        <v>-0.03</v>
      </c>
      <c r="Y10" s="1210">
        <f>[1]Historicals!AV295</f>
        <v>0.04</v>
      </c>
      <c r="Z10" s="1210">
        <f>[1]Historicals!AW295</f>
        <v>0.08</v>
      </c>
      <c r="AA10" s="1210">
        <f>[1]Historicals!AX295</f>
        <v>0.12</v>
      </c>
      <c r="AB10" s="1327">
        <f>Model!AY263</f>
        <v>0.03</v>
      </c>
      <c r="AC10" s="1270"/>
      <c r="AD10" s="1359"/>
      <c r="AE10" s="1359"/>
    </row>
    <row r="11" spans="3:35" s="1172" customFormat="1" ht="12.9" customHeight="1" x14ac:dyDescent="0.5">
      <c r="C11" s="1175" t="s">
        <v>1148</v>
      </c>
      <c r="D11" s="1359"/>
      <c r="E11" s="1359"/>
      <c r="F11" s="1359"/>
      <c r="G11" s="1359"/>
      <c r="H11" s="1359"/>
      <c r="I11" s="1359"/>
      <c r="J11" s="1359"/>
      <c r="K11" s="1359"/>
      <c r="L11" s="1210">
        <f>[1]Historicals!AI296</f>
        <v>0</v>
      </c>
      <c r="M11" s="1210">
        <f>[1]Historicals!AJ296</f>
        <v>0</v>
      </c>
      <c r="N11" s="1210">
        <f>[1]Historicals!AK296</f>
        <v>0</v>
      </c>
      <c r="O11" s="1210">
        <f>[1]Historicals!AL296</f>
        <v>0</v>
      </c>
      <c r="P11" s="1210">
        <f>[1]Historicals!AM296</f>
        <v>0</v>
      </c>
      <c r="Q11" s="1210">
        <f>[1]Historicals!AN296</f>
        <v>0</v>
      </c>
      <c r="R11" s="1210">
        <f>[1]Historicals!AO296</f>
        <v>0</v>
      </c>
      <c r="S11" s="1210">
        <f>[1]Historicals!AP296</f>
        <v>0</v>
      </c>
      <c r="T11" s="1210">
        <f>[1]Historicals!AQ296</f>
        <v>-0.15</v>
      </c>
      <c r="U11" s="1210">
        <f>[1]Historicals!AR296</f>
        <v>-0.12</v>
      </c>
      <c r="V11" s="1210">
        <f>[1]Historicals!AS296</f>
        <v>7.0000000000000007E-2</v>
      </c>
      <c r="W11" s="1210">
        <f>[1]Historicals!AT296</f>
        <v>0.13</v>
      </c>
      <c r="X11" s="1210">
        <f>[1]Historicals!AU296</f>
        <v>0.2</v>
      </c>
      <c r="Y11" s="1210">
        <f>[1]Historicals!AV296</f>
        <v>0.24</v>
      </c>
      <c r="Z11" s="1210">
        <f>[1]Historicals!AW296</f>
        <v>0.17</v>
      </c>
      <c r="AA11" s="1210">
        <f>[1]Historicals!AX296</f>
        <v>0.23</v>
      </c>
      <c r="AB11" s="1327">
        <f>Model!AY264</f>
        <v>0.17</v>
      </c>
      <c r="AC11" s="1270"/>
      <c r="AD11" s="1359"/>
      <c r="AE11" s="1359"/>
    </row>
    <row r="12" spans="3:35" s="1197" customFormat="1" ht="12.9" customHeight="1" x14ac:dyDescent="0.5">
      <c r="C12" s="1290" t="s">
        <v>1315</v>
      </c>
      <c r="D12" s="1362"/>
      <c r="E12" s="1362"/>
      <c r="F12" s="1362"/>
      <c r="G12" s="1362"/>
      <c r="H12" s="1362"/>
      <c r="I12" s="1362"/>
      <c r="J12" s="1362"/>
      <c r="K12" s="1362"/>
      <c r="L12" s="1363">
        <f>[1]Historicals!AI291</f>
        <v>0.12</v>
      </c>
      <c r="M12" s="1363">
        <f>[1]Historicals!AJ291</f>
        <v>0.06</v>
      </c>
      <c r="N12" s="1363">
        <f>[1]Historicals!AK291</f>
        <v>0.09</v>
      </c>
      <c r="O12" s="1363">
        <f>[1]Historicals!AL291</f>
        <v>0.13</v>
      </c>
      <c r="P12" s="1363">
        <f>[1]Historicals!AM291</f>
        <v>0.15</v>
      </c>
      <c r="Q12" s="1363">
        <f>[1]Historicals!AN291</f>
        <v>0.15</v>
      </c>
      <c r="R12" s="1363">
        <f>[1]Historicals!AO291</f>
        <v>0.17</v>
      </c>
      <c r="S12" s="1363">
        <f>[1]Historicals!AP291</f>
        <v>0.23</v>
      </c>
      <c r="T12" s="1363">
        <f>[1]Historicals!AQ291</f>
        <v>0.26</v>
      </c>
      <c r="U12" s="1363">
        <f>[1]Historicals!AR291</f>
        <v>0.34</v>
      </c>
      <c r="V12" s="1363">
        <f>[1]Historicals!AS291</f>
        <v>0.31</v>
      </c>
      <c r="W12" s="1363">
        <f>[1]Historicals!AT291</f>
        <v>0.21</v>
      </c>
      <c r="X12" s="1363">
        <f>[1]Historicals!AU291</f>
        <v>0.2</v>
      </c>
      <c r="Y12" s="1363">
        <f>[1]Historicals!AV291</f>
        <v>0.1</v>
      </c>
      <c r="Z12" s="1363">
        <f>[1]Historicals!AW291</f>
        <v>7.0000000000000007E-2</v>
      </c>
      <c r="AA12" s="1363">
        <f>[1]Historicals!AX291</f>
        <v>0.06</v>
      </c>
      <c r="AB12" s="1363">
        <f>Model!AY259</f>
        <v>0.05</v>
      </c>
      <c r="AC12" s="1226"/>
      <c r="AD12" s="1362"/>
      <c r="AE12" s="1362"/>
      <c r="AG12" s="1361"/>
      <c r="AH12" s="1361"/>
      <c r="AI12" s="1361"/>
    </row>
    <row r="13" spans="3:35" s="1172" customFormat="1" ht="12.9" customHeight="1" x14ac:dyDescent="0.5">
      <c r="C13" s="1175" t="s">
        <v>1250</v>
      </c>
      <c r="D13" s="1359"/>
      <c r="E13" s="1359"/>
      <c r="F13" s="1359"/>
      <c r="G13" s="1359"/>
      <c r="H13" s="1359"/>
      <c r="I13" s="1359"/>
      <c r="J13" s="1359"/>
      <c r="K13" s="1359"/>
      <c r="L13" s="1210">
        <f>[1]Historicals!AI287</f>
        <v>0</v>
      </c>
      <c r="M13" s="1210">
        <f>[1]Historicals!AJ287</f>
        <v>0</v>
      </c>
      <c r="N13" s="1210">
        <f>[1]Historicals!AK287</f>
        <v>0</v>
      </c>
      <c r="O13" s="1210">
        <f>[1]Historicals!AL287</f>
        <v>0</v>
      </c>
      <c r="P13" s="1210">
        <f>[1]Historicals!AM287</f>
        <v>0</v>
      </c>
      <c r="Q13" s="1210">
        <f>[1]Historicals!AN287</f>
        <v>0</v>
      </c>
      <c r="R13" s="1210">
        <f>[1]Historicals!AO287</f>
        <v>0</v>
      </c>
      <c r="S13" s="1210">
        <f>[1]Historicals!AP287</f>
        <v>0</v>
      </c>
      <c r="T13" s="1210">
        <f>[1]Historicals!AQ287</f>
        <v>0.22</v>
      </c>
      <c r="U13" s="1210">
        <f>[1]Historicals!AR287</f>
        <v>0.28000000000000003</v>
      </c>
      <c r="V13" s="1210">
        <f>[1]Historicals!AS287</f>
        <v>0.26</v>
      </c>
      <c r="W13" s="1210">
        <f>[1]Historicals!AT287</f>
        <v>0.16</v>
      </c>
      <c r="X13" s="1210">
        <f>[1]Historicals!AU287</f>
        <v>0.16</v>
      </c>
      <c r="Y13" s="1210">
        <f>[1]Historicals!AV287</f>
        <v>0.08</v>
      </c>
      <c r="Z13" s="1210">
        <f>[1]Historicals!AW287</f>
        <v>7.0000000000000007E-2</v>
      </c>
      <c r="AA13" s="1210">
        <f>[1]Historicals!AX287</f>
        <v>0.06</v>
      </c>
      <c r="AB13" s="1327">
        <f>Model!AY255</f>
        <v>0.04</v>
      </c>
      <c r="AC13" s="1270"/>
      <c r="AD13" s="1359"/>
      <c r="AE13" s="1359"/>
    </row>
    <row r="14" spans="3:35" s="1172" customFormat="1" ht="12.9" customHeight="1" x14ac:dyDescent="0.5">
      <c r="C14" s="1175" t="s">
        <v>1314</v>
      </c>
      <c r="D14" s="1359"/>
      <c r="E14" s="1359"/>
      <c r="F14" s="1359"/>
      <c r="G14" s="1359"/>
      <c r="H14" s="1359"/>
      <c r="I14" s="1359"/>
      <c r="J14" s="1359"/>
      <c r="K14" s="1359"/>
      <c r="L14" s="1210">
        <f>[1]Historicals!AI288</f>
        <v>0</v>
      </c>
      <c r="M14" s="1210">
        <f>[1]Historicals!AJ288</f>
        <v>0</v>
      </c>
      <c r="N14" s="1210">
        <f>[1]Historicals!AK288</f>
        <v>0</v>
      </c>
      <c r="O14" s="1210">
        <f>[1]Historicals!AL288</f>
        <v>0</v>
      </c>
      <c r="P14" s="1210">
        <f>[1]Historicals!AM288</f>
        <v>0</v>
      </c>
      <c r="Q14" s="1210">
        <f>[1]Historicals!AN288</f>
        <v>0</v>
      </c>
      <c r="R14" s="1210">
        <f>[1]Historicals!AO288</f>
        <v>0</v>
      </c>
      <c r="S14" s="1210">
        <f>[1]Historicals!AP288</f>
        <v>0</v>
      </c>
      <c r="T14" s="1210">
        <f>[1]Historicals!AQ288</f>
        <v>0.11</v>
      </c>
      <c r="U14" s="1210">
        <f>[1]Historicals!AR288</f>
        <v>0.26</v>
      </c>
      <c r="V14" s="1210">
        <f>[1]Historicals!AS288</f>
        <v>0.25</v>
      </c>
      <c r="W14" s="1210">
        <f>[1]Historicals!AT288</f>
        <v>0.17</v>
      </c>
      <c r="X14" s="1210">
        <f>[1]Historicals!AU288</f>
        <v>0.12</v>
      </c>
      <c r="Y14" s="1210">
        <f>[1]Historicals!AV288</f>
        <v>0.06</v>
      </c>
      <c r="Z14" s="1210">
        <f>[1]Historicals!AW288</f>
        <v>0.05</v>
      </c>
      <c r="AA14" s="1210">
        <f>[1]Historicals!AX288</f>
        <v>0.05</v>
      </c>
      <c r="AB14" s="1327">
        <f>Model!AY256</f>
        <v>0.05</v>
      </c>
      <c r="AC14" s="1270"/>
      <c r="AD14" s="1359"/>
      <c r="AE14" s="1359"/>
    </row>
    <row r="15" spans="3:35" s="1172" customFormat="1" ht="12.9" customHeight="1" x14ac:dyDescent="0.5">
      <c r="C15" s="1175" t="s">
        <v>1149</v>
      </c>
      <c r="D15" s="1359"/>
      <c r="E15" s="1359"/>
      <c r="F15" s="1359"/>
      <c r="G15" s="1359"/>
      <c r="H15" s="1359"/>
      <c r="I15" s="1359"/>
      <c r="J15" s="1359"/>
      <c r="K15" s="1359"/>
      <c r="L15" s="1210">
        <f>[1]Historicals!AI289</f>
        <v>0</v>
      </c>
      <c r="M15" s="1210">
        <f>[1]Historicals!AJ289</f>
        <v>0</v>
      </c>
      <c r="N15" s="1210">
        <f>[1]Historicals!AK289</f>
        <v>0</v>
      </c>
      <c r="O15" s="1210">
        <f>[1]Historicals!AL289</f>
        <v>0</v>
      </c>
      <c r="P15" s="1210">
        <f>[1]Historicals!AM289</f>
        <v>0</v>
      </c>
      <c r="Q15" s="1210">
        <f>[1]Historicals!AN289</f>
        <v>0</v>
      </c>
      <c r="R15" s="1210">
        <f>[1]Historicals!AO289</f>
        <v>0</v>
      </c>
      <c r="S15" s="1210">
        <f>[1]Historicals!AP289</f>
        <v>0</v>
      </c>
      <c r="T15" s="1210">
        <f>[1]Historicals!AQ289</f>
        <v>0.34</v>
      </c>
      <c r="U15" s="1210">
        <f>[1]Historicals!AR289</f>
        <v>0.42</v>
      </c>
      <c r="V15" s="1210">
        <f>[1]Historicals!AS289</f>
        <v>0.39</v>
      </c>
      <c r="W15" s="1210">
        <f>[1]Historicals!AT289</f>
        <v>0.3</v>
      </c>
      <c r="X15" s="1210">
        <f>[1]Historicals!AU289</f>
        <v>0.28000000000000003</v>
      </c>
      <c r="Y15" s="1210">
        <f>[1]Historicals!AV289</f>
        <v>0.15</v>
      </c>
      <c r="Z15" s="1210">
        <f>[1]Historicals!AW289</f>
        <v>0.09</v>
      </c>
      <c r="AA15" s="1210">
        <f>[1]Historicals!AX289</f>
        <v>0.1</v>
      </c>
      <c r="AB15" s="1327">
        <f>Model!AY257</f>
        <v>0.09</v>
      </c>
      <c r="AC15" s="1270"/>
      <c r="AD15" s="1359"/>
      <c r="AE15" s="1359"/>
    </row>
    <row r="16" spans="3:35" s="1172" customFormat="1" ht="12.9" customHeight="1" x14ac:dyDescent="0.5">
      <c r="C16" s="1175" t="s">
        <v>1148</v>
      </c>
      <c r="D16" s="1359"/>
      <c r="E16" s="1359"/>
      <c r="F16" s="1359"/>
      <c r="G16" s="1359"/>
      <c r="H16" s="1359"/>
      <c r="I16" s="1359"/>
      <c r="J16" s="1359"/>
      <c r="K16" s="1359"/>
      <c r="L16" s="1210">
        <f>[1]Historicals!AI290</f>
        <v>0</v>
      </c>
      <c r="M16" s="1210">
        <f>[1]Historicals!AJ290</f>
        <v>0</v>
      </c>
      <c r="N16" s="1210">
        <f>[1]Historicals!AK290</f>
        <v>0</v>
      </c>
      <c r="O16" s="1210">
        <f>[1]Historicals!AL290</f>
        <v>0</v>
      </c>
      <c r="P16" s="1210">
        <f>[1]Historicals!AM290</f>
        <v>0</v>
      </c>
      <c r="Q16" s="1210">
        <f>[1]Historicals!AN290</f>
        <v>0</v>
      </c>
      <c r="R16" s="1210">
        <f>[1]Historicals!AO290</f>
        <v>0</v>
      </c>
      <c r="S16" s="1210">
        <f>[1]Historicals!AP290</f>
        <v>0</v>
      </c>
      <c r="T16" s="1210">
        <f>[1]Historicals!AQ290</f>
        <v>0.28000000000000003</v>
      </c>
      <c r="U16" s="1210">
        <f>[1]Historicals!AR290</f>
        <v>0.31</v>
      </c>
      <c r="V16" s="1210">
        <f>[1]Historicals!AS290</f>
        <v>0.27</v>
      </c>
      <c r="W16" s="1210">
        <f>[1]Historicals!AT290</f>
        <v>0.17</v>
      </c>
      <c r="X16" s="1210">
        <f>[1]Historicals!AU290</f>
        <v>0.17</v>
      </c>
      <c r="Y16" s="1210">
        <f>[1]Historicals!AV290</f>
        <v>0.08</v>
      </c>
      <c r="Z16" s="1210">
        <f>[1]Historicals!AW290</f>
        <v>0.05</v>
      </c>
      <c r="AA16" s="1210">
        <f>[1]Historicals!AX290</f>
        <v>0.03</v>
      </c>
      <c r="AB16" s="1327">
        <f>Model!AY258</f>
        <v>0.01</v>
      </c>
      <c r="AC16" s="1270"/>
      <c r="AD16" s="1359"/>
      <c r="AE16" s="1359"/>
    </row>
    <row r="17" spans="3:35" ht="12.9" customHeight="1" x14ac:dyDescent="0.5">
      <c r="D17" s="1358"/>
      <c r="E17" s="1358"/>
      <c r="F17" s="1358"/>
      <c r="G17" s="1358"/>
      <c r="H17" s="1358"/>
      <c r="I17" s="1358"/>
      <c r="J17" s="1358"/>
      <c r="K17" s="1358"/>
      <c r="L17" s="1192"/>
      <c r="M17" s="1192"/>
      <c r="N17" s="1192"/>
      <c r="O17" s="1192"/>
      <c r="P17" s="1192"/>
      <c r="Q17" s="1192"/>
      <c r="R17" s="1192"/>
      <c r="S17" s="1192"/>
      <c r="T17" s="1192"/>
      <c r="U17" s="1192"/>
      <c r="V17" s="1192"/>
      <c r="W17" s="1192"/>
      <c r="X17" s="1192"/>
      <c r="Y17" s="1192"/>
      <c r="Z17" s="1192"/>
      <c r="AA17" s="1192"/>
      <c r="AB17" s="1192"/>
      <c r="AC17" s="1192"/>
      <c r="AD17" s="1358"/>
      <c r="AE17" s="1537"/>
      <c r="AG17" s="1357"/>
      <c r="AH17" s="1357"/>
      <c r="AI17" s="1357"/>
    </row>
    <row r="18" spans="3:35" s="1197" customFormat="1" ht="12.9" customHeight="1" x14ac:dyDescent="0.5">
      <c r="C18" s="1290" t="s">
        <v>1313</v>
      </c>
      <c r="D18" s="1252">
        <f>[1]Historicals!AA53</f>
        <v>2100</v>
      </c>
      <c r="E18" s="1252">
        <f>[1]Historicals!AB53</f>
        <v>2140</v>
      </c>
      <c r="F18" s="1252">
        <f>[1]Historicals!AC53</f>
        <v>2200</v>
      </c>
      <c r="G18" s="1252">
        <f>[1]Historicals!AD53</f>
        <v>2260</v>
      </c>
      <c r="H18" s="1252">
        <f>[1]Historicals!AE53</f>
        <v>2360</v>
      </c>
      <c r="I18" s="1252">
        <f>[1]Historicals!AF53</f>
        <v>2470</v>
      </c>
      <c r="J18" s="1252">
        <f>[1]Historicals!AG53</f>
        <v>2540</v>
      </c>
      <c r="K18" s="1252">
        <f>[1]Historicals!AH53</f>
        <v>2600</v>
      </c>
      <c r="L18" s="1225">
        <f>[1]Historicals!AI53</f>
        <v>2720</v>
      </c>
      <c r="M18" s="1225">
        <f>[1]Historicals!AJ53</f>
        <v>2760</v>
      </c>
      <c r="N18" s="1225">
        <f>[1]Historicals!AK53</f>
        <v>2810</v>
      </c>
      <c r="O18" s="1225">
        <f>[1]Historicals!AL53</f>
        <v>2820</v>
      </c>
      <c r="P18" s="1225">
        <f>[1]Historicals!AM53</f>
        <v>2870</v>
      </c>
      <c r="Q18" s="1225">
        <f>[1]Historicals!AN53</f>
        <v>2880</v>
      </c>
      <c r="R18" s="1225">
        <f>[1]Historicals!AO53</f>
        <v>2930</v>
      </c>
      <c r="S18" s="1225">
        <f>[1]Historicals!AP53</f>
        <v>2960</v>
      </c>
      <c r="T18" s="1225">
        <f>[1]Historicals!AQ53</f>
        <v>3020</v>
      </c>
      <c r="U18" s="1225">
        <f>[1]Historicals!AR53</f>
        <v>3070</v>
      </c>
      <c r="V18" s="1225">
        <f>[1]Historicals!AS53</f>
        <v>3140</v>
      </c>
      <c r="W18" s="1225">
        <f>[1]Historicals!AT53</f>
        <v>3190</v>
      </c>
      <c r="X18" s="1225">
        <f>[1]Historicals!AU53</f>
        <v>3240</v>
      </c>
      <c r="Y18" s="1225">
        <f>[1]Historicals!AV53</f>
        <v>3270</v>
      </c>
      <c r="Z18" s="1225">
        <f>[1]Historicals!AW53</f>
        <v>3290</v>
      </c>
      <c r="AA18" s="1225">
        <f>[1]Historicals!AX53</f>
        <v>3350</v>
      </c>
      <c r="AB18" s="1225">
        <f>Model!AY14</f>
        <v>3430</v>
      </c>
      <c r="AC18" s="1199"/>
      <c r="AD18" s="1295"/>
      <c r="AE18" s="1295"/>
    </row>
    <row r="19" spans="3:35" s="1172" customFormat="1" x14ac:dyDescent="0.5">
      <c r="C19" s="1175" t="s">
        <v>1312</v>
      </c>
      <c r="D19" s="1335"/>
      <c r="E19" s="1335"/>
      <c r="F19" s="1335"/>
      <c r="G19" s="1335"/>
      <c r="H19" s="1174">
        <f t="shared" ref="H19:AB19" si="0">H18/D18-1</f>
        <v>0.12380952380952381</v>
      </c>
      <c r="I19" s="1174">
        <f t="shared" si="0"/>
        <v>0.15420560747663559</v>
      </c>
      <c r="J19" s="1174">
        <f t="shared" si="0"/>
        <v>0.15454545454545454</v>
      </c>
      <c r="K19" s="1174">
        <f t="shared" si="0"/>
        <v>0.15044247787610621</v>
      </c>
      <c r="L19" s="1210">
        <f t="shared" si="0"/>
        <v>0.15254237288135597</v>
      </c>
      <c r="M19" s="1210">
        <f t="shared" si="0"/>
        <v>0.1174089068825912</v>
      </c>
      <c r="N19" s="1210">
        <f t="shared" si="0"/>
        <v>0.10629921259842523</v>
      </c>
      <c r="O19" s="1210">
        <f t="shared" si="0"/>
        <v>8.4615384615384537E-2</v>
      </c>
      <c r="P19" s="1210">
        <f t="shared" si="0"/>
        <v>5.5147058823529438E-2</v>
      </c>
      <c r="Q19" s="1210">
        <f t="shared" si="0"/>
        <v>4.3478260869565188E-2</v>
      </c>
      <c r="R19" s="1210">
        <f t="shared" si="0"/>
        <v>4.2704626334519658E-2</v>
      </c>
      <c r="S19" s="1210">
        <f t="shared" si="0"/>
        <v>4.9645390070921946E-2</v>
      </c>
      <c r="T19" s="1210">
        <f t="shared" si="0"/>
        <v>5.2264808362369353E-2</v>
      </c>
      <c r="U19" s="1210">
        <f t="shared" si="0"/>
        <v>6.5972222222222321E-2</v>
      </c>
      <c r="V19" s="1210">
        <f t="shared" si="0"/>
        <v>7.1672354948805417E-2</v>
      </c>
      <c r="W19" s="1210">
        <f t="shared" si="0"/>
        <v>7.7702702702702631E-2</v>
      </c>
      <c r="X19" s="1210">
        <f t="shared" si="0"/>
        <v>7.2847682119205226E-2</v>
      </c>
      <c r="Y19" s="1210">
        <f t="shared" si="0"/>
        <v>6.514657980456029E-2</v>
      </c>
      <c r="Z19" s="1210">
        <f t="shared" si="0"/>
        <v>4.7770700636942776E-2</v>
      </c>
      <c r="AA19" s="1210">
        <f t="shared" si="0"/>
        <v>5.0156739811912265E-2</v>
      </c>
      <c r="AB19" s="1210">
        <f t="shared" si="0"/>
        <v>5.8641975308642014E-2</v>
      </c>
      <c r="AC19" s="1213"/>
      <c r="AD19" s="1245"/>
      <c r="AE19" s="1245"/>
      <c r="AG19" s="1334"/>
      <c r="AH19" s="1334"/>
      <c r="AI19" s="1334"/>
    </row>
    <row r="20" spans="3:35" s="1197" customFormat="1" x14ac:dyDescent="0.5">
      <c r="C20" s="1290" t="s">
        <v>1311</v>
      </c>
      <c r="D20" s="1295">
        <f t="shared" ref="D20:O20" si="1">D25/D18</f>
        <v>0</v>
      </c>
      <c r="E20" s="1295">
        <f t="shared" si="1"/>
        <v>0</v>
      </c>
      <c r="F20" s="1295">
        <f t="shared" si="1"/>
        <v>0</v>
      </c>
      <c r="G20" s="1295">
        <f t="shared" si="1"/>
        <v>0</v>
      </c>
      <c r="H20" s="1295">
        <f t="shared" si="1"/>
        <v>0</v>
      </c>
      <c r="I20" s="1295">
        <f t="shared" si="1"/>
        <v>0</v>
      </c>
      <c r="J20" s="1295">
        <f t="shared" si="1"/>
        <v>0</v>
      </c>
      <c r="K20" s="1295">
        <f t="shared" si="1"/>
        <v>10.521153846153846</v>
      </c>
      <c r="L20" s="1199">
        <f t="shared" si="1"/>
        <v>9.4253676470588239</v>
      </c>
      <c r="M20" s="1199">
        <f t="shared" si="1"/>
        <v>10.424637681159421</v>
      </c>
      <c r="N20" s="1199">
        <f t="shared" si="1"/>
        <v>10.125266903914591</v>
      </c>
      <c r="O20" s="1199">
        <f t="shared" si="1"/>
        <v>11.629078014184397</v>
      </c>
      <c r="P20" s="1356">
        <f t="shared" ref="P20:Z20" si="2">P25/AVERAGE(O18:P18)</f>
        <v>9.5652021089630939</v>
      </c>
      <c r="Q20" s="1356">
        <f t="shared" si="2"/>
        <v>9.8678260869565211</v>
      </c>
      <c r="R20" s="1356">
        <f t="shared" si="2"/>
        <v>9.4419965576592091</v>
      </c>
      <c r="S20" s="1356">
        <f t="shared" si="2"/>
        <v>10.675042444821731</v>
      </c>
      <c r="T20" s="1356">
        <f t="shared" si="2"/>
        <v>9.4668896321070228</v>
      </c>
      <c r="U20" s="1356">
        <f t="shared" si="2"/>
        <v>10.418062397372742</v>
      </c>
      <c r="V20" s="1356">
        <f t="shared" si="2"/>
        <v>10.929468599033816</v>
      </c>
      <c r="W20" s="1356">
        <f t="shared" si="2"/>
        <v>12.334913112164298</v>
      </c>
      <c r="X20" s="1356">
        <f t="shared" si="2"/>
        <v>11.202177293934682</v>
      </c>
      <c r="Y20" s="1356">
        <f t="shared" si="2"/>
        <v>11.894930875576037</v>
      </c>
      <c r="Z20" s="1356">
        <f t="shared" si="2"/>
        <v>12.292378048780488</v>
      </c>
      <c r="AA20" s="1356">
        <f>AA25/AVERAGE(Z18:AA18)</f>
        <v>14.247590361445782</v>
      </c>
      <c r="AB20" s="1356">
        <f>AB25/AVERAGE(AA18:AB18)</f>
        <v>12.360471976401181</v>
      </c>
      <c r="AC20" s="1199"/>
      <c r="AD20" s="1295"/>
      <c r="AE20" s="1295"/>
    </row>
    <row r="21" spans="3:35" s="1172" customFormat="1" x14ac:dyDescent="0.5">
      <c r="C21" s="1175" t="s">
        <v>1310</v>
      </c>
      <c r="D21" s="1335"/>
      <c r="E21" s="1335"/>
      <c r="F21" s="1335"/>
      <c r="G21" s="1335"/>
      <c r="H21" s="1174" t="e">
        <f t="shared" ref="H21:K22" si="3">H20/D20-1</f>
        <v>#DIV/0!</v>
      </c>
      <c r="I21" s="1174" t="e">
        <f t="shared" si="3"/>
        <v>#DIV/0!</v>
      </c>
      <c r="J21" s="1174" t="e">
        <f t="shared" si="3"/>
        <v>#DIV/0!</v>
      </c>
      <c r="K21" s="1174" t="e">
        <f t="shared" si="3"/>
        <v>#DIV/0!</v>
      </c>
      <c r="L21" s="1251"/>
      <c r="M21" s="1251"/>
      <c r="N21" s="1251"/>
      <c r="O21" s="1210">
        <f t="shared" ref="O21:AB21" si="4">O20/K20-1</f>
        <v>0.10530443563807101</v>
      </c>
      <c r="P21" s="1210">
        <f t="shared" si="4"/>
        <v>1.4835968965932533E-2</v>
      </c>
      <c r="Q21" s="1210">
        <f t="shared" si="4"/>
        <v>-5.3413040455999039E-2</v>
      </c>
      <c r="R21" s="1210">
        <f t="shared" si="4"/>
        <v>-6.7481712110840086E-2</v>
      </c>
      <c r="S21" s="1210">
        <f t="shared" si="4"/>
        <v>-8.2038796901955258E-2</v>
      </c>
      <c r="T21" s="1210">
        <f t="shared" si="4"/>
        <v>-1.0278139001783093E-2</v>
      </c>
      <c r="U21" s="1210">
        <f t="shared" si="4"/>
        <v>5.5760641256490384E-2</v>
      </c>
      <c r="V21" s="1210">
        <f t="shared" si="4"/>
        <v>0.15753787160280108</v>
      </c>
      <c r="W21" s="1210">
        <f t="shared" si="4"/>
        <v>0.15549077916291942</v>
      </c>
      <c r="X21" s="1210">
        <f t="shared" si="4"/>
        <v>0.18330071747561294</v>
      </c>
      <c r="Y21" s="1210">
        <f t="shared" si="4"/>
        <v>0.14176037941332886</v>
      </c>
      <c r="Z21" s="1210">
        <f t="shared" si="4"/>
        <v>0.1247004314434057</v>
      </c>
      <c r="AA21" s="1211">
        <f t="shared" si="4"/>
        <v>0.15506207720225151</v>
      </c>
      <c r="AB21" s="1211">
        <f t="shared" si="4"/>
        <v>0.10339906717006242</v>
      </c>
      <c r="AC21" s="1213"/>
      <c r="AD21" s="1245"/>
      <c r="AE21" s="1245"/>
      <c r="AG21" s="1334"/>
      <c r="AH21" s="1334"/>
      <c r="AI21" s="1334"/>
    </row>
    <row r="22" spans="3:35" s="1172" customFormat="1" x14ac:dyDescent="0.5">
      <c r="C22" s="1175" t="s">
        <v>1320</v>
      </c>
      <c r="D22" s="1335"/>
      <c r="E22" s="1335"/>
      <c r="F22" s="1335"/>
      <c r="G22" s="1335"/>
      <c r="H22" s="1174" t="e">
        <f t="shared" si="3"/>
        <v>#DIV/0!</v>
      </c>
      <c r="I22" s="1174" t="e">
        <f t="shared" si="3"/>
        <v>#DIV/0!</v>
      </c>
      <c r="J22" s="1174" t="e">
        <f t="shared" si="3"/>
        <v>#DIV/0!</v>
      </c>
      <c r="K22" s="1174" t="e">
        <f t="shared" si="3"/>
        <v>#DIV/0!</v>
      </c>
      <c r="L22" s="1251"/>
      <c r="M22" s="1251"/>
      <c r="N22" s="1251"/>
      <c r="O22" s="1210" t="e">
        <f>O21/K21-1</f>
        <v>#DIV/0!</v>
      </c>
      <c r="P22" s="1360">
        <v>0</v>
      </c>
      <c r="Q22" s="1360">
        <v>0</v>
      </c>
      <c r="R22" s="1360">
        <v>0</v>
      </c>
      <c r="S22" s="1360">
        <v>0</v>
      </c>
      <c r="T22" s="1360">
        <v>0</v>
      </c>
      <c r="U22" s="1360">
        <v>0</v>
      </c>
      <c r="V22" s="1360">
        <v>0</v>
      </c>
      <c r="W22" s="1360">
        <v>0</v>
      </c>
      <c r="X22" s="1210">
        <f>(X20/P20)^(1/2)-1</f>
        <v>8.2191567246986619E-2</v>
      </c>
      <c r="Y22" s="1210">
        <f t="shared" ref="Y22:AB22" si="5">(Y20/Q20)^(1/2)-1</f>
        <v>9.791879040786533E-2</v>
      </c>
      <c r="Z22" s="1210">
        <f t="shared" si="5"/>
        <v>0.14100102699504702</v>
      </c>
      <c r="AA22" s="1211">
        <f t="shared" si="5"/>
        <v>0.15527640829715272</v>
      </c>
      <c r="AB22" s="1211">
        <f t="shared" si="5"/>
        <v>0.14265170014499895</v>
      </c>
      <c r="AC22" s="1213"/>
      <c r="AD22" s="1245"/>
      <c r="AE22" s="1245"/>
      <c r="AG22" s="1334"/>
      <c r="AH22" s="1334"/>
      <c r="AI22" s="1334"/>
    </row>
    <row r="23" spans="3:35" s="1172" customFormat="1" x14ac:dyDescent="0.5">
      <c r="C23" s="1175" t="s">
        <v>1309</v>
      </c>
      <c r="D23" s="1335"/>
      <c r="E23" s="1335"/>
      <c r="F23" s="1335"/>
      <c r="G23" s="1335"/>
      <c r="H23" s="1174">
        <f>[1]Historicals!AE297</f>
        <v>-0.16</v>
      </c>
      <c r="I23" s="1174">
        <f>[1]Historicals!AF297</f>
        <v>-0.21</v>
      </c>
      <c r="J23" s="1174">
        <f>[1]Historicals!AG297</f>
        <v>-0.09</v>
      </c>
      <c r="K23" s="1174">
        <f>[1]Historicals!AH297</f>
        <v>0.05</v>
      </c>
      <c r="L23" s="1210">
        <f>[1]Historicals!AI297</f>
        <v>0.3</v>
      </c>
      <c r="M23" s="1210">
        <f>[1]Historicals!AJ297</f>
        <v>0.47</v>
      </c>
      <c r="N23" s="1210">
        <f>[1]Historicals!AK297</f>
        <v>0.22</v>
      </c>
      <c r="O23" s="1210">
        <f>[1]Historicals!AL297</f>
        <v>0.06</v>
      </c>
      <c r="P23" s="1210">
        <f>[1]Historicals!AM297</f>
        <v>-0.08</v>
      </c>
      <c r="Q23" s="1210">
        <f>[1]Historicals!AN297</f>
        <v>-0.14000000000000001</v>
      </c>
      <c r="R23" s="1210">
        <f>[1]Historicals!AO297</f>
        <v>-0.18</v>
      </c>
      <c r="S23" s="1210">
        <f>[1]Historicals!AP297</f>
        <v>-0.22</v>
      </c>
      <c r="T23" s="1210">
        <f>[1]Historicals!AQ297</f>
        <v>-0.17</v>
      </c>
      <c r="U23" s="1210">
        <f>[1]Historicals!AR297</f>
        <v>-0.16</v>
      </c>
      <c r="V23" s="1210">
        <f>[1]Historicals!AS297</f>
        <v>-0.06</v>
      </c>
      <c r="W23" s="1210">
        <f>[1]Historicals!AT297</f>
        <v>0.02</v>
      </c>
      <c r="X23" s="1210">
        <f>[1]Historicals!AU297</f>
        <v>0.06</v>
      </c>
      <c r="Y23" s="1210">
        <f>[1]Historicals!AV297</f>
        <v>0.1</v>
      </c>
      <c r="Z23" s="1210">
        <f>[1]Historicals!AW297</f>
        <v>0.11</v>
      </c>
      <c r="AA23" s="1210">
        <f>[1]Historicals!AX297</f>
        <v>0.14000000000000001</v>
      </c>
      <c r="AB23" s="1210">
        <f>AB7</f>
        <v>0.1</v>
      </c>
      <c r="AC23" s="1213"/>
      <c r="AD23" s="1245"/>
      <c r="AE23" s="1245"/>
      <c r="AG23" s="1334"/>
      <c r="AH23" s="1334"/>
      <c r="AI23" s="1334"/>
    </row>
    <row r="24" spans="3:35" s="1172" customFormat="1" x14ac:dyDescent="0.5">
      <c r="C24" s="1175" t="s">
        <v>1308</v>
      </c>
      <c r="D24" s="1335"/>
      <c r="E24" s="1335"/>
      <c r="F24" s="1335"/>
      <c r="G24" s="1335"/>
      <c r="H24" s="1174">
        <f>[1]Historicals!AE291</f>
        <v>0.39</v>
      </c>
      <c r="I24" s="1174">
        <f>[1]Historicals!AF291</f>
        <v>0.4</v>
      </c>
      <c r="J24" s="1174">
        <f>[1]Historicals!AG291</f>
        <v>0.35</v>
      </c>
      <c r="K24" s="1174">
        <f>[1]Historicals!AH291</f>
        <v>0.25</v>
      </c>
      <c r="L24" s="1210">
        <f>[1]Historicals!AI291</f>
        <v>0.12</v>
      </c>
      <c r="M24" s="1210">
        <f>[1]Historicals!AJ291</f>
        <v>0.06</v>
      </c>
      <c r="N24" s="1210">
        <f>[1]Historicals!AK291</f>
        <v>0.09</v>
      </c>
      <c r="O24" s="1210">
        <f>[1]Historicals!AL291</f>
        <v>0.13</v>
      </c>
      <c r="P24" s="1210">
        <f>[1]Historicals!AM291</f>
        <v>0.15</v>
      </c>
      <c r="Q24" s="1210">
        <f>[1]Historicals!AN291</f>
        <v>0.15</v>
      </c>
      <c r="R24" s="1210">
        <f>[1]Historicals!AO291</f>
        <v>0.17</v>
      </c>
      <c r="S24" s="1210">
        <f>[1]Historicals!AP291</f>
        <v>0.23</v>
      </c>
      <c r="T24" s="1210">
        <f>[1]Historicals!AQ291</f>
        <v>0.26</v>
      </c>
      <c r="U24" s="1210">
        <f>[1]Historicals!AR291</f>
        <v>0.34</v>
      </c>
      <c r="V24" s="1210">
        <f>[1]Historicals!AS291</f>
        <v>0.31</v>
      </c>
      <c r="W24" s="1210">
        <f>[1]Historicals!AT291</f>
        <v>0.21</v>
      </c>
      <c r="X24" s="1210">
        <f>[1]Historicals!AU291</f>
        <v>0.2</v>
      </c>
      <c r="Y24" s="1210">
        <f>[1]Historicals!AV291</f>
        <v>0.1</v>
      </c>
      <c r="Z24" s="1210">
        <f>[1]Historicals!AW291</f>
        <v>7.0000000000000007E-2</v>
      </c>
      <c r="AA24" s="1210">
        <f>[1]Historicals!AX291</f>
        <v>0.06</v>
      </c>
      <c r="AB24" s="1210">
        <f>AB12</f>
        <v>0.05</v>
      </c>
      <c r="AC24" s="1213"/>
      <c r="AD24" s="1245"/>
      <c r="AE24" s="1245"/>
      <c r="AG24" s="1334"/>
      <c r="AH24" s="1334"/>
      <c r="AI24" s="1334"/>
    </row>
    <row r="25" spans="3:35" s="1197" customFormat="1" x14ac:dyDescent="0.5">
      <c r="C25" s="1290" t="s">
        <v>1307</v>
      </c>
      <c r="D25" s="1291"/>
      <c r="E25" s="1291"/>
      <c r="F25" s="1291"/>
      <c r="G25" s="1291"/>
      <c r="H25" s="1295">
        <f>[1]Historicals!AE47</f>
        <v>0</v>
      </c>
      <c r="I25" s="1295">
        <f>[1]Historicals!AF47</f>
        <v>0</v>
      </c>
      <c r="J25" s="1295">
        <f>[1]Historicals!AG47</f>
        <v>0</v>
      </c>
      <c r="K25" s="1295">
        <f>[1]Historicals!AH47</f>
        <v>27355</v>
      </c>
      <c r="L25" s="1199">
        <f>[1]Historicals!AI47</f>
        <v>25637</v>
      </c>
      <c r="M25" s="1199">
        <f>[1]Historicals!AJ47</f>
        <v>28772</v>
      </c>
      <c r="N25" s="1199">
        <f>[1]Historicals!AK47</f>
        <v>28452</v>
      </c>
      <c r="O25" s="1199">
        <f>[1]Historicals!AL47</f>
        <v>32794</v>
      </c>
      <c r="P25" s="1199">
        <f>[1]Historicals!AM47</f>
        <v>27213</v>
      </c>
      <c r="Q25" s="1199">
        <f>[1]Historicals!AN47</f>
        <v>28370</v>
      </c>
      <c r="R25" s="1199">
        <f>[1]Historicals!AO47</f>
        <v>27429</v>
      </c>
      <c r="S25" s="1199">
        <f>[1]Historicals!AP47</f>
        <v>31438</v>
      </c>
      <c r="T25" s="1199">
        <f>[1]Historicals!AQ47</f>
        <v>28306</v>
      </c>
      <c r="U25" s="1199">
        <f>[1]Historicals!AR47</f>
        <v>31723</v>
      </c>
      <c r="V25" s="1199">
        <f>[1]Historicals!AS47</f>
        <v>33936</v>
      </c>
      <c r="W25" s="1199">
        <f>[1]Historicals!AT47</f>
        <v>39040</v>
      </c>
      <c r="X25" s="1199">
        <f>[1]Historicals!AU47</f>
        <v>36015</v>
      </c>
      <c r="Y25" s="1199">
        <f>[1]Historicals!AV47</f>
        <v>38718</v>
      </c>
      <c r="Z25" s="1199">
        <f>[1]Historicals!AW47</f>
        <v>40319</v>
      </c>
      <c r="AA25" s="1199">
        <f>[1]Historicals!AX47</f>
        <v>47302</v>
      </c>
      <c r="AB25" s="1225">
        <f>Model!AY17</f>
        <v>41902</v>
      </c>
      <c r="AC25" s="1199"/>
      <c r="AD25" s="1295"/>
      <c r="AE25" s="1295"/>
    </row>
    <row r="26" spans="3:35" s="1172" customFormat="1" x14ac:dyDescent="0.5">
      <c r="C26" s="1175" t="s">
        <v>1154</v>
      </c>
      <c r="D26" s="1335"/>
      <c r="E26" s="1335"/>
      <c r="F26" s="1335"/>
      <c r="G26" s="1335"/>
      <c r="H26" s="1174" t="e">
        <f>H25/D25-1</f>
        <v>#DIV/0!</v>
      </c>
      <c r="I26" s="1174" t="e">
        <f>I25/E25-1</f>
        <v>#DIV/0!</v>
      </c>
      <c r="J26" s="1174" t="e">
        <f>J25/F25-1</f>
        <v>#DIV/0!</v>
      </c>
      <c r="K26" s="1174" t="e">
        <f>K25/G25-1</f>
        <v>#DIV/0!</v>
      </c>
      <c r="L26" s="1251"/>
      <c r="M26" s="1251"/>
      <c r="N26" s="1251"/>
      <c r="O26" s="1210">
        <f t="shared" ref="O26:AB26" si="6">O25/K25-1</f>
        <v>0.19883019557667692</v>
      </c>
      <c r="P26" s="1210">
        <f t="shared" si="6"/>
        <v>6.1473651363264104E-2</v>
      </c>
      <c r="Q26" s="1210">
        <f t="shared" si="6"/>
        <v>-1.3971917141665458E-2</v>
      </c>
      <c r="R26" s="1210">
        <f t="shared" si="6"/>
        <v>-3.5955293125263577E-2</v>
      </c>
      <c r="S26" s="1210">
        <f t="shared" si="6"/>
        <v>-4.1349027261084359E-2</v>
      </c>
      <c r="T26" s="1210">
        <f t="shared" si="6"/>
        <v>4.016462720023517E-2</v>
      </c>
      <c r="U26" s="1210">
        <f t="shared" si="6"/>
        <v>0.11818822700035247</v>
      </c>
      <c r="V26" s="1210">
        <f t="shared" si="6"/>
        <v>0.2372306682708083</v>
      </c>
      <c r="W26" s="1210">
        <f t="shared" si="6"/>
        <v>0.2418092753991985</v>
      </c>
      <c r="X26" s="1210">
        <f t="shared" si="6"/>
        <v>0.27234508584752359</v>
      </c>
      <c r="Y26" s="1210">
        <f t="shared" si="6"/>
        <v>0.2205024745452826</v>
      </c>
      <c r="Z26" s="1210">
        <f t="shared" si="6"/>
        <v>0.1880893446487506</v>
      </c>
      <c r="AA26" s="1210">
        <f t="shared" si="6"/>
        <v>0.21162909836065569</v>
      </c>
      <c r="AB26" s="1210">
        <f t="shared" si="6"/>
        <v>0.16345966958211866</v>
      </c>
      <c r="AC26" s="1213"/>
      <c r="AD26" s="1245"/>
      <c r="AE26" s="1245"/>
      <c r="AG26" s="1334"/>
      <c r="AH26" s="1334"/>
      <c r="AI26" s="1334"/>
    </row>
    <row r="27" spans="3:35" s="1172" customFormat="1" x14ac:dyDescent="0.5">
      <c r="C27" s="1175" t="s">
        <v>1292</v>
      </c>
      <c r="D27" s="1333"/>
      <c r="E27" s="1333"/>
      <c r="F27" s="1333"/>
      <c r="G27" s="1333"/>
      <c r="H27" s="1333"/>
      <c r="I27" s="1333"/>
      <c r="J27" s="1333"/>
      <c r="K27" s="1333"/>
      <c r="L27" s="1354"/>
      <c r="M27" s="1354"/>
      <c r="N27" s="1354"/>
      <c r="O27" s="1354"/>
      <c r="P27" s="1354"/>
      <c r="Q27" s="1354"/>
      <c r="R27" s="1354"/>
      <c r="S27" s="1354"/>
      <c r="T27" s="1210">
        <f t="shared" ref="T27:AB27" si="7">(T25/L25)^(1/2)-1</f>
        <v>5.0765123542431789E-2</v>
      </c>
      <c r="U27" s="1210">
        <f t="shared" si="7"/>
        <v>5.0030948945752662E-2</v>
      </c>
      <c r="V27" s="1210">
        <f t="shared" si="7"/>
        <v>9.2128965337686441E-2</v>
      </c>
      <c r="W27" s="1210">
        <f t="shared" si="7"/>
        <v>9.1082796957980383E-2</v>
      </c>
      <c r="X27" s="1210">
        <f t="shared" si="7"/>
        <v>0.15041225301656125</v>
      </c>
      <c r="Y27" s="1210">
        <f t="shared" si="7"/>
        <v>0.16822579070200838</v>
      </c>
      <c r="Z27" s="1210">
        <f t="shared" si="7"/>
        <v>0.21241105811733685</v>
      </c>
      <c r="AA27" s="1210">
        <f t="shared" si="7"/>
        <v>0.22662637045183009</v>
      </c>
      <c r="AB27" s="1210">
        <f t="shared" si="7"/>
        <v>0.21668491943255064</v>
      </c>
      <c r="AC27" s="1213"/>
      <c r="AD27" s="1245"/>
      <c r="AE27" s="1245"/>
    </row>
    <row r="28" spans="3:35" s="1197" customFormat="1" x14ac:dyDescent="0.5">
      <c r="C28" s="1290" t="s">
        <v>1186</v>
      </c>
      <c r="D28" s="1291"/>
      <c r="E28" s="1291"/>
      <c r="F28" s="1291"/>
      <c r="G28" s="1291"/>
      <c r="H28" s="1291"/>
      <c r="I28" s="1291"/>
      <c r="J28" s="1291"/>
      <c r="K28" s="1291"/>
      <c r="L28" s="1225">
        <f>[1]Historicals!AI67</f>
        <v>534</v>
      </c>
      <c r="M28" s="1225">
        <f>[1]Historicals!AJ67</f>
        <v>305</v>
      </c>
      <c r="N28" s="1225">
        <f>[1]Historicals!AK67</f>
        <v>558</v>
      </c>
      <c r="O28" s="1225">
        <f>[1]Historicals!AL67</f>
        <v>877</v>
      </c>
      <c r="P28" s="1225">
        <f>[1]Historicals!AM67</f>
        <v>695</v>
      </c>
      <c r="Q28" s="1225">
        <f>[1]Historicals!AN67</f>
        <v>452</v>
      </c>
      <c r="R28" s="1225">
        <f>[1]Historicals!AO67</f>
        <v>285</v>
      </c>
      <c r="S28" s="1225">
        <f>[1]Historicals!AP67</f>
        <v>727</v>
      </c>
      <c r="T28" s="1225">
        <f>[1]Historicals!AQ67</f>
        <v>339</v>
      </c>
      <c r="U28" s="1225">
        <f>[1]Historicals!AR67</f>
        <v>276</v>
      </c>
      <c r="V28" s="1225">
        <f>[1]Historicals!AS67</f>
        <v>210</v>
      </c>
      <c r="W28" s="1225">
        <f>[1]Historicals!AT67</f>
        <v>1071</v>
      </c>
      <c r="X28" s="1225">
        <f>[1]Historicals!AU67</f>
        <v>440</v>
      </c>
      <c r="Y28" s="1225">
        <f>[1]Historicals!AV67</f>
        <v>353</v>
      </c>
      <c r="Z28" s="1225">
        <f>[1]Historicals!AW67</f>
        <v>270</v>
      </c>
      <c r="AA28" s="1225">
        <f>[1]Historicals!AX67</f>
        <v>1083</v>
      </c>
      <c r="AB28" s="1225">
        <f>Model!AY21</f>
        <v>412</v>
      </c>
      <c r="AC28" s="1199"/>
      <c r="AD28" s="1295"/>
      <c r="AE28" s="1295"/>
    </row>
    <row r="29" spans="3:35" s="1172" customFormat="1" x14ac:dyDescent="0.5">
      <c r="C29" s="1175" t="s">
        <v>1154</v>
      </c>
      <c r="D29" s="1335"/>
      <c r="E29" s="1335"/>
      <c r="F29" s="1335"/>
      <c r="G29" s="1335"/>
      <c r="H29" s="1174" t="e">
        <f>H28/D28-1</f>
        <v>#DIV/0!</v>
      </c>
      <c r="I29" s="1174" t="e">
        <f>I28/E28-1</f>
        <v>#DIV/0!</v>
      </c>
      <c r="J29" s="1174" t="e">
        <f>J28/F28-1</f>
        <v>#DIV/0!</v>
      </c>
      <c r="K29" s="1174" t="e">
        <f>K28/G28-1</f>
        <v>#DIV/0!</v>
      </c>
      <c r="L29" s="1251"/>
      <c r="M29" s="1251"/>
      <c r="N29" s="1251"/>
      <c r="O29" s="1251"/>
      <c r="P29" s="1210">
        <f t="shared" ref="P29:AB29" si="8">P28/L28-1</f>
        <v>0.30149812734082393</v>
      </c>
      <c r="Q29" s="1210">
        <f t="shared" si="8"/>
        <v>0.4819672131147541</v>
      </c>
      <c r="R29" s="1210">
        <f t="shared" si="8"/>
        <v>-0.489247311827957</v>
      </c>
      <c r="S29" s="1210">
        <f t="shared" si="8"/>
        <v>-0.17103762827822122</v>
      </c>
      <c r="T29" s="1210">
        <f t="shared" si="8"/>
        <v>-0.51223021582733819</v>
      </c>
      <c r="U29" s="1210">
        <f t="shared" si="8"/>
        <v>-0.38938053097345138</v>
      </c>
      <c r="V29" s="1210">
        <f t="shared" si="8"/>
        <v>-0.26315789473684215</v>
      </c>
      <c r="W29" s="1210">
        <f t="shared" si="8"/>
        <v>0.47317744154057761</v>
      </c>
      <c r="X29" s="1210">
        <f t="shared" si="8"/>
        <v>0.29793510324483785</v>
      </c>
      <c r="Y29" s="1210">
        <f t="shared" si="8"/>
        <v>0.27898550724637672</v>
      </c>
      <c r="Z29" s="1210">
        <f t="shared" si="8"/>
        <v>0.28571428571428581</v>
      </c>
      <c r="AA29" s="1210">
        <f t="shared" si="8"/>
        <v>1.1204481792717047E-2</v>
      </c>
      <c r="AB29" s="1210">
        <f t="shared" si="8"/>
        <v>-6.3636363636363602E-2</v>
      </c>
      <c r="AC29" s="1213"/>
      <c r="AD29" s="1245"/>
      <c r="AE29" s="1245"/>
      <c r="AG29" s="1334"/>
      <c r="AH29" s="1334"/>
      <c r="AI29" s="1334"/>
    </row>
    <row r="30" spans="3:35" s="1172" customFormat="1" x14ac:dyDescent="0.5">
      <c r="C30" s="1175" t="s">
        <v>1292</v>
      </c>
      <c r="D30" s="1333"/>
      <c r="E30" s="1333"/>
      <c r="F30" s="1333"/>
      <c r="G30" s="1333"/>
      <c r="H30" s="1333"/>
      <c r="I30" s="1333"/>
      <c r="J30" s="1333"/>
      <c r="K30" s="1333"/>
      <c r="L30" s="1354"/>
      <c r="M30" s="1354"/>
      <c r="N30" s="1354"/>
      <c r="O30" s="1354"/>
      <c r="P30" s="1354"/>
      <c r="Q30" s="1354"/>
      <c r="R30" s="1354"/>
      <c r="S30" s="1354"/>
      <c r="T30" s="1210">
        <f t="shared" ref="T30:AB30" si="9">(T28/L28)^(1/2)-1</f>
        <v>-0.20323688547087138</v>
      </c>
      <c r="U30" s="1210">
        <f t="shared" si="9"/>
        <v>-4.8728202464256132E-2</v>
      </c>
      <c r="V30" s="1210">
        <f t="shared" si="9"/>
        <v>-0.38653110427544468</v>
      </c>
      <c r="W30" s="1210">
        <f t="shared" si="9"/>
        <v>0.1050831036200397</v>
      </c>
      <c r="X30" s="1210">
        <f t="shared" si="9"/>
        <v>-0.20432825538425958</v>
      </c>
      <c r="Y30" s="1210">
        <f t="shared" si="9"/>
        <v>-0.11627297691683458</v>
      </c>
      <c r="Z30" s="1210">
        <f t="shared" si="9"/>
        <v>-2.6671473215424846E-2</v>
      </c>
      <c r="AA30" s="1210">
        <f t="shared" si="9"/>
        <v>0.22052596505021582</v>
      </c>
      <c r="AB30" s="1210">
        <f t="shared" si="9"/>
        <v>0.10242425274408218</v>
      </c>
      <c r="AC30" s="1213"/>
      <c r="AD30" s="1245"/>
      <c r="AE30" s="1245"/>
    </row>
    <row r="31" spans="3:35" s="1197" customFormat="1" x14ac:dyDescent="0.5">
      <c r="C31" s="1373" t="s">
        <v>1155</v>
      </c>
      <c r="D31" s="1374"/>
      <c r="E31" s="1374"/>
      <c r="F31" s="1374"/>
      <c r="G31" s="1374"/>
      <c r="H31" s="1375"/>
      <c r="I31" s="1375"/>
      <c r="J31" s="1375"/>
      <c r="K31" s="1375"/>
      <c r="L31" s="1376">
        <f t="shared" ref="L31:AB31" si="10">L25+L28</f>
        <v>26171</v>
      </c>
      <c r="M31" s="1376">
        <f t="shared" si="10"/>
        <v>29077</v>
      </c>
      <c r="N31" s="1376">
        <f t="shared" si="10"/>
        <v>29010</v>
      </c>
      <c r="O31" s="1376">
        <f t="shared" si="10"/>
        <v>33671</v>
      </c>
      <c r="P31" s="1376">
        <f t="shared" si="10"/>
        <v>27908</v>
      </c>
      <c r="Q31" s="1376">
        <f t="shared" si="10"/>
        <v>28822</v>
      </c>
      <c r="R31" s="1376">
        <f t="shared" si="10"/>
        <v>27714</v>
      </c>
      <c r="S31" s="1376">
        <f t="shared" si="10"/>
        <v>32165</v>
      </c>
      <c r="T31" s="1376">
        <f t="shared" si="10"/>
        <v>28645</v>
      </c>
      <c r="U31" s="1376">
        <f t="shared" si="10"/>
        <v>31999</v>
      </c>
      <c r="V31" s="1376">
        <f t="shared" si="10"/>
        <v>34146</v>
      </c>
      <c r="W31" s="1376">
        <f t="shared" si="10"/>
        <v>40111</v>
      </c>
      <c r="X31" s="1376">
        <f t="shared" si="10"/>
        <v>36455</v>
      </c>
      <c r="Y31" s="1376">
        <f t="shared" si="10"/>
        <v>39071</v>
      </c>
      <c r="Z31" s="1376">
        <f t="shared" si="10"/>
        <v>40589</v>
      </c>
      <c r="AA31" s="1376">
        <f t="shared" si="10"/>
        <v>48385</v>
      </c>
      <c r="AB31" s="1376">
        <f t="shared" si="10"/>
        <v>42314</v>
      </c>
      <c r="AC31" s="1376"/>
      <c r="AD31" s="1375"/>
      <c r="AE31" s="1377"/>
    </row>
    <row r="32" spans="3:35" s="1172" customFormat="1" x14ac:dyDescent="0.5">
      <c r="C32" s="1240" t="s">
        <v>1154</v>
      </c>
      <c r="D32" s="1335"/>
      <c r="E32" s="1335"/>
      <c r="F32" s="1335"/>
      <c r="G32" s="1335"/>
      <c r="H32" s="1174" t="e">
        <f>H31/D31-1</f>
        <v>#DIV/0!</v>
      </c>
      <c r="I32" s="1174" t="e">
        <f>I31/E31-1</f>
        <v>#DIV/0!</v>
      </c>
      <c r="J32" s="1174" t="e">
        <f>J31/F31-1</f>
        <v>#DIV/0!</v>
      </c>
      <c r="K32" s="1174" t="e">
        <f>K31/G31-1</f>
        <v>#DIV/0!</v>
      </c>
      <c r="L32" s="1251" t="s">
        <v>1306</v>
      </c>
      <c r="M32" s="1251"/>
      <c r="N32" s="1251"/>
      <c r="O32" s="1251"/>
      <c r="P32" s="1210">
        <f t="shared" ref="P32:AB32" si="11">P31/L31-1</f>
        <v>6.6371174200450911E-2</v>
      </c>
      <c r="Q32" s="1210">
        <f t="shared" si="11"/>
        <v>-8.7698180692643568E-3</v>
      </c>
      <c r="R32" s="1210">
        <f t="shared" si="11"/>
        <v>-4.4674250258531556E-2</v>
      </c>
      <c r="S32" s="1210">
        <f t="shared" si="11"/>
        <v>-4.4726916337501144E-2</v>
      </c>
      <c r="T32" s="1210">
        <f t="shared" si="11"/>
        <v>2.6408198366060009E-2</v>
      </c>
      <c r="U32" s="1210">
        <f t="shared" si="11"/>
        <v>0.11022829782804799</v>
      </c>
      <c r="V32" s="1210">
        <f t="shared" si="11"/>
        <v>0.23208486685429741</v>
      </c>
      <c r="W32" s="1210">
        <f t="shared" si="11"/>
        <v>0.24703870666873939</v>
      </c>
      <c r="X32" s="1210">
        <f t="shared" si="11"/>
        <v>0.27264793157619138</v>
      </c>
      <c r="Y32" s="1210">
        <f t="shared" si="11"/>
        <v>0.2210069064658271</v>
      </c>
      <c r="Z32" s="1210">
        <f t="shared" si="11"/>
        <v>0.18868974404029748</v>
      </c>
      <c r="AA32" s="1210">
        <f t="shared" si="11"/>
        <v>0.20627757971628724</v>
      </c>
      <c r="AB32" s="1210">
        <f t="shared" si="11"/>
        <v>0.16071869428062002</v>
      </c>
      <c r="AC32" s="1213"/>
      <c r="AD32" s="1245"/>
      <c r="AE32" s="1245"/>
      <c r="AG32" s="1334"/>
      <c r="AH32" s="1334"/>
      <c r="AI32" s="1334"/>
    </row>
    <row r="33" spans="3:31" s="1172" customFormat="1" x14ac:dyDescent="0.5">
      <c r="C33" s="1175" t="s">
        <v>1292</v>
      </c>
      <c r="D33" s="1333"/>
      <c r="E33" s="1333"/>
      <c r="F33" s="1333"/>
      <c r="G33" s="1333"/>
      <c r="H33" s="1333"/>
      <c r="I33" s="1333"/>
      <c r="J33" s="1333"/>
      <c r="K33" s="1333"/>
      <c r="L33" s="1354"/>
      <c r="M33" s="1354"/>
      <c r="N33" s="1354"/>
      <c r="O33" s="1354"/>
      <c r="P33" s="1354"/>
      <c r="Q33" s="1354"/>
      <c r="R33" s="1354"/>
      <c r="S33" s="1354"/>
      <c r="T33" s="1210">
        <f t="shared" ref="T33:AB33" si="12">(T31/L31)^(1/2)-1</f>
        <v>4.6198889170020241E-2</v>
      </c>
      <c r="U33" s="1210">
        <f t="shared" si="12"/>
        <v>4.9043277296388244E-2</v>
      </c>
      <c r="V33" s="1210">
        <f t="shared" si="12"/>
        <v>8.491584888999526E-2</v>
      </c>
      <c r="W33" s="1210">
        <f t="shared" si="12"/>
        <v>9.1449728922931683E-2</v>
      </c>
      <c r="X33" s="1210">
        <f t="shared" si="12"/>
        <v>0.14291568831800161</v>
      </c>
      <c r="Y33" s="1210">
        <f t="shared" si="12"/>
        <v>0.16430082856701844</v>
      </c>
      <c r="Z33" s="1210">
        <f t="shared" si="12"/>
        <v>0.21019281315704363</v>
      </c>
      <c r="AA33" s="1210">
        <f t="shared" si="12"/>
        <v>0.22648882297919704</v>
      </c>
      <c r="AB33" s="1210">
        <f t="shared" si="12"/>
        <v>0.21539550987242362</v>
      </c>
      <c r="AC33" s="1213"/>
      <c r="AD33" s="1245"/>
      <c r="AE33" s="1245"/>
    </row>
    <row r="34" spans="3:31" ht="2.5" customHeight="1" x14ac:dyDescent="0.5">
      <c r="L34" s="1203"/>
      <c r="M34" s="1203"/>
      <c r="N34" s="1203"/>
      <c r="O34" s="1203"/>
      <c r="P34" s="1203"/>
      <c r="Q34" s="1203"/>
      <c r="R34" s="1203"/>
      <c r="S34" s="1203"/>
      <c r="T34" s="1203"/>
      <c r="U34" s="1203"/>
      <c r="V34" s="1203"/>
      <c r="W34" s="1203"/>
      <c r="X34" s="1203"/>
      <c r="Y34" s="1203"/>
      <c r="Z34" s="1203"/>
      <c r="AA34" s="1203"/>
      <c r="AB34" s="1203"/>
      <c r="AC34" s="1203"/>
    </row>
    <row r="35" spans="3:31" s="1197" customFormat="1" x14ac:dyDescent="0.5">
      <c r="C35" s="1290" t="s">
        <v>1305</v>
      </c>
      <c r="D35" s="1291"/>
      <c r="E35" s="1291"/>
      <c r="F35" s="1291"/>
      <c r="G35" s="1291"/>
      <c r="H35" s="1291"/>
      <c r="I35" s="1291"/>
      <c r="J35" s="1291"/>
      <c r="K35" s="1291"/>
      <c r="L35" s="1199">
        <f t="shared" ref="L35:AA35" si="13">L25-L37</f>
        <v>13205</v>
      </c>
      <c r="M35" s="1199">
        <f t="shared" si="13"/>
        <v>14799</v>
      </c>
      <c r="N35" s="1199">
        <f t="shared" si="13"/>
        <v>13054</v>
      </c>
      <c r="O35" s="1199">
        <f t="shared" si="13"/>
        <v>15889</v>
      </c>
      <c r="P35" s="1199">
        <f t="shared" si="13"/>
        <v>11484</v>
      </c>
      <c r="Q35" s="1199">
        <f t="shared" si="13"/>
        <v>11164</v>
      </c>
      <c r="R35" s="1199">
        <f t="shared" si="13"/>
        <v>9336</v>
      </c>
      <c r="S35" s="1199">
        <f t="shared" si="13"/>
        <v>10678</v>
      </c>
      <c r="T35" s="1199">
        <f t="shared" si="13"/>
        <v>11219</v>
      </c>
      <c r="U35" s="1199">
        <f t="shared" si="13"/>
        <v>13131</v>
      </c>
      <c r="V35" s="1199">
        <f t="shared" si="13"/>
        <v>17490</v>
      </c>
      <c r="W35" s="1199">
        <f t="shared" si="13"/>
        <v>21030</v>
      </c>
      <c r="X35" s="1199">
        <f t="shared" si="13"/>
        <v>17664</v>
      </c>
      <c r="Y35" s="1199">
        <f t="shared" si="13"/>
        <v>19335</v>
      </c>
      <c r="Z35" s="1199">
        <f t="shared" si="13"/>
        <v>21778</v>
      </c>
      <c r="AA35" s="1199">
        <f t="shared" si="13"/>
        <v>28332</v>
      </c>
      <c r="AB35" s="1199">
        <f>Model!AY61</f>
        <v>21765</v>
      </c>
      <c r="AC35" s="1199"/>
      <c r="AD35" s="1295"/>
      <c r="AE35" s="1295"/>
    </row>
    <row r="36" spans="3:31" s="1235" customFormat="1" x14ac:dyDescent="0.5">
      <c r="C36" s="1255" t="s">
        <v>1304</v>
      </c>
      <c r="D36" s="1341"/>
      <c r="E36" s="1341"/>
      <c r="F36" s="1341"/>
      <c r="G36" s="1341"/>
      <c r="H36" s="1341"/>
      <c r="I36" s="1341"/>
      <c r="J36" s="1341"/>
      <c r="K36" s="1341"/>
      <c r="L36" s="1210">
        <f t="shared" ref="L36:AB36" si="14">L35/L25</f>
        <v>0.51507586691110507</v>
      </c>
      <c r="M36" s="1210">
        <f t="shared" si="14"/>
        <v>0.51435423328235785</v>
      </c>
      <c r="N36" s="1210">
        <f t="shared" si="14"/>
        <v>0.45880781667369602</v>
      </c>
      <c r="O36" s="1210">
        <f t="shared" si="14"/>
        <v>0.48450936146856133</v>
      </c>
      <c r="P36" s="1210">
        <f t="shared" si="14"/>
        <v>0.42200418917429172</v>
      </c>
      <c r="Q36" s="1210">
        <f t="shared" si="14"/>
        <v>0.39351427564328517</v>
      </c>
      <c r="R36" s="1210">
        <f t="shared" si="14"/>
        <v>0.34036968172372306</v>
      </c>
      <c r="S36" s="1210">
        <f t="shared" si="14"/>
        <v>0.33965264965964759</v>
      </c>
      <c r="T36" s="1210">
        <f t="shared" si="14"/>
        <v>0.39634706422666571</v>
      </c>
      <c r="U36" s="1210">
        <f t="shared" si="14"/>
        <v>0.41392680389622671</v>
      </c>
      <c r="V36" s="1210">
        <f t="shared" si="14"/>
        <v>0.51538189533239043</v>
      </c>
      <c r="W36" s="1210">
        <f t="shared" si="14"/>
        <v>0.53867827868852458</v>
      </c>
      <c r="X36" s="1210">
        <f t="shared" si="14"/>
        <v>0.49046230737192836</v>
      </c>
      <c r="Y36" s="1210">
        <f t="shared" si="14"/>
        <v>0.49938013327134667</v>
      </c>
      <c r="Z36" s="1210">
        <f t="shared" si="14"/>
        <v>0.54014236464198018</v>
      </c>
      <c r="AA36" s="1210">
        <f t="shared" si="14"/>
        <v>0.59895987484672952</v>
      </c>
      <c r="AB36" s="1210">
        <f t="shared" si="14"/>
        <v>0.51942628036847882</v>
      </c>
      <c r="AC36" s="1210"/>
      <c r="AD36" s="1174"/>
      <c r="AE36" s="1174"/>
    </row>
    <row r="37" spans="3:31" s="1172" customFormat="1" x14ac:dyDescent="0.5">
      <c r="C37" s="1175" t="s">
        <v>1303</v>
      </c>
      <c r="D37" s="1333"/>
      <c r="E37" s="1333"/>
      <c r="F37" s="1333"/>
      <c r="G37" s="1333"/>
      <c r="H37" s="1333"/>
      <c r="I37" s="1333"/>
      <c r="J37" s="1333"/>
      <c r="K37" s="1333"/>
      <c r="L37" s="1213">
        <f>[1]Historicals!AI60</f>
        <v>12432</v>
      </c>
      <c r="M37" s="1213">
        <f>[1]Historicals!AJ60</f>
        <v>13973</v>
      </c>
      <c r="N37" s="1213">
        <f>[1]Historicals!AK60</f>
        <v>15398</v>
      </c>
      <c r="O37" s="1213">
        <f>[1]Historicals!AL60</f>
        <v>16905</v>
      </c>
      <c r="P37" s="1213">
        <f>[1]Historicals!AM60</f>
        <v>15729</v>
      </c>
      <c r="Q37" s="1213">
        <f>[1]Historicals!AN60</f>
        <v>17206</v>
      </c>
      <c r="R37" s="1213">
        <f>[1]Historicals!AO60</f>
        <v>18093</v>
      </c>
      <c r="S37" s="1213">
        <f>[1]Historicals!AP60</f>
        <v>20760</v>
      </c>
      <c r="T37" s="1213">
        <f>[1]Historicals!AQ60</f>
        <v>17087</v>
      </c>
      <c r="U37" s="1213">
        <f>[1]Historicals!AR60</f>
        <v>18592</v>
      </c>
      <c r="V37" s="1213">
        <f>[1]Historicals!AS60</f>
        <v>16446</v>
      </c>
      <c r="W37" s="1213">
        <f>[1]Historicals!AT60</f>
        <v>18010</v>
      </c>
      <c r="X37" s="1213">
        <f>[1]Historicals!AU60</f>
        <v>18351</v>
      </c>
      <c r="Y37" s="1213">
        <f>[1]Historicals!AV60</f>
        <v>19383</v>
      </c>
      <c r="Z37" s="1213">
        <f>[1]Historicals!AW60</f>
        <v>18541</v>
      </c>
      <c r="AA37" s="1213">
        <f>[1]Historicals!AX60</f>
        <v>18970</v>
      </c>
      <c r="AB37" s="1213">
        <f>[1]Historicals!AY60</f>
        <v>20137</v>
      </c>
      <c r="AC37" s="1213"/>
      <c r="AD37" s="1245"/>
      <c r="AE37" s="1245"/>
    </row>
    <row r="38" spans="3:31" s="1197" customFormat="1" x14ac:dyDescent="0.5">
      <c r="C38" s="1290" t="s">
        <v>1302</v>
      </c>
      <c r="D38" s="1291"/>
      <c r="E38" s="1291"/>
      <c r="F38" s="1291"/>
      <c r="G38" s="1291"/>
      <c r="H38" s="1295"/>
      <c r="I38" s="1295"/>
      <c r="J38" s="1295"/>
      <c r="K38" s="1295"/>
      <c r="L38" s="1199">
        <f t="shared" ref="L38:AA38" si="15">L28-L40</f>
        <v>-1827</v>
      </c>
      <c r="M38" s="1199">
        <f t="shared" si="15"/>
        <v>-2432</v>
      </c>
      <c r="N38" s="1199">
        <f t="shared" si="15"/>
        <v>-2631</v>
      </c>
      <c r="O38" s="1199">
        <f t="shared" si="15"/>
        <v>-3304</v>
      </c>
      <c r="P38" s="1225">
        <f t="shared" si="15"/>
        <v>-2960</v>
      </c>
      <c r="Q38" s="1225">
        <f t="shared" si="15"/>
        <v>-2806</v>
      </c>
      <c r="R38" s="1225">
        <f t="shared" si="15"/>
        <v>-3672</v>
      </c>
      <c r="S38" s="1225">
        <f t="shared" si="15"/>
        <v>-4279</v>
      </c>
      <c r="T38" s="1225">
        <f t="shared" si="15"/>
        <v>-3992</v>
      </c>
      <c r="U38" s="1225">
        <f t="shared" si="15"/>
        <v>-3739</v>
      </c>
      <c r="V38" s="1225">
        <f t="shared" si="15"/>
        <v>-3742</v>
      </c>
      <c r="W38" s="1225">
        <f t="shared" si="15"/>
        <v>-4646</v>
      </c>
      <c r="X38" s="1225">
        <f t="shared" si="15"/>
        <v>-3846</v>
      </c>
      <c r="Y38" s="1225">
        <f t="shared" si="15"/>
        <v>-4488</v>
      </c>
      <c r="Z38" s="1225">
        <f t="shared" si="15"/>
        <v>-4428</v>
      </c>
      <c r="AA38" s="1225">
        <f t="shared" si="15"/>
        <v>-4967</v>
      </c>
      <c r="AB38" s="1225">
        <f>Model!AY72</f>
        <v>-4210</v>
      </c>
      <c r="AC38" s="1199"/>
      <c r="AD38" s="1295"/>
      <c r="AE38" s="1295"/>
    </row>
    <row r="39" spans="3:31" s="1235" customFormat="1" x14ac:dyDescent="0.5">
      <c r="C39" s="1255" t="s">
        <v>1301</v>
      </c>
      <c r="D39" s="1341"/>
      <c r="E39" s="1341"/>
      <c r="F39" s="1341"/>
      <c r="G39" s="1341"/>
      <c r="H39" s="1341"/>
      <c r="I39" s="1341"/>
      <c r="J39" s="1341"/>
      <c r="K39" s="1341"/>
      <c r="L39" s="1210">
        <f t="shared" ref="L39:AB39" si="16">L38/L28</f>
        <v>-3.4213483146067416</v>
      </c>
      <c r="M39" s="1210">
        <f t="shared" si="16"/>
        <v>-7.973770491803279</v>
      </c>
      <c r="N39" s="1210">
        <f t="shared" si="16"/>
        <v>-4.71505376344086</v>
      </c>
      <c r="O39" s="1210">
        <f t="shared" si="16"/>
        <v>-3.767388825541619</v>
      </c>
      <c r="P39" s="1210">
        <f t="shared" si="16"/>
        <v>-4.2589928057553958</v>
      </c>
      <c r="Q39" s="1210">
        <f t="shared" si="16"/>
        <v>-6.2079646017699117</v>
      </c>
      <c r="R39" s="1210">
        <f t="shared" si="16"/>
        <v>-12.884210526315789</v>
      </c>
      <c r="S39" s="1210">
        <f t="shared" si="16"/>
        <v>-5.8858321870701511</v>
      </c>
      <c r="T39" s="1210">
        <f t="shared" si="16"/>
        <v>-11.775811209439528</v>
      </c>
      <c r="U39" s="1210">
        <f t="shared" si="16"/>
        <v>-13.547101449275363</v>
      </c>
      <c r="V39" s="1210">
        <f t="shared" si="16"/>
        <v>-17.81904761904762</v>
      </c>
      <c r="W39" s="1210">
        <f t="shared" si="16"/>
        <v>-4.3380018674136318</v>
      </c>
      <c r="X39" s="1210">
        <f t="shared" si="16"/>
        <v>-8.7409090909090903</v>
      </c>
      <c r="Y39" s="1210">
        <f t="shared" si="16"/>
        <v>-12.713881019830028</v>
      </c>
      <c r="Z39" s="1210">
        <f t="shared" si="16"/>
        <v>-16.399999999999999</v>
      </c>
      <c r="AA39" s="1210">
        <f t="shared" si="16"/>
        <v>-4.5863342566943679</v>
      </c>
      <c r="AB39" s="1210">
        <f t="shared" si="16"/>
        <v>-10.218446601941748</v>
      </c>
      <c r="AC39" s="1210"/>
      <c r="AD39" s="1174"/>
      <c r="AE39" s="1174"/>
    </row>
    <row r="40" spans="3:31" s="1172" customFormat="1" x14ac:dyDescent="0.5">
      <c r="C40" s="1175" t="s">
        <v>1300</v>
      </c>
      <c r="D40" s="1333"/>
      <c r="E40" s="1333"/>
      <c r="F40" s="1333"/>
      <c r="G40" s="1333"/>
      <c r="H40" s="1333"/>
      <c r="I40" s="1333"/>
      <c r="J40" s="1333"/>
      <c r="K40" s="1333"/>
      <c r="L40" s="1213">
        <f>[1]Historicals!AI71</f>
        <v>2361</v>
      </c>
      <c r="M40" s="1213">
        <f>[1]Historicals!AJ71</f>
        <v>2737</v>
      </c>
      <c r="N40" s="1213">
        <f>[1]Historicals!AK71</f>
        <v>3189</v>
      </c>
      <c r="O40" s="1213">
        <f>[1]Historicals!AL71</f>
        <v>4181</v>
      </c>
      <c r="P40" s="1213">
        <f>[1]Historicals!AM71</f>
        <v>3655</v>
      </c>
      <c r="Q40" s="1213">
        <f>[1]Historicals!AN71</f>
        <v>3258</v>
      </c>
      <c r="R40" s="1213">
        <f>[1]Historicals!AO71</f>
        <v>3957</v>
      </c>
      <c r="S40" s="1213">
        <f>[1]Historicals!AP71</f>
        <v>5006</v>
      </c>
      <c r="T40" s="1213">
        <f>[1]Historicals!AQ71</f>
        <v>4331</v>
      </c>
      <c r="U40" s="1213">
        <f>[1]Historicals!AR71</f>
        <v>4015</v>
      </c>
      <c r="V40" s="1213">
        <f>[1]Historicals!AS71</f>
        <v>3952</v>
      </c>
      <c r="W40" s="1213">
        <f>[1]Historicals!AT71</f>
        <v>5717</v>
      </c>
      <c r="X40" s="1213">
        <f>[1]Historicals!AU71</f>
        <v>4286</v>
      </c>
      <c r="Y40" s="1213">
        <f>[1]Historicals!AV71</f>
        <v>4841</v>
      </c>
      <c r="Z40" s="1213">
        <f>[1]Historicals!AW71</f>
        <v>4698</v>
      </c>
      <c r="AA40" s="1213">
        <f>[1]Historicals!AX71</f>
        <v>6050</v>
      </c>
      <c r="AB40" s="1213">
        <f>[1]Historicals!AY71</f>
        <v>4622</v>
      </c>
      <c r="AC40" s="1210">
        <f>3.35/8.1</f>
        <v>0.41358024691358025</v>
      </c>
      <c r="AD40" s="1245"/>
      <c r="AE40" s="1245"/>
    </row>
    <row r="41" spans="3:31" s="1197" customFormat="1" x14ac:dyDescent="0.5">
      <c r="C41" s="1373" t="s">
        <v>1299</v>
      </c>
      <c r="D41" s="1374"/>
      <c r="E41" s="1374"/>
      <c r="F41" s="1374"/>
      <c r="G41" s="1374"/>
      <c r="H41" s="1375"/>
      <c r="I41" s="1375"/>
      <c r="J41" s="1375"/>
      <c r="K41" s="1375"/>
      <c r="L41" s="1376">
        <f t="shared" ref="L41:AB41" si="17">L35+L38</f>
        <v>11378</v>
      </c>
      <c r="M41" s="1376">
        <f t="shared" si="17"/>
        <v>12367</v>
      </c>
      <c r="N41" s="1376">
        <f t="shared" si="17"/>
        <v>10423</v>
      </c>
      <c r="O41" s="1376">
        <f t="shared" si="17"/>
        <v>12585</v>
      </c>
      <c r="P41" s="1376">
        <f t="shared" si="17"/>
        <v>8524</v>
      </c>
      <c r="Q41" s="1376">
        <f t="shared" si="17"/>
        <v>8358</v>
      </c>
      <c r="R41" s="1376">
        <f t="shared" si="17"/>
        <v>5664</v>
      </c>
      <c r="S41" s="1376">
        <f t="shared" si="17"/>
        <v>6399</v>
      </c>
      <c r="T41" s="1376">
        <f t="shared" si="17"/>
        <v>7227</v>
      </c>
      <c r="U41" s="1376">
        <f t="shared" si="17"/>
        <v>9392</v>
      </c>
      <c r="V41" s="1376">
        <f t="shared" si="17"/>
        <v>13748</v>
      </c>
      <c r="W41" s="1376">
        <f t="shared" si="17"/>
        <v>16384</v>
      </c>
      <c r="X41" s="1376">
        <f t="shared" si="17"/>
        <v>13818</v>
      </c>
      <c r="Y41" s="1376">
        <f t="shared" si="17"/>
        <v>14847</v>
      </c>
      <c r="Z41" s="1376">
        <f t="shared" si="17"/>
        <v>17350</v>
      </c>
      <c r="AA41" s="1376">
        <f t="shared" si="17"/>
        <v>23365</v>
      </c>
      <c r="AB41" s="1376">
        <f t="shared" si="17"/>
        <v>17555</v>
      </c>
      <c r="AC41" s="1376"/>
      <c r="AD41" s="1375"/>
      <c r="AE41" s="1377"/>
    </row>
    <row r="42" spans="3:31" s="1172" customFormat="1" x14ac:dyDescent="0.5">
      <c r="C42" s="1175" t="s">
        <v>1298</v>
      </c>
      <c r="D42" s="1333"/>
      <c r="E42" s="1333"/>
      <c r="F42" s="1333"/>
      <c r="G42" s="1333"/>
      <c r="H42" s="1333"/>
      <c r="I42" s="1333"/>
      <c r="J42" s="1333"/>
      <c r="K42" s="1333"/>
      <c r="L42" s="1210">
        <f t="shared" ref="L42:AB42" si="18">L41/L31</f>
        <v>0.43475602766420846</v>
      </c>
      <c r="M42" s="1210">
        <f t="shared" si="18"/>
        <v>0.42531898063761736</v>
      </c>
      <c r="N42" s="1210">
        <f t="shared" si="18"/>
        <v>0.35928990003447087</v>
      </c>
      <c r="O42" s="1210">
        <f t="shared" si="18"/>
        <v>0.37376377297971547</v>
      </c>
      <c r="P42" s="1210">
        <f t="shared" si="18"/>
        <v>0.30543213415508097</v>
      </c>
      <c r="Q42" s="1210">
        <f t="shared" si="18"/>
        <v>0.28998681562695161</v>
      </c>
      <c r="R42" s="1210">
        <f t="shared" si="18"/>
        <v>0.20437324096124701</v>
      </c>
      <c r="S42" s="1210">
        <f t="shared" si="18"/>
        <v>0.19894295041193844</v>
      </c>
      <c r="T42" s="1210">
        <f t="shared" si="18"/>
        <v>0.25229533950078548</v>
      </c>
      <c r="U42" s="1210">
        <f t="shared" si="18"/>
        <v>0.29350917216163003</v>
      </c>
      <c r="V42" s="1210">
        <f t="shared" si="18"/>
        <v>0.40262402624026239</v>
      </c>
      <c r="W42" s="1210">
        <f t="shared" si="18"/>
        <v>0.4084665054473835</v>
      </c>
      <c r="X42" s="1210">
        <f t="shared" si="18"/>
        <v>0.37904265532848719</v>
      </c>
      <c r="Y42" s="1210">
        <f t="shared" si="18"/>
        <v>0.38000051188861306</v>
      </c>
      <c r="Z42" s="1210">
        <f t="shared" si="18"/>
        <v>0.4274557146024785</v>
      </c>
      <c r="AA42" s="1210">
        <f t="shared" si="18"/>
        <v>0.48289759222899659</v>
      </c>
      <c r="AB42" s="1210">
        <f t="shared" si="18"/>
        <v>0.41487450961856598</v>
      </c>
      <c r="AC42" s="1213"/>
      <c r="AD42" s="1245"/>
      <c r="AE42" s="1245"/>
    </row>
    <row r="43" spans="3:31" ht="2.5" customHeight="1" x14ac:dyDescent="0.5">
      <c r="L43" s="1203"/>
      <c r="M43" s="1203"/>
      <c r="N43" s="1203"/>
      <c r="O43" s="1203"/>
      <c r="P43" s="1203"/>
      <c r="Q43" s="1203"/>
      <c r="R43" s="1203"/>
      <c r="S43" s="1203"/>
      <c r="T43" s="1203"/>
      <c r="U43" s="1203"/>
      <c r="V43" s="1203"/>
      <c r="W43" s="1203"/>
      <c r="X43" s="1203"/>
      <c r="Y43" s="1203"/>
      <c r="Z43" s="1203"/>
      <c r="AA43" s="1203"/>
      <c r="AB43" s="1203"/>
      <c r="AC43" s="1203"/>
    </row>
    <row r="44" spans="3:31" x14ac:dyDescent="0.5">
      <c r="C44" s="1288" t="s">
        <v>1297</v>
      </c>
      <c r="L44" s="1196">
        <f>[1]Historicals!AI386</f>
        <v>118</v>
      </c>
      <c r="M44" s="1196">
        <f>[1]Historicals!AJ386</f>
        <v>121</v>
      </c>
      <c r="N44" s="1196">
        <f>[1]Historicals!AK386</f>
        <v>120</v>
      </c>
      <c r="O44" s="1196">
        <f>[1]Historicals!AL386</f>
        <v>102</v>
      </c>
      <c r="P44" s="1196">
        <f>[1]Historicals!AM386</f>
        <v>76</v>
      </c>
      <c r="Q44" s="1196">
        <f>[1]Historicals!AN386</f>
        <v>91</v>
      </c>
      <c r="R44" s="1196">
        <f>[1]Historicals!AO386</f>
        <v>77</v>
      </c>
      <c r="S44" s="1196">
        <f>[1]Historicals!AP386</f>
        <v>32</v>
      </c>
      <c r="T44" s="1196">
        <f>[1]Historicals!AQ386</f>
        <v>138</v>
      </c>
      <c r="U44" s="1196">
        <f>[1]Historicals!AR386</f>
        <v>207</v>
      </c>
      <c r="V44" s="1196">
        <f>[1]Historicals!AS386</f>
        <v>395</v>
      </c>
      <c r="W44" s="1196">
        <f>[1]Historicals!AT386</f>
        <v>453</v>
      </c>
      <c r="X44" s="1196">
        <f>[1]Historicals!AU386</f>
        <v>458</v>
      </c>
      <c r="Y44" s="1196">
        <f>[1]Historicals!AV386</f>
        <v>412</v>
      </c>
      <c r="Z44" s="1196">
        <f>[1]Historicals!AW386</f>
        <v>453</v>
      </c>
      <c r="AA44" s="1196">
        <f>[1]Historicals!AX386</f>
        <v>479</v>
      </c>
      <c r="AB44" s="1203"/>
      <c r="AC44" s="1203"/>
    </row>
    <row r="45" spans="3:31" x14ac:dyDescent="0.5">
      <c r="C45" s="1288" t="s">
        <v>1296</v>
      </c>
      <c r="L45" s="1196">
        <f>[1]Historicals!AI387+[1]Historicals!AI388</f>
        <v>7</v>
      </c>
      <c r="M45" s="1196">
        <f>[1]Historicals!AJ387+[1]Historicals!AJ388</f>
        <v>25</v>
      </c>
      <c r="N45" s="1196">
        <f>[1]Historicals!AK387+[1]Historicals!AK388</f>
        <v>22</v>
      </c>
      <c r="O45" s="1196">
        <f>[1]Historicals!AL387+[1]Historicals!AL388</f>
        <v>16</v>
      </c>
      <c r="P45" s="1196">
        <f>[1]Historicals!AM387+[1]Historicals!AM388</f>
        <v>308</v>
      </c>
      <c r="Q45" s="1196">
        <f>[1]Historicals!AN387+[1]Historicals!AN388</f>
        <v>-263</v>
      </c>
      <c r="R45" s="1196">
        <f>[1]Historicals!AO387+[1]Historicals!AO388</f>
        <v>-165</v>
      </c>
      <c r="S45" s="1196">
        <f>[1]Historicals!AP387+[1]Historicals!AP388</f>
        <v>-282</v>
      </c>
      <c r="T45" s="1196">
        <f>[1]Historicals!AQ387+[1]Historicals!AQ388</f>
        <v>-58</v>
      </c>
      <c r="U45" s="1196">
        <f>[1]Historicals!AR387+[1]Historicals!AR388</f>
        <v>-306</v>
      </c>
      <c r="V45" s="1196">
        <f>[1]Historicals!AS387+[1]Historicals!AS388</f>
        <v>-123</v>
      </c>
      <c r="W45" s="1196">
        <f>[1]Historicals!AT387+[1]Historicals!AT388</f>
        <v>-29</v>
      </c>
      <c r="X45" s="1196">
        <f>[1]Historicals!AU387+[1]Historicals!AU388</f>
        <v>-93</v>
      </c>
      <c r="Y45" s="1196">
        <f>[1]Historicals!AV387+[1]Historicals!AV388</f>
        <v>-153</v>
      </c>
      <c r="Z45" s="1196">
        <f>[1]Historicals!AW387+[1]Historicals!AW388</f>
        <v>19</v>
      </c>
      <c r="AA45" s="1196">
        <f>[1]Historicals!AX387+[1]Historicals!AX388</f>
        <v>-291</v>
      </c>
      <c r="AB45" s="1203"/>
      <c r="AC45" s="1203"/>
    </row>
    <row r="46" spans="3:31" s="1197" customFormat="1" x14ac:dyDescent="0.5">
      <c r="C46" s="1290" t="s">
        <v>81</v>
      </c>
      <c r="D46" s="1291"/>
      <c r="E46" s="1291"/>
      <c r="F46" s="1291"/>
      <c r="G46" s="1291"/>
      <c r="H46" s="1291"/>
      <c r="I46" s="1291"/>
      <c r="J46" s="1291"/>
      <c r="K46" s="1291"/>
      <c r="L46" s="1199">
        <f t="shared" ref="L46:AA46" si="19">L41+L44+L45</f>
        <v>11503</v>
      </c>
      <c r="M46" s="1199">
        <f t="shared" si="19"/>
        <v>12513</v>
      </c>
      <c r="N46" s="1199">
        <f t="shared" si="19"/>
        <v>10565</v>
      </c>
      <c r="O46" s="1199">
        <f t="shared" si="19"/>
        <v>12703</v>
      </c>
      <c r="P46" s="1199">
        <f t="shared" si="19"/>
        <v>8908</v>
      </c>
      <c r="Q46" s="1199">
        <f t="shared" si="19"/>
        <v>8186</v>
      </c>
      <c r="R46" s="1199">
        <f t="shared" si="19"/>
        <v>5576</v>
      </c>
      <c r="S46" s="1199">
        <f t="shared" si="19"/>
        <v>6149</v>
      </c>
      <c r="T46" s="1199">
        <f t="shared" si="19"/>
        <v>7307</v>
      </c>
      <c r="U46" s="1199">
        <f t="shared" si="19"/>
        <v>9293</v>
      </c>
      <c r="V46" s="1199">
        <f t="shared" si="19"/>
        <v>14020</v>
      </c>
      <c r="W46" s="1199">
        <f t="shared" si="19"/>
        <v>16808</v>
      </c>
      <c r="X46" s="1199">
        <f t="shared" si="19"/>
        <v>14183</v>
      </c>
      <c r="Y46" s="1199">
        <f t="shared" si="19"/>
        <v>15106</v>
      </c>
      <c r="Z46" s="1199">
        <f t="shared" si="19"/>
        <v>17822</v>
      </c>
      <c r="AA46" s="1199">
        <f t="shared" si="19"/>
        <v>23553</v>
      </c>
      <c r="AB46" s="1225">
        <f>Model!AY351</f>
        <v>18382</v>
      </c>
      <c r="AC46" s="1199"/>
      <c r="AD46" s="1287" t="s">
        <v>1321</v>
      </c>
      <c r="AE46" s="1295"/>
    </row>
    <row r="47" spans="3:31" x14ac:dyDescent="0.5">
      <c r="C47" s="1288" t="s">
        <v>1183</v>
      </c>
      <c r="L47" s="1203">
        <f>[1]Historicals!AI390</f>
        <v>2006</v>
      </c>
      <c r="M47" s="1203">
        <f>[1]Historicals!AJ390</f>
        <v>2119</v>
      </c>
      <c r="N47" s="1203">
        <f>[1]Historicals!AK390</f>
        <v>1371</v>
      </c>
      <c r="O47" s="1203">
        <f>[1]Historicals!AL390</f>
        <v>2417</v>
      </c>
      <c r="P47" s="1203">
        <f>[1]Historicals!AM390</f>
        <v>1443</v>
      </c>
      <c r="Q47" s="1203">
        <f>[1]Historicals!AN390</f>
        <v>1499</v>
      </c>
      <c r="R47" s="1203">
        <f>[1]Historicals!AO390</f>
        <v>1181</v>
      </c>
      <c r="S47" s="1203">
        <f>[1]Historicals!AP390</f>
        <v>1497</v>
      </c>
      <c r="T47" s="1203">
        <f>[1]Historicals!AQ390</f>
        <v>1598</v>
      </c>
      <c r="U47" s="1203">
        <f>[1]Historicals!AR390</f>
        <v>1505</v>
      </c>
      <c r="V47" s="1203">
        <f>[1]Historicals!AS390</f>
        <v>2437</v>
      </c>
      <c r="W47" s="1203">
        <f>[1]Historicals!AT390</f>
        <v>2791</v>
      </c>
      <c r="X47" s="1203">
        <f>[1]Historicals!AU390</f>
        <v>1814</v>
      </c>
      <c r="Y47" s="1203">
        <f>[1]Historicals!AV390</f>
        <v>1641</v>
      </c>
      <c r="Z47" s="1203">
        <f>[1]Historicals!AW390</f>
        <v>2134</v>
      </c>
      <c r="AA47" s="1203">
        <f>[1]Historicals!AX390</f>
        <v>2715</v>
      </c>
      <c r="AB47" s="1196">
        <f>Model!AY352</f>
        <v>1738</v>
      </c>
      <c r="AC47" s="1203"/>
      <c r="AD47" s="1287" t="s">
        <v>1322</v>
      </c>
    </row>
    <row r="48" spans="3:31" s="1172" customFormat="1" x14ac:dyDescent="0.5">
      <c r="C48" s="1240" t="s">
        <v>1295</v>
      </c>
      <c r="D48" s="1333"/>
      <c r="E48" s="1333"/>
      <c r="F48" s="1333"/>
      <c r="G48" s="1333"/>
      <c r="H48" s="1333"/>
      <c r="I48" s="1333"/>
      <c r="J48" s="1333"/>
      <c r="K48" s="1333"/>
      <c r="L48" s="1210">
        <f t="shared" ref="L48:AB48" si="20">L47/L46</f>
        <v>0.17438928975049986</v>
      </c>
      <c r="M48" s="1210">
        <f t="shared" si="20"/>
        <v>0.16934388236234316</v>
      </c>
      <c r="N48" s="1210">
        <f t="shared" si="20"/>
        <v>0.12976810222432561</v>
      </c>
      <c r="O48" s="1210">
        <f t="shared" si="20"/>
        <v>0.19027001495709675</v>
      </c>
      <c r="P48" s="1210">
        <f t="shared" si="20"/>
        <v>0.1619892231701841</v>
      </c>
      <c r="Q48" s="1210">
        <f t="shared" si="20"/>
        <v>0.18311751771316884</v>
      </c>
      <c r="R48" s="1210">
        <f t="shared" si="20"/>
        <v>0.21180057388809181</v>
      </c>
      <c r="S48" s="1210">
        <f t="shared" si="20"/>
        <v>0.24345422019840623</v>
      </c>
      <c r="T48" s="1210">
        <f t="shared" si="20"/>
        <v>0.21869440262761736</v>
      </c>
      <c r="U48" s="1210">
        <f t="shared" si="20"/>
        <v>0.16194985472936618</v>
      </c>
      <c r="V48" s="1210">
        <f t="shared" si="20"/>
        <v>0.1738231098430813</v>
      </c>
      <c r="W48" s="1210">
        <f t="shared" si="20"/>
        <v>0.16605188005711566</v>
      </c>
      <c r="X48" s="1210">
        <f t="shared" si="20"/>
        <v>0.12789959811041388</v>
      </c>
      <c r="Y48" s="1210">
        <f t="shared" si="20"/>
        <v>0.10863233152389778</v>
      </c>
      <c r="Z48" s="1210">
        <f t="shared" si="20"/>
        <v>0.11973964762652901</v>
      </c>
      <c r="AA48" s="1210">
        <f t="shared" si="20"/>
        <v>0.11527193988027003</v>
      </c>
      <c r="AB48" s="1210">
        <f t="shared" si="20"/>
        <v>9.4549015341094556E-2</v>
      </c>
      <c r="AC48" s="1213"/>
      <c r="AD48" s="1333" t="s">
        <v>1323</v>
      </c>
      <c r="AE48" s="1245"/>
    </row>
    <row r="49" spans="3:35" s="1197" customFormat="1" x14ac:dyDescent="0.5">
      <c r="C49" s="1373" t="s">
        <v>51</v>
      </c>
      <c r="D49" s="1374"/>
      <c r="E49" s="1374"/>
      <c r="F49" s="1374"/>
      <c r="G49" s="1374"/>
      <c r="H49" s="1375"/>
      <c r="I49" s="1375"/>
      <c r="J49" s="1375"/>
      <c r="K49" s="1375"/>
      <c r="L49" s="1376">
        <f t="shared" ref="L49:AB49" si="21">L46-L47</f>
        <v>9497</v>
      </c>
      <c r="M49" s="1376">
        <f t="shared" si="21"/>
        <v>10394</v>
      </c>
      <c r="N49" s="1376">
        <f t="shared" si="21"/>
        <v>9194</v>
      </c>
      <c r="O49" s="1376">
        <f t="shared" si="21"/>
        <v>10286</v>
      </c>
      <c r="P49" s="1376">
        <f t="shared" si="21"/>
        <v>7465</v>
      </c>
      <c r="Q49" s="1376">
        <f t="shared" si="21"/>
        <v>6687</v>
      </c>
      <c r="R49" s="1376">
        <f t="shared" si="21"/>
        <v>4395</v>
      </c>
      <c r="S49" s="1376">
        <f t="shared" si="21"/>
        <v>4652</v>
      </c>
      <c r="T49" s="1376">
        <f t="shared" si="21"/>
        <v>5709</v>
      </c>
      <c r="U49" s="1376">
        <f t="shared" si="21"/>
        <v>7788</v>
      </c>
      <c r="V49" s="1376">
        <f t="shared" si="21"/>
        <v>11583</v>
      </c>
      <c r="W49" s="1376">
        <f t="shared" si="21"/>
        <v>14017</v>
      </c>
      <c r="X49" s="1376">
        <f t="shared" si="21"/>
        <v>12369</v>
      </c>
      <c r="Y49" s="1376">
        <f t="shared" si="21"/>
        <v>13465</v>
      </c>
      <c r="Z49" s="1376">
        <f t="shared" si="21"/>
        <v>15688</v>
      </c>
      <c r="AA49" s="1376">
        <f t="shared" si="21"/>
        <v>20838</v>
      </c>
      <c r="AB49" s="1376">
        <f t="shared" si="21"/>
        <v>16644</v>
      </c>
      <c r="AC49" s="1376"/>
      <c r="AD49" s="1375" t="s">
        <v>1324</v>
      </c>
      <c r="AE49" s="1377"/>
    </row>
    <row r="50" spans="3:35" s="1172" customFormat="1" x14ac:dyDescent="0.5">
      <c r="C50" s="1240" t="s">
        <v>1154</v>
      </c>
      <c r="D50" s="1335"/>
      <c r="E50" s="1335"/>
      <c r="F50" s="1335"/>
      <c r="G50" s="1335"/>
      <c r="H50" s="1174" t="e">
        <f>H49/D49-1</f>
        <v>#DIV/0!</v>
      </c>
      <c r="I50" s="1174" t="e">
        <f>I49/E49-1</f>
        <v>#DIV/0!</v>
      </c>
      <c r="J50" s="1174" t="e">
        <f>J49/F49-1</f>
        <v>#DIV/0!</v>
      </c>
      <c r="K50" s="1174" t="e">
        <f>K49/G49-1</f>
        <v>#DIV/0!</v>
      </c>
      <c r="L50" s="1251"/>
      <c r="M50" s="1251"/>
      <c r="N50" s="1251"/>
      <c r="O50" s="1251"/>
      <c r="P50" s="1210">
        <f t="shared" ref="P50:AB50" si="22">P49/L49-1</f>
        <v>-0.21396230388543747</v>
      </c>
      <c r="Q50" s="1210">
        <f t="shared" si="22"/>
        <v>-0.35664806619203382</v>
      </c>
      <c r="R50" s="1210">
        <f t="shared" si="22"/>
        <v>-0.5219708505547096</v>
      </c>
      <c r="S50" s="1210">
        <f t="shared" si="22"/>
        <v>-0.54773478514485707</v>
      </c>
      <c r="T50" s="1210">
        <f t="shared" si="22"/>
        <v>-0.23523107836570667</v>
      </c>
      <c r="U50" s="1210">
        <f t="shared" si="22"/>
        <v>0.16464782413638401</v>
      </c>
      <c r="V50" s="1210">
        <f t="shared" si="22"/>
        <v>1.6354948805460752</v>
      </c>
      <c r="W50" s="1210">
        <f t="shared" si="22"/>
        <v>2.0131126397248496</v>
      </c>
      <c r="X50" s="1210">
        <f t="shared" si="22"/>
        <v>1.16657908565423</v>
      </c>
      <c r="Y50" s="1210">
        <f t="shared" si="22"/>
        <v>0.72894196199280947</v>
      </c>
      <c r="Z50" s="1210">
        <f t="shared" si="22"/>
        <v>0.3543986877320211</v>
      </c>
      <c r="AA50" s="1210">
        <f t="shared" si="22"/>
        <v>0.4866233858885638</v>
      </c>
      <c r="AB50" s="1210">
        <f t="shared" si="22"/>
        <v>0.34562211981566815</v>
      </c>
      <c r="AC50" s="1213"/>
      <c r="AD50" s="1245"/>
      <c r="AE50" s="1245"/>
      <c r="AG50" s="1334"/>
      <c r="AH50" s="1334"/>
      <c r="AI50" s="1334"/>
    </row>
    <row r="51" spans="3:35" s="1172" customFormat="1" x14ac:dyDescent="0.5">
      <c r="C51" s="1175" t="s">
        <v>1292</v>
      </c>
      <c r="D51" s="1333"/>
      <c r="E51" s="1333"/>
      <c r="F51" s="1333"/>
      <c r="G51" s="1333"/>
      <c r="H51" s="1333"/>
      <c r="I51" s="1333"/>
      <c r="J51" s="1333"/>
      <c r="K51" s="1333"/>
      <c r="L51" s="1354"/>
      <c r="M51" s="1354"/>
      <c r="N51" s="1354"/>
      <c r="O51" s="1354"/>
      <c r="P51" s="1354"/>
      <c r="Q51" s="1354"/>
      <c r="R51" s="1354"/>
      <c r="S51" s="1354"/>
      <c r="T51" s="1210">
        <f t="shared" ref="T51:AB51" si="23">(T49/L49)^(1/2)-1</f>
        <v>-0.22466961801988028</v>
      </c>
      <c r="U51" s="1210">
        <f t="shared" si="23"/>
        <v>-0.1343912951781373</v>
      </c>
      <c r="V51" s="1210">
        <f t="shared" si="23"/>
        <v>0.12242744804056604</v>
      </c>
      <c r="W51" s="1210">
        <f t="shared" si="23"/>
        <v>0.1673585718997852</v>
      </c>
      <c r="X51" s="1210">
        <f t="shared" si="23"/>
        <v>0.28721884346493276</v>
      </c>
      <c r="Y51" s="1210">
        <f t="shared" si="23"/>
        <v>0.4190167349587588</v>
      </c>
      <c r="Z51" s="1210">
        <f t="shared" si="23"/>
        <v>0.88931490433333105</v>
      </c>
      <c r="AA51" s="1210">
        <f t="shared" si="23"/>
        <v>1.1164507352006532</v>
      </c>
      <c r="AB51" s="1210">
        <f t="shared" si="23"/>
        <v>0.70745329130443202</v>
      </c>
      <c r="AC51" s="1213"/>
      <c r="AD51" s="1245"/>
      <c r="AE51" s="1245"/>
    </row>
    <row r="52" spans="3:35" x14ac:dyDescent="0.5">
      <c r="C52" s="1240" t="s">
        <v>1181</v>
      </c>
      <c r="D52" s="1178">
        <f>[1]Historicals!AA842</f>
        <v>1355</v>
      </c>
      <c r="E52" s="1178">
        <f>[1]Historicals!AB842</f>
        <v>1502</v>
      </c>
      <c r="F52" s="1178">
        <f>[1]Historicals!AC842</f>
        <v>1416</v>
      </c>
      <c r="G52" s="1178">
        <f>[1]Historicals!AD842</f>
        <v>1468</v>
      </c>
      <c r="H52" s="1178">
        <f>[1]Historicals!AE842</f>
        <v>1597</v>
      </c>
      <c r="I52" s="1178">
        <f>[1]Historicals!AF842</f>
        <v>1704</v>
      </c>
      <c r="J52" s="1178">
        <f>[1]Historicals!AG842</f>
        <v>1698</v>
      </c>
      <c r="K52" s="1178">
        <f>[1]Historicals!AH842</f>
        <v>1863</v>
      </c>
      <c r="L52" s="1196">
        <f>[1]Historicals!AI842</f>
        <v>1972</v>
      </c>
      <c r="M52" s="1196">
        <f>[1]Historicals!AJ842</f>
        <v>1986</v>
      </c>
      <c r="N52" s="1196">
        <f>[1]Historicals!AK842</f>
        <v>1995</v>
      </c>
      <c r="O52" s="1196">
        <f>[1]Historicals!AL842</f>
        <v>2014</v>
      </c>
      <c r="P52" s="1196">
        <f>[1]Historicals!AM842</f>
        <v>2156</v>
      </c>
      <c r="Q52" s="1196">
        <f>[1]Historicals!AN842</f>
        <v>1979</v>
      </c>
      <c r="R52" s="1196">
        <f>[1]Historicals!AO842</f>
        <v>2175</v>
      </c>
      <c r="S52" s="1196">
        <f>[1]Historicals!AP842</f>
        <v>2376</v>
      </c>
      <c r="T52" s="1196">
        <f>[1]Historicals!AQ842</f>
        <v>2524</v>
      </c>
      <c r="U52" s="1196">
        <f>[1]Historicals!AR842</f>
        <v>2623</v>
      </c>
      <c r="V52" s="1196">
        <f>[1]Historicals!AS842</f>
        <v>2859</v>
      </c>
      <c r="W52" s="1196">
        <f>[1]Historicals!AT842</f>
        <v>3172</v>
      </c>
      <c r="X52" s="1196">
        <f>[1]Historicals!AU842</f>
        <v>3374</v>
      </c>
      <c r="Y52" s="1196">
        <f>[1]Historicals!AV842</f>
        <v>3637</v>
      </c>
      <c r="Z52" s="1196">
        <f>[1]Historicals!AW842</f>
        <v>4027</v>
      </c>
      <c r="AA52" s="1196">
        <f>[1]Historicals!AX842</f>
        <v>4460</v>
      </c>
      <c r="AB52" s="1196">
        <f>Model!AY804</f>
        <v>3900</v>
      </c>
      <c r="AC52" s="1203"/>
    </row>
    <row r="53" spans="3:35" x14ac:dyDescent="0.5">
      <c r="C53" s="1240" t="s">
        <v>1180</v>
      </c>
      <c r="D53" s="1178">
        <f>[1]Historicals!AA846</f>
        <v>1010</v>
      </c>
      <c r="E53" s="1178">
        <f>[1]Historicals!AB846</f>
        <v>1303</v>
      </c>
      <c r="F53" s="1178">
        <f>[1]Historicals!AC846</f>
        <v>1249</v>
      </c>
      <c r="G53" s="1178">
        <f>[1]Historicals!AD846</f>
        <v>1274</v>
      </c>
      <c r="H53" s="1178">
        <f>[1]Historicals!AE846</f>
        <v>1335</v>
      </c>
      <c r="I53" s="1178">
        <f>[1]Historicals!AF846</f>
        <v>1695</v>
      </c>
      <c r="J53" s="1178">
        <f>[1]Historicals!AG846</f>
        <v>1722</v>
      </c>
      <c r="K53" s="1178">
        <f>[1]Historicals!AH846</f>
        <v>1784</v>
      </c>
      <c r="L53" s="1196">
        <f>[1]Historicals!AI846</f>
        <v>1830</v>
      </c>
      <c r="M53" s="1196">
        <f>[1]Historicals!AJ846</f>
        <v>2549</v>
      </c>
      <c r="N53" s="1196">
        <f>[1]Historicals!AK846</f>
        <v>2378</v>
      </c>
      <c r="O53" s="1196">
        <f>[1]Historicals!AL846</f>
        <v>2407</v>
      </c>
      <c r="P53" s="1196">
        <f>[1]Historicals!AM846</f>
        <v>2498</v>
      </c>
      <c r="Q53" s="1196">
        <f>[1]Historicals!AN846</f>
        <v>3352</v>
      </c>
      <c r="R53" s="1196">
        <f>[1]Historicals!AO846</f>
        <v>3134</v>
      </c>
      <c r="S53" s="1196">
        <f>[1]Historicals!AP846</f>
        <v>3008</v>
      </c>
      <c r="T53" s="1196">
        <f>[1]Historicals!AQ846</f>
        <v>3051</v>
      </c>
      <c r="U53" s="1196">
        <f>[1]Historicals!AR846</f>
        <v>4060</v>
      </c>
      <c r="V53" s="1196">
        <f>[1]Historicals!AS846</f>
        <v>3492</v>
      </c>
      <c r="W53" s="1196">
        <f>[1]Historicals!AT846</f>
        <v>3424</v>
      </c>
      <c r="X53" s="1196">
        <f>[1]Historicals!AU846</f>
        <v>3562</v>
      </c>
      <c r="Y53" s="1196">
        <f>[1]Historicals!AV846</f>
        <v>4616</v>
      </c>
      <c r="Z53" s="1196">
        <f>[1]Historicals!AW846</f>
        <v>4250</v>
      </c>
      <c r="AA53" s="1196">
        <f>[1]Historicals!AX846</f>
        <v>4262</v>
      </c>
      <c r="AB53" s="1196">
        <f>Model!AY808</f>
        <v>4147</v>
      </c>
      <c r="AC53" s="1203"/>
    </row>
    <row r="54" spans="3:35" x14ac:dyDescent="0.5">
      <c r="C54" s="1240" t="s">
        <v>135</v>
      </c>
      <c r="D54" s="1178">
        <f>[1]Historicals!AA843+[1]Historicals!AA844+[1]Historicals!AA845+[1]Historicals!AA847+[1]Historicals!AA848+[1]Historicals!AA849+[1]Historicals!AA850+[1]Historicals!AA851+[1]Historicals!AA852</f>
        <v>189</v>
      </c>
      <c r="E54" s="1178">
        <f>[1]Historicals!AB843+[1]Historicals!AB844+[1]Historicals!AB845+[1]Historicals!AB847+[1]Historicals!AB848+[1]Historicals!AB849+[1]Historicals!AB850+[1]Historicals!AB851+[1]Historicals!AB852</f>
        <v>9</v>
      </c>
      <c r="F54" s="1178">
        <f>[1]Historicals!AC843+[1]Historicals!AC844+[1]Historicals!AC845+[1]Historicals!AC847+[1]Historicals!AC848+[1]Historicals!AC849+[1]Historicals!AC850+[1]Historicals!AC851+[1]Historicals!AC852</f>
        <v>204</v>
      </c>
      <c r="G54" s="1178">
        <f>[1]Historicals!AD843+[1]Historicals!AD844+[1]Historicals!AD845+[1]Historicals!AD847+[1]Historicals!AD848+[1]Historicals!AD849+[1]Historicals!AD850+[1]Historicals!AD851+[1]Historicals!AD852</f>
        <v>-400</v>
      </c>
      <c r="H54" s="1178">
        <f>[1]Historicals!AE843+[1]Historicals!AE844+[1]Historicals!AE845+[1]Historicals!AE847+[1]Historicals!AE848+[1]Historicals!AE849+[1]Historicals!AE850+[1]Historicals!AE851+[1]Historicals!AE852</f>
        <v>483</v>
      </c>
      <c r="I54" s="1178">
        <f>[1]Historicals!AF843+[1]Historicals!AF844+[1]Historicals!AF845+[1]Historicals!AF847+[1]Historicals!AF848+[1]Historicals!AF849+[1]Historicals!AF850+[1]Historicals!AF851+[1]Historicals!AF852</f>
        <v>256</v>
      </c>
      <c r="J54" s="1178">
        <f>[1]Historicals!AG843+[1]Historicals!AG844+[1]Historicals!AG845+[1]Historicals!AG847+[1]Historicals!AG848+[1]Historicals!AG849+[1]Historicals!AG850+[1]Historicals!AG851+[1]Historicals!AG852</f>
        <v>-1499</v>
      </c>
      <c r="K54" s="1178">
        <f>[1]Historicals!AH843+[1]Historicals!AH844+[1]Historicals!AH845+[1]Historicals!AH847+[1]Historicals!AH848+[1]Historicals!AH849+[1]Historicals!AH850+[1]Historicals!AH851+[1]Historicals!AH852</f>
        <v>-314</v>
      </c>
      <c r="L54" s="1196">
        <f>[1]Historicals!AI843+[1]Historicals!AI844+[1]Historicals!AI845+[1]Historicals!AI847+[1]Historicals!AI848+[1]Historicals!AI849+[1]Historicals!AI850+[1]Historicals!AI851+[1]Historicals!AI852</f>
        <v>352</v>
      </c>
      <c r="M54" s="1196">
        <f>[1]Historicals!AJ843+[1]Historicals!AJ844+[1]Historicals!AJ845+[1]Historicals!AJ847+[1]Historicals!AJ848+[1]Historicals!AJ849+[1]Historicals!AJ850+[1]Historicals!AJ851+[1]Historicals!AJ852</f>
        <v>207</v>
      </c>
      <c r="N54" s="1196">
        <f>[1]Historicals!AK843+[1]Historicals!AK844+[1]Historicals!AK845+[1]Historicals!AK847+[1]Historicals!AK848+[1]Historicals!AK849+[1]Historicals!AK850+[1]Historicals!AK851+[1]Historicals!AK852</f>
        <v>-859</v>
      </c>
      <c r="O54" s="1196">
        <f>[1]Historicals!AL843+[1]Historicals!AL844+[1]Historicals!AL845+[1]Historicals!AL847+[1]Historicals!AL848+[1]Historicals!AL849+[1]Historicals!AL850+[1]Historicals!AL851+[1]Historicals!AL852</f>
        <v>782</v>
      </c>
      <c r="P54" s="1196">
        <f>[1]Historicals!AM843+[1]Historicals!AM844+[1]Historicals!AM845+[1]Historicals!AM847+[1]Historicals!AM848+[1]Historicals!AM849+[1]Historicals!AM850+[1]Historicals!AM851+[1]Historicals!AM852</f>
        <v>-784</v>
      </c>
      <c r="Q54" s="1196">
        <f>[1]Historicals!AN843+[1]Historicals!AN844+[1]Historicals!AN845+[1]Historicals!AN847+[1]Historicals!AN848+[1]Historicals!AN849+[1]Historicals!AN850+[1]Historicals!AN851+[1]Historicals!AN852</f>
        <v>-265</v>
      </c>
      <c r="R54" s="1196">
        <f>[1]Historicals!AO843+[1]Historicals!AO844+[1]Historicals!AO845+[1]Historicals!AO847+[1]Historicals!AO848+[1]Historicals!AO849+[1]Historicals!AO850+[1]Historicals!AO851+[1]Historicals!AO852</f>
        <v>-580</v>
      </c>
      <c r="S54" s="1196">
        <f>[1]Historicals!AP843+[1]Historicals!AP844+[1]Historicals!AP845+[1]Historicals!AP847+[1]Historicals!AP848+[1]Historicals!AP849+[1]Historicals!AP850+[1]Historicals!AP851+[1]Historicals!AP852</f>
        <v>2543</v>
      </c>
      <c r="T54" s="1196">
        <f>[1]Historicals!AQ843+[1]Historicals!AQ844+[1]Historicals!AQ845+[1]Historicals!AQ847+[1]Historicals!AQ848+[1]Historicals!AQ849+[1]Historicals!AQ850+[1]Historicals!AQ851+[1]Historicals!AQ852</f>
        <v>143</v>
      </c>
      <c r="U54" s="1196">
        <f>[1]Historicals!AR843+[1]Historicals!AR844+[1]Historicals!AR845+[1]Historicals!AR847+[1]Historicals!AR848+[1]Historicals!AR849+[1]Historicals!AR850+[1]Historicals!AR851+[1]Historicals!AR852</f>
        <v>-694</v>
      </c>
      <c r="V54" s="1196">
        <f>[1]Historicals!AS843+[1]Historicals!AS844+[1]Historicals!AS845+[1]Historicals!AS847+[1]Historicals!AS848+[1]Historicals!AS849+[1]Historicals!AS850+[1]Historicals!AS851+[1]Historicals!AS852</f>
        <v>3463</v>
      </c>
      <c r="W54" s="1196">
        <f>[1]Historicals!AT843+[1]Historicals!AT844+[1]Historicals!AT845+[1]Historicals!AT847+[1]Historicals!AT848+[1]Historicals!AT849+[1]Historicals!AT850+[1]Historicals!AT851+[1]Historicals!AT852</f>
        <v>62</v>
      </c>
      <c r="X54" s="1196">
        <f>[1]Historicals!AU843+[1]Historicals!AU844+[1]Historicals!AU845+[1]Historicals!AU847+[1]Historicals!AU848+[1]Historicals!AU849+[1]Historicals!AU850+[1]Historicals!AU851+[1]Historicals!AU852</f>
        <v>-282</v>
      </c>
      <c r="Y54" s="1196">
        <f>[1]Historicals!AV843+[1]Historicals!AV844+[1]Historicals!AV845+[1]Historicals!AV847+[1]Historicals!AV848+[1]Historicals!AV849+[1]Historicals!AV850+[1]Historicals!AV851+[1]Historicals!AV852</f>
        <v>-1607</v>
      </c>
      <c r="Z54" s="1196">
        <f>[1]Historicals!AW843+[1]Historicals!AW844+[1]Historicals!AW845+[1]Historicals!AW847+[1]Historicals!AW848+[1]Historicals!AW849+[1]Historicals!AW850+[1]Historicals!AW851+[1]Historicals!AW852</f>
        <v>-1311</v>
      </c>
      <c r="AA54" s="1196">
        <f>[1]Historicals!AX843+[1]Historicals!AX844+[1]Historicals!AX845+[1]Historicals!AX847+[1]Historicals!AX848+[1]Historicals!AX849+[1]Historicals!AX850+[1]Historicals!AX851+[1]Historicals!AX852</f>
        <v>-1068</v>
      </c>
      <c r="AB54" s="1196">
        <f>SUM(Model!AY805:AY807,Model!AY809:AY814)</f>
        <v>-1224</v>
      </c>
      <c r="AC54" s="1203"/>
    </row>
    <row r="55" spans="3:35" x14ac:dyDescent="0.5">
      <c r="C55" s="1355" t="s">
        <v>1294</v>
      </c>
      <c r="D55" s="1315">
        <f>SUM([1]Historicals!AA854:AA864)</f>
        <v>4325</v>
      </c>
      <c r="E55" s="1315">
        <f>SUM([1]Historicals!AB854:AB864)</f>
        <v>3186</v>
      </c>
      <c r="F55" s="1315">
        <f>SUM([1]Historicals!AC854:AC864)</f>
        <v>347</v>
      </c>
      <c r="G55" s="1315">
        <f>SUM([1]Historicals!AD854:AD864)</f>
        <v>-608</v>
      </c>
      <c r="H55" s="1315">
        <f>SUM([1]Historicals!AE854:AE864)</f>
        <v>2684</v>
      </c>
      <c r="I55" s="1315">
        <f>SUM([1]Historicals!AF854:AF864)</f>
        <v>-4957</v>
      </c>
      <c r="J55" s="1315">
        <f>SUM([1]Historicals!AG854:AG864)</f>
        <v>62</v>
      </c>
      <c r="K55" s="1315">
        <f>SUM([1]Historicals!AH854:AH864)</f>
        <v>-512</v>
      </c>
      <c r="L55" s="1200">
        <f>SUM([1]Historicals!AI854:AI864)</f>
        <v>-1409</v>
      </c>
      <c r="M55" s="1200">
        <f>SUM([1]Historicals!AJ854:AJ864)</f>
        <v>-1890</v>
      </c>
      <c r="N55" s="1200">
        <f>SUM([1]Historicals!AK854:AK864)</f>
        <v>1383</v>
      </c>
      <c r="O55" s="1200">
        <f>SUM([1]Historicals!AL854:AL864)</f>
        <v>2616</v>
      </c>
      <c r="P55" s="1200">
        <f>SUM([1]Historicals!AM854:AM864)</f>
        <v>2741</v>
      </c>
      <c r="Q55" s="1200">
        <f>SUM([1]Historicals!AN854:AN864)</f>
        <v>443</v>
      </c>
      <c r="R55" s="1200">
        <f>SUM([1]Historicals!AO854:AO864)</f>
        <v>568</v>
      </c>
      <c r="S55" s="1200">
        <f>SUM([1]Historicals!AP854:AP864)</f>
        <v>1931</v>
      </c>
      <c r="T55" s="1200">
        <f>SUM([1]Historicals!AQ854:AQ864)</f>
        <v>2571</v>
      </c>
      <c r="U55" s="1200">
        <f>SUM([1]Historicals!AR854:AR864)</f>
        <v>3531</v>
      </c>
      <c r="V55" s="1200">
        <f>SUM([1]Historicals!AS854:AS864)</f>
        <v>-995</v>
      </c>
      <c r="W55" s="1200">
        <f>SUM([1]Historicals!AT854:AT864)</f>
        <v>-1271</v>
      </c>
      <c r="X55" s="1200">
        <f>SUM([1]Historicals!AU854:AU864)</f>
        <v>223</v>
      </c>
      <c r="Y55" s="1200">
        <f>SUM([1]Historicals!AV854:AV864)</f>
        <v>-741</v>
      </c>
      <c r="Z55" s="1200">
        <f>SUM([1]Historicals!AW854:AW864)</f>
        <v>2070</v>
      </c>
      <c r="AA55" s="1200">
        <f>SUM([1]Historicals!AX854:AX864)</f>
        <v>-504</v>
      </c>
      <c r="AB55" s="1292">
        <f>SUM(Model!AY816:AY826)</f>
        <v>559</v>
      </c>
      <c r="AC55" s="1203"/>
    </row>
    <row r="56" spans="3:35" s="1197" customFormat="1" x14ac:dyDescent="0.5">
      <c r="C56" s="1290" t="s">
        <v>126</v>
      </c>
      <c r="D56" s="1295">
        <f t="shared" ref="D56:AB56" si="24">D49+SUM(D52:D55)</f>
        <v>6879</v>
      </c>
      <c r="E56" s="1295">
        <f t="shared" si="24"/>
        <v>6000</v>
      </c>
      <c r="F56" s="1295">
        <f t="shared" si="24"/>
        <v>3216</v>
      </c>
      <c r="G56" s="1295">
        <f t="shared" si="24"/>
        <v>1734</v>
      </c>
      <c r="H56" s="1295">
        <f t="shared" si="24"/>
        <v>6099</v>
      </c>
      <c r="I56" s="1295">
        <f t="shared" si="24"/>
        <v>-1302</v>
      </c>
      <c r="J56" s="1295">
        <f t="shared" si="24"/>
        <v>1983</v>
      </c>
      <c r="K56" s="1295">
        <f t="shared" si="24"/>
        <v>2821</v>
      </c>
      <c r="L56" s="1199">
        <f t="shared" si="24"/>
        <v>12242</v>
      </c>
      <c r="M56" s="1199">
        <f t="shared" si="24"/>
        <v>13246</v>
      </c>
      <c r="N56" s="1199">
        <f t="shared" si="24"/>
        <v>14091</v>
      </c>
      <c r="O56" s="1199">
        <f t="shared" si="24"/>
        <v>18105</v>
      </c>
      <c r="P56" s="1199">
        <f t="shared" si="24"/>
        <v>14076</v>
      </c>
      <c r="Q56" s="1199">
        <f t="shared" si="24"/>
        <v>12196</v>
      </c>
      <c r="R56" s="1199">
        <f t="shared" si="24"/>
        <v>9692</v>
      </c>
      <c r="S56" s="1199">
        <f t="shared" si="24"/>
        <v>14510</v>
      </c>
      <c r="T56" s="1199">
        <f t="shared" si="24"/>
        <v>13998</v>
      </c>
      <c r="U56" s="1199">
        <f t="shared" si="24"/>
        <v>17308</v>
      </c>
      <c r="V56" s="1199">
        <f t="shared" si="24"/>
        <v>20402</v>
      </c>
      <c r="W56" s="1199">
        <f t="shared" si="24"/>
        <v>19404</v>
      </c>
      <c r="X56" s="1199">
        <f t="shared" si="24"/>
        <v>19246</v>
      </c>
      <c r="Y56" s="1199">
        <f t="shared" si="24"/>
        <v>19370</v>
      </c>
      <c r="Z56" s="1199">
        <f t="shared" si="24"/>
        <v>24724</v>
      </c>
      <c r="AA56" s="1199">
        <f t="shared" si="24"/>
        <v>27988</v>
      </c>
      <c r="AB56" s="1199">
        <f t="shared" si="24"/>
        <v>24026</v>
      </c>
      <c r="AC56" s="1319">
        <f>AB56/X56-1</f>
        <v>0.24836329626935472</v>
      </c>
      <c r="AD56" s="1295"/>
      <c r="AE56" s="1295"/>
    </row>
    <row r="57" spans="3:35" x14ac:dyDescent="0.5">
      <c r="C57" s="1355" t="s">
        <v>1293</v>
      </c>
      <c r="D57" s="1315">
        <f>([1]Historicals!AA868+[1]Historicals!AA889)</f>
        <v>-3962</v>
      </c>
      <c r="E57" s="1315">
        <f>([1]Historicals!AB868+[1]Historicals!AB889)</f>
        <v>-3775</v>
      </c>
      <c r="F57" s="1315">
        <f>([1]Historicals!AC868+[1]Historicals!AC889)</f>
        <v>-3676</v>
      </c>
      <c r="G57" s="1315">
        <f>([1]Historicals!AD868+[1]Historicals!AD889)</f>
        <v>-4241</v>
      </c>
      <c r="H57" s="1315">
        <f>([1]Historicals!AE868+[1]Historicals!AE889)</f>
        <v>-3658</v>
      </c>
      <c r="I57" s="1315">
        <f>([1]Historicals!AF868+[1]Historicals!AF889)</f>
        <v>-3364</v>
      </c>
      <c r="J57" s="1315">
        <f>([1]Historicals!AG868+[1]Historicals!AG889)</f>
        <v>-3878</v>
      </c>
      <c r="K57" s="1315">
        <f>([1]Historicals!AH868+[1]Historicals!AH889)</f>
        <v>-4819</v>
      </c>
      <c r="L57" s="1200">
        <f>([1]Historicals!AI868+[1]Historicals!AI889)</f>
        <v>-4423</v>
      </c>
      <c r="M57" s="1200">
        <f>([1]Historicals!AJ868+[1]Historicals!AJ889)</f>
        <v>-4735</v>
      </c>
      <c r="N57" s="1200">
        <f>([1]Historicals!AK868+[1]Historicals!AK889)</f>
        <v>-4545</v>
      </c>
      <c r="O57" s="1200">
        <f>([1]Historicals!AL868+[1]Historicals!AL889)</f>
        <v>-5541</v>
      </c>
      <c r="P57" s="1200">
        <f>([1]Historicals!AM868+[1]Historicals!AM889)</f>
        <v>-5674</v>
      </c>
      <c r="Q57" s="1200">
        <f>([1]Historicals!AN868+[1]Historicals!AN889)</f>
        <v>-7791</v>
      </c>
      <c r="R57" s="1200">
        <f>([1]Historicals!AO868+[1]Historicals!AO889)</f>
        <v>-9538</v>
      </c>
      <c r="S57" s="1200">
        <f>([1]Historicals!AP868+[1]Historicals!AP889)</f>
        <v>-9278</v>
      </c>
      <c r="T57" s="1200">
        <f>([1]Historicals!AQ868+[1]Historicals!AQ889)</f>
        <v>-7106</v>
      </c>
      <c r="U57" s="1200">
        <f>([1]Historicals!AR868+[1]Historicals!AR889)</f>
        <v>-6436</v>
      </c>
      <c r="V57" s="1200">
        <f>([1]Historicals!AS868+[1]Historicals!AS889)</f>
        <v>-6810</v>
      </c>
      <c r="W57" s="1200">
        <f>([1]Historicals!AT868+[1]Historicals!AT889)</f>
        <v>-7972</v>
      </c>
      <c r="X57" s="1200">
        <f>([1]Historicals!AU868+[1]Historicals!AU889)</f>
        <v>-6715</v>
      </c>
      <c r="Y57" s="1200">
        <f>([1]Historicals!AV868+[1]Historicals!AV889)</f>
        <v>-8472</v>
      </c>
      <c r="Z57" s="1200">
        <f>([1]Historicals!AW868+[1]Historicals!AW889)</f>
        <v>-9202</v>
      </c>
      <c r="AA57" s="1200">
        <f>([1]Historicals!AX868+[1]Historicals!AX889)</f>
        <v>-14836</v>
      </c>
      <c r="AB57" s="1200">
        <f>(Model!AY830+Model!AY851)</f>
        <v>-13692</v>
      </c>
      <c r="AC57" s="1203"/>
    </row>
    <row r="58" spans="3:35" s="1197" customFormat="1" x14ac:dyDescent="0.5">
      <c r="C58" s="1373" t="s">
        <v>1179</v>
      </c>
      <c r="D58" s="1374">
        <f t="shared" ref="D58:AB58" si="25">SUM(D56:D57)</f>
        <v>2917</v>
      </c>
      <c r="E58" s="1374">
        <f t="shared" si="25"/>
        <v>2225</v>
      </c>
      <c r="F58" s="1374">
        <f t="shared" si="25"/>
        <v>-460</v>
      </c>
      <c r="G58" s="1374">
        <f t="shared" si="25"/>
        <v>-2507</v>
      </c>
      <c r="H58" s="1375">
        <f t="shared" si="25"/>
        <v>2441</v>
      </c>
      <c r="I58" s="1375">
        <f t="shared" si="25"/>
        <v>-4666</v>
      </c>
      <c r="J58" s="1375">
        <f t="shared" si="25"/>
        <v>-1895</v>
      </c>
      <c r="K58" s="1375">
        <f t="shared" si="25"/>
        <v>-1998</v>
      </c>
      <c r="L58" s="1376">
        <f t="shared" si="25"/>
        <v>7819</v>
      </c>
      <c r="M58" s="1376">
        <f t="shared" si="25"/>
        <v>8511</v>
      </c>
      <c r="N58" s="1376">
        <f t="shared" si="25"/>
        <v>9546</v>
      </c>
      <c r="O58" s="1376">
        <f t="shared" si="25"/>
        <v>12564</v>
      </c>
      <c r="P58" s="1376">
        <f t="shared" si="25"/>
        <v>8402</v>
      </c>
      <c r="Q58" s="1376">
        <f t="shared" si="25"/>
        <v>4405</v>
      </c>
      <c r="R58" s="1376">
        <f t="shared" si="25"/>
        <v>154</v>
      </c>
      <c r="S58" s="1376">
        <f t="shared" si="25"/>
        <v>5232</v>
      </c>
      <c r="T58" s="1376">
        <f t="shared" si="25"/>
        <v>6892</v>
      </c>
      <c r="U58" s="1376">
        <f t="shared" si="25"/>
        <v>10872</v>
      </c>
      <c r="V58" s="1376">
        <f t="shared" si="25"/>
        <v>13592</v>
      </c>
      <c r="W58" s="1376">
        <f t="shared" si="25"/>
        <v>11432</v>
      </c>
      <c r="X58" s="1376">
        <f t="shared" si="25"/>
        <v>12531</v>
      </c>
      <c r="Y58" s="1376">
        <f t="shared" si="25"/>
        <v>10898</v>
      </c>
      <c r="Z58" s="1376">
        <f t="shared" si="25"/>
        <v>15522</v>
      </c>
      <c r="AA58" s="1376">
        <f t="shared" si="25"/>
        <v>13152</v>
      </c>
      <c r="AB58" s="1376">
        <f t="shared" si="25"/>
        <v>10334</v>
      </c>
      <c r="AC58" s="1376"/>
      <c r="AD58" s="1375"/>
      <c r="AE58" s="1377"/>
    </row>
    <row r="59" spans="3:35" s="1172" customFormat="1" x14ac:dyDescent="0.5">
      <c r="C59" s="1240" t="s">
        <v>1154</v>
      </c>
      <c r="D59" s="1335"/>
      <c r="E59" s="1335"/>
      <c r="F59" s="1335"/>
      <c r="G59" s="1335"/>
      <c r="H59" s="1174">
        <f>H58/D58-1</f>
        <v>-0.16318135070277684</v>
      </c>
      <c r="I59" s="1174">
        <f>I58/E58-1</f>
        <v>-3.0970786516853934</v>
      </c>
      <c r="J59" s="1174">
        <f>J58/F58-1</f>
        <v>3.1195652173913047</v>
      </c>
      <c r="K59" s="1174">
        <f>K58/G58-1</f>
        <v>-0.20303151176705225</v>
      </c>
      <c r="L59" s="1251"/>
      <c r="M59" s="1251"/>
      <c r="N59" s="1251"/>
      <c r="O59" s="1251"/>
      <c r="P59" s="1210">
        <f t="shared" ref="P59:AB59" si="26">P58/L58-1</f>
        <v>7.4561964445581275E-2</v>
      </c>
      <c r="Q59" s="1210">
        <f t="shared" si="26"/>
        <v>-0.48243449653389736</v>
      </c>
      <c r="R59" s="1210">
        <f t="shared" si="26"/>
        <v>-0.98386758851875133</v>
      </c>
      <c r="S59" s="1210">
        <f t="shared" si="26"/>
        <v>-0.58357211079274118</v>
      </c>
      <c r="T59" s="1210">
        <f t="shared" si="26"/>
        <v>-0.17971911449654843</v>
      </c>
      <c r="U59" s="1210">
        <f t="shared" si="26"/>
        <v>1.468104426787741</v>
      </c>
      <c r="V59" s="1210">
        <f t="shared" si="26"/>
        <v>87.259740259740255</v>
      </c>
      <c r="W59" s="1210">
        <f t="shared" si="26"/>
        <v>1.1850152905198779</v>
      </c>
      <c r="X59" s="1210">
        <f t="shared" si="26"/>
        <v>0.81819500870574569</v>
      </c>
      <c r="Y59" s="1210">
        <f t="shared" si="26"/>
        <v>2.3914643119942181E-3</v>
      </c>
      <c r="Z59" s="1210">
        <f t="shared" si="26"/>
        <v>0.14199529134785172</v>
      </c>
      <c r="AA59" s="1210">
        <f t="shared" si="26"/>
        <v>0.15045486354093773</v>
      </c>
      <c r="AB59" s="1210">
        <f t="shared" si="26"/>
        <v>-0.17532519352007025</v>
      </c>
      <c r="AC59" s="1213"/>
      <c r="AD59" s="1245"/>
      <c r="AE59" s="1245"/>
      <c r="AG59" s="1334"/>
      <c r="AH59" s="1334"/>
      <c r="AI59" s="1334"/>
    </row>
    <row r="60" spans="3:35" s="1172" customFormat="1" x14ac:dyDescent="0.5">
      <c r="C60" s="1240" t="s">
        <v>1292</v>
      </c>
      <c r="D60" s="1333"/>
      <c r="E60" s="1333"/>
      <c r="F60" s="1333"/>
      <c r="G60" s="1333"/>
      <c r="H60" s="1333"/>
      <c r="I60" s="1333"/>
      <c r="J60" s="1333"/>
      <c r="K60" s="1333"/>
      <c r="L60" s="1354"/>
      <c r="M60" s="1354"/>
      <c r="N60" s="1354"/>
      <c r="O60" s="1354"/>
      <c r="P60" s="1354"/>
      <c r="Q60" s="1354"/>
      <c r="R60" s="1354"/>
      <c r="S60" s="1354"/>
      <c r="T60" s="1210">
        <f t="shared" ref="T60:AB60" si="27">(T58/L58)^(1/2)-1</f>
        <v>-6.1148233359626825E-2</v>
      </c>
      <c r="U60" s="1210">
        <f t="shared" si="27"/>
        <v>0.13022374344963827</v>
      </c>
      <c r="V60" s="1210">
        <f t="shared" si="27"/>
        <v>0.19324869457220073</v>
      </c>
      <c r="W60" s="1210">
        <f t="shared" si="27"/>
        <v>-4.6112530055678946E-2</v>
      </c>
      <c r="X60" s="1210">
        <f t="shared" si="27"/>
        <v>0.22124142238916256</v>
      </c>
      <c r="Y60" s="1210">
        <f t="shared" si="27"/>
        <v>0.57289758421922654</v>
      </c>
      <c r="Z60" s="1210">
        <f t="shared" si="27"/>
        <v>9.0395322496721828</v>
      </c>
      <c r="AA60" s="1210">
        <f t="shared" si="27"/>
        <v>0.58548461610004532</v>
      </c>
      <c r="AB60" s="1210">
        <f t="shared" si="27"/>
        <v>0.22450790807866383</v>
      </c>
      <c r="AC60" s="1213"/>
      <c r="AD60" s="1245"/>
      <c r="AE60" s="1245"/>
    </row>
    <row r="61" spans="3:35" s="1172" customFormat="1" ht="2.5" customHeight="1" x14ac:dyDescent="0.5">
      <c r="C61" s="1240"/>
      <c r="D61" s="1333"/>
      <c r="E61" s="1333"/>
      <c r="F61" s="1333"/>
      <c r="G61" s="1333"/>
      <c r="H61" s="1333"/>
      <c r="I61" s="1333"/>
      <c r="J61" s="1333"/>
      <c r="K61" s="1333"/>
      <c r="L61" s="1213"/>
      <c r="M61" s="1213"/>
      <c r="N61" s="1213"/>
      <c r="O61" s="1213"/>
      <c r="P61" s="1213"/>
      <c r="Q61" s="1213"/>
      <c r="R61" s="1213"/>
      <c r="S61" s="1213"/>
      <c r="T61" s="1210"/>
      <c r="U61" s="1210"/>
      <c r="V61" s="1210"/>
      <c r="W61" s="1210"/>
      <c r="X61" s="1210"/>
      <c r="Y61" s="1210"/>
      <c r="Z61" s="1210"/>
      <c r="AA61" s="1210">
        <f>AA57/W57-1</f>
        <v>0.86101354741595593</v>
      </c>
      <c r="AB61" s="1210">
        <f>AB57/X57-1</f>
        <v>1.039017125837677</v>
      </c>
      <c r="AC61" s="1213"/>
      <c r="AD61" s="1245"/>
      <c r="AE61" s="1245"/>
    </row>
    <row r="62" spans="3:35" s="1172" customFormat="1" x14ac:dyDescent="0.5">
      <c r="C62" s="1175"/>
      <c r="D62" s="1333"/>
      <c r="E62" s="1333"/>
      <c r="F62" s="1333"/>
      <c r="G62" s="1333"/>
      <c r="H62" s="1333"/>
      <c r="I62" s="1333"/>
      <c r="J62" s="1333"/>
      <c r="K62" s="1333"/>
      <c r="L62" s="1213"/>
      <c r="M62" s="1213"/>
      <c r="N62" s="1213"/>
      <c r="O62" s="1213"/>
      <c r="P62" s="1213"/>
      <c r="Q62" s="1213"/>
      <c r="R62" s="1213"/>
      <c r="S62" s="1213"/>
      <c r="T62" s="1210"/>
      <c r="U62" s="1210"/>
      <c r="V62" s="1210"/>
      <c r="W62" s="1210"/>
      <c r="X62" s="1210"/>
      <c r="Y62" s="1210"/>
      <c r="Z62" s="1210"/>
      <c r="AA62" s="1210"/>
      <c r="AB62" s="1213"/>
      <c r="AC62" s="1213"/>
      <c r="AD62" s="1245"/>
      <c r="AE62" s="1245"/>
    </row>
    <row r="63" spans="3:35" s="1172" customFormat="1" x14ac:dyDescent="0.5">
      <c r="C63" s="1175" t="str">
        <f>C57</f>
        <v>CapEx</v>
      </c>
      <c r="D63" s="1245">
        <f t="shared" ref="D63:AB63" si="28">-D57</f>
        <v>3962</v>
      </c>
      <c r="E63" s="1245">
        <f t="shared" si="28"/>
        <v>3775</v>
      </c>
      <c r="F63" s="1245">
        <f t="shared" si="28"/>
        <v>3676</v>
      </c>
      <c r="G63" s="1245">
        <f t="shared" si="28"/>
        <v>4241</v>
      </c>
      <c r="H63" s="1245">
        <f t="shared" si="28"/>
        <v>3658</v>
      </c>
      <c r="I63" s="1245">
        <f t="shared" si="28"/>
        <v>3364</v>
      </c>
      <c r="J63" s="1245">
        <f t="shared" si="28"/>
        <v>3878</v>
      </c>
      <c r="K63" s="1245">
        <f t="shared" si="28"/>
        <v>4819</v>
      </c>
      <c r="L63" s="1213">
        <f t="shared" si="28"/>
        <v>4423</v>
      </c>
      <c r="M63" s="1213">
        <f t="shared" si="28"/>
        <v>4735</v>
      </c>
      <c r="N63" s="1213">
        <f t="shared" si="28"/>
        <v>4545</v>
      </c>
      <c r="O63" s="1213">
        <f t="shared" si="28"/>
        <v>5541</v>
      </c>
      <c r="P63" s="1213">
        <f t="shared" si="28"/>
        <v>5674</v>
      </c>
      <c r="Q63" s="1213">
        <f t="shared" si="28"/>
        <v>7791</v>
      </c>
      <c r="R63" s="1213">
        <f t="shared" si="28"/>
        <v>9538</v>
      </c>
      <c r="S63" s="1213">
        <f t="shared" si="28"/>
        <v>9278</v>
      </c>
      <c r="T63" s="1213">
        <f t="shared" si="28"/>
        <v>7106</v>
      </c>
      <c r="U63" s="1213">
        <f t="shared" si="28"/>
        <v>6436</v>
      </c>
      <c r="V63" s="1213">
        <f t="shared" si="28"/>
        <v>6810</v>
      </c>
      <c r="W63" s="1213">
        <f t="shared" si="28"/>
        <v>7972</v>
      </c>
      <c r="X63" s="1213">
        <f t="shared" si="28"/>
        <v>6715</v>
      </c>
      <c r="Y63" s="1213">
        <f t="shared" si="28"/>
        <v>8472</v>
      </c>
      <c r="Z63" s="1213">
        <f t="shared" si="28"/>
        <v>9202</v>
      </c>
      <c r="AA63" s="1213">
        <f t="shared" si="28"/>
        <v>14836</v>
      </c>
      <c r="AB63" s="1213">
        <f t="shared" si="28"/>
        <v>13692</v>
      </c>
      <c r="AC63" s="1213"/>
      <c r="AD63" s="1245"/>
      <c r="AE63" s="1245"/>
    </row>
    <row r="64" spans="3:35" s="1172" customFormat="1" x14ac:dyDescent="0.5">
      <c r="C64" s="1175"/>
      <c r="D64" s="1333"/>
      <c r="E64" s="1333"/>
      <c r="F64" s="1333"/>
      <c r="G64" s="1333"/>
      <c r="H64" s="1333"/>
      <c r="I64" s="1333"/>
      <c r="J64" s="1333"/>
      <c r="K64" s="1333"/>
      <c r="L64" s="1213"/>
      <c r="M64" s="1213"/>
      <c r="N64" s="1213"/>
      <c r="O64" s="1213"/>
      <c r="P64" s="1213"/>
      <c r="Q64" s="1213"/>
      <c r="R64" s="1213"/>
      <c r="S64" s="1213"/>
      <c r="T64" s="1210"/>
      <c r="U64" s="1210"/>
      <c r="V64" s="1210"/>
      <c r="W64" s="1210"/>
      <c r="X64" s="1210"/>
      <c r="Y64" s="1210"/>
      <c r="Z64" s="1210"/>
      <c r="AA64" s="1210"/>
      <c r="AB64" s="1213"/>
      <c r="AC64" s="1213"/>
      <c r="AD64" s="1245"/>
      <c r="AE64" s="1245"/>
    </row>
    <row r="65" spans="3:31" s="1262" customFormat="1" x14ac:dyDescent="0.5">
      <c r="C65" s="1285" t="s">
        <v>1202</v>
      </c>
      <c r="D65" s="1332"/>
      <c r="E65" s="1332"/>
      <c r="F65" s="1332"/>
      <c r="G65" s="1332"/>
      <c r="H65" s="1332"/>
      <c r="I65" s="1332"/>
      <c r="J65" s="1332"/>
      <c r="K65" s="1332"/>
      <c r="L65" s="1331"/>
      <c r="M65" s="1331"/>
      <c r="N65" s="1331"/>
      <c r="O65" s="1331"/>
      <c r="P65" s="1331"/>
      <c r="Q65" s="1331"/>
      <c r="R65" s="1331"/>
      <c r="S65" s="1331"/>
      <c r="T65" s="1330"/>
      <c r="U65" s="1330"/>
      <c r="V65" s="1330"/>
      <c r="W65" s="1330"/>
      <c r="X65" s="1330"/>
      <c r="Y65" s="1330"/>
      <c r="Z65" s="1330"/>
      <c r="AA65" s="1330"/>
      <c r="AB65" s="1330"/>
      <c r="AC65" s="1330"/>
      <c r="AD65" s="1330"/>
      <c r="AE65" s="1330"/>
    </row>
    <row r="67" spans="3:31" s="1197" customFormat="1" x14ac:dyDescent="0.5">
      <c r="C67" s="1197" t="s">
        <v>1288</v>
      </c>
      <c r="D67" s="1291"/>
      <c r="E67" s="1291"/>
      <c r="F67" s="1291"/>
      <c r="G67" s="1291"/>
      <c r="H67" s="1291"/>
      <c r="I67" s="1291"/>
      <c r="J67" s="1291"/>
      <c r="K67" s="1291"/>
      <c r="L67" s="1199">
        <f>[1]Historicals!AI242</f>
        <v>195</v>
      </c>
      <c r="M67" s="1199">
        <f>[1]Historicals!AJ242</f>
        <v>195</v>
      </c>
      <c r="N67" s="1199">
        <f>[1]Historicals!AK242</f>
        <v>196</v>
      </c>
      <c r="O67" s="1199">
        <f>[1]Historicals!AL242</f>
        <v>195</v>
      </c>
      <c r="P67" s="1199">
        <f>[1]Historicals!AM242</f>
        <v>196</v>
      </c>
      <c r="Q67" s="1199">
        <f>[1]Historicals!AN242</f>
        <v>197</v>
      </c>
      <c r="R67" s="1199">
        <f>[1]Historicals!AO242</f>
        <v>197</v>
      </c>
      <c r="S67" s="1199">
        <f>[1]Historicals!AP242</f>
        <v>199</v>
      </c>
      <c r="T67" s="1199">
        <f>[1]Historicals!AQ242</f>
        <v>200</v>
      </c>
      <c r="U67" s="1199">
        <f>[1]Historicals!AR242</f>
        <v>202</v>
      </c>
      <c r="V67" s="1199">
        <f>[1]Historicals!AS242</f>
        <v>203</v>
      </c>
      <c r="W67" s="1199">
        <f>[1]Historicals!AT242</f>
        <v>205</v>
      </c>
      <c r="X67" s="1199"/>
      <c r="Y67" s="1199"/>
      <c r="Z67" s="1199"/>
      <c r="AA67" s="1199"/>
      <c r="AB67" s="1199"/>
      <c r="AC67" s="1199"/>
      <c r="AD67" s="1295"/>
      <c r="AE67" s="1295"/>
    </row>
    <row r="68" spans="3:31" s="1235" customFormat="1" x14ac:dyDescent="0.5">
      <c r="C68" s="1255" t="s">
        <v>1154</v>
      </c>
      <c r="D68" s="1341"/>
      <c r="E68" s="1341"/>
      <c r="F68" s="1341"/>
      <c r="G68" s="1341"/>
      <c r="H68" s="1341"/>
      <c r="I68" s="1341"/>
      <c r="J68" s="1341"/>
      <c r="K68" s="1341"/>
      <c r="L68" s="1210">
        <f t="shared" ref="L68:W68" si="29">IFERROR(L67/H67-1,0)</f>
        <v>0</v>
      </c>
      <c r="M68" s="1210">
        <f t="shared" si="29"/>
        <v>0</v>
      </c>
      <c r="N68" s="1210">
        <f t="shared" si="29"/>
        <v>0</v>
      </c>
      <c r="O68" s="1210">
        <f t="shared" si="29"/>
        <v>0</v>
      </c>
      <c r="P68" s="1210">
        <f t="shared" si="29"/>
        <v>5.12820512820511E-3</v>
      </c>
      <c r="Q68" s="1210">
        <f t="shared" si="29"/>
        <v>1.025641025641022E-2</v>
      </c>
      <c r="R68" s="1210">
        <f t="shared" si="29"/>
        <v>5.1020408163264808E-3</v>
      </c>
      <c r="S68" s="1210">
        <f t="shared" si="29"/>
        <v>2.051282051282044E-2</v>
      </c>
      <c r="T68" s="1210">
        <f t="shared" si="29"/>
        <v>2.0408163265306145E-2</v>
      </c>
      <c r="U68" s="1210">
        <f t="shared" si="29"/>
        <v>2.5380710659898442E-2</v>
      </c>
      <c r="V68" s="1210">
        <f t="shared" si="29"/>
        <v>3.0456852791878264E-2</v>
      </c>
      <c r="W68" s="1210">
        <f t="shared" si="29"/>
        <v>3.015075376884413E-2</v>
      </c>
      <c r="X68" s="1210"/>
      <c r="Y68" s="1210"/>
      <c r="Z68" s="1210"/>
      <c r="AA68" s="1210"/>
      <c r="AB68" s="1210"/>
      <c r="AC68" s="1210"/>
      <c r="AD68" s="1174"/>
      <c r="AE68" s="1174"/>
    </row>
    <row r="69" spans="3:31" s="1256" customFormat="1" x14ac:dyDescent="0.5">
      <c r="C69" s="1256" t="s">
        <v>1290</v>
      </c>
      <c r="D69" s="1353"/>
      <c r="E69" s="1353"/>
      <c r="F69" s="1353"/>
      <c r="G69" s="1353"/>
      <c r="H69" s="1353"/>
      <c r="I69" s="1353"/>
      <c r="J69" s="1353"/>
      <c r="K69" s="1353"/>
      <c r="L69" s="1319"/>
      <c r="M69" s="1199">
        <f t="shared" ref="M69:W69" si="30">M71/AVERAGE(L67:M67)</f>
        <v>70.45128205128205</v>
      </c>
      <c r="N69" s="1199">
        <f t="shared" si="30"/>
        <v>69.631713554987215</v>
      </c>
      <c r="O69" s="1199">
        <f t="shared" si="30"/>
        <v>80.951406649616374</v>
      </c>
      <c r="P69" s="1199">
        <f t="shared" si="30"/>
        <v>64.813299232736568</v>
      </c>
      <c r="Q69" s="1199">
        <f t="shared" si="30"/>
        <v>67.424936386768451</v>
      </c>
      <c r="R69" s="1199">
        <f t="shared" si="30"/>
        <v>66.167512690355323</v>
      </c>
      <c r="S69" s="1199">
        <f t="shared" si="30"/>
        <v>78.969696969696969</v>
      </c>
      <c r="T69" s="1199">
        <f t="shared" si="30"/>
        <v>65.403508771929822</v>
      </c>
      <c r="U69" s="1199">
        <f t="shared" si="30"/>
        <v>71.75124378109453</v>
      </c>
      <c r="V69" s="1199">
        <f t="shared" si="30"/>
        <v>75.012345679012341</v>
      </c>
      <c r="W69" s="1199">
        <f t="shared" si="30"/>
        <v>91.102941176470594</v>
      </c>
      <c r="X69" s="1199"/>
      <c r="Y69" s="1199"/>
      <c r="Z69" s="1199"/>
      <c r="AA69" s="1199"/>
      <c r="AB69" s="1319"/>
      <c r="AC69" s="1319"/>
      <c r="AD69" s="1223"/>
      <c r="AE69" s="1223"/>
    </row>
    <row r="70" spans="3:31" s="1235" customFormat="1" x14ac:dyDescent="0.5">
      <c r="C70" s="1255" t="s">
        <v>1154</v>
      </c>
      <c r="D70" s="1341"/>
      <c r="E70" s="1341"/>
      <c r="F70" s="1341"/>
      <c r="G70" s="1341"/>
      <c r="H70" s="1341"/>
      <c r="I70" s="1341"/>
      <c r="J70" s="1341"/>
      <c r="K70" s="1341"/>
      <c r="L70" s="1210">
        <f t="shared" ref="L70:W70" si="31">IFERROR(L69/H69-1,0)</f>
        <v>0</v>
      </c>
      <c r="M70" s="1210">
        <f t="shared" si="31"/>
        <v>0</v>
      </c>
      <c r="N70" s="1210">
        <f t="shared" si="31"/>
        <v>0</v>
      </c>
      <c r="O70" s="1210">
        <f t="shared" si="31"/>
        <v>0</v>
      </c>
      <c r="P70" s="1210">
        <f t="shared" si="31"/>
        <v>0</v>
      </c>
      <c r="Q70" s="1210">
        <f t="shared" si="31"/>
        <v>-4.295657334256453E-2</v>
      </c>
      <c r="R70" s="1210">
        <f t="shared" si="31"/>
        <v>-4.9750331964705463E-2</v>
      </c>
      <c r="S70" s="1210">
        <f t="shared" si="31"/>
        <v>-2.4480237736904109E-2</v>
      </c>
      <c r="T70" s="1210">
        <f t="shared" si="31"/>
        <v>9.1063029683751129E-3</v>
      </c>
      <c r="U70" s="1210">
        <f t="shared" si="31"/>
        <v>6.4164797568501353E-2</v>
      </c>
      <c r="V70" s="1210">
        <f t="shared" si="31"/>
        <v>0.13367334858192814</v>
      </c>
      <c r="W70" s="1210">
        <f t="shared" si="31"/>
        <v>0.15364430499751713</v>
      </c>
      <c r="X70" s="1210"/>
      <c r="Y70" s="1210"/>
      <c r="Z70" s="1210"/>
      <c r="AA70" s="1210"/>
      <c r="AB70" s="1210"/>
      <c r="AC70" s="1210"/>
      <c r="AD70" s="1174"/>
      <c r="AE70" s="1174"/>
    </row>
    <row r="71" spans="3:31" s="1197" customFormat="1" x14ac:dyDescent="0.5">
      <c r="C71" s="1345" t="s">
        <v>1250</v>
      </c>
      <c r="D71" s="1344"/>
      <c r="E71" s="1344"/>
      <c r="F71" s="1344"/>
      <c r="G71" s="1344"/>
      <c r="H71" s="1343"/>
      <c r="I71" s="1343"/>
      <c r="J71" s="1343"/>
      <c r="K71" s="1343"/>
      <c r="L71" s="1221">
        <f>[1]Historicals!AI123</f>
        <v>12405</v>
      </c>
      <c r="M71" s="1221">
        <f>[1]Historicals!AJ123</f>
        <v>13738</v>
      </c>
      <c r="N71" s="1221">
        <f>[1]Historicals!AK123</f>
        <v>13613</v>
      </c>
      <c r="O71" s="1221">
        <f>[1]Historicals!AL123</f>
        <v>15826</v>
      </c>
      <c r="P71" s="1221">
        <f>[1]Historicals!AM123</f>
        <v>12671</v>
      </c>
      <c r="Q71" s="1221">
        <f>[1]Historicals!AN123</f>
        <v>13249</v>
      </c>
      <c r="R71" s="1221">
        <f>[1]Historicals!AO123</f>
        <v>13035</v>
      </c>
      <c r="S71" s="1221">
        <f>[1]Historicals!AP123</f>
        <v>15636</v>
      </c>
      <c r="T71" s="1221">
        <f>[1]Historicals!AQ123</f>
        <v>13048</v>
      </c>
      <c r="U71" s="1221">
        <f>[1]Historicals!AR123</f>
        <v>14422</v>
      </c>
      <c r="V71" s="1221">
        <f>[1]Historicals!AS123</f>
        <v>15190</v>
      </c>
      <c r="W71" s="1221">
        <f>[1]Historicals!AT123</f>
        <v>18585</v>
      </c>
      <c r="X71" s="1221"/>
      <c r="Y71" s="1221"/>
      <c r="Z71" s="1221"/>
      <c r="AA71" s="1221"/>
      <c r="AB71" s="1221"/>
      <c r="AC71" s="1221"/>
      <c r="AD71" s="1343"/>
      <c r="AE71" s="1342"/>
    </row>
    <row r="72" spans="3:31" s="1235" customFormat="1" x14ac:dyDescent="0.5">
      <c r="C72" s="1255" t="s">
        <v>1154</v>
      </c>
      <c r="D72" s="1341"/>
      <c r="E72" s="1341"/>
      <c r="F72" s="1341"/>
      <c r="G72" s="1341"/>
      <c r="H72" s="1341"/>
      <c r="I72" s="1341"/>
      <c r="J72" s="1341"/>
      <c r="K72" s="1341"/>
      <c r="L72" s="1210">
        <f t="shared" ref="L72:W72" si="32">IFERROR(L71/H71-1,0)</f>
        <v>0</v>
      </c>
      <c r="M72" s="1210">
        <f t="shared" si="32"/>
        <v>0</v>
      </c>
      <c r="N72" s="1210">
        <f t="shared" si="32"/>
        <v>0</v>
      </c>
      <c r="O72" s="1210">
        <f t="shared" si="32"/>
        <v>0</v>
      </c>
      <c r="P72" s="1210">
        <f t="shared" si="32"/>
        <v>2.1442966545747622E-2</v>
      </c>
      <c r="Q72" s="1210">
        <f t="shared" si="32"/>
        <v>-3.5594700829815085E-2</v>
      </c>
      <c r="R72" s="1210">
        <f t="shared" si="32"/>
        <v>-4.2459413795636558E-2</v>
      </c>
      <c r="S72" s="1210">
        <f t="shared" si="32"/>
        <v>-1.2005560470112475E-2</v>
      </c>
      <c r="T72" s="1210">
        <f t="shared" si="32"/>
        <v>2.9752979243942823E-2</v>
      </c>
      <c r="U72" s="1210">
        <f t="shared" si="32"/>
        <v>8.8534983772360132E-2</v>
      </c>
      <c r="V72" s="1210">
        <f t="shared" si="32"/>
        <v>0.16532412734944391</v>
      </c>
      <c r="W72" s="1210">
        <f t="shared" si="32"/>
        <v>0.18860322333077506</v>
      </c>
      <c r="X72" s="1210"/>
      <c r="Y72" s="1210"/>
      <c r="Z72" s="1210"/>
      <c r="AA72" s="1210"/>
      <c r="AB72" s="1210"/>
      <c r="AC72" s="1210"/>
      <c r="AD72" s="1174"/>
      <c r="AE72" s="1174"/>
    </row>
    <row r="73" spans="3:31" s="1235" customFormat="1" x14ac:dyDescent="0.5">
      <c r="C73" s="1255"/>
      <c r="D73" s="1341"/>
      <c r="E73" s="1341"/>
      <c r="F73" s="1341"/>
      <c r="G73" s="1341"/>
      <c r="H73" s="1341"/>
      <c r="I73" s="1341"/>
      <c r="J73" s="1341"/>
      <c r="K73" s="1341"/>
      <c r="L73" s="1210"/>
      <c r="M73" s="1210"/>
      <c r="N73" s="1210"/>
      <c r="O73" s="1210"/>
      <c r="P73" s="1210"/>
      <c r="Q73" s="1210"/>
      <c r="R73" s="1210"/>
      <c r="S73" s="1210"/>
      <c r="T73" s="1210"/>
      <c r="U73" s="1210"/>
      <c r="V73" s="1210"/>
      <c r="W73" s="1210"/>
      <c r="X73" s="1210"/>
      <c r="Y73" s="1210"/>
      <c r="Z73" s="1210"/>
      <c r="AA73" s="1210"/>
      <c r="AB73" s="1210"/>
      <c r="AC73" s="1210"/>
      <c r="AD73" s="1174"/>
      <c r="AE73" s="1174"/>
    </row>
    <row r="74" spans="3:31" s="1197" customFormat="1" x14ac:dyDescent="0.5">
      <c r="C74" s="1197" t="s">
        <v>1287</v>
      </c>
      <c r="D74" s="1291"/>
      <c r="E74" s="1291"/>
      <c r="F74" s="1291"/>
      <c r="G74" s="1291"/>
      <c r="H74" s="1291"/>
      <c r="I74" s="1291"/>
      <c r="J74" s="1291"/>
      <c r="K74" s="1291"/>
      <c r="L74" s="1199">
        <f>[1]Historicals!AI243</f>
        <v>309</v>
      </c>
      <c r="M74" s="1199">
        <f>[1]Historicals!AJ243</f>
        <v>307</v>
      </c>
      <c r="N74" s="1199">
        <f>[1]Historicals!AK243</f>
        <v>308</v>
      </c>
      <c r="O74" s="1199">
        <f>[1]Historicals!AL243</f>
        <v>309</v>
      </c>
      <c r="P74" s="1199">
        <f>[1]Historicals!AM243</f>
        <v>307</v>
      </c>
      <c r="Q74" s="1199">
        <f>[1]Historicals!AN243</f>
        <v>303</v>
      </c>
      <c r="R74" s="1199">
        <f>[1]Historicals!AO243</f>
        <v>303</v>
      </c>
      <c r="S74" s="1199">
        <f>[1]Historicals!AP243</f>
        <v>304</v>
      </c>
      <c r="T74" s="1199">
        <f>[1]Historicals!AQ243</f>
        <v>307</v>
      </c>
      <c r="U74" s="1199">
        <f>[1]Historicals!AR243</f>
        <v>307</v>
      </c>
      <c r="V74" s="1199">
        <f>[1]Historicals!AS243</f>
        <v>307</v>
      </c>
      <c r="W74" s="1199">
        <f>[1]Historicals!AT243</f>
        <v>308</v>
      </c>
      <c r="X74" s="1199"/>
      <c r="Y74" s="1199"/>
      <c r="Z74" s="1199"/>
      <c r="AA74" s="1199"/>
      <c r="AB74" s="1199"/>
      <c r="AC74" s="1199"/>
      <c r="AD74" s="1295"/>
      <c r="AE74" s="1295"/>
    </row>
    <row r="75" spans="3:31" s="1235" customFormat="1" x14ac:dyDescent="0.5">
      <c r="C75" s="1255" t="s">
        <v>1154</v>
      </c>
      <c r="D75" s="1341"/>
      <c r="E75" s="1341"/>
      <c r="F75" s="1341"/>
      <c r="G75" s="1341"/>
      <c r="H75" s="1341"/>
      <c r="I75" s="1341"/>
      <c r="J75" s="1341"/>
      <c r="K75" s="1341"/>
      <c r="L75" s="1210">
        <f t="shared" ref="L75:W75" si="33">IFERROR(L74/H74-1,0)</f>
        <v>0</v>
      </c>
      <c r="M75" s="1210">
        <f t="shared" si="33"/>
        <v>0</v>
      </c>
      <c r="N75" s="1210">
        <f t="shared" si="33"/>
        <v>0</v>
      </c>
      <c r="O75" s="1210">
        <f t="shared" si="33"/>
        <v>0</v>
      </c>
      <c r="P75" s="1210">
        <f t="shared" si="33"/>
        <v>-6.4724919093851474E-3</v>
      </c>
      <c r="Q75" s="1210">
        <f t="shared" si="33"/>
        <v>-1.3029315960912058E-2</v>
      </c>
      <c r="R75" s="1210">
        <f t="shared" si="33"/>
        <v>-1.6233766233766267E-2</v>
      </c>
      <c r="S75" s="1210">
        <f t="shared" si="33"/>
        <v>-1.6181229773462813E-2</v>
      </c>
      <c r="T75" s="1210">
        <f t="shared" si="33"/>
        <v>0</v>
      </c>
      <c r="U75" s="1210">
        <f t="shared" si="33"/>
        <v>1.3201320132013139E-2</v>
      </c>
      <c r="V75" s="1210">
        <f t="shared" si="33"/>
        <v>1.3201320132013139E-2</v>
      </c>
      <c r="W75" s="1210">
        <f t="shared" si="33"/>
        <v>1.3157894736842035E-2</v>
      </c>
      <c r="X75" s="1210"/>
      <c r="Y75" s="1210"/>
      <c r="Z75" s="1210"/>
      <c r="AA75" s="1210"/>
      <c r="AB75" s="1210"/>
      <c r="AC75" s="1210"/>
      <c r="AD75" s="1174"/>
      <c r="AE75" s="1174"/>
    </row>
    <row r="76" spans="3:31" s="1256" customFormat="1" x14ac:dyDescent="0.5">
      <c r="C76" s="1256" t="s">
        <v>1290</v>
      </c>
      <c r="D76" s="1353"/>
      <c r="E76" s="1353"/>
      <c r="F76" s="1353"/>
      <c r="G76" s="1353"/>
      <c r="H76" s="1353"/>
      <c r="I76" s="1353"/>
      <c r="J76" s="1353"/>
      <c r="K76" s="1353"/>
      <c r="L76" s="1319"/>
      <c r="M76" s="1199">
        <f t="shared" ref="M76:W76" si="34">M78/AVERAGE(L74:M74)</f>
        <v>23.603896103896105</v>
      </c>
      <c r="N76" s="1199">
        <f t="shared" si="34"/>
        <v>22.617886178861788</v>
      </c>
      <c r="O76" s="1199">
        <f t="shared" si="34"/>
        <v>27.089141004862238</v>
      </c>
      <c r="P76" s="1199">
        <f t="shared" si="34"/>
        <v>21.058441558441558</v>
      </c>
      <c r="Q76" s="1199">
        <f t="shared" si="34"/>
        <v>21.154098360655738</v>
      </c>
      <c r="R76" s="1199">
        <f t="shared" si="34"/>
        <v>19.132013201320131</v>
      </c>
      <c r="S76" s="1199">
        <f t="shared" si="34"/>
        <v>23.228995057660626</v>
      </c>
      <c r="T76" s="1199">
        <f t="shared" si="34"/>
        <v>20.76923076923077</v>
      </c>
      <c r="U76" s="1199">
        <f t="shared" si="34"/>
        <v>23.853420195439739</v>
      </c>
      <c r="V76" s="1199">
        <f t="shared" si="34"/>
        <v>25.332247557003257</v>
      </c>
      <c r="W76" s="1199">
        <f t="shared" si="34"/>
        <v>30.702439024390245</v>
      </c>
      <c r="X76" s="1199"/>
      <c r="Y76" s="1199"/>
      <c r="Z76" s="1199"/>
      <c r="AA76" s="1199"/>
      <c r="AB76" s="1319"/>
      <c r="AC76" s="1319"/>
      <c r="AD76" s="1223"/>
      <c r="AE76" s="1223"/>
    </row>
    <row r="77" spans="3:31" s="1235" customFormat="1" x14ac:dyDescent="0.5">
      <c r="C77" s="1255" t="s">
        <v>1154</v>
      </c>
      <c r="D77" s="1341"/>
      <c r="E77" s="1341"/>
      <c r="F77" s="1341"/>
      <c r="G77" s="1341"/>
      <c r="H77" s="1341"/>
      <c r="I77" s="1341"/>
      <c r="J77" s="1341"/>
      <c r="K77" s="1341"/>
      <c r="L77" s="1210">
        <f t="shared" ref="L77:W77" si="35">IFERROR(L76/H76-1,0)</f>
        <v>0</v>
      </c>
      <c r="M77" s="1210">
        <f t="shared" si="35"/>
        <v>0</v>
      </c>
      <c r="N77" s="1210">
        <f t="shared" si="35"/>
        <v>0</v>
      </c>
      <c r="O77" s="1210">
        <f t="shared" si="35"/>
        <v>0</v>
      </c>
      <c r="P77" s="1210">
        <f t="shared" si="35"/>
        <v>0</v>
      </c>
      <c r="Q77" s="1210">
        <f t="shared" si="35"/>
        <v>-0.10378785487180653</v>
      </c>
      <c r="R77" s="1210">
        <f t="shared" si="35"/>
        <v>-0.15412019275256073</v>
      </c>
      <c r="S77" s="1210">
        <f t="shared" si="35"/>
        <v>-0.14249790890411596</v>
      </c>
      <c r="T77" s="1210">
        <f t="shared" si="35"/>
        <v>-1.3733722336867538E-2</v>
      </c>
      <c r="U77" s="1210">
        <f t="shared" si="35"/>
        <v>0.1276027835723994</v>
      </c>
      <c r="V77" s="1210">
        <f t="shared" si="35"/>
        <v>0.32407642052302688</v>
      </c>
      <c r="W77" s="1210">
        <f t="shared" si="35"/>
        <v>0.32172911261027504</v>
      </c>
      <c r="X77" s="1210"/>
      <c r="Y77" s="1210"/>
      <c r="Z77" s="1210"/>
      <c r="AA77" s="1210"/>
      <c r="AB77" s="1210"/>
      <c r="AC77" s="1210"/>
      <c r="AD77" s="1174"/>
      <c r="AE77" s="1174"/>
    </row>
    <row r="78" spans="3:31" s="1197" customFormat="1" x14ac:dyDescent="0.5">
      <c r="C78" s="1345" t="s">
        <v>1279</v>
      </c>
      <c r="D78" s="1344"/>
      <c r="E78" s="1344"/>
      <c r="F78" s="1344"/>
      <c r="G78" s="1344"/>
      <c r="H78" s="1343"/>
      <c r="I78" s="1343"/>
      <c r="J78" s="1343"/>
      <c r="K78" s="1343"/>
      <c r="L78" s="1221">
        <f>[1]Historicals!AI124</f>
        <v>6523</v>
      </c>
      <c r="M78" s="1221">
        <f>[1]Historicals!AJ124</f>
        <v>7270</v>
      </c>
      <c r="N78" s="1221">
        <f>[1]Historicals!AK124</f>
        <v>6955</v>
      </c>
      <c r="O78" s="1221">
        <f>[1]Historicals!AL124</f>
        <v>8357</v>
      </c>
      <c r="P78" s="1221">
        <f>[1]Historicals!AM124</f>
        <v>6486</v>
      </c>
      <c r="Q78" s="1221">
        <f>[1]Historicals!AN124</f>
        <v>6452</v>
      </c>
      <c r="R78" s="1221">
        <f>[1]Historicals!AO124</f>
        <v>5797</v>
      </c>
      <c r="S78" s="1221">
        <f>[1]Historicals!AP124</f>
        <v>7050</v>
      </c>
      <c r="T78" s="1221">
        <f>[1]Historicals!AQ124</f>
        <v>6345</v>
      </c>
      <c r="U78" s="1221">
        <f>[1]Historicals!AR124</f>
        <v>7323</v>
      </c>
      <c r="V78" s="1221">
        <f>[1]Historicals!AS124</f>
        <v>7777</v>
      </c>
      <c r="W78" s="1221">
        <f>[1]Historicals!AT124</f>
        <v>9441</v>
      </c>
      <c r="X78" s="1221"/>
      <c r="Y78" s="1221"/>
      <c r="Z78" s="1221"/>
      <c r="AA78" s="1221"/>
      <c r="AB78" s="1221"/>
      <c r="AC78" s="1221"/>
      <c r="AD78" s="1343"/>
      <c r="AE78" s="1342"/>
    </row>
    <row r="79" spans="3:31" s="1235" customFormat="1" x14ac:dyDescent="0.5">
      <c r="C79" s="1255" t="s">
        <v>1154</v>
      </c>
      <c r="D79" s="1341"/>
      <c r="E79" s="1341"/>
      <c r="F79" s="1341"/>
      <c r="G79" s="1341"/>
      <c r="H79" s="1341"/>
      <c r="I79" s="1341"/>
      <c r="J79" s="1341"/>
      <c r="K79" s="1341"/>
      <c r="L79" s="1210">
        <f t="shared" ref="L79:W79" si="36">IFERROR(L78/H78-1,0)</f>
        <v>0</v>
      </c>
      <c r="M79" s="1210">
        <f t="shared" si="36"/>
        <v>0</v>
      </c>
      <c r="N79" s="1210">
        <f t="shared" si="36"/>
        <v>0</v>
      </c>
      <c r="O79" s="1210">
        <f t="shared" si="36"/>
        <v>0</v>
      </c>
      <c r="P79" s="1210">
        <f t="shared" si="36"/>
        <v>-5.6722367009044428E-3</v>
      </c>
      <c r="Q79" s="1210">
        <f t="shared" si="36"/>
        <v>-0.11251719394773041</v>
      </c>
      <c r="R79" s="1210">
        <f t="shared" si="36"/>
        <v>-0.16649892163910851</v>
      </c>
      <c r="S79" s="1210">
        <f t="shared" si="36"/>
        <v>-0.15639583582625349</v>
      </c>
      <c r="T79" s="1210">
        <f t="shared" si="36"/>
        <v>-2.1739130434782594E-2</v>
      </c>
      <c r="U79" s="1210">
        <f t="shared" si="36"/>
        <v>0.13499690018598876</v>
      </c>
      <c r="V79" s="1210">
        <f t="shared" si="36"/>
        <v>0.34155597722960152</v>
      </c>
      <c r="W79" s="1210">
        <f t="shared" si="36"/>
        <v>0.33914893617021269</v>
      </c>
      <c r="X79" s="1210"/>
      <c r="Y79" s="1210"/>
      <c r="Z79" s="1210"/>
      <c r="AA79" s="1210"/>
      <c r="AB79" s="1210"/>
      <c r="AC79" s="1210"/>
      <c r="AD79" s="1174"/>
      <c r="AE79" s="1174"/>
    </row>
    <row r="81" spans="3:31" s="1197" customFormat="1" x14ac:dyDescent="0.5">
      <c r="C81" s="1197" t="s">
        <v>1291</v>
      </c>
      <c r="D81" s="1291"/>
      <c r="E81" s="1291"/>
      <c r="F81" s="1291"/>
      <c r="G81" s="1291"/>
      <c r="H81" s="1291"/>
      <c r="I81" s="1291"/>
      <c r="J81" s="1291"/>
      <c r="K81" s="1291"/>
      <c r="L81" s="1199">
        <f>[1]Historicals!AI244</f>
        <v>760</v>
      </c>
      <c r="M81" s="1199">
        <f>[1]Historicals!AJ244</f>
        <v>788</v>
      </c>
      <c r="N81" s="1199">
        <f>[1]Historicals!AK244</f>
        <v>805</v>
      </c>
      <c r="O81" s="1199">
        <f>[1]Historicals!AL244</f>
        <v>806</v>
      </c>
      <c r="P81" s="1199">
        <f>[1]Historicals!AM244</f>
        <v>827</v>
      </c>
      <c r="Q81" s="1199">
        <f>[1]Historicals!AN244</f>
        <v>836</v>
      </c>
      <c r="R81" s="1199">
        <f>[1]Historicals!AO244</f>
        <v>845</v>
      </c>
      <c r="S81" s="1199">
        <f>[1]Historicals!AP244</f>
        <v>854</v>
      </c>
      <c r="T81" s="1199">
        <f>[1]Historicals!AQ244</f>
        <v>873</v>
      </c>
      <c r="U81" s="1199">
        <f>[1]Historicals!AR244</f>
        <v>891</v>
      </c>
      <c r="V81" s="1199">
        <f>[1]Historicals!AS244</f>
        <v>899</v>
      </c>
      <c r="W81" s="1199">
        <f>[1]Historicals!AT244</f>
        <v>914</v>
      </c>
      <c r="X81" s="1199"/>
      <c r="Y81" s="1199"/>
      <c r="Z81" s="1199"/>
      <c r="AA81" s="1199"/>
      <c r="AB81" s="1199"/>
      <c r="AC81" s="1199"/>
      <c r="AD81" s="1295"/>
      <c r="AE81" s="1295"/>
    </row>
    <row r="82" spans="3:31" s="1235" customFormat="1" x14ac:dyDescent="0.5">
      <c r="C82" s="1255" t="s">
        <v>1154</v>
      </c>
      <c r="D82" s="1341"/>
      <c r="E82" s="1341"/>
      <c r="F82" s="1341"/>
      <c r="G82" s="1341"/>
      <c r="H82" s="1341"/>
      <c r="I82" s="1341"/>
      <c r="J82" s="1341"/>
      <c r="K82" s="1341"/>
      <c r="L82" s="1210">
        <f t="shared" ref="L82:W82" si="37">IFERROR(L81/H81-1,0)</f>
        <v>0</v>
      </c>
      <c r="M82" s="1210">
        <f t="shared" si="37"/>
        <v>0</v>
      </c>
      <c r="N82" s="1210">
        <f t="shared" si="37"/>
        <v>0</v>
      </c>
      <c r="O82" s="1210">
        <f t="shared" si="37"/>
        <v>0</v>
      </c>
      <c r="P82" s="1210">
        <f t="shared" si="37"/>
        <v>8.8157894736842213E-2</v>
      </c>
      <c r="Q82" s="1210">
        <f t="shared" si="37"/>
        <v>6.0913705583756306E-2</v>
      </c>
      <c r="R82" s="1210">
        <f t="shared" si="37"/>
        <v>4.9689440993788914E-2</v>
      </c>
      <c r="S82" s="1210">
        <f t="shared" si="37"/>
        <v>5.9553349875930417E-2</v>
      </c>
      <c r="T82" s="1210">
        <f t="shared" si="37"/>
        <v>5.5622732769044836E-2</v>
      </c>
      <c r="U82" s="1210">
        <f t="shared" si="37"/>
        <v>6.578947368421062E-2</v>
      </c>
      <c r="V82" s="1210">
        <f t="shared" si="37"/>
        <v>6.3905325443786909E-2</v>
      </c>
      <c r="W82" s="1210">
        <f t="shared" si="37"/>
        <v>7.0257611241217877E-2</v>
      </c>
      <c r="X82" s="1210"/>
      <c r="Y82" s="1210"/>
      <c r="Z82" s="1210"/>
      <c r="AA82" s="1210"/>
      <c r="AB82" s="1210"/>
      <c r="AC82" s="1210"/>
      <c r="AD82" s="1174"/>
      <c r="AE82" s="1174"/>
    </row>
    <row r="83" spans="3:31" s="1256" customFormat="1" x14ac:dyDescent="0.5">
      <c r="C83" s="1256" t="s">
        <v>1290</v>
      </c>
      <c r="D83" s="1353"/>
      <c r="E83" s="1353"/>
      <c r="F83" s="1353"/>
      <c r="G83" s="1353"/>
      <c r="H83" s="1353"/>
      <c r="I83" s="1353"/>
      <c r="J83" s="1353"/>
      <c r="K83" s="1353"/>
      <c r="L83" s="1319"/>
      <c r="M83" s="1199">
        <f t="shared" ref="M83:W83" si="38">M85/AVERAGE(L81:M81)</f>
        <v>6.7054263565891477</v>
      </c>
      <c r="N83" s="1199">
        <f t="shared" si="38"/>
        <v>6.8562460765850597</v>
      </c>
      <c r="O83" s="1199">
        <f t="shared" si="38"/>
        <v>7.7517070142768469</v>
      </c>
      <c r="P83" s="1199">
        <f t="shared" si="38"/>
        <v>7.0532761788120029</v>
      </c>
      <c r="Q83" s="1199">
        <f t="shared" si="38"/>
        <v>7.1052315093205047</v>
      </c>
      <c r="R83" s="1199">
        <f t="shared" si="38"/>
        <v>6.8792385484830456</v>
      </c>
      <c r="S83" s="1199">
        <f t="shared" si="38"/>
        <v>7.1218363743378461</v>
      </c>
      <c r="T83" s="1199">
        <f t="shared" si="38"/>
        <v>6.9021424435437178</v>
      </c>
      <c r="U83" s="1199">
        <f t="shared" si="38"/>
        <v>7.3866213151927438</v>
      </c>
      <c r="V83" s="1199">
        <f t="shared" si="38"/>
        <v>7.7407821229050278</v>
      </c>
      <c r="W83" s="1199">
        <f t="shared" si="38"/>
        <v>8.2868174296745725</v>
      </c>
      <c r="X83" s="1199"/>
      <c r="Y83" s="1199"/>
      <c r="Z83" s="1199"/>
      <c r="AA83" s="1199"/>
      <c r="AB83" s="1319"/>
      <c r="AC83" s="1319"/>
      <c r="AD83" s="1223"/>
      <c r="AE83" s="1223"/>
    </row>
    <row r="84" spans="3:31" s="1235" customFormat="1" x14ac:dyDescent="0.5">
      <c r="C84" s="1255" t="s">
        <v>1154</v>
      </c>
      <c r="D84" s="1341"/>
      <c r="E84" s="1341"/>
      <c r="F84" s="1341"/>
      <c r="G84" s="1341"/>
      <c r="H84" s="1341"/>
      <c r="I84" s="1341"/>
      <c r="J84" s="1341"/>
      <c r="K84" s="1341"/>
      <c r="L84" s="1210">
        <f t="shared" ref="L84:W84" si="39">IFERROR(L83/H83-1,0)</f>
        <v>0</v>
      </c>
      <c r="M84" s="1210">
        <f t="shared" si="39"/>
        <v>0</v>
      </c>
      <c r="N84" s="1210">
        <f t="shared" si="39"/>
        <v>0</v>
      </c>
      <c r="O84" s="1210">
        <f t="shared" si="39"/>
        <v>0</v>
      </c>
      <c r="P84" s="1210">
        <f t="shared" si="39"/>
        <v>0</v>
      </c>
      <c r="Q84" s="1210">
        <f t="shared" si="39"/>
        <v>5.9624121043173384E-2</v>
      </c>
      <c r="R84" s="1210">
        <f t="shared" si="39"/>
        <v>3.3535073918231628E-3</v>
      </c>
      <c r="S84" s="1210">
        <f t="shared" si="39"/>
        <v>-8.1255733579574829E-2</v>
      </c>
      <c r="T84" s="1210">
        <f t="shared" si="39"/>
        <v>-2.1427451787906726E-2</v>
      </c>
      <c r="U84" s="1210">
        <f t="shared" si="39"/>
        <v>3.9603186117597611E-2</v>
      </c>
      <c r="V84" s="1210">
        <f t="shared" si="39"/>
        <v>0.12523821762394949</v>
      </c>
      <c r="W84" s="1210">
        <f t="shared" si="39"/>
        <v>0.16357874487744617</v>
      </c>
      <c r="X84" s="1210"/>
      <c r="Y84" s="1210"/>
      <c r="Z84" s="1210"/>
      <c r="AA84" s="1210"/>
      <c r="AB84" s="1210"/>
      <c r="AC84" s="1210"/>
      <c r="AD84" s="1174"/>
      <c r="AE84" s="1174"/>
    </row>
    <row r="85" spans="3:31" s="1197" customFormat="1" x14ac:dyDescent="0.5">
      <c r="C85" s="1345" t="s">
        <v>1276</v>
      </c>
      <c r="D85" s="1344"/>
      <c r="E85" s="1344"/>
      <c r="F85" s="1344"/>
      <c r="G85" s="1344"/>
      <c r="H85" s="1343"/>
      <c r="I85" s="1343"/>
      <c r="J85" s="1343"/>
      <c r="K85" s="1343"/>
      <c r="L85" s="1221">
        <f>[1]Historicals!AI125</f>
        <v>4789</v>
      </c>
      <c r="M85" s="1221">
        <f>[1]Historicals!AJ125</f>
        <v>5190</v>
      </c>
      <c r="N85" s="1221">
        <f>[1]Historicals!AK125</f>
        <v>5461</v>
      </c>
      <c r="O85" s="1221">
        <f>[1]Historicals!AL125</f>
        <v>6244</v>
      </c>
      <c r="P85" s="1221">
        <f>[1]Historicals!AM125</f>
        <v>5759</v>
      </c>
      <c r="Q85" s="1221">
        <f>[1]Historicals!AN125</f>
        <v>5908</v>
      </c>
      <c r="R85" s="1221">
        <f>[1]Historicals!AO125</f>
        <v>5782</v>
      </c>
      <c r="S85" s="1221">
        <f>[1]Historicals!AP125</f>
        <v>6050</v>
      </c>
      <c r="T85" s="1221">
        <f>[1]Historicals!AQ125</f>
        <v>5960</v>
      </c>
      <c r="U85" s="1221">
        <f>[1]Historicals!AR125</f>
        <v>6515</v>
      </c>
      <c r="V85" s="1221">
        <f>[1]Historicals!AS125</f>
        <v>6928</v>
      </c>
      <c r="W85" s="1221">
        <f>[1]Historicals!AT125</f>
        <v>7512</v>
      </c>
      <c r="X85" s="1221"/>
      <c r="Y85" s="1221"/>
      <c r="Z85" s="1221"/>
      <c r="AA85" s="1221"/>
      <c r="AB85" s="1221"/>
      <c r="AC85" s="1221"/>
      <c r="AD85" s="1343"/>
      <c r="AE85" s="1342"/>
    </row>
    <row r="86" spans="3:31" s="1235" customFormat="1" x14ac:dyDescent="0.5">
      <c r="C86" s="1255" t="s">
        <v>1154</v>
      </c>
      <c r="D86" s="1341"/>
      <c r="E86" s="1341"/>
      <c r="F86" s="1341"/>
      <c r="G86" s="1341"/>
      <c r="H86" s="1341"/>
      <c r="I86" s="1341"/>
      <c r="J86" s="1341"/>
      <c r="K86" s="1341"/>
      <c r="L86" s="1210">
        <f t="shared" ref="L86:W86" si="40">IFERROR(L85/H85-1,0)</f>
        <v>0</v>
      </c>
      <c r="M86" s="1210">
        <f t="shared" si="40"/>
        <v>0</v>
      </c>
      <c r="N86" s="1210">
        <f t="shared" si="40"/>
        <v>0</v>
      </c>
      <c r="O86" s="1210">
        <f t="shared" si="40"/>
        <v>0</v>
      </c>
      <c r="P86" s="1210">
        <f t="shared" si="40"/>
        <v>0.20254750469826677</v>
      </c>
      <c r="Q86" s="1210">
        <f t="shared" si="40"/>
        <v>0.13834296724470141</v>
      </c>
      <c r="R86" s="1210">
        <f t="shared" si="40"/>
        <v>5.8780443142281591E-2</v>
      </c>
      <c r="S86" s="1210">
        <f t="shared" si="40"/>
        <v>-3.1069827033952557E-2</v>
      </c>
      <c r="T86" s="1210">
        <f t="shared" si="40"/>
        <v>3.4901892689703118E-2</v>
      </c>
      <c r="U86" s="1210">
        <f t="shared" si="40"/>
        <v>0.10274204468517256</v>
      </c>
      <c r="V86" s="1210">
        <f t="shared" si="40"/>
        <v>0.19820131442407463</v>
      </c>
      <c r="W86" s="1210">
        <f t="shared" si="40"/>
        <v>0.24165289256198341</v>
      </c>
      <c r="X86" s="1210"/>
      <c r="Y86" s="1210"/>
      <c r="Z86" s="1210"/>
      <c r="AA86" s="1210"/>
      <c r="AB86" s="1210"/>
      <c r="AC86" s="1210"/>
      <c r="AD86" s="1174"/>
      <c r="AE86" s="1174"/>
    </row>
    <row r="88" spans="3:31" s="1197" customFormat="1" x14ac:dyDescent="0.5">
      <c r="C88" s="1197" t="s">
        <v>1148</v>
      </c>
      <c r="D88" s="1291"/>
      <c r="E88" s="1291"/>
      <c r="F88" s="1291"/>
      <c r="G88" s="1291"/>
      <c r="H88" s="1291"/>
      <c r="I88" s="1291"/>
      <c r="J88" s="1291"/>
      <c r="K88" s="1291"/>
      <c r="L88" s="1199">
        <f>[1]Historicals!AI245</f>
        <v>613</v>
      </c>
      <c r="M88" s="1199">
        <f>[1]Historicals!AJ245</f>
        <v>618</v>
      </c>
      <c r="N88" s="1199">
        <f>[1]Historicals!AK245</f>
        <v>622</v>
      </c>
      <c r="O88" s="1199">
        <f>[1]Historicals!AL245</f>
        <v>619</v>
      </c>
      <c r="P88" s="1199">
        <f>[1]Historicals!AM245</f>
        <v>629</v>
      </c>
      <c r="Q88" s="1199">
        <f>[1]Historicals!AN245</f>
        <v>631</v>
      </c>
      <c r="R88" s="1199">
        <f>[1]Historicals!AO245</f>
        <v>638</v>
      </c>
      <c r="S88" s="1199">
        <f>[1]Historicals!AP245</f>
        <v>643</v>
      </c>
      <c r="T88" s="1199">
        <f>[1]Historicals!AQ245</f>
        <v>657</v>
      </c>
      <c r="U88" s="1199">
        <f>[1]Historicals!AR245</f>
        <v>665</v>
      </c>
      <c r="V88" s="1199">
        <f>[1]Historicals!AS245</f>
        <v>676</v>
      </c>
      <c r="W88" s="1199">
        <f>[1]Historicals!AT245</f>
        <v>683</v>
      </c>
      <c r="X88" s="1199"/>
      <c r="Y88" s="1199"/>
      <c r="Z88" s="1199"/>
      <c r="AA88" s="1199"/>
      <c r="AB88" s="1199"/>
      <c r="AC88" s="1199"/>
      <c r="AD88" s="1295"/>
      <c r="AE88" s="1295"/>
    </row>
    <row r="89" spans="3:31" s="1235" customFormat="1" x14ac:dyDescent="0.5">
      <c r="C89" s="1255" t="s">
        <v>1154</v>
      </c>
      <c r="D89" s="1341"/>
      <c r="E89" s="1341"/>
      <c r="F89" s="1341"/>
      <c r="G89" s="1341"/>
      <c r="H89" s="1341"/>
      <c r="I89" s="1341"/>
      <c r="J89" s="1341"/>
      <c r="K89" s="1341"/>
      <c r="L89" s="1210">
        <f t="shared" ref="L89:W89" si="41">IFERROR(L88/H88-1,0)</f>
        <v>0</v>
      </c>
      <c r="M89" s="1210">
        <f t="shared" si="41"/>
        <v>0</v>
      </c>
      <c r="N89" s="1210">
        <f t="shared" si="41"/>
        <v>0</v>
      </c>
      <c r="O89" s="1210">
        <f t="shared" si="41"/>
        <v>0</v>
      </c>
      <c r="P89" s="1210">
        <f t="shared" si="41"/>
        <v>2.610114192495927E-2</v>
      </c>
      <c r="Q89" s="1210">
        <f t="shared" si="41"/>
        <v>2.1035598705501535E-2</v>
      </c>
      <c r="R89" s="1210">
        <f t="shared" si="41"/>
        <v>2.5723472668810254E-2</v>
      </c>
      <c r="S89" s="1210">
        <f t="shared" si="41"/>
        <v>3.8772213247172838E-2</v>
      </c>
      <c r="T89" s="1210">
        <f t="shared" si="41"/>
        <v>4.4515103338632844E-2</v>
      </c>
      <c r="U89" s="1210">
        <f t="shared" si="41"/>
        <v>5.3882725832012701E-2</v>
      </c>
      <c r="V89" s="1210">
        <f t="shared" si="41"/>
        <v>5.9561128526645746E-2</v>
      </c>
      <c r="W89" s="1210">
        <f t="shared" si="41"/>
        <v>6.2208398133748011E-2</v>
      </c>
      <c r="X89" s="1210"/>
      <c r="Y89" s="1210"/>
      <c r="Z89" s="1210"/>
      <c r="AA89" s="1210"/>
      <c r="AB89" s="1210"/>
      <c r="AC89" s="1210"/>
      <c r="AD89" s="1174"/>
      <c r="AE89" s="1174"/>
    </row>
    <row r="90" spans="3:31" s="1256" customFormat="1" x14ac:dyDescent="0.5">
      <c r="C90" s="1256" t="s">
        <v>1290</v>
      </c>
      <c r="D90" s="1353"/>
      <c r="E90" s="1353"/>
      <c r="F90" s="1353"/>
      <c r="G90" s="1353"/>
      <c r="H90" s="1353"/>
      <c r="I90" s="1353"/>
      <c r="J90" s="1353"/>
      <c r="K90" s="1353"/>
      <c r="L90" s="1319"/>
      <c r="M90" s="1199">
        <f t="shared" ref="M90:W90" si="42">M92/AVERAGE(L88:M88)</f>
        <v>4.6774979691307879</v>
      </c>
      <c r="N90" s="1199">
        <f t="shared" si="42"/>
        <v>4.8080645161290319</v>
      </c>
      <c r="O90" s="1199">
        <f t="shared" si="42"/>
        <v>5.2280419016921833</v>
      </c>
      <c r="P90" s="1199">
        <f t="shared" si="42"/>
        <v>4.7948717948717947</v>
      </c>
      <c r="Q90" s="1199">
        <f t="shared" si="42"/>
        <v>5.0999999999999996</v>
      </c>
      <c r="R90" s="1199">
        <f t="shared" si="42"/>
        <v>4.8857368006304176</v>
      </c>
      <c r="S90" s="1199">
        <f t="shared" si="42"/>
        <v>5.3536299765807964</v>
      </c>
      <c r="T90" s="1199">
        <f t="shared" si="42"/>
        <v>5.0646153846153847</v>
      </c>
      <c r="U90" s="1199">
        <f t="shared" si="42"/>
        <v>5.6565809379727687</v>
      </c>
      <c r="V90" s="1199">
        <f t="shared" si="42"/>
        <v>6.3400447427293063</v>
      </c>
      <c r="W90" s="1199">
        <f t="shared" si="42"/>
        <v>6.7299484915378951</v>
      </c>
      <c r="X90" s="1199"/>
      <c r="Y90" s="1199"/>
      <c r="Z90" s="1199"/>
      <c r="AA90" s="1199"/>
      <c r="AB90" s="1319"/>
      <c r="AC90" s="1319"/>
      <c r="AD90" s="1223"/>
      <c r="AE90" s="1223"/>
    </row>
    <row r="91" spans="3:31" s="1235" customFormat="1" x14ac:dyDescent="0.5">
      <c r="C91" s="1255" t="s">
        <v>1154</v>
      </c>
      <c r="D91" s="1341"/>
      <c r="E91" s="1341"/>
      <c r="F91" s="1341"/>
      <c r="G91" s="1341"/>
      <c r="H91" s="1341"/>
      <c r="I91" s="1341"/>
      <c r="J91" s="1341"/>
      <c r="K91" s="1341"/>
      <c r="L91" s="1210">
        <f t="shared" ref="L91:W91" si="43">IFERROR(L90/H90-1,0)</f>
        <v>0</v>
      </c>
      <c r="M91" s="1210">
        <f t="shared" si="43"/>
        <v>0</v>
      </c>
      <c r="N91" s="1210">
        <f t="shared" si="43"/>
        <v>0</v>
      </c>
      <c r="O91" s="1210">
        <f t="shared" si="43"/>
        <v>0</v>
      </c>
      <c r="P91" s="1210">
        <f t="shared" si="43"/>
        <v>0</v>
      </c>
      <c r="Q91" s="1210">
        <f t="shared" si="43"/>
        <v>9.0326502257728425E-2</v>
      </c>
      <c r="R91" s="1210">
        <f t="shared" si="43"/>
        <v>1.6154584498778712E-2</v>
      </c>
      <c r="S91" s="1210">
        <f t="shared" si="43"/>
        <v>2.4022010008749817E-2</v>
      </c>
      <c r="T91" s="1210">
        <f t="shared" si="43"/>
        <v>5.6256684491978737E-2</v>
      </c>
      <c r="U91" s="1210">
        <f t="shared" si="43"/>
        <v>0.10913351724956266</v>
      </c>
      <c r="V91" s="1210">
        <f t="shared" si="43"/>
        <v>0.2976639965360468</v>
      </c>
      <c r="W91" s="1210">
        <f t="shared" si="43"/>
        <v>0.25708136740449739</v>
      </c>
      <c r="X91" s="1210"/>
      <c r="Y91" s="1210"/>
      <c r="Z91" s="1210"/>
      <c r="AA91" s="1210"/>
      <c r="AB91" s="1210"/>
      <c r="AC91" s="1210"/>
      <c r="AD91" s="1174"/>
      <c r="AE91" s="1174"/>
    </row>
    <row r="92" spans="3:31" s="1197" customFormat="1" x14ac:dyDescent="0.5">
      <c r="C92" s="1197" t="s">
        <v>1148</v>
      </c>
      <c r="D92" s="1291"/>
      <c r="E92" s="1291"/>
      <c r="F92" s="1291"/>
      <c r="G92" s="1291"/>
      <c r="H92" s="1291"/>
      <c r="I92" s="1291"/>
      <c r="J92" s="1291"/>
      <c r="K92" s="1291"/>
      <c r="L92" s="1199">
        <f>[1]Historicals!AI126</f>
        <v>2454</v>
      </c>
      <c r="M92" s="1199">
        <f>[1]Historicals!AJ126</f>
        <v>2879</v>
      </c>
      <c r="N92" s="1199">
        <f>[1]Historicals!AK126</f>
        <v>2981</v>
      </c>
      <c r="O92" s="1199">
        <f>[1]Historicals!AL126</f>
        <v>3244</v>
      </c>
      <c r="P92" s="1199">
        <f>[1]Historicals!AM126</f>
        <v>2992</v>
      </c>
      <c r="Q92" s="1199">
        <f>[1]Historicals!AN126</f>
        <v>3213</v>
      </c>
      <c r="R92" s="1199">
        <f>[1]Historicals!AO126</f>
        <v>3100</v>
      </c>
      <c r="S92" s="1199">
        <f>[1]Historicals!AP126</f>
        <v>3429</v>
      </c>
      <c r="T92" s="1199">
        <f>[1]Historicals!AQ126</f>
        <v>3292</v>
      </c>
      <c r="U92" s="1199">
        <f>[1]Historicals!AR126</f>
        <v>3739</v>
      </c>
      <c r="V92" s="1199">
        <f>[1]Historicals!AS126</f>
        <v>4251</v>
      </c>
      <c r="W92" s="1199">
        <f>[1]Historicals!AT126</f>
        <v>4573</v>
      </c>
      <c r="X92" s="1199"/>
      <c r="Y92" s="1199"/>
      <c r="Z92" s="1199"/>
      <c r="AA92" s="1199"/>
      <c r="AB92" s="1199"/>
      <c r="AC92" s="1199"/>
      <c r="AD92" s="1295"/>
      <c r="AE92" s="1295"/>
    </row>
    <row r="93" spans="3:31" s="1235" customFormat="1" x14ac:dyDescent="0.5">
      <c r="C93" s="1255" t="s">
        <v>1154</v>
      </c>
      <c r="D93" s="1341"/>
      <c r="E93" s="1341"/>
      <c r="F93" s="1341"/>
      <c r="G93" s="1341"/>
      <c r="H93" s="1341"/>
      <c r="I93" s="1341"/>
      <c r="J93" s="1341"/>
      <c r="K93" s="1341"/>
      <c r="L93" s="1210">
        <f t="shared" ref="L93:W93" si="44">IFERROR(L92/H92-1,0)</f>
        <v>0</v>
      </c>
      <c r="M93" s="1210">
        <f t="shared" si="44"/>
        <v>0</v>
      </c>
      <c r="N93" s="1210">
        <f t="shared" si="44"/>
        <v>0</v>
      </c>
      <c r="O93" s="1210">
        <f t="shared" si="44"/>
        <v>0</v>
      </c>
      <c r="P93" s="1210">
        <f t="shared" si="44"/>
        <v>0.21923390383048091</v>
      </c>
      <c r="Q93" s="1210">
        <f t="shared" si="44"/>
        <v>0.11601250434178545</v>
      </c>
      <c r="R93" s="1210">
        <f t="shared" si="44"/>
        <v>3.9919490103991873E-2</v>
      </c>
      <c r="S93" s="1210">
        <f t="shared" si="44"/>
        <v>5.7028360049321769E-2</v>
      </c>
      <c r="T93" s="1210">
        <f t="shared" si="44"/>
        <v>0.10026737967914445</v>
      </c>
      <c r="U93" s="1210">
        <f t="shared" si="44"/>
        <v>0.16370992841581078</v>
      </c>
      <c r="V93" s="1210">
        <f t="shared" si="44"/>
        <v>0.3712903225806452</v>
      </c>
      <c r="W93" s="1210">
        <f t="shared" si="44"/>
        <v>0.3336249635462234</v>
      </c>
      <c r="X93" s="1210"/>
      <c r="Y93" s="1210"/>
      <c r="Z93" s="1210"/>
      <c r="AA93" s="1210"/>
      <c r="AB93" s="1210"/>
      <c r="AC93" s="1210"/>
      <c r="AD93" s="1174"/>
      <c r="AE93" s="1174"/>
    </row>
    <row r="94" spans="3:31" s="1197" customFormat="1" x14ac:dyDescent="0.5">
      <c r="C94" s="1345" t="s">
        <v>1273</v>
      </c>
      <c r="D94" s="1344"/>
      <c r="E94" s="1344"/>
      <c r="F94" s="1344"/>
      <c r="G94" s="1344"/>
      <c r="H94" s="1343"/>
      <c r="I94" s="1343"/>
      <c r="J94" s="1343"/>
      <c r="K94" s="1343"/>
      <c r="L94" s="1221">
        <f t="shared" ref="L94:W94" si="45">L71+L78+L85+L92</f>
        <v>26171</v>
      </c>
      <c r="M94" s="1221">
        <f t="shared" si="45"/>
        <v>29077</v>
      </c>
      <c r="N94" s="1221">
        <f t="shared" si="45"/>
        <v>29010</v>
      </c>
      <c r="O94" s="1221">
        <f t="shared" si="45"/>
        <v>33671</v>
      </c>
      <c r="P94" s="1221">
        <f t="shared" si="45"/>
        <v>27908</v>
      </c>
      <c r="Q94" s="1221">
        <f t="shared" si="45"/>
        <v>28822</v>
      </c>
      <c r="R94" s="1221">
        <f t="shared" si="45"/>
        <v>27714</v>
      </c>
      <c r="S94" s="1221">
        <f t="shared" si="45"/>
        <v>32165</v>
      </c>
      <c r="T94" s="1221">
        <f t="shared" si="45"/>
        <v>28645</v>
      </c>
      <c r="U94" s="1221">
        <f t="shared" si="45"/>
        <v>31999</v>
      </c>
      <c r="V94" s="1221">
        <f t="shared" si="45"/>
        <v>34146</v>
      </c>
      <c r="W94" s="1221">
        <f t="shared" si="45"/>
        <v>40111</v>
      </c>
      <c r="X94" s="1221"/>
      <c r="Y94" s="1221"/>
      <c r="Z94" s="1221"/>
      <c r="AA94" s="1221"/>
      <c r="AB94" s="1221"/>
      <c r="AC94" s="1221"/>
      <c r="AD94" s="1343"/>
      <c r="AE94" s="1342"/>
    </row>
    <row r="95" spans="3:31" s="1235" customFormat="1" x14ac:dyDescent="0.5">
      <c r="C95" s="1255" t="s">
        <v>1154</v>
      </c>
      <c r="D95" s="1341"/>
      <c r="E95" s="1341"/>
      <c r="F95" s="1341"/>
      <c r="G95" s="1341"/>
      <c r="H95" s="1341"/>
      <c r="I95" s="1341"/>
      <c r="J95" s="1341"/>
      <c r="K95" s="1341"/>
      <c r="L95" s="1210">
        <f t="shared" ref="L95:W95" si="46">IFERROR(L94/H94-1,0)</f>
        <v>0</v>
      </c>
      <c r="M95" s="1210">
        <f t="shared" si="46"/>
        <v>0</v>
      </c>
      <c r="N95" s="1210">
        <f t="shared" si="46"/>
        <v>0</v>
      </c>
      <c r="O95" s="1210">
        <f t="shared" si="46"/>
        <v>0</v>
      </c>
      <c r="P95" s="1210">
        <f t="shared" si="46"/>
        <v>6.6371174200450911E-2</v>
      </c>
      <c r="Q95" s="1210">
        <f t="shared" si="46"/>
        <v>-8.7698180692643568E-3</v>
      </c>
      <c r="R95" s="1210">
        <f t="shared" si="46"/>
        <v>-4.4674250258531556E-2</v>
      </c>
      <c r="S95" s="1210">
        <f t="shared" si="46"/>
        <v>-4.4726916337501144E-2</v>
      </c>
      <c r="T95" s="1210">
        <f t="shared" si="46"/>
        <v>2.6408198366060009E-2</v>
      </c>
      <c r="U95" s="1210">
        <f t="shared" si="46"/>
        <v>0.11022829782804799</v>
      </c>
      <c r="V95" s="1210">
        <f t="shared" si="46"/>
        <v>0.23208486685429741</v>
      </c>
      <c r="W95" s="1210">
        <f t="shared" si="46"/>
        <v>0.24703870666873939</v>
      </c>
      <c r="X95" s="1210"/>
      <c r="Y95" s="1210"/>
      <c r="Z95" s="1210"/>
      <c r="AA95" s="1210"/>
      <c r="AB95" s="1210"/>
      <c r="AC95" s="1210"/>
      <c r="AD95" s="1174"/>
      <c r="AE95" s="1174"/>
    </row>
    <row r="96" spans="3:31" s="1172" customFormat="1" x14ac:dyDescent="0.5">
      <c r="C96" s="1175"/>
      <c r="D96" s="1333"/>
      <c r="E96" s="1333"/>
      <c r="F96" s="1333"/>
      <c r="G96" s="1333"/>
      <c r="H96" s="1333"/>
      <c r="I96" s="1333"/>
      <c r="J96" s="1333"/>
      <c r="K96" s="1333"/>
      <c r="L96" s="1213"/>
      <c r="M96" s="1213"/>
      <c r="N96" s="1213"/>
      <c r="O96" s="1213"/>
      <c r="P96" s="1213"/>
      <c r="Q96" s="1213"/>
      <c r="R96" s="1213"/>
      <c r="S96" s="1213"/>
      <c r="T96" s="1210"/>
      <c r="U96" s="1210"/>
      <c r="V96" s="1210"/>
      <c r="W96" s="1210"/>
      <c r="X96" s="1210"/>
      <c r="Y96" s="1210"/>
      <c r="Z96" s="1210"/>
      <c r="AA96" s="1210"/>
      <c r="AB96" s="1213"/>
      <c r="AC96" s="1213"/>
      <c r="AD96" s="1245"/>
      <c r="AE96" s="1245"/>
    </row>
    <row r="97" spans="3:31" s="1346" customFormat="1" x14ac:dyDescent="0.5">
      <c r="C97" s="1352" t="s">
        <v>1289</v>
      </c>
      <c r="D97" s="1351"/>
      <c r="E97" s="1351"/>
      <c r="F97" s="1351"/>
      <c r="G97" s="1351"/>
      <c r="H97" s="1351"/>
      <c r="I97" s="1351"/>
      <c r="J97" s="1351"/>
      <c r="K97" s="1351"/>
      <c r="L97" s="1350"/>
      <c r="M97" s="1350"/>
      <c r="N97" s="1350"/>
      <c r="O97" s="1350"/>
      <c r="P97" s="1350"/>
      <c r="Q97" s="1350"/>
      <c r="R97" s="1350"/>
      <c r="S97" s="1350"/>
      <c r="T97" s="1349"/>
      <c r="U97" s="1349"/>
      <c r="V97" s="1349"/>
      <c r="W97" s="1349"/>
      <c r="X97" s="1349"/>
      <c r="Y97" s="1349"/>
      <c r="Z97" s="1349"/>
      <c r="AA97" s="1349"/>
      <c r="AB97" s="1348"/>
      <c r="AC97" s="1348"/>
      <c r="AD97" s="1347"/>
      <c r="AE97" s="1347"/>
    </row>
    <row r="99" spans="3:31" s="1235" customFormat="1" x14ac:dyDescent="0.5">
      <c r="C99" s="1255" t="s">
        <v>1154</v>
      </c>
      <c r="D99" s="1341"/>
      <c r="E99" s="1341"/>
      <c r="F99" s="1341"/>
      <c r="G99" s="1341"/>
      <c r="H99" s="1341"/>
      <c r="I99" s="1341"/>
      <c r="J99" s="1341"/>
      <c r="K99" s="1341"/>
      <c r="L99" s="1210">
        <f t="shared" ref="L99:AA99" si="47">IFERROR(L67/H67-1,0)</f>
        <v>0</v>
      </c>
      <c r="M99" s="1210">
        <f t="shared" si="47"/>
        <v>0</v>
      </c>
      <c r="N99" s="1210">
        <f t="shared" si="47"/>
        <v>0</v>
      </c>
      <c r="O99" s="1210">
        <f t="shared" si="47"/>
        <v>0</v>
      </c>
      <c r="P99" s="1210">
        <f t="shared" si="47"/>
        <v>5.12820512820511E-3</v>
      </c>
      <c r="Q99" s="1210">
        <f t="shared" si="47"/>
        <v>1.025641025641022E-2</v>
      </c>
      <c r="R99" s="1210">
        <f t="shared" si="47"/>
        <v>5.1020408163264808E-3</v>
      </c>
      <c r="S99" s="1210">
        <f t="shared" si="47"/>
        <v>2.051282051282044E-2</v>
      </c>
      <c r="T99" s="1210">
        <f t="shared" si="47"/>
        <v>2.0408163265306145E-2</v>
      </c>
      <c r="U99" s="1210">
        <f t="shared" si="47"/>
        <v>2.5380710659898442E-2</v>
      </c>
      <c r="V99" s="1210">
        <f t="shared" si="47"/>
        <v>3.0456852791878264E-2</v>
      </c>
      <c r="W99" s="1210">
        <f t="shared" si="47"/>
        <v>3.015075376884413E-2</v>
      </c>
      <c r="X99" s="1210">
        <f t="shared" si="47"/>
        <v>-1</v>
      </c>
      <c r="Y99" s="1210">
        <f t="shared" si="47"/>
        <v>-1</v>
      </c>
      <c r="Z99" s="1210">
        <f t="shared" si="47"/>
        <v>-1</v>
      </c>
      <c r="AA99" s="1210">
        <f t="shared" si="47"/>
        <v>-1</v>
      </c>
      <c r="AB99" s="1210"/>
      <c r="AC99" s="1210"/>
      <c r="AD99" s="1174"/>
      <c r="AE99" s="1174"/>
    </row>
    <row r="106" spans="3:31" s="1197" customFormat="1" x14ac:dyDescent="0.5">
      <c r="C106" s="1345" t="s">
        <v>40</v>
      </c>
      <c r="D106" s="1344"/>
      <c r="E106" s="1344"/>
      <c r="F106" s="1344"/>
      <c r="G106" s="1344"/>
      <c r="H106" s="1343"/>
      <c r="I106" s="1343"/>
      <c r="J106" s="1343"/>
      <c r="K106" s="1343"/>
      <c r="L106" s="1221">
        <f t="shared" ref="L106:AA106" si="48">L67+L74+L81+L88</f>
        <v>1877</v>
      </c>
      <c r="M106" s="1221">
        <f t="shared" si="48"/>
        <v>1908</v>
      </c>
      <c r="N106" s="1221">
        <f t="shared" si="48"/>
        <v>1931</v>
      </c>
      <c r="O106" s="1221">
        <f t="shared" si="48"/>
        <v>1929</v>
      </c>
      <c r="P106" s="1221">
        <f t="shared" si="48"/>
        <v>1959</v>
      </c>
      <c r="Q106" s="1221">
        <f t="shared" si="48"/>
        <v>1967</v>
      </c>
      <c r="R106" s="1221">
        <f t="shared" si="48"/>
        <v>1983</v>
      </c>
      <c r="S106" s="1221">
        <f t="shared" si="48"/>
        <v>2000</v>
      </c>
      <c r="T106" s="1221">
        <f t="shared" si="48"/>
        <v>2037</v>
      </c>
      <c r="U106" s="1221">
        <f t="shared" si="48"/>
        <v>2065</v>
      </c>
      <c r="V106" s="1221">
        <f t="shared" si="48"/>
        <v>2085</v>
      </c>
      <c r="W106" s="1221">
        <f t="shared" si="48"/>
        <v>2110</v>
      </c>
      <c r="X106" s="1221">
        <f t="shared" si="48"/>
        <v>0</v>
      </c>
      <c r="Y106" s="1221">
        <f t="shared" si="48"/>
        <v>0</v>
      </c>
      <c r="Z106" s="1221">
        <f t="shared" si="48"/>
        <v>0</v>
      </c>
      <c r="AA106" s="1221">
        <f t="shared" si="48"/>
        <v>0</v>
      </c>
      <c r="AB106" s="1221"/>
      <c r="AC106" s="1221"/>
      <c r="AD106" s="1343"/>
      <c r="AE106" s="1342"/>
    </row>
    <row r="107" spans="3:31" s="1235" customFormat="1" x14ac:dyDescent="0.5">
      <c r="C107" s="1255" t="s">
        <v>1154</v>
      </c>
      <c r="D107" s="1341"/>
      <c r="E107" s="1341"/>
      <c r="F107" s="1341"/>
      <c r="G107" s="1341"/>
      <c r="H107" s="1341"/>
      <c r="I107" s="1341"/>
      <c r="J107" s="1341"/>
      <c r="K107" s="1341"/>
      <c r="L107" s="1210">
        <f t="shared" ref="L107:AA107" si="49">IFERROR(L106/H106-1,0)</f>
        <v>0</v>
      </c>
      <c r="M107" s="1210">
        <f t="shared" si="49"/>
        <v>0</v>
      </c>
      <c r="N107" s="1210">
        <f t="shared" si="49"/>
        <v>0</v>
      </c>
      <c r="O107" s="1210">
        <f t="shared" si="49"/>
        <v>0</v>
      </c>
      <c r="P107" s="1210">
        <f t="shared" si="49"/>
        <v>4.3686734150239825E-2</v>
      </c>
      <c r="Q107" s="1210">
        <f t="shared" si="49"/>
        <v>3.0922431865828104E-2</v>
      </c>
      <c r="R107" s="1210">
        <f t="shared" si="49"/>
        <v>2.6929052304505374E-2</v>
      </c>
      <c r="S107" s="1210">
        <f t="shared" si="49"/>
        <v>3.680663556246766E-2</v>
      </c>
      <c r="T107" s="1210">
        <f t="shared" si="49"/>
        <v>3.9816232771822335E-2</v>
      </c>
      <c r="U107" s="1210">
        <f t="shared" si="49"/>
        <v>4.9822064056939563E-2</v>
      </c>
      <c r="V107" s="1210">
        <f t="shared" si="49"/>
        <v>5.1437216338880543E-2</v>
      </c>
      <c r="W107" s="1210">
        <f t="shared" si="49"/>
        <v>5.4999999999999938E-2</v>
      </c>
      <c r="X107" s="1210">
        <f t="shared" si="49"/>
        <v>-1</v>
      </c>
      <c r="Y107" s="1210">
        <f t="shared" si="49"/>
        <v>-1</v>
      </c>
      <c r="Z107" s="1210">
        <f t="shared" si="49"/>
        <v>-1</v>
      </c>
      <c r="AA107" s="1210">
        <f t="shared" si="49"/>
        <v>-1</v>
      </c>
      <c r="AB107" s="1210"/>
      <c r="AC107" s="1210"/>
      <c r="AD107" s="1174"/>
      <c r="AE107" s="1174"/>
    </row>
    <row r="108" spans="3:31" s="1172" customFormat="1" x14ac:dyDescent="0.5">
      <c r="C108" s="1175"/>
      <c r="D108" s="1333"/>
      <c r="E108" s="1333"/>
      <c r="F108" s="1333"/>
      <c r="G108" s="1333"/>
      <c r="H108" s="1333"/>
      <c r="I108" s="1333"/>
      <c r="J108" s="1333"/>
      <c r="K108" s="1333"/>
      <c r="L108" s="1213"/>
      <c r="M108" s="1213"/>
      <c r="N108" s="1213"/>
      <c r="O108" s="1213"/>
      <c r="P108" s="1213"/>
      <c r="Q108" s="1213"/>
      <c r="R108" s="1213"/>
      <c r="S108" s="1213"/>
      <c r="T108" s="1210"/>
      <c r="U108" s="1210"/>
      <c r="V108" s="1210"/>
      <c r="W108" s="1210"/>
      <c r="X108" s="1210"/>
      <c r="Y108" s="1210"/>
      <c r="Z108" s="1210"/>
      <c r="AA108" s="1210"/>
      <c r="AB108" s="1213"/>
      <c r="AC108" s="1213"/>
      <c r="AD108" s="1245"/>
      <c r="AE108" s="1245"/>
    </row>
    <row r="109" spans="3:31" s="1172" customFormat="1" x14ac:dyDescent="0.5">
      <c r="C109" s="1175"/>
      <c r="D109" s="1333"/>
      <c r="E109" s="1333"/>
      <c r="F109" s="1333"/>
      <c r="G109" s="1333"/>
      <c r="H109" s="1333"/>
      <c r="I109" s="1333"/>
      <c r="J109" s="1333"/>
      <c r="K109" s="1333"/>
      <c r="L109" s="1213"/>
      <c r="M109" s="1213"/>
      <c r="N109" s="1213"/>
      <c r="O109" s="1213"/>
      <c r="P109" s="1213"/>
      <c r="Q109" s="1213"/>
      <c r="R109" s="1213"/>
      <c r="S109" s="1213"/>
      <c r="T109" s="1210"/>
      <c r="U109" s="1210"/>
      <c r="V109" s="1210"/>
      <c r="W109" s="1210"/>
      <c r="X109" s="1210"/>
      <c r="Y109" s="1210"/>
      <c r="Z109" s="1210"/>
      <c r="AA109" s="1210"/>
      <c r="AB109" s="1213"/>
      <c r="AC109" s="1213"/>
      <c r="AD109" s="1245"/>
      <c r="AE109" s="1245"/>
    </row>
    <row r="110" spans="3:31" s="1172" customFormat="1" x14ac:dyDescent="0.5">
      <c r="C110" s="1175"/>
      <c r="D110" s="1333"/>
      <c r="E110" s="1333"/>
      <c r="F110" s="1333"/>
      <c r="G110" s="1333"/>
      <c r="H110" s="1333"/>
      <c r="I110" s="1333"/>
      <c r="J110" s="1333"/>
      <c r="K110" s="1333"/>
      <c r="L110" s="1213"/>
      <c r="M110" s="1213"/>
      <c r="N110" s="1213"/>
      <c r="O110" s="1213"/>
      <c r="P110" s="1213"/>
      <c r="Q110" s="1213"/>
      <c r="R110" s="1213"/>
      <c r="S110" s="1213"/>
      <c r="T110" s="1210"/>
      <c r="U110" s="1210"/>
      <c r="V110" s="1210"/>
      <c r="W110" s="1210"/>
      <c r="X110" s="1210"/>
      <c r="Y110" s="1210"/>
      <c r="Z110" s="1210"/>
      <c r="AA110" s="1210"/>
      <c r="AB110" s="1213"/>
      <c r="AC110" s="1213"/>
      <c r="AD110" s="1245"/>
      <c r="AE110" s="1245"/>
    </row>
    <row r="111" spans="3:31" s="1172" customFormat="1" x14ac:dyDescent="0.5">
      <c r="C111" s="1175"/>
      <c r="D111" s="1333"/>
      <c r="E111" s="1333"/>
      <c r="F111" s="1333"/>
      <c r="G111" s="1333"/>
      <c r="H111" s="1333"/>
      <c r="I111" s="1333"/>
      <c r="J111" s="1333"/>
      <c r="K111" s="1333"/>
      <c r="L111" s="1213"/>
      <c r="M111" s="1213"/>
      <c r="N111" s="1213"/>
      <c r="O111" s="1213"/>
      <c r="P111" s="1213"/>
      <c r="Q111" s="1213"/>
      <c r="R111" s="1213"/>
      <c r="S111" s="1213"/>
      <c r="T111" s="1210"/>
      <c r="U111" s="1210"/>
      <c r="V111" s="1210"/>
      <c r="W111" s="1210"/>
      <c r="X111" s="1210"/>
      <c r="Y111" s="1210"/>
      <c r="Z111" s="1210"/>
      <c r="AA111" s="1210"/>
      <c r="AB111" s="1213"/>
      <c r="AC111" s="1213"/>
      <c r="AD111" s="1245"/>
      <c r="AE111" s="1245"/>
    </row>
    <row r="112" spans="3:31" s="1172" customFormat="1" x14ac:dyDescent="0.5">
      <c r="C112" s="1175"/>
      <c r="D112" s="1333"/>
      <c r="E112" s="1333"/>
      <c r="F112" s="1333"/>
      <c r="G112" s="1333"/>
      <c r="H112" s="1333"/>
      <c r="I112" s="1333"/>
      <c r="J112" s="1333"/>
      <c r="K112" s="1333"/>
      <c r="L112" s="1213"/>
      <c r="M112" s="1213"/>
      <c r="N112" s="1213"/>
      <c r="O112" s="1213"/>
      <c r="P112" s="1213"/>
      <c r="Q112" s="1213"/>
      <c r="R112" s="1213"/>
      <c r="S112" s="1213"/>
      <c r="T112" s="1210"/>
      <c r="U112" s="1210"/>
      <c r="V112" s="1210"/>
      <c r="W112" s="1210"/>
      <c r="X112" s="1210"/>
      <c r="Y112" s="1210"/>
      <c r="Z112" s="1210"/>
      <c r="AA112" s="1210"/>
      <c r="AB112" s="1213"/>
      <c r="AC112" s="1213"/>
      <c r="AD112" s="1245"/>
      <c r="AE112" s="1245"/>
    </row>
    <row r="113" spans="3:36" s="1172" customFormat="1" x14ac:dyDescent="0.5">
      <c r="C113" s="1175"/>
      <c r="D113" s="1333"/>
      <c r="E113" s="1333"/>
      <c r="F113" s="1333"/>
      <c r="G113" s="1333"/>
      <c r="H113" s="1333"/>
      <c r="I113" s="1333"/>
      <c r="J113" s="1333"/>
      <c r="K113" s="1333"/>
      <c r="L113" s="1213"/>
      <c r="M113" s="1213"/>
      <c r="N113" s="1213"/>
      <c r="O113" s="1213"/>
      <c r="P113" s="1213"/>
      <c r="Q113" s="1213"/>
      <c r="R113" s="1213"/>
      <c r="S113" s="1213"/>
      <c r="T113" s="1210"/>
      <c r="U113" s="1210"/>
      <c r="V113" s="1210"/>
      <c r="W113" s="1210"/>
      <c r="X113" s="1210"/>
      <c r="Y113" s="1210"/>
      <c r="Z113" s="1210"/>
      <c r="AA113" s="1210"/>
      <c r="AB113" s="1213"/>
      <c r="AC113" s="1213"/>
      <c r="AD113" s="1245"/>
      <c r="AE113" s="1245"/>
    </row>
    <row r="114" spans="3:36" s="1262" customFormat="1" x14ac:dyDescent="0.5">
      <c r="C114" s="1285" t="s">
        <v>40</v>
      </c>
      <c r="D114" s="1332"/>
      <c r="E114" s="1332"/>
      <c r="F114" s="1332"/>
      <c r="G114" s="1332"/>
      <c r="H114" s="1332"/>
      <c r="I114" s="1332"/>
      <c r="J114" s="1332"/>
      <c r="K114" s="1332"/>
      <c r="L114" s="1331"/>
      <c r="M114" s="1331"/>
      <c r="N114" s="1331"/>
      <c r="O114" s="1331"/>
      <c r="P114" s="1331"/>
      <c r="Q114" s="1331"/>
      <c r="R114" s="1331"/>
      <c r="S114" s="1331"/>
      <c r="T114" s="1330"/>
      <c r="U114" s="1330"/>
      <c r="V114" s="1330"/>
      <c r="W114" s="1330"/>
      <c r="X114" s="1330"/>
      <c r="Y114" s="1330"/>
      <c r="Z114" s="1330"/>
      <c r="AA114" s="1330"/>
      <c r="AB114" s="1329"/>
      <c r="AC114" s="1329"/>
      <c r="AD114" s="1328"/>
      <c r="AE114" s="1328"/>
    </row>
    <row r="115" spans="3:36" s="1172" customFormat="1" outlineLevel="1" x14ac:dyDescent="0.5">
      <c r="C115" s="1175"/>
      <c r="D115" s="1333"/>
      <c r="E115" s="1333"/>
      <c r="F115" s="1333"/>
      <c r="G115" s="1333"/>
      <c r="H115" s="1333"/>
      <c r="I115" s="1333"/>
      <c r="J115" s="1333"/>
      <c r="K115" s="1333"/>
      <c r="L115" s="1213"/>
      <c r="M115" s="1213"/>
      <c r="N115" s="1213"/>
      <c r="O115" s="1213"/>
      <c r="P115" s="1213"/>
      <c r="Q115" s="1213"/>
      <c r="R115" s="1213"/>
      <c r="S115" s="1213"/>
      <c r="T115" s="1210"/>
      <c r="U115" s="1210"/>
      <c r="V115" s="1210"/>
      <c r="W115" s="1210"/>
      <c r="X115" s="1210"/>
      <c r="Y115" s="1210"/>
      <c r="Z115" s="1210"/>
      <c r="AA115" s="1210"/>
      <c r="AB115" s="1213"/>
      <c r="AC115" s="1213"/>
      <c r="AD115" s="1245"/>
      <c r="AE115" s="1245"/>
    </row>
    <row r="116" spans="3:36" outlineLevel="1" x14ac:dyDescent="0.5">
      <c r="C116" s="1288" t="s">
        <v>1288</v>
      </c>
      <c r="D116" s="1178">
        <f>[1]Historicals!AA242</f>
        <v>186</v>
      </c>
      <c r="E116" s="1178">
        <f>[1]Historicals!AB242</f>
        <v>187</v>
      </c>
      <c r="F116" s="1178">
        <f>[1]Historicals!AC242</f>
        <v>189</v>
      </c>
      <c r="G116" s="1178">
        <f>[1]Historicals!AD242</f>
        <v>190</v>
      </c>
      <c r="H116" s="1178">
        <f>[1]Historicals!AE242</f>
        <v>195</v>
      </c>
      <c r="I116" s="1178">
        <f>[1]Historicals!AF242</f>
        <v>198</v>
      </c>
      <c r="J116" s="1178">
        <f>[1]Historicals!AG242</f>
        <v>196</v>
      </c>
      <c r="K116" s="1178">
        <f>[1]Historicals!AH242</f>
        <v>195</v>
      </c>
      <c r="L116" s="1196">
        <f>[1]Historicals!AI242</f>
        <v>195</v>
      </c>
      <c r="M116" s="1196">
        <f>[1]Historicals!AJ242</f>
        <v>195</v>
      </c>
      <c r="N116" s="1196">
        <f>[1]Historicals!AK242</f>
        <v>196</v>
      </c>
      <c r="O116" s="1196">
        <f>[1]Historicals!AL242</f>
        <v>195</v>
      </c>
      <c r="P116" s="1196">
        <f>[1]Historicals!AM242</f>
        <v>196</v>
      </c>
      <c r="Q116" s="1196">
        <f>[1]Historicals!AN242</f>
        <v>197</v>
      </c>
      <c r="R116" s="1196">
        <f>[1]Historicals!AO242</f>
        <v>197</v>
      </c>
      <c r="S116" s="1196">
        <f>[1]Historicals!AP242</f>
        <v>199</v>
      </c>
      <c r="T116" s="1196">
        <f>[1]Historicals!AQ242</f>
        <v>200</v>
      </c>
      <c r="U116" s="1196">
        <f>[1]Historicals!AR242</f>
        <v>202</v>
      </c>
      <c r="V116" s="1196">
        <f>[1]Historicals!AS242</f>
        <v>203</v>
      </c>
      <c r="W116" s="1196">
        <f>[1]Historicals!AT242</f>
        <v>205</v>
      </c>
      <c r="X116" s="1203">
        <f>T116*(1+X117)</f>
        <v>206</v>
      </c>
      <c r="Y116" s="1203">
        <f>U116*(1+Y117)</f>
        <v>208.06</v>
      </c>
      <c r="Z116" s="1203">
        <f>V116*(1+Z117)</f>
        <v>209.09</v>
      </c>
      <c r="AA116" s="1203">
        <f>W116*(1+AA117)</f>
        <v>211.15</v>
      </c>
      <c r="AB116" s="1203"/>
      <c r="AC116" s="1203"/>
      <c r="AG116" s="1340"/>
      <c r="AH116" s="1340"/>
      <c r="AI116" s="1340"/>
    </row>
    <row r="117" spans="3:36" s="1172" customFormat="1" outlineLevel="1" x14ac:dyDescent="0.5">
      <c r="C117" s="1175" t="s">
        <v>1281</v>
      </c>
      <c r="D117" s="1335"/>
      <c r="E117" s="1335"/>
      <c r="F117" s="1335"/>
      <c r="G117" s="1335"/>
      <c r="H117" s="1174">
        <f t="shared" ref="H117:W117" si="50">H116/D116-1</f>
        <v>4.8387096774193505E-2</v>
      </c>
      <c r="I117" s="1174">
        <f t="shared" si="50"/>
        <v>5.8823529411764719E-2</v>
      </c>
      <c r="J117" s="1174">
        <f t="shared" si="50"/>
        <v>3.7037037037036979E-2</v>
      </c>
      <c r="K117" s="1174">
        <f t="shared" si="50"/>
        <v>2.6315789473684292E-2</v>
      </c>
      <c r="L117" s="1210">
        <f t="shared" si="50"/>
        <v>0</v>
      </c>
      <c r="M117" s="1210">
        <f t="shared" si="50"/>
        <v>-1.5151515151515138E-2</v>
      </c>
      <c r="N117" s="1210">
        <f t="shared" si="50"/>
        <v>0</v>
      </c>
      <c r="O117" s="1210">
        <f t="shared" si="50"/>
        <v>0</v>
      </c>
      <c r="P117" s="1210">
        <f t="shared" si="50"/>
        <v>5.12820512820511E-3</v>
      </c>
      <c r="Q117" s="1210">
        <f t="shared" si="50"/>
        <v>1.025641025641022E-2</v>
      </c>
      <c r="R117" s="1210">
        <f t="shared" si="50"/>
        <v>5.1020408163264808E-3</v>
      </c>
      <c r="S117" s="1210">
        <f t="shared" si="50"/>
        <v>2.051282051282044E-2</v>
      </c>
      <c r="T117" s="1210">
        <f t="shared" si="50"/>
        <v>2.0408163265306145E-2</v>
      </c>
      <c r="U117" s="1210">
        <f t="shared" si="50"/>
        <v>2.5380710659898442E-2</v>
      </c>
      <c r="V117" s="1210">
        <f t="shared" si="50"/>
        <v>3.0456852791878264E-2</v>
      </c>
      <c r="W117" s="1210">
        <f t="shared" si="50"/>
        <v>3.015075376884413E-2</v>
      </c>
      <c r="X117" s="1339">
        <v>0.03</v>
      </c>
      <c r="Y117" s="1339">
        <v>0.03</v>
      </c>
      <c r="Z117" s="1339">
        <v>0.03</v>
      </c>
      <c r="AA117" s="1339">
        <v>0.03</v>
      </c>
      <c r="AB117" s="1213"/>
      <c r="AC117" s="1213"/>
      <c r="AD117" s="1245"/>
      <c r="AE117" s="1245"/>
      <c r="AG117" s="1334"/>
      <c r="AH117" s="1334"/>
      <c r="AI117" s="1334"/>
    </row>
    <row r="118" spans="3:36" outlineLevel="1" x14ac:dyDescent="0.5">
      <c r="D118" s="1180"/>
      <c r="E118" s="1180"/>
      <c r="F118" s="1180"/>
      <c r="G118" s="1180"/>
      <c r="H118" s="1180"/>
      <c r="I118" s="1180"/>
      <c r="J118" s="1180"/>
      <c r="K118" s="1180"/>
      <c r="L118" s="1203"/>
      <c r="M118" s="1203"/>
      <c r="N118" s="1203"/>
      <c r="O118" s="1203"/>
      <c r="P118" s="1203"/>
      <c r="Q118" s="1203"/>
      <c r="R118" s="1203"/>
      <c r="S118" s="1203"/>
      <c r="T118" s="1203"/>
      <c r="U118" s="1203"/>
      <c r="V118" s="1203"/>
      <c r="W118" s="1203"/>
      <c r="X118" s="1203"/>
      <c r="Y118" s="1203"/>
      <c r="Z118" s="1203"/>
      <c r="AA118" s="1203"/>
      <c r="AB118" s="1203"/>
      <c r="AC118" s="1203"/>
      <c r="AG118" s="1340"/>
      <c r="AH118" s="1340"/>
      <c r="AI118" s="1340"/>
    </row>
    <row r="119" spans="3:36" outlineLevel="1" x14ac:dyDescent="0.5">
      <c r="C119" s="1288" t="s">
        <v>1287</v>
      </c>
      <c r="D119" s="1178">
        <f>[1]Historicals!AA243</f>
        <v>286</v>
      </c>
      <c r="E119" s="1178">
        <f>[1]Historicals!AB243</f>
        <v>286</v>
      </c>
      <c r="F119" s="1178">
        <f>[1]Historicals!AC243</f>
        <v>288</v>
      </c>
      <c r="G119" s="1178">
        <f>[1]Historicals!AD243</f>
        <v>294</v>
      </c>
      <c r="H119" s="1178">
        <f>[1]Historicals!AE243</f>
        <v>305</v>
      </c>
      <c r="I119" s="1178">
        <f>[1]Historicals!AF243</f>
        <v>305</v>
      </c>
      <c r="J119" s="1178">
        <f>[1]Historicals!AG243</f>
        <v>305</v>
      </c>
      <c r="K119" s="1178">
        <f>[1]Historicals!AH243</f>
        <v>308</v>
      </c>
      <c r="L119" s="1196">
        <f>[1]Historicals!AI243</f>
        <v>309</v>
      </c>
      <c r="M119" s="1196">
        <f>[1]Historicals!AJ243</f>
        <v>307</v>
      </c>
      <c r="N119" s="1196">
        <f>[1]Historicals!AK243</f>
        <v>308</v>
      </c>
      <c r="O119" s="1196">
        <f>[1]Historicals!AL243</f>
        <v>309</v>
      </c>
      <c r="P119" s="1196">
        <f>[1]Historicals!AM243</f>
        <v>307</v>
      </c>
      <c r="Q119" s="1196">
        <f>[1]Historicals!AN243</f>
        <v>303</v>
      </c>
      <c r="R119" s="1196">
        <f>[1]Historicals!AO243</f>
        <v>303</v>
      </c>
      <c r="S119" s="1196">
        <f>[1]Historicals!AP243</f>
        <v>304</v>
      </c>
      <c r="T119" s="1196">
        <f>[1]Historicals!AQ243</f>
        <v>307</v>
      </c>
      <c r="U119" s="1196">
        <f>[1]Historicals!AR243</f>
        <v>307</v>
      </c>
      <c r="V119" s="1196">
        <f>[1]Historicals!AS243</f>
        <v>307</v>
      </c>
      <c r="W119" s="1196">
        <f>[1]Historicals!AT243</f>
        <v>308</v>
      </c>
      <c r="X119" s="1203">
        <f>T119*(1+X120)</f>
        <v>310.68400000000003</v>
      </c>
      <c r="Y119" s="1203">
        <f>U119*(1+Y120)</f>
        <v>310.68400000000003</v>
      </c>
      <c r="Z119" s="1203">
        <f>V119*(1+Z120)</f>
        <v>310.68400000000003</v>
      </c>
      <c r="AA119" s="1203">
        <f>W119*(1+AA120)</f>
        <v>311.69600000000003</v>
      </c>
      <c r="AB119" s="1203"/>
      <c r="AC119" s="1203"/>
    </row>
    <row r="120" spans="3:36" s="1172" customFormat="1" outlineLevel="1" x14ac:dyDescent="0.5">
      <c r="C120" s="1175" t="s">
        <v>1278</v>
      </c>
      <c r="D120" s="1335"/>
      <c r="E120" s="1335"/>
      <c r="F120" s="1335"/>
      <c r="G120" s="1335"/>
      <c r="H120" s="1174">
        <f t="shared" ref="H120:W120" si="51">H119/D119-1</f>
        <v>6.643356643356646E-2</v>
      </c>
      <c r="I120" s="1174">
        <f t="shared" si="51"/>
        <v>6.643356643356646E-2</v>
      </c>
      <c r="J120" s="1174">
        <f t="shared" si="51"/>
        <v>5.9027777777777679E-2</v>
      </c>
      <c r="K120" s="1174">
        <f t="shared" si="51"/>
        <v>4.7619047619047672E-2</v>
      </c>
      <c r="L120" s="1210">
        <f t="shared" si="51"/>
        <v>1.3114754098360715E-2</v>
      </c>
      <c r="M120" s="1210">
        <f t="shared" si="51"/>
        <v>6.5573770491802463E-3</v>
      </c>
      <c r="N120" s="1210">
        <f t="shared" si="51"/>
        <v>9.8360655737705915E-3</v>
      </c>
      <c r="O120" s="1210">
        <f t="shared" si="51"/>
        <v>3.2467532467532756E-3</v>
      </c>
      <c r="P120" s="1210">
        <f t="shared" si="51"/>
        <v>-6.4724919093851474E-3</v>
      </c>
      <c r="Q120" s="1210">
        <f t="shared" si="51"/>
        <v>-1.3029315960912058E-2</v>
      </c>
      <c r="R120" s="1210">
        <f t="shared" si="51"/>
        <v>-1.6233766233766267E-2</v>
      </c>
      <c r="S120" s="1210">
        <f t="shared" si="51"/>
        <v>-1.6181229773462813E-2</v>
      </c>
      <c r="T120" s="1210">
        <f t="shared" si="51"/>
        <v>0</v>
      </c>
      <c r="U120" s="1210">
        <f t="shared" si="51"/>
        <v>1.3201320132013139E-2</v>
      </c>
      <c r="V120" s="1210">
        <f t="shared" si="51"/>
        <v>1.3201320132013139E-2</v>
      </c>
      <c r="W120" s="1210">
        <f t="shared" si="51"/>
        <v>1.3157894736842035E-2</v>
      </c>
      <c r="X120" s="1339">
        <v>1.2E-2</v>
      </c>
      <c r="Y120" s="1339">
        <v>1.2E-2</v>
      </c>
      <c r="Z120" s="1339">
        <v>1.2E-2</v>
      </c>
      <c r="AA120" s="1339">
        <v>1.2E-2</v>
      </c>
      <c r="AB120" s="1213"/>
      <c r="AC120" s="1213"/>
      <c r="AD120" s="1245"/>
      <c r="AE120" s="1245"/>
      <c r="AG120" s="1334"/>
      <c r="AH120" s="1334"/>
      <c r="AI120" s="1334"/>
    </row>
    <row r="121" spans="3:36" outlineLevel="1" x14ac:dyDescent="0.5">
      <c r="D121" s="1180"/>
      <c r="E121" s="1180"/>
      <c r="F121" s="1180"/>
      <c r="G121" s="1180"/>
      <c r="H121" s="1180"/>
      <c r="I121" s="1180"/>
      <c r="J121" s="1180"/>
      <c r="K121" s="1180"/>
      <c r="L121" s="1203"/>
      <c r="M121" s="1203"/>
      <c r="N121" s="1203"/>
      <c r="O121" s="1203"/>
      <c r="P121" s="1203"/>
      <c r="Q121" s="1203"/>
      <c r="R121" s="1203"/>
      <c r="S121" s="1203"/>
      <c r="T121" s="1203"/>
      <c r="U121" s="1203"/>
      <c r="V121" s="1203"/>
      <c r="W121" s="1203"/>
      <c r="X121" s="1203"/>
      <c r="Y121" s="1203"/>
      <c r="Z121" s="1203"/>
      <c r="AA121" s="1203"/>
      <c r="AB121" s="1203"/>
      <c r="AC121" s="1203"/>
      <c r="AF121" s="1180"/>
      <c r="AG121" s="1180"/>
      <c r="AH121" s="1180"/>
      <c r="AI121" s="1180"/>
      <c r="AJ121" s="1180"/>
    </row>
    <row r="122" spans="3:36" outlineLevel="1" x14ac:dyDescent="0.5">
      <c r="C122" s="1288" t="s">
        <v>1286</v>
      </c>
      <c r="D122" s="1178">
        <f>[1]Historicals!AA244</f>
        <v>600</v>
      </c>
      <c r="E122" s="1178">
        <f>[1]Historicals!AB244</f>
        <v>615</v>
      </c>
      <c r="F122" s="1178">
        <f>[1]Historicals!AC244</f>
        <v>627</v>
      </c>
      <c r="G122" s="1178">
        <f>[1]Historicals!AD244</f>
        <v>641</v>
      </c>
      <c r="H122" s="1178">
        <f>[1]Historicals!AE244</f>
        <v>678</v>
      </c>
      <c r="I122" s="1178">
        <f>[1]Historicals!AF244</f>
        <v>699</v>
      </c>
      <c r="J122" s="1178">
        <f>[1]Historicals!AG244</f>
        <v>727</v>
      </c>
      <c r="K122" s="1178">
        <f>[1]Historicals!AH244</f>
        <v>744</v>
      </c>
      <c r="L122" s="1196">
        <f>[1]Historicals!AI244</f>
        <v>760</v>
      </c>
      <c r="M122" s="1196">
        <f>[1]Historicals!AJ244</f>
        <v>788</v>
      </c>
      <c r="N122" s="1196">
        <f>[1]Historicals!AK244</f>
        <v>805</v>
      </c>
      <c r="O122" s="1196">
        <f>[1]Historicals!AL244</f>
        <v>806</v>
      </c>
      <c r="P122" s="1196">
        <f>[1]Historicals!AM244</f>
        <v>827</v>
      </c>
      <c r="Q122" s="1196">
        <f>[1]Historicals!AN244</f>
        <v>836</v>
      </c>
      <c r="R122" s="1196">
        <f>[1]Historicals!AO244</f>
        <v>845</v>
      </c>
      <c r="S122" s="1196">
        <f>[1]Historicals!AP244</f>
        <v>854</v>
      </c>
      <c r="T122" s="1196">
        <f>[1]Historicals!AQ244</f>
        <v>873</v>
      </c>
      <c r="U122" s="1196">
        <f>[1]Historicals!AR244</f>
        <v>891</v>
      </c>
      <c r="V122" s="1196">
        <f>[1]Historicals!AS244</f>
        <v>899</v>
      </c>
      <c r="W122" s="1196">
        <f>[1]Historicals!AT244</f>
        <v>914</v>
      </c>
      <c r="X122" s="1203">
        <f>T122*(1+X123)</f>
        <v>925.38</v>
      </c>
      <c r="Y122" s="1203">
        <f>U122*(1+Y123)</f>
        <v>944.46</v>
      </c>
      <c r="Z122" s="1203">
        <f>V122*(1+Z123)</f>
        <v>952.94</v>
      </c>
      <c r="AA122" s="1203">
        <f>W122*(1+AA123)</f>
        <v>968.84</v>
      </c>
      <c r="AB122" s="1203"/>
      <c r="AC122" s="1203"/>
      <c r="AG122" s="1340"/>
      <c r="AH122" s="1340"/>
      <c r="AI122" s="1340"/>
    </row>
    <row r="123" spans="3:36" s="1172" customFormat="1" outlineLevel="1" x14ac:dyDescent="0.5">
      <c r="C123" s="1175" t="s">
        <v>1154</v>
      </c>
      <c r="D123" s="1335"/>
      <c r="E123" s="1335"/>
      <c r="F123" s="1335"/>
      <c r="G123" s="1335"/>
      <c r="H123" s="1174">
        <f t="shared" ref="H123:W123" si="52">H122/D122-1</f>
        <v>0.12999999999999989</v>
      </c>
      <c r="I123" s="1174">
        <f t="shared" si="52"/>
        <v>0.13658536585365844</v>
      </c>
      <c r="J123" s="1174">
        <f t="shared" si="52"/>
        <v>0.15948963317384379</v>
      </c>
      <c r="K123" s="1174">
        <f t="shared" si="52"/>
        <v>0.16068642745709827</v>
      </c>
      <c r="L123" s="1210">
        <f t="shared" si="52"/>
        <v>0.12094395280235992</v>
      </c>
      <c r="M123" s="1210">
        <f t="shared" si="52"/>
        <v>0.12732474964234619</v>
      </c>
      <c r="N123" s="1210">
        <f t="shared" si="52"/>
        <v>0.1072902338376891</v>
      </c>
      <c r="O123" s="1210">
        <f t="shared" si="52"/>
        <v>8.3333333333333259E-2</v>
      </c>
      <c r="P123" s="1210">
        <f t="shared" si="52"/>
        <v>8.8157894736842213E-2</v>
      </c>
      <c r="Q123" s="1210">
        <f t="shared" si="52"/>
        <v>6.0913705583756306E-2</v>
      </c>
      <c r="R123" s="1210">
        <f t="shared" si="52"/>
        <v>4.9689440993788914E-2</v>
      </c>
      <c r="S123" s="1210">
        <f t="shared" si="52"/>
        <v>5.9553349875930417E-2</v>
      </c>
      <c r="T123" s="1210">
        <f t="shared" si="52"/>
        <v>5.5622732769044836E-2</v>
      </c>
      <c r="U123" s="1210">
        <f t="shared" si="52"/>
        <v>6.578947368421062E-2</v>
      </c>
      <c r="V123" s="1210">
        <f t="shared" si="52"/>
        <v>6.3905325443786909E-2</v>
      </c>
      <c r="W123" s="1210">
        <f t="shared" si="52"/>
        <v>7.0257611241217877E-2</v>
      </c>
      <c r="X123" s="1339">
        <v>0.06</v>
      </c>
      <c r="Y123" s="1339">
        <v>0.06</v>
      </c>
      <c r="Z123" s="1339">
        <v>0.06</v>
      </c>
      <c r="AA123" s="1339">
        <v>0.06</v>
      </c>
      <c r="AB123" s="1213"/>
      <c r="AC123" s="1213"/>
      <c r="AD123" s="1245"/>
      <c r="AE123" s="1245"/>
      <c r="AG123" s="1334"/>
      <c r="AH123" s="1334"/>
      <c r="AI123" s="1334"/>
    </row>
    <row r="124" spans="3:36" outlineLevel="1" x14ac:dyDescent="0.5">
      <c r="D124" s="1180"/>
      <c r="E124" s="1180"/>
      <c r="F124" s="1180"/>
      <c r="G124" s="1180"/>
      <c r="H124" s="1180"/>
      <c r="I124" s="1180"/>
      <c r="J124" s="1180"/>
      <c r="K124" s="1180"/>
      <c r="L124" s="1203"/>
      <c r="M124" s="1203"/>
      <c r="N124" s="1203"/>
      <c r="O124" s="1203"/>
      <c r="P124" s="1203"/>
      <c r="Q124" s="1203"/>
      <c r="R124" s="1203"/>
      <c r="S124" s="1203"/>
      <c r="T124" s="1203"/>
      <c r="U124" s="1203"/>
      <c r="V124" s="1203"/>
      <c r="W124" s="1203"/>
      <c r="X124" s="1203"/>
      <c r="Y124" s="1203"/>
      <c r="Z124" s="1203"/>
      <c r="AA124" s="1203"/>
      <c r="AB124" s="1203"/>
      <c r="AC124" s="1203"/>
      <c r="AG124" s="1340"/>
      <c r="AH124" s="1340"/>
      <c r="AI124" s="1340"/>
    </row>
    <row r="125" spans="3:36" outlineLevel="1" x14ac:dyDescent="0.5">
      <c r="C125" s="1288" t="s">
        <v>1285</v>
      </c>
      <c r="D125" s="1178">
        <f>[1]Historicals!AA245</f>
        <v>490</v>
      </c>
      <c r="E125" s="1178">
        <f>[1]Historicals!AB245</f>
        <v>499</v>
      </c>
      <c r="F125" s="1178">
        <f>[1]Historicals!AC245</f>
        <v>519</v>
      </c>
      <c r="G125" s="1178">
        <f>[1]Historicals!AD245</f>
        <v>532</v>
      </c>
      <c r="H125" s="1178">
        <f>[1]Historicals!AE245</f>
        <v>556</v>
      </c>
      <c r="I125" s="1178">
        <f>[1]Historicals!AF245</f>
        <v>583</v>
      </c>
      <c r="J125" s="1178">
        <f>[1]Historicals!AG245</f>
        <v>593</v>
      </c>
      <c r="K125" s="1178">
        <f>[1]Historicals!AH245</f>
        <v>598</v>
      </c>
      <c r="L125" s="1196">
        <f>[1]Historicals!AI245</f>
        <v>613</v>
      </c>
      <c r="M125" s="1196">
        <f>[1]Historicals!AJ245</f>
        <v>618</v>
      </c>
      <c r="N125" s="1196">
        <f>[1]Historicals!AK245</f>
        <v>622</v>
      </c>
      <c r="O125" s="1196">
        <f>[1]Historicals!AL245</f>
        <v>619</v>
      </c>
      <c r="P125" s="1196">
        <f>[1]Historicals!AM245</f>
        <v>629</v>
      </c>
      <c r="Q125" s="1196">
        <f>[1]Historicals!AN245</f>
        <v>631</v>
      </c>
      <c r="R125" s="1196">
        <f>[1]Historicals!AO245</f>
        <v>638</v>
      </c>
      <c r="S125" s="1196">
        <f>[1]Historicals!AP245</f>
        <v>643</v>
      </c>
      <c r="T125" s="1196">
        <f>[1]Historicals!AQ245</f>
        <v>657</v>
      </c>
      <c r="U125" s="1196">
        <f>[1]Historicals!AR245</f>
        <v>665</v>
      </c>
      <c r="V125" s="1196">
        <f>[1]Historicals!AS245</f>
        <v>676</v>
      </c>
      <c r="W125" s="1196">
        <f>[1]Historicals!AT245</f>
        <v>683</v>
      </c>
      <c r="X125" s="1203">
        <f>T125*(1+X126)</f>
        <v>696.42000000000007</v>
      </c>
      <c r="Y125" s="1203">
        <f>U125*(1+Y126)</f>
        <v>704.90000000000009</v>
      </c>
      <c r="Z125" s="1203">
        <f>V125*(1+Z126)</f>
        <v>716.56000000000006</v>
      </c>
      <c r="AA125" s="1203">
        <f>W125*(1+AA126)</f>
        <v>723.98</v>
      </c>
      <c r="AB125" s="1203"/>
      <c r="AC125" s="1203"/>
    </row>
    <row r="126" spans="3:36" s="1172" customFormat="1" outlineLevel="1" x14ac:dyDescent="0.5">
      <c r="C126" s="1175" t="s">
        <v>1154</v>
      </c>
      <c r="D126" s="1335"/>
      <c r="E126" s="1335"/>
      <c r="F126" s="1335"/>
      <c r="G126" s="1335"/>
      <c r="H126" s="1174">
        <f t="shared" ref="H126:W126" si="53">H125/D125-1</f>
        <v>0.13469387755102047</v>
      </c>
      <c r="I126" s="1174">
        <f t="shared" si="53"/>
        <v>0.16833667334669333</v>
      </c>
      <c r="J126" s="1174">
        <f t="shared" si="53"/>
        <v>0.1425818882466281</v>
      </c>
      <c r="K126" s="1174">
        <f t="shared" si="53"/>
        <v>0.12406015037593976</v>
      </c>
      <c r="L126" s="1210">
        <f t="shared" si="53"/>
        <v>0.10251798561151082</v>
      </c>
      <c r="M126" s="1210">
        <f t="shared" si="53"/>
        <v>6.0034305317324232E-2</v>
      </c>
      <c r="N126" s="1210">
        <f t="shared" si="53"/>
        <v>4.8903878583473892E-2</v>
      </c>
      <c r="O126" s="1210">
        <f t="shared" si="53"/>
        <v>3.5117056856187379E-2</v>
      </c>
      <c r="P126" s="1210">
        <f t="shared" si="53"/>
        <v>2.610114192495927E-2</v>
      </c>
      <c r="Q126" s="1210">
        <f t="shared" si="53"/>
        <v>2.1035598705501535E-2</v>
      </c>
      <c r="R126" s="1210">
        <f t="shared" si="53"/>
        <v>2.5723472668810254E-2</v>
      </c>
      <c r="S126" s="1210">
        <f t="shared" si="53"/>
        <v>3.8772213247172838E-2</v>
      </c>
      <c r="T126" s="1210">
        <f t="shared" si="53"/>
        <v>4.4515103338632844E-2</v>
      </c>
      <c r="U126" s="1210">
        <f t="shared" si="53"/>
        <v>5.3882725832012701E-2</v>
      </c>
      <c r="V126" s="1210">
        <f t="shared" si="53"/>
        <v>5.9561128526645746E-2</v>
      </c>
      <c r="W126" s="1210">
        <f t="shared" si="53"/>
        <v>6.2208398133748011E-2</v>
      </c>
      <c r="X126" s="1339">
        <v>0.06</v>
      </c>
      <c r="Y126" s="1339">
        <v>0.06</v>
      </c>
      <c r="Z126" s="1339">
        <v>0.06</v>
      </c>
      <c r="AA126" s="1339">
        <v>0.06</v>
      </c>
      <c r="AB126" s="1213"/>
      <c r="AC126" s="1213"/>
      <c r="AD126" s="1245"/>
      <c r="AE126" s="1245"/>
      <c r="AG126" s="1334"/>
      <c r="AH126" s="1334"/>
      <c r="AI126" s="1334"/>
    </row>
    <row r="127" spans="3:36" outlineLevel="1" x14ac:dyDescent="0.5">
      <c r="C127" s="1294"/>
      <c r="D127" s="1293"/>
      <c r="E127" s="1293"/>
      <c r="F127" s="1293"/>
      <c r="G127" s="1293"/>
      <c r="H127" s="1293"/>
      <c r="I127" s="1293"/>
      <c r="J127" s="1293"/>
      <c r="K127" s="1293"/>
      <c r="L127" s="1292"/>
      <c r="M127" s="1292"/>
      <c r="N127" s="1292"/>
      <c r="O127" s="1292"/>
      <c r="P127" s="1292"/>
      <c r="Q127" s="1292"/>
      <c r="R127" s="1292"/>
      <c r="S127" s="1292"/>
      <c r="T127" s="1292"/>
      <c r="U127" s="1292"/>
      <c r="V127" s="1292"/>
      <c r="W127" s="1292"/>
      <c r="X127" s="1292"/>
      <c r="Y127" s="1292"/>
      <c r="Z127" s="1292"/>
      <c r="AA127" s="1292"/>
      <c r="AB127" s="1203"/>
      <c r="AC127" s="1203"/>
    </row>
    <row r="128" spans="3:36" s="1197" customFormat="1" outlineLevel="1" x14ac:dyDescent="0.5">
      <c r="C128" s="1290" t="s">
        <v>1284</v>
      </c>
      <c r="D128" s="1295">
        <f t="shared" ref="D128:AA128" si="54">D116+D119+D122+D125</f>
        <v>1562</v>
      </c>
      <c r="E128" s="1295">
        <f t="shared" si="54"/>
        <v>1587</v>
      </c>
      <c r="F128" s="1295">
        <f t="shared" si="54"/>
        <v>1623</v>
      </c>
      <c r="G128" s="1295">
        <f t="shared" si="54"/>
        <v>1657</v>
      </c>
      <c r="H128" s="1295">
        <f t="shared" si="54"/>
        <v>1734</v>
      </c>
      <c r="I128" s="1295">
        <f t="shared" si="54"/>
        <v>1785</v>
      </c>
      <c r="J128" s="1295">
        <f t="shared" si="54"/>
        <v>1821</v>
      </c>
      <c r="K128" s="1295">
        <f t="shared" si="54"/>
        <v>1845</v>
      </c>
      <c r="L128" s="1199">
        <f t="shared" si="54"/>
        <v>1877</v>
      </c>
      <c r="M128" s="1199">
        <f t="shared" si="54"/>
        <v>1908</v>
      </c>
      <c r="N128" s="1199">
        <f t="shared" si="54"/>
        <v>1931</v>
      </c>
      <c r="O128" s="1199">
        <f t="shared" si="54"/>
        <v>1929</v>
      </c>
      <c r="P128" s="1199">
        <f t="shared" si="54"/>
        <v>1959</v>
      </c>
      <c r="Q128" s="1199">
        <f t="shared" si="54"/>
        <v>1967</v>
      </c>
      <c r="R128" s="1199">
        <f t="shared" si="54"/>
        <v>1983</v>
      </c>
      <c r="S128" s="1199">
        <f t="shared" si="54"/>
        <v>2000</v>
      </c>
      <c r="T128" s="1199">
        <f t="shared" si="54"/>
        <v>2037</v>
      </c>
      <c r="U128" s="1199">
        <f t="shared" si="54"/>
        <v>2065</v>
      </c>
      <c r="V128" s="1199">
        <f t="shared" si="54"/>
        <v>2085</v>
      </c>
      <c r="W128" s="1199">
        <f t="shared" si="54"/>
        <v>2110</v>
      </c>
      <c r="X128" s="1199">
        <f t="shared" si="54"/>
        <v>2138.4839999999999</v>
      </c>
      <c r="Y128" s="1199">
        <f t="shared" si="54"/>
        <v>2168.1040000000003</v>
      </c>
      <c r="Z128" s="1199">
        <f t="shared" si="54"/>
        <v>2189.2739999999999</v>
      </c>
      <c r="AA128" s="1199">
        <f t="shared" si="54"/>
        <v>2215.6660000000002</v>
      </c>
      <c r="AB128" s="1199"/>
      <c r="AC128" s="1199"/>
      <c r="AD128" s="1295"/>
      <c r="AE128" s="1295"/>
    </row>
    <row r="129" spans="3:35" s="1172" customFormat="1" outlineLevel="1" x14ac:dyDescent="0.5">
      <c r="C129" s="1175" t="s">
        <v>1154</v>
      </c>
      <c r="D129" s="1335"/>
      <c r="E129" s="1335"/>
      <c r="F129" s="1335"/>
      <c r="G129" s="1335"/>
      <c r="H129" s="1174">
        <f t="shared" ref="H129:AA129" si="55">H128/D128-1</f>
        <v>0.11011523687580027</v>
      </c>
      <c r="I129" s="1174">
        <f t="shared" si="55"/>
        <v>0.12476370510396984</v>
      </c>
      <c r="J129" s="1174">
        <f t="shared" si="55"/>
        <v>0.12199630314232901</v>
      </c>
      <c r="K129" s="1174">
        <f t="shared" si="55"/>
        <v>0.11345805672902842</v>
      </c>
      <c r="L129" s="1210">
        <f t="shared" si="55"/>
        <v>8.2468281430219115E-2</v>
      </c>
      <c r="M129" s="1210">
        <f t="shared" si="55"/>
        <v>6.8907563025210061E-2</v>
      </c>
      <c r="N129" s="1210">
        <f t="shared" si="55"/>
        <v>6.0406370126304232E-2</v>
      </c>
      <c r="O129" s="1210">
        <f t="shared" si="55"/>
        <v>4.5528455284552738E-2</v>
      </c>
      <c r="P129" s="1210">
        <f t="shared" si="55"/>
        <v>4.3686734150239825E-2</v>
      </c>
      <c r="Q129" s="1210">
        <f t="shared" si="55"/>
        <v>3.0922431865828104E-2</v>
      </c>
      <c r="R129" s="1210">
        <f t="shared" si="55"/>
        <v>2.6929052304505374E-2</v>
      </c>
      <c r="S129" s="1210">
        <f t="shared" si="55"/>
        <v>3.680663556246766E-2</v>
      </c>
      <c r="T129" s="1210">
        <f t="shared" si="55"/>
        <v>3.9816232771822335E-2</v>
      </c>
      <c r="U129" s="1210">
        <f t="shared" si="55"/>
        <v>4.9822064056939563E-2</v>
      </c>
      <c r="V129" s="1210">
        <f t="shared" si="55"/>
        <v>5.1437216338880543E-2</v>
      </c>
      <c r="W129" s="1210">
        <f t="shared" si="55"/>
        <v>5.4999999999999938E-2</v>
      </c>
      <c r="X129" s="1210">
        <f t="shared" si="55"/>
        <v>4.9820324005890981E-2</v>
      </c>
      <c r="Y129" s="1210">
        <f t="shared" si="55"/>
        <v>4.9929297820823448E-2</v>
      </c>
      <c r="Z129" s="1210">
        <f t="shared" si="55"/>
        <v>5.0011510791366787E-2</v>
      </c>
      <c r="AA129" s="1210">
        <f t="shared" si="55"/>
        <v>5.0078672985782058E-2</v>
      </c>
      <c r="AB129" s="1213"/>
      <c r="AC129" s="1213"/>
      <c r="AD129" s="1245"/>
      <c r="AE129" s="1245"/>
      <c r="AG129" s="1334"/>
      <c r="AH129" s="1334"/>
      <c r="AI129" s="1334"/>
    </row>
    <row r="130" spans="3:35" outlineLevel="1" x14ac:dyDescent="0.5">
      <c r="C130" s="1338" t="s">
        <v>1283</v>
      </c>
      <c r="D130" s="1337">
        <f>[1]Historicals!AA135/'Quarterly (2)'!D131</f>
        <v>0.93846834882691454</v>
      </c>
      <c r="E130" s="1336"/>
      <c r="L130" s="1203"/>
      <c r="M130" s="1203"/>
      <c r="N130" s="1203"/>
      <c r="O130" s="1203"/>
      <c r="P130" s="1203"/>
      <c r="Q130" s="1203"/>
      <c r="R130" s="1203"/>
      <c r="S130" s="1203"/>
      <c r="T130" s="1203"/>
      <c r="U130" s="1203"/>
      <c r="V130" s="1203"/>
      <c r="W130" s="1203"/>
      <c r="X130" s="1203"/>
      <c r="Y130" s="1203"/>
      <c r="Z130" s="1203"/>
      <c r="AA130" s="1203"/>
      <c r="AB130" s="1203"/>
      <c r="AC130" s="1203"/>
    </row>
    <row r="131" spans="3:35" outlineLevel="1" x14ac:dyDescent="0.5">
      <c r="C131" s="1288" t="s">
        <v>1282</v>
      </c>
      <c r="D131" s="1178">
        <f>[1]Historicals!AA137</f>
        <v>6777</v>
      </c>
      <c r="E131" s="1178">
        <f>[1]Historicals!AB137</f>
        <v>7632</v>
      </c>
      <c r="F131" s="1178">
        <f>[1]Historicals!AC137</f>
        <v>8026</v>
      </c>
      <c r="G131" s="1178">
        <f>[1]Historicals!AD137</f>
        <v>9771</v>
      </c>
      <c r="H131" s="1178">
        <f>[1]Historicals!AE137</f>
        <v>8012</v>
      </c>
      <c r="I131" s="1178">
        <f>[1]Historicals!AF137</f>
        <v>8292</v>
      </c>
      <c r="J131" s="1178">
        <f>[1]Historicals!AG137</f>
        <v>9229</v>
      </c>
      <c r="K131" s="1178">
        <f>[1]Historicals!AH137</f>
        <v>12900</v>
      </c>
      <c r="L131" s="1196">
        <f>[1]Historicals!AI137</f>
        <v>11436</v>
      </c>
      <c r="M131" s="1196">
        <f>[1]Historicals!AJ137</f>
        <v>12612</v>
      </c>
      <c r="N131" s="1196">
        <f>[1]Historicals!AK137</f>
        <v>12668</v>
      </c>
      <c r="O131" s="1196">
        <f>[1]Historicals!AL137</f>
        <v>14825</v>
      </c>
      <c r="P131" s="1196">
        <f>[1]Historicals!AM137</f>
        <v>11780</v>
      </c>
      <c r="Q131" s="1196">
        <f>[1]Historicals!AN137</f>
        <v>12186</v>
      </c>
      <c r="R131" s="1196">
        <f>[1]Historicals!AO137</f>
        <v>11966</v>
      </c>
      <c r="S131" s="1196">
        <f>[1]Historicals!AP137</f>
        <v>14218</v>
      </c>
      <c r="T131" s="1196">
        <f>[1]Historicals!AQ137</f>
        <v>11449</v>
      </c>
      <c r="U131" s="1196">
        <f>[1]Historicals!AR137</f>
        <v>12404</v>
      </c>
      <c r="V131" s="1196">
        <f>[1]Historicals!AS137</f>
        <v>12908</v>
      </c>
      <c r="W131" s="1196">
        <f>[1]Historicals!AT137</f>
        <v>16127</v>
      </c>
      <c r="X131" s="1196">
        <f>[1]Historicals!AU137</f>
        <v>13646</v>
      </c>
      <c r="Y131" s="1196">
        <f>[1]Historicals!AV137</f>
        <v>14640</v>
      </c>
      <c r="Z131" s="1196">
        <f>[1]Historicals!AW137</f>
        <v>15619</v>
      </c>
      <c r="AA131" s="1196">
        <f>[1]Historicals!AX137</f>
        <v>19302</v>
      </c>
      <c r="AB131" s="1203"/>
      <c r="AC131" s="1203"/>
    </row>
    <row r="132" spans="3:35" s="1172" customFormat="1" outlineLevel="1" x14ac:dyDescent="0.5">
      <c r="C132" s="1175" t="s">
        <v>1281</v>
      </c>
      <c r="D132" s="1335"/>
      <c r="E132" s="1335"/>
      <c r="F132" s="1335"/>
      <c r="G132" s="1335"/>
      <c r="H132" s="1174">
        <f t="shared" ref="H132:AA132" si="56">H131/D131-1</f>
        <v>0.18223402685554091</v>
      </c>
      <c r="I132" s="1174">
        <f t="shared" si="56"/>
        <v>8.6477987421383684E-2</v>
      </c>
      <c r="J132" s="1174">
        <f t="shared" si="56"/>
        <v>0.14988786444056812</v>
      </c>
      <c r="K132" s="1174">
        <f t="shared" si="56"/>
        <v>0.32023334356770028</v>
      </c>
      <c r="L132" s="1210">
        <f t="shared" si="56"/>
        <v>0.4273589615576634</v>
      </c>
      <c r="M132" s="1210">
        <f t="shared" si="56"/>
        <v>0.52098408104196814</v>
      </c>
      <c r="N132" s="1210">
        <f t="shared" si="56"/>
        <v>0.37262975403619025</v>
      </c>
      <c r="O132" s="1210">
        <f t="shared" si="56"/>
        <v>0.14922480620155043</v>
      </c>
      <c r="P132" s="1210">
        <f t="shared" si="56"/>
        <v>3.00804477089891E-2</v>
      </c>
      <c r="Q132" s="1210">
        <f t="shared" si="56"/>
        <v>-3.3777354900095147E-2</v>
      </c>
      <c r="R132" s="1210">
        <f t="shared" si="56"/>
        <v>-5.5415219450584141E-2</v>
      </c>
      <c r="S132" s="1210">
        <f t="shared" si="56"/>
        <v>-4.0944350758853276E-2</v>
      </c>
      <c r="T132" s="1210">
        <f t="shared" si="56"/>
        <v>-2.8098471986417684E-2</v>
      </c>
      <c r="U132" s="1210">
        <f t="shared" si="56"/>
        <v>1.7889381257180315E-2</v>
      </c>
      <c r="V132" s="1210">
        <f t="shared" si="56"/>
        <v>7.8723048637807214E-2</v>
      </c>
      <c r="W132" s="1210">
        <f t="shared" si="56"/>
        <v>0.13426642284428181</v>
      </c>
      <c r="X132" s="1210">
        <f t="shared" si="56"/>
        <v>0.1918944886016245</v>
      </c>
      <c r="Y132" s="1210">
        <f t="shared" si="56"/>
        <v>0.18026443082876487</v>
      </c>
      <c r="Z132" s="1210">
        <f t="shared" si="56"/>
        <v>0.21002479082739378</v>
      </c>
      <c r="AA132" s="1210">
        <f t="shared" si="56"/>
        <v>0.19687480622558451</v>
      </c>
      <c r="AB132" s="1213"/>
      <c r="AC132" s="1213"/>
      <c r="AD132" s="1245"/>
      <c r="AE132" s="1245"/>
      <c r="AG132" s="1334"/>
      <c r="AH132" s="1334"/>
      <c r="AI132" s="1334"/>
    </row>
    <row r="133" spans="3:35" s="1172" customFormat="1" outlineLevel="1" x14ac:dyDescent="0.5">
      <c r="C133" s="1175" t="s">
        <v>1280</v>
      </c>
      <c r="D133" s="1245">
        <f t="shared" ref="D133:AA133" si="57">D131/D116</f>
        <v>36.435483870967744</v>
      </c>
      <c r="E133" s="1245">
        <f t="shared" si="57"/>
        <v>40.81283422459893</v>
      </c>
      <c r="F133" s="1245">
        <f t="shared" si="57"/>
        <v>42.465608465608469</v>
      </c>
      <c r="G133" s="1245">
        <f t="shared" si="57"/>
        <v>51.426315789473684</v>
      </c>
      <c r="H133" s="1245">
        <f t="shared" si="57"/>
        <v>41.08717948717949</v>
      </c>
      <c r="I133" s="1245">
        <f t="shared" si="57"/>
        <v>41.878787878787875</v>
      </c>
      <c r="J133" s="1245">
        <f t="shared" si="57"/>
        <v>47.086734693877553</v>
      </c>
      <c r="K133" s="1245">
        <f t="shared" si="57"/>
        <v>66.15384615384616</v>
      </c>
      <c r="L133" s="1213">
        <f t="shared" si="57"/>
        <v>58.646153846153844</v>
      </c>
      <c r="M133" s="1213">
        <f t="shared" si="57"/>
        <v>64.676923076923075</v>
      </c>
      <c r="N133" s="1213">
        <f t="shared" si="57"/>
        <v>64.632653061224488</v>
      </c>
      <c r="O133" s="1213">
        <f t="shared" si="57"/>
        <v>76.025641025641022</v>
      </c>
      <c r="P133" s="1213">
        <f t="shared" si="57"/>
        <v>60.102040816326529</v>
      </c>
      <c r="Q133" s="1213">
        <f t="shared" si="57"/>
        <v>61.857868020304565</v>
      </c>
      <c r="R133" s="1213">
        <f t="shared" si="57"/>
        <v>60.741116751269033</v>
      </c>
      <c r="S133" s="1213">
        <f t="shared" si="57"/>
        <v>71.447236180904525</v>
      </c>
      <c r="T133" s="1213">
        <f t="shared" si="57"/>
        <v>57.244999999999997</v>
      </c>
      <c r="U133" s="1213">
        <f t="shared" si="57"/>
        <v>61.405940594059409</v>
      </c>
      <c r="V133" s="1213">
        <f t="shared" si="57"/>
        <v>63.586206896551722</v>
      </c>
      <c r="W133" s="1213">
        <f t="shared" si="57"/>
        <v>78.668292682926833</v>
      </c>
      <c r="X133" s="1213">
        <f t="shared" si="57"/>
        <v>66.242718446601941</v>
      </c>
      <c r="Y133" s="1213">
        <f t="shared" si="57"/>
        <v>70.364317985196578</v>
      </c>
      <c r="Z133" s="1213">
        <f t="shared" si="57"/>
        <v>74.69988999952173</v>
      </c>
      <c r="AA133" s="1213">
        <f t="shared" si="57"/>
        <v>91.413686952403509</v>
      </c>
      <c r="AB133" s="1213"/>
      <c r="AC133" s="1213"/>
      <c r="AD133" s="1245"/>
      <c r="AE133" s="1245"/>
    </row>
    <row r="134" spans="3:35" outlineLevel="1" x14ac:dyDescent="0.5">
      <c r="L134" s="1203"/>
      <c r="M134" s="1203"/>
      <c r="N134" s="1203"/>
      <c r="O134" s="1203"/>
      <c r="P134" s="1203"/>
      <c r="Q134" s="1203"/>
      <c r="R134" s="1203"/>
      <c r="S134" s="1203"/>
      <c r="T134" s="1203"/>
      <c r="U134" s="1203"/>
      <c r="V134" s="1203"/>
      <c r="W134" s="1203"/>
      <c r="X134" s="1203"/>
      <c r="Y134" s="1203"/>
      <c r="Z134" s="1203"/>
      <c r="AA134" s="1203"/>
      <c r="AB134" s="1203"/>
      <c r="AC134" s="1203"/>
    </row>
    <row r="135" spans="3:35" outlineLevel="1" x14ac:dyDescent="0.5">
      <c r="C135" s="1288" t="s">
        <v>1279</v>
      </c>
      <c r="D135" s="1178">
        <f>[1]Historicals!AA138</f>
        <v>3624</v>
      </c>
      <c r="E135" s="1178">
        <f>[1]Historicals!AB138</f>
        <v>4097</v>
      </c>
      <c r="F135" s="1178">
        <f>[1]Historicals!AC138</f>
        <v>4053</v>
      </c>
      <c r="G135" s="1178">
        <f>[1]Historicals!AD138</f>
        <v>5052</v>
      </c>
      <c r="H135" s="1178">
        <f>[1]Historicals!AE138</f>
        <v>4150</v>
      </c>
      <c r="I135" s="1178">
        <f>[1]Historicals!AF138</f>
        <v>4249</v>
      </c>
      <c r="J135" s="1178">
        <f>[1]Historicals!AG138</f>
        <v>5055</v>
      </c>
      <c r="K135" s="1178">
        <f>[1]Historicals!AH138</f>
        <v>6895</v>
      </c>
      <c r="L135" s="1196">
        <f>[1]Historicals!AI138</f>
        <v>6384</v>
      </c>
      <c r="M135" s="1196">
        <f>[1]Historicals!AJ138</f>
        <v>7220</v>
      </c>
      <c r="N135" s="1196">
        <f>[1]Historicals!AK138</f>
        <v>7018</v>
      </c>
      <c r="O135" s="1196">
        <f>[1]Historicals!AL138</f>
        <v>8435</v>
      </c>
      <c r="P135" s="1196">
        <f>[1]Historicals!AM138</f>
        <v>6638</v>
      </c>
      <c r="Q135" s="1196">
        <f>[1]Historicals!AN138</f>
        <v>6650</v>
      </c>
      <c r="R135" s="1196">
        <f>[1]Historicals!AO138</f>
        <v>5996</v>
      </c>
      <c r="S135" s="1196">
        <f>[1]Historicals!AP138</f>
        <v>7397</v>
      </c>
      <c r="T135" s="1196">
        <f>[1]Historicals!AQ138</f>
        <v>6759</v>
      </c>
      <c r="U135" s="1196">
        <f>[1]Historicals!AR138</f>
        <v>7515</v>
      </c>
      <c r="V135" s="1196">
        <f>[1]Historicals!AS138</f>
        <v>7578</v>
      </c>
      <c r="W135" s="1196">
        <f>[1]Historicals!AT138</f>
        <v>9358</v>
      </c>
      <c r="X135" s="1196">
        <f>[1]Historicals!AU138</f>
        <v>8404</v>
      </c>
      <c r="Y135" s="1196">
        <f>[1]Historicals!AV138</f>
        <v>9153</v>
      </c>
      <c r="Z135" s="1196">
        <f>[1]Historicals!AW138</f>
        <v>9205</v>
      </c>
      <c r="AA135" s="1196">
        <f>[1]Historicals!AX138</f>
        <v>11599</v>
      </c>
      <c r="AB135" s="1203"/>
      <c r="AC135" s="1203"/>
    </row>
    <row r="136" spans="3:35" s="1172" customFormat="1" outlineLevel="1" x14ac:dyDescent="0.5">
      <c r="C136" s="1175" t="s">
        <v>1278</v>
      </c>
      <c r="D136" s="1335"/>
      <c r="E136" s="1335"/>
      <c r="F136" s="1335"/>
      <c r="G136" s="1335"/>
      <c r="H136" s="1174">
        <f t="shared" ref="H136:AA136" si="58">H135/D135-1</f>
        <v>0.14514348785871967</v>
      </c>
      <c r="I136" s="1174">
        <f t="shared" si="58"/>
        <v>3.7100317305345465E-2</v>
      </c>
      <c r="J136" s="1174">
        <f t="shared" si="58"/>
        <v>0.24722427831236127</v>
      </c>
      <c r="K136" s="1174">
        <f t="shared" si="58"/>
        <v>0.36480601741884411</v>
      </c>
      <c r="L136" s="1210">
        <f t="shared" si="58"/>
        <v>0.53831325301204824</v>
      </c>
      <c r="M136" s="1210">
        <f t="shared" si="58"/>
        <v>0.69922334666980457</v>
      </c>
      <c r="N136" s="1210">
        <f t="shared" si="58"/>
        <v>0.38832838773491596</v>
      </c>
      <c r="O136" s="1210">
        <f t="shared" si="58"/>
        <v>0.2233502538071066</v>
      </c>
      <c r="P136" s="1210">
        <f t="shared" si="58"/>
        <v>3.978696741854626E-2</v>
      </c>
      <c r="Q136" s="1210">
        <f t="shared" si="58"/>
        <v>-7.8947368421052655E-2</v>
      </c>
      <c r="R136" s="1210">
        <f t="shared" si="58"/>
        <v>-0.14562553434026793</v>
      </c>
      <c r="S136" s="1210">
        <f t="shared" si="58"/>
        <v>-0.12305868405453468</v>
      </c>
      <c r="T136" s="1210">
        <f t="shared" si="58"/>
        <v>1.8228382042783986E-2</v>
      </c>
      <c r="U136" s="1210">
        <f t="shared" si="58"/>
        <v>0.1300751879699249</v>
      </c>
      <c r="V136" s="1210">
        <f t="shared" si="58"/>
        <v>0.26384256170780529</v>
      </c>
      <c r="W136" s="1210">
        <f t="shared" si="58"/>
        <v>0.26510747600378526</v>
      </c>
      <c r="X136" s="1210">
        <f t="shared" si="58"/>
        <v>0.24337919810622877</v>
      </c>
      <c r="Y136" s="1210">
        <f t="shared" si="58"/>
        <v>0.21796407185628741</v>
      </c>
      <c r="Z136" s="1210">
        <f t="shared" si="58"/>
        <v>0.21470044866719462</v>
      </c>
      <c r="AA136" s="1210">
        <f t="shared" si="58"/>
        <v>0.23947424663389616</v>
      </c>
      <c r="AB136" s="1213"/>
      <c r="AC136" s="1213"/>
      <c r="AD136" s="1245"/>
      <c r="AE136" s="1245"/>
      <c r="AG136" s="1334"/>
      <c r="AH136" s="1334"/>
      <c r="AI136" s="1334"/>
    </row>
    <row r="137" spans="3:35" s="1172" customFormat="1" outlineLevel="1" x14ac:dyDescent="0.5">
      <c r="C137" s="1175" t="s">
        <v>1277</v>
      </c>
      <c r="D137" s="1245">
        <f t="shared" ref="D137:AA137" si="59">D135/D119</f>
        <v>12.671328671328672</v>
      </c>
      <c r="E137" s="1245">
        <f t="shared" si="59"/>
        <v>14.325174825174825</v>
      </c>
      <c r="F137" s="1245">
        <f t="shared" si="59"/>
        <v>14.072916666666666</v>
      </c>
      <c r="G137" s="1245">
        <f t="shared" si="59"/>
        <v>17.183673469387756</v>
      </c>
      <c r="H137" s="1245">
        <f t="shared" si="59"/>
        <v>13.60655737704918</v>
      </c>
      <c r="I137" s="1245">
        <f t="shared" si="59"/>
        <v>13.931147540983607</v>
      </c>
      <c r="J137" s="1245">
        <f t="shared" si="59"/>
        <v>16.57377049180328</v>
      </c>
      <c r="K137" s="1245">
        <f t="shared" si="59"/>
        <v>22.386363636363637</v>
      </c>
      <c r="L137" s="1213">
        <f t="shared" si="59"/>
        <v>20.660194174757283</v>
      </c>
      <c r="M137" s="1213">
        <f t="shared" si="59"/>
        <v>23.517915309446256</v>
      </c>
      <c r="N137" s="1213">
        <f t="shared" si="59"/>
        <v>22.785714285714285</v>
      </c>
      <c r="O137" s="1213">
        <f t="shared" si="59"/>
        <v>27.297734627831716</v>
      </c>
      <c r="P137" s="1213">
        <f t="shared" si="59"/>
        <v>21.622149837133552</v>
      </c>
      <c r="Q137" s="1213">
        <f t="shared" si="59"/>
        <v>21.947194719471948</v>
      </c>
      <c r="R137" s="1213">
        <f t="shared" si="59"/>
        <v>19.78877887788779</v>
      </c>
      <c r="S137" s="1213">
        <f t="shared" si="59"/>
        <v>24.332236842105264</v>
      </c>
      <c r="T137" s="1213">
        <f t="shared" si="59"/>
        <v>22.016286644951141</v>
      </c>
      <c r="U137" s="1213">
        <f t="shared" si="59"/>
        <v>24.478827361563518</v>
      </c>
      <c r="V137" s="1213">
        <f t="shared" si="59"/>
        <v>24.684039087947884</v>
      </c>
      <c r="W137" s="1213">
        <f t="shared" si="59"/>
        <v>30.383116883116884</v>
      </c>
      <c r="X137" s="1213">
        <f t="shared" si="59"/>
        <v>27.04999291885002</v>
      </c>
      <c r="Y137" s="1213">
        <f t="shared" si="59"/>
        <v>29.460802616163043</v>
      </c>
      <c r="Z137" s="1213">
        <f t="shared" si="59"/>
        <v>29.628175252024562</v>
      </c>
      <c r="AA137" s="1213">
        <f t="shared" si="59"/>
        <v>37.212540424002874</v>
      </c>
      <c r="AB137" s="1213"/>
      <c r="AC137" s="1213"/>
      <c r="AD137" s="1245"/>
      <c r="AE137" s="1245"/>
    </row>
    <row r="138" spans="3:35" outlineLevel="1" x14ac:dyDescent="0.5">
      <c r="L138" s="1203"/>
      <c r="M138" s="1203"/>
      <c r="N138" s="1203"/>
      <c r="O138" s="1203"/>
      <c r="P138" s="1203"/>
      <c r="Q138" s="1203"/>
      <c r="R138" s="1203"/>
      <c r="S138" s="1203"/>
      <c r="T138" s="1203"/>
      <c r="U138" s="1203"/>
      <c r="V138" s="1203"/>
      <c r="W138" s="1203"/>
      <c r="X138" s="1203"/>
      <c r="Y138" s="1203"/>
      <c r="Z138" s="1203"/>
      <c r="AA138" s="1203"/>
      <c r="AB138" s="1203"/>
      <c r="AC138" s="1203"/>
    </row>
    <row r="139" spans="3:35" outlineLevel="1" x14ac:dyDescent="0.5">
      <c r="C139" s="1288" t="s">
        <v>1276</v>
      </c>
      <c r="D139" s="1178">
        <f>[1]Historicals!AA139</f>
        <v>3337</v>
      </c>
      <c r="E139" s="1178">
        <f>[1]Historicals!AB139</f>
        <v>3628</v>
      </c>
      <c r="F139" s="1178">
        <f>[1]Historicals!AC139</f>
        <v>3958</v>
      </c>
      <c r="G139" s="1178">
        <f>[1]Historicals!AD139</f>
        <v>4483</v>
      </c>
      <c r="H139" s="1178">
        <f>[1]Historicals!AE139</f>
        <v>3971</v>
      </c>
      <c r="I139" s="1178">
        <f>[1]Historicals!AF139</f>
        <v>4611</v>
      </c>
      <c r="J139" s="1178">
        <f>[1]Historicals!AG139</f>
        <v>5311</v>
      </c>
      <c r="K139" s="1178">
        <f>[1]Historicals!AH139</f>
        <v>5955</v>
      </c>
      <c r="L139" s="1196">
        <f>[1]Historicals!AI139</f>
        <v>6101</v>
      </c>
      <c r="M139" s="1196">
        <f>[1]Historicals!AJ139</f>
        <v>6677</v>
      </c>
      <c r="N139" s="1196">
        <f>[1]Historicals!AK139</f>
        <v>6592</v>
      </c>
      <c r="O139" s="1196">
        <f>[1]Historicals!AL139</f>
        <v>7369</v>
      </c>
      <c r="P139" s="1196">
        <f>[1]Historicals!AM139</f>
        <v>6722</v>
      </c>
      <c r="Q139" s="1196">
        <f>[1]Historicals!AN139</f>
        <v>6960</v>
      </c>
      <c r="R139" s="1196">
        <f>[1]Historicals!AO139</f>
        <v>6797</v>
      </c>
      <c r="S139" s="1196">
        <f>[1]Historicals!AP139</f>
        <v>7281</v>
      </c>
      <c r="T139" s="1196">
        <f>[1]Historicals!AQ139</f>
        <v>7292</v>
      </c>
      <c r="U139" s="1196">
        <f>[1]Historicals!AR139</f>
        <v>8551</v>
      </c>
      <c r="V139" s="1196">
        <f>[1]Historicals!AS139</f>
        <v>9790</v>
      </c>
      <c r="W139" s="1196">
        <f>[1]Historicals!AT139</f>
        <v>10521</v>
      </c>
      <c r="X139" s="1196">
        <f>[1]Historicals!AU139</f>
        <v>10312</v>
      </c>
      <c r="Y139" s="1196">
        <f>[1]Historicals!AV139</f>
        <v>10967</v>
      </c>
      <c r="Z139" s="1196">
        <f>[1]Historicals!AW139</f>
        <v>11243</v>
      </c>
      <c r="AA139" s="1196">
        <f>[1]Historicals!AX139</f>
        <v>12487</v>
      </c>
      <c r="AB139" s="1203"/>
      <c r="AC139" s="1203"/>
    </row>
    <row r="140" spans="3:35" s="1172" customFormat="1" outlineLevel="1" x14ac:dyDescent="0.5">
      <c r="C140" s="1175" t="s">
        <v>1275</v>
      </c>
      <c r="D140" s="1335"/>
      <c r="E140" s="1335"/>
      <c r="F140" s="1335"/>
      <c r="G140" s="1335"/>
      <c r="H140" s="1174">
        <f t="shared" ref="H140:AA140" si="60">H139/D139-1</f>
        <v>0.18999100988912199</v>
      </c>
      <c r="I140" s="1174">
        <f t="shared" si="60"/>
        <v>0.27094818081587646</v>
      </c>
      <c r="J140" s="1174">
        <f t="shared" si="60"/>
        <v>0.34183931278423452</v>
      </c>
      <c r="K140" s="1174">
        <f t="shared" si="60"/>
        <v>0.32835155030113761</v>
      </c>
      <c r="L140" s="1210">
        <f t="shared" si="60"/>
        <v>0.5363888189372954</v>
      </c>
      <c r="M140" s="1210">
        <f t="shared" si="60"/>
        <v>0.44805898937323785</v>
      </c>
      <c r="N140" s="1210">
        <f t="shared" si="60"/>
        <v>0.2411975145923555</v>
      </c>
      <c r="O140" s="1210">
        <f t="shared" si="60"/>
        <v>0.23744752308984052</v>
      </c>
      <c r="P140" s="1210">
        <f t="shared" si="60"/>
        <v>0.1017865923619079</v>
      </c>
      <c r="Q140" s="1210">
        <f t="shared" si="60"/>
        <v>4.2384304328291211E-2</v>
      </c>
      <c r="R140" s="1210">
        <f t="shared" si="60"/>
        <v>3.1098300970873849E-2</v>
      </c>
      <c r="S140" s="1210">
        <f t="shared" si="60"/>
        <v>-1.1941918849233235E-2</v>
      </c>
      <c r="T140" s="1210">
        <f t="shared" si="60"/>
        <v>8.4796191609640026E-2</v>
      </c>
      <c r="U140" s="1210">
        <f t="shared" si="60"/>
        <v>0.2285919540229886</v>
      </c>
      <c r="V140" s="1210">
        <f t="shared" si="60"/>
        <v>0.44034132705605411</v>
      </c>
      <c r="W140" s="1210">
        <f t="shared" si="60"/>
        <v>0.44499381953028427</v>
      </c>
      <c r="X140" s="1210">
        <f t="shared" si="60"/>
        <v>0.41415249588590242</v>
      </c>
      <c r="Y140" s="1210">
        <f t="shared" si="60"/>
        <v>0.2825400537948779</v>
      </c>
      <c r="Z140" s="1210">
        <f t="shared" si="60"/>
        <v>0.14841675178753833</v>
      </c>
      <c r="AA140" s="1210">
        <f t="shared" si="60"/>
        <v>0.18686436650508509</v>
      </c>
      <c r="AB140" s="1213"/>
      <c r="AC140" s="1213"/>
      <c r="AD140" s="1245"/>
      <c r="AE140" s="1245"/>
      <c r="AG140" s="1334"/>
      <c r="AH140" s="1334"/>
      <c r="AI140" s="1334"/>
    </row>
    <row r="141" spans="3:35" outlineLevel="1" x14ac:dyDescent="0.5">
      <c r="C141" s="1175" t="s">
        <v>1274</v>
      </c>
      <c r="D141" s="1245">
        <f t="shared" ref="D141:AA141" si="61">D139/D122</f>
        <v>5.5616666666666665</v>
      </c>
      <c r="E141" s="1245">
        <f t="shared" si="61"/>
        <v>5.8991869918699189</v>
      </c>
      <c r="F141" s="1245">
        <f t="shared" si="61"/>
        <v>6.3125996810207337</v>
      </c>
      <c r="G141" s="1245">
        <f t="shared" si="61"/>
        <v>6.9937597503900157</v>
      </c>
      <c r="H141" s="1245">
        <f t="shared" si="61"/>
        <v>5.8569321533923304</v>
      </c>
      <c r="I141" s="1245">
        <f t="shared" si="61"/>
        <v>6.5965665236051505</v>
      </c>
      <c r="J141" s="1245">
        <f t="shared" si="61"/>
        <v>7.3053645116918844</v>
      </c>
      <c r="K141" s="1245">
        <f t="shared" si="61"/>
        <v>8.004032258064516</v>
      </c>
      <c r="L141" s="1213">
        <f t="shared" si="61"/>
        <v>8.0276315789473678</v>
      </c>
      <c r="M141" s="1213">
        <f t="shared" si="61"/>
        <v>8.4733502538071068</v>
      </c>
      <c r="N141" s="1213">
        <f t="shared" si="61"/>
        <v>8.1888198757763977</v>
      </c>
      <c r="O141" s="1213">
        <f t="shared" si="61"/>
        <v>9.1426799007444171</v>
      </c>
      <c r="P141" s="1213">
        <f t="shared" si="61"/>
        <v>8.1281741233373648</v>
      </c>
      <c r="Q141" s="1213">
        <f t="shared" si="61"/>
        <v>8.3253588516746415</v>
      </c>
      <c r="R141" s="1213">
        <f t="shared" si="61"/>
        <v>8.0437869822485215</v>
      </c>
      <c r="S141" s="1213">
        <f t="shared" si="61"/>
        <v>8.5257611241217806</v>
      </c>
      <c r="T141" s="1213">
        <f t="shared" si="61"/>
        <v>8.3528064146620853</v>
      </c>
      <c r="U141" s="1213">
        <f t="shared" si="61"/>
        <v>9.5970819304152641</v>
      </c>
      <c r="V141" s="1213">
        <f t="shared" si="61"/>
        <v>10.889877641824249</v>
      </c>
      <c r="W141" s="1213">
        <f t="shared" si="61"/>
        <v>11.5109409190372</v>
      </c>
      <c r="X141" s="1213">
        <f t="shared" si="61"/>
        <v>11.143530225420909</v>
      </c>
      <c r="Y141" s="1213">
        <f t="shared" si="61"/>
        <v>11.611926391800605</v>
      </c>
      <c r="Z141" s="1213">
        <f t="shared" si="61"/>
        <v>11.798224442252398</v>
      </c>
      <c r="AA141" s="1213">
        <f t="shared" si="61"/>
        <v>12.888609058255232</v>
      </c>
      <c r="AB141" s="1203"/>
      <c r="AC141" s="1203"/>
    </row>
    <row r="142" spans="3:35" outlineLevel="1" x14ac:dyDescent="0.5">
      <c r="L142" s="1203"/>
      <c r="M142" s="1203"/>
      <c r="N142" s="1203"/>
      <c r="O142" s="1203"/>
      <c r="P142" s="1203"/>
      <c r="Q142" s="1203"/>
      <c r="R142" s="1203"/>
      <c r="S142" s="1203"/>
      <c r="T142" s="1203"/>
      <c r="U142" s="1203"/>
      <c r="V142" s="1203"/>
      <c r="W142" s="1203"/>
      <c r="X142" s="1203"/>
      <c r="Y142" s="1203"/>
      <c r="Z142" s="1203"/>
      <c r="AA142" s="1203"/>
      <c r="AB142" s="1203"/>
      <c r="AC142" s="1203"/>
    </row>
    <row r="143" spans="3:35" outlineLevel="1" x14ac:dyDescent="0.5">
      <c r="C143" s="1288" t="s">
        <v>1273</v>
      </c>
      <c r="D143" s="1178">
        <f>[1]Historicals!AA140</f>
        <v>1339</v>
      </c>
      <c r="E143" s="1178">
        <f>[1]Historicals!AB140</f>
        <v>1529</v>
      </c>
      <c r="F143" s="1178">
        <f>[1]Historicals!AC140</f>
        <v>1615</v>
      </c>
      <c r="G143" s="1178">
        <f>[1]Historicals!AD140</f>
        <v>1776</v>
      </c>
      <c r="H143" s="1178">
        <f>[1]Historicals!AE140</f>
        <v>1604</v>
      </c>
      <c r="I143" s="1178">
        <f>[1]Historicals!AF140</f>
        <v>1535</v>
      </c>
      <c r="J143" s="1178">
        <f>[1]Historicals!AG140</f>
        <v>1875</v>
      </c>
      <c r="K143" s="1178">
        <f>[1]Historicals!AH140</f>
        <v>2321</v>
      </c>
      <c r="L143" s="1196">
        <f>[1]Historicals!AI140</f>
        <v>2250</v>
      </c>
      <c r="M143" s="1196">
        <f>[1]Historicals!AJ140</f>
        <v>2568</v>
      </c>
      <c r="N143" s="1196">
        <f>[1]Historicals!AK140</f>
        <v>2732</v>
      </c>
      <c r="O143" s="1196">
        <f>[1]Historicals!AL140</f>
        <v>3042</v>
      </c>
      <c r="P143" s="1196">
        <f>[1]Historicals!AM140</f>
        <v>2768</v>
      </c>
      <c r="Q143" s="1196">
        <f>[1]Historicals!AN140</f>
        <v>3026</v>
      </c>
      <c r="R143" s="1196">
        <f>[1]Historicals!AO140</f>
        <v>2955</v>
      </c>
      <c r="S143" s="1196">
        <f>[1]Historicals!AP140</f>
        <v>3269</v>
      </c>
      <c r="T143" s="1196">
        <f>[1]Historicals!AQ140</f>
        <v>3145</v>
      </c>
      <c r="U143" s="1196">
        <f>[1]Historicals!AR140</f>
        <v>3529</v>
      </c>
      <c r="V143" s="1196">
        <f>[1]Historicals!AS140</f>
        <v>3870</v>
      </c>
      <c r="W143" s="1196">
        <f>[1]Historicals!AT140</f>
        <v>4106</v>
      </c>
      <c r="X143" s="1196">
        <f>[1]Historicals!AU140</f>
        <v>4093</v>
      </c>
      <c r="Y143" s="1196">
        <f>[1]Historicals!AV140</f>
        <v>4311</v>
      </c>
      <c r="Z143" s="1196">
        <f>[1]Historicals!AW140</f>
        <v>4522</v>
      </c>
      <c r="AA143" s="1196">
        <f>[1]Historicals!AX140</f>
        <v>4998</v>
      </c>
      <c r="AB143" s="1203"/>
      <c r="AC143" s="1203"/>
    </row>
    <row r="144" spans="3:35" s="1172" customFormat="1" outlineLevel="1" x14ac:dyDescent="0.5">
      <c r="C144" s="1175" t="s">
        <v>1272</v>
      </c>
      <c r="D144" s="1335"/>
      <c r="E144" s="1335"/>
      <c r="F144" s="1335"/>
      <c r="G144" s="1335"/>
      <c r="H144" s="1174">
        <f t="shared" ref="H144:AA144" si="62">H143/D143-1</f>
        <v>0.19790888722927558</v>
      </c>
      <c r="I144" s="1174">
        <f t="shared" si="62"/>
        <v>3.9241334205362133E-3</v>
      </c>
      <c r="J144" s="1174">
        <f t="shared" si="62"/>
        <v>0.16099071207430349</v>
      </c>
      <c r="K144" s="1174">
        <f t="shared" si="62"/>
        <v>0.30686936936936937</v>
      </c>
      <c r="L144" s="1210">
        <f t="shared" si="62"/>
        <v>0.40274314214463836</v>
      </c>
      <c r="M144" s="1210">
        <f t="shared" si="62"/>
        <v>0.67296416938110748</v>
      </c>
      <c r="N144" s="1210">
        <f t="shared" si="62"/>
        <v>0.45706666666666673</v>
      </c>
      <c r="O144" s="1210">
        <f t="shared" si="62"/>
        <v>0.31064196467040062</v>
      </c>
      <c r="P144" s="1210">
        <f t="shared" si="62"/>
        <v>0.23022222222222233</v>
      </c>
      <c r="Q144" s="1210">
        <f t="shared" si="62"/>
        <v>0.17834890965732098</v>
      </c>
      <c r="R144" s="1210">
        <f t="shared" si="62"/>
        <v>8.162518301610544E-2</v>
      </c>
      <c r="S144" s="1210">
        <f t="shared" si="62"/>
        <v>7.4621959237343827E-2</v>
      </c>
      <c r="T144" s="1210">
        <f t="shared" si="62"/>
        <v>0.13619942196531798</v>
      </c>
      <c r="U144" s="1210">
        <f t="shared" si="62"/>
        <v>0.16622604097818905</v>
      </c>
      <c r="V144" s="1210">
        <f t="shared" si="62"/>
        <v>0.30964467005076135</v>
      </c>
      <c r="W144" s="1210">
        <f t="shared" si="62"/>
        <v>0.25604160293667788</v>
      </c>
      <c r="X144" s="1210">
        <f t="shared" si="62"/>
        <v>0.30143084260731312</v>
      </c>
      <c r="Y144" s="1210">
        <f t="shared" si="62"/>
        <v>0.22159251912723144</v>
      </c>
      <c r="Z144" s="1210">
        <f t="shared" si="62"/>
        <v>0.16847545219638249</v>
      </c>
      <c r="AA144" s="1210">
        <f t="shared" si="62"/>
        <v>0.21724305893813933</v>
      </c>
      <c r="AB144" s="1213"/>
      <c r="AC144" s="1213"/>
      <c r="AD144" s="1245"/>
      <c r="AE144" s="1245"/>
      <c r="AG144" s="1334"/>
      <c r="AH144" s="1334"/>
      <c r="AI144" s="1334"/>
    </row>
    <row r="145" spans="3:35" outlineLevel="1" x14ac:dyDescent="0.5">
      <c r="C145" s="1175" t="s">
        <v>1271</v>
      </c>
      <c r="D145" s="1245">
        <f t="shared" ref="D145:AA145" si="63">D143/D125</f>
        <v>2.7326530612244899</v>
      </c>
      <c r="E145" s="1245">
        <f t="shared" si="63"/>
        <v>3.0641282565130261</v>
      </c>
      <c r="F145" s="1245">
        <f t="shared" si="63"/>
        <v>3.1117533718689789</v>
      </c>
      <c r="G145" s="1245">
        <f t="shared" si="63"/>
        <v>3.3383458646616542</v>
      </c>
      <c r="H145" s="1245">
        <f t="shared" si="63"/>
        <v>2.8848920863309351</v>
      </c>
      <c r="I145" s="1245">
        <f t="shared" si="63"/>
        <v>2.6329331046312179</v>
      </c>
      <c r="J145" s="1245">
        <f t="shared" si="63"/>
        <v>3.1618887015177064</v>
      </c>
      <c r="K145" s="1245">
        <f t="shared" si="63"/>
        <v>3.8812709030100336</v>
      </c>
      <c r="L145" s="1213">
        <f t="shared" si="63"/>
        <v>3.6704730831973897</v>
      </c>
      <c r="M145" s="1213">
        <f t="shared" si="63"/>
        <v>4.1553398058252426</v>
      </c>
      <c r="N145" s="1213">
        <f t="shared" si="63"/>
        <v>4.392282958199357</v>
      </c>
      <c r="O145" s="1213">
        <f t="shared" si="63"/>
        <v>4.9143780290791597</v>
      </c>
      <c r="P145" s="1213">
        <f t="shared" si="63"/>
        <v>4.4006359300476952</v>
      </c>
      <c r="Q145" s="1213">
        <f t="shared" si="63"/>
        <v>4.795562599049128</v>
      </c>
      <c r="R145" s="1213">
        <f t="shared" si="63"/>
        <v>4.6316614420062692</v>
      </c>
      <c r="S145" s="1213">
        <f t="shared" si="63"/>
        <v>5.0839813374805596</v>
      </c>
      <c r="T145" s="1213">
        <f t="shared" si="63"/>
        <v>4.7869101978691022</v>
      </c>
      <c r="U145" s="1213">
        <f t="shared" si="63"/>
        <v>5.306766917293233</v>
      </c>
      <c r="V145" s="1213">
        <f t="shared" si="63"/>
        <v>5.724852071005917</v>
      </c>
      <c r="W145" s="1213">
        <f t="shared" si="63"/>
        <v>6.0117130307467059</v>
      </c>
      <c r="X145" s="1213">
        <f t="shared" si="63"/>
        <v>5.8772005399040799</v>
      </c>
      <c r="Y145" s="1213">
        <f t="shared" si="63"/>
        <v>6.1157611008653703</v>
      </c>
      <c r="Z145" s="1213">
        <f t="shared" si="63"/>
        <v>6.3107067098358822</v>
      </c>
      <c r="AA145" s="1213">
        <f t="shared" si="63"/>
        <v>6.9035056217022568</v>
      </c>
      <c r="AB145" s="1203"/>
      <c r="AC145" s="1203"/>
    </row>
    <row r="146" spans="3:35" outlineLevel="1" x14ac:dyDescent="0.5">
      <c r="C146" s="1294"/>
      <c r="D146" s="1293"/>
      <c r="E146" s="1293"/>
      <c r="F146" s="1293"/>
      <c r="G146" s="1293"/>
      <c r="H146" s="1293"/>
      <c r="I146" s="1293"/>
      <c r="J146" s="1293"/>
      <c r="K146" s="1293"/>
      <c r="L146" s="1292"/>
      <c r="M146" s="1292"/>
      <c r="N146" s="1292"/>
      <c r="O146" s="1292"/>
      <c r="P146" s="1292"/>
      <c r="Q146" s="1292"/>
      <c r="R146" s="1292"/>
      <c r="S146" s="1292"/>
      <c r="T146" s="1292"/>
      <c r="U146" s="1292"/>
      <c r="V146" s="1292"/>
      <c r="W146" s="1292"/>
      <c r="X146" s="1292"/>
      <c r="Y146" s="1292"/>
      <c r="Z146" s="1292"/>
      <c r="AA146" s="1292"/>
      <c r="AB146" s="1203"/>
      <c r="AC146" s="1203"/>
    </row>
    <row r="147" spans="3:35" outlineLevel="1" x14ac:dyDescent="0.5">
      <c r="C147" s="1290" t="s">
        <v>1155</v>
      </c>
      <c r="D147" s="1295">
        <f t="shared" ref="D147:AA147" si="64">D131+D135+D139+D143</f>
        <v>15077</v>
      </c>
      <c r="E147" s="1295">
        <f t="shared" si="64"/>
        <v>16886</v>
      </c>
      <c r="F147" s="1295">
        <f t="shared" si="64"/>
        <v>17652</v>
      </c>
      <c r="G147" s="1295">
        <f t="shared" si="64"/>
        <v>21082</v>
      </c>
      <c r="H147" s="1295">
        <f t="shared" si="64"/>
        <v>17737</v>
      </c>
      <c r="I147" s="1295">
        <f t="shared" si="64"/>
        <v>18687</v>
      </c>
      <c r="J147" s="1295">
        <f t="shared" si="64"/>
        <v>21470</v>
      </c>
      <c r="K147" s="1295">
        <f t="shared" si="64"/>
        <v>28071</v>
      </c>
      <c r="L147" s="1199">
        <f t="shared" si="64"/>
        <v>26171</v>
      </c>
      <c r="M147" s="1199">
        <f t="shared" si="64"/>
        <v>29077</v>
      </c>
      <c r="N147" s="1199">
        <f t="shared" si="64"/>
        <v>29010</v>
      </c>
      <c r="O147" s="1199">
        <f t="shared" si="64"/>
        <v>33671</v>
      </c>
      <c r="P147" s="1199">
        <f t="shared" si="64"/>
        <v>27908</v>
      </c>
      <c r="Q147" s="1199">
        <f t="shared" si="64"/>
        <v>28822</v>
      </c>
      <c r="R147" s="1199">
        <f t="shared" si="64"/>
        <v>27714</v>
      </c>
      <c r="S147" s="1199">
        <f t="shared" si="64"/>
        <v>32165</v>
      </c>
      <c r="T147" s="1199">
        <f t="shared" si="64"/>
        <v>28645</v>
      </c>
      <c r="U147" s="1199">
        <f t="shared" si="64"/>
        <v>31999</v>
      </c>
      <c r="V147" s="1199">
        <f t="shared" si="64"/>
        <v>34146</v>
      </c>
      <c r="W147" s="1199">
        <f t="shared" si="64"/>
        <v>40112</v>
      </c>
      <c r="X147" s="1199">
        <f t="shared" si="64"/>
        <v>36455</v>
      </c>
      <c r="Y147" s="1199">
        <f t="shared" si="64"/>
        <v>39071</v>
      </c>
      <c r="Z147" s="1199">
        <f t="shared" si="64"/>
        <v>40589</v>
      </c>
      <c r="AA147" s="1199">
        <f t="shared" si="64"/>
        <v>48386</v>
      </c>
      <c r="AB147" s="1203"/>
      <c r="AC147" s="1203"/>
    </row>
    <row r="148" spans="3:35" s="1172" customFormat="1" outlineLevel="1" x14ac:dyDescent="0.5">
      <c r="C148" s="1175" t="s">
        <v>1154</v>
      </c>
      <c r="D148" s="1335"/>
      <c r="E148" s="1335"/>
      <c r="F148" s="1335"/>
      <c r="G148" s="1335"/>
      <c r="H148" s="1174">
        <f t="shared" ref="H148:AA148" si="65">H147/D147-1</f>
        <v>0.17642767128739134</v>
      </c>
      <c r="I148" s="1174">
        <f t="shared" si="65"/>
        <v>0.10665640175293145</v>
      </c>
      <c r="J148" s="1174">
        <f t="shared" si="65"/>
        <v>0.21629277135735325</v>
      </c>
      <c r="K148" s="1174">
        <f t="shared" si="65"/>
        <v>0.3315150365240489</v>
      </c>
      <c r="L148" s="1210">
        <f t="shared" si="65"/>
        <v>0.47550318543158365</v>
      </c>
      <c r="M148" s="1210">
        <f t="shared" si="65"/>
        <v>0.5560014983678494</v>
      </c>
      <c r="N148" s="1210">
        <f t="shared" si="65"/>
        <v>0.35118770377270603</v>
      </c>
      <c r="O148" s="1210">
        <f t="shared" si="65"/>
        <v>0.19949413985964171</v>
      </c>
      <c r="P148" s="1210">
        <f t="shared" si="65"/>
        <v>6.6371174200450911E-2</v>
      </c>
      <c r="Q148" s="1210">
        <f t="shared" si="65"/>
        <v>-8.7698180692643568E-3</v>
      </c>
      <c r="R148" s="1210">
        <f t="shared" si="65"/>
        <v>-4.4674250258531556E-2</v>
      </c>
      <c r="S148" s="1210">
        <f t="shared" si="65"/>
        <v>-4.4726916337501144E-2</v>
      </c>
      <c r="T148" s="1210">
        <f t="shared" si="65"/>
        <v>2.6408198366060009E-2</v>
      </c>
      <c r="U148" s="1210">
        <f t="shared" si="65"/>
        <v>0.11022829782804799</v>
      </c>
      <c r="V148" s="1210">
        <f t="shared" si="65"/>
        <v>0.23208486685429741</v>
      </c>
      <c r="W148" s="1210">
        <f t="shared" si="65"/>
        <v>0.24706979636250592</v>
      </c>
      <c r="X148" s="1210">
        <f t="shared" si="65"/>
        <v>0.27264793157619138</v>
      </c>
      <c r="Y148" s="1210">
        <f t="shared" si="65"/>
        <v>0.2210069064658271</v>
      </c>
      <c r="Z148" s="1210">
        <f t="shared" si="65"/>
        <v>0.18868974404029748</v>
      </c>
      <c r="AA148" s="1210">
        <f t="shared" si="65"/>
        <v>0.20627243717590749</v>
      </c>
      <c r="AB148" s="1213"/>
      <c r="AC148" s="1213"/>
      <c r="AD148" s="1245"/>
      <c r="AE148" s="1245"/>
      <c r="AG148" s="1334"/>
      <c r="AH148" s="1334"/>
      <c r="AI148" s="1334"/>
    </row>
    <row r="149" spans="3:35" outlineLevel="1" x14ac:dyDescent="0.5">
      <c r="C149" s="1175" t="s">
        <v>1270</v>
      </c>
      <c r="D149" s="1245">
        <f t="shared" ref="D149:AA149" si="66">D147/D128</f>
        <v>9.6523687580025612</v>
      </c>
      <c r="E149" s="1245">
        <f t="shared" si="66"/>
        <v>10.640201638311279</v>
      </c>
      <c r="F149" s="1245">
        <f t="shared" si="66"/>
        <v>10.876155268022181</v>
      </c>
      <c r="G149" s="1245">
        <f t="shared" si="66"/>
        <v>12.72299336149668</v>
      </c>
      <c r="H149" s="1245">
        <f t="shared" si="66"/>
        <v>10.228950403690888</v>
      </c>
      <c r="I149" s="1245">
        <f t="shared" si="66"/>
        <v>10.46890756302521</v>
      </c>
      <c r="J149" s="1245">
        <f t="shared" si="66"/>
        <v>11.790225151015925</v>
      </c>
      <c r="K149" s="1245">
        <f t="shared" si="66"/>
        <v>15.214634146341464</v>
      </c>
      <c r="L149" s="1213">
        <f t="shared" si="66"/>
        <v>13.942994139584444</v>
      </c>
      <c r="M149" s="1213">
        <f t="shared" si="66"/>
        <v>15.239517819706499</v>
      </c>
      <c r="N149" s="1213">
        <f t="shared" si="66"/>
        <v>15.023303987571207</v>
      </c>
      <c r="O149" s="1213">
        <f t="shared" si="66"/>
        <v>17.455158113011922</v>
      </c>
      <c r="P149" s="1213">
        <f t="shared" si="66"/>
        <v>14.246043899948953</v>
      </c>
      <c r="Q149" s="1213">
        <f t="shared" si="66"/>
        <v>14.652770716827657</v>
      </c>
      <c r="R149" s="1213">
        <f t="shared" si="66"/>
        <v>13.975794251134644</v>
      </c>
      <c r="S149" s="1213">
        <f t="shared" si="66"/>
        <v>16.0825</v>
      </c>
      <c r="T149" s="1213">
        <f t="shared" si="66"/>
        <v>14.062346588119784</v>
      </c>
      <c r="U149" s="1213">
        <f t="shared" si="66"/>
        <v>15.49588377723971</v>
      </c>
      <c r="V149" s="1213">
        <f t="shared" si="66"/>
        <v>16.376978417266187</v>
      </c>
      <c r="W149" s="1213">
        <f t="shared" si="66"/>
        <v>19.01042654028436</v>
      </c>
      <c r="X149" s="1213">
        <f t="shared" si="66"/>
        <v>17.047123102160221</v>
      </c>
      <c r="Y149" s="1213">
        <f t="shared" si="66"/>
        <v>18.020814499673445</v>
      </c>
      <c r="Z149" s="1213">
        <f t="shared" si="66"/>
        <v>18.539936070131013</v>
      </c>
      <c r="AA149" s="1213">
        <f t="shared" si="66"/>
        <v>21.838129032083355</v>
      </c>
      <c r="AB149" s="1203"/>
      <c r="AC149" s="1203"/>
    </row>
    <row r="150" spans="3:35" s="1172" customFormat="1" outlineLevel="1" x14ac:dyDescent="0.5">
      <c r="C150" s="1175" t="s">
        <v>1269</v>
      </c>
      <c r="D150" s="1174">
        <f>[1]Historicals!AA135/'Quarterly (2)'!D147</f>
        <v>0.42183458247662003</v>
      </c>
      <c r="E150" s="1174">
        <f>[1]Historicals!AB135/'Quarterly (2)'!E147</f>
        <v>0.422835485017174</v>
      </c>
      <c r="F150" s="1174">
        <f>[1]Historicals!AC135/'Quarterly (2)'!F147</f>
        <v>0.42714706548832992</v>
      </c>
      <c r="G150" s="1174">
        <f>[1]Historicals!AD135/'Quarterly (2)'!G147</f>
        <v>0.43591689593017741</v>
      </c>
      <c r="H150" s="1174">
        <f>[1]Historicals!AE135/'Quarterly (2)'!H147</f>
        <v>0.42566386649377008</v>
      </c>
      <c r="I150" s="1174">
        <f>[1]Historicals!AF135/'Quarterly (2)'!I147</f>
        <v>0.41900786643120885</v>
      </c>
      <c r="J150" s="1174">
        <f>[1]Historicals!AG135/'Quarterly (2)'!J147</f>
        <v>0.40568234746157428</v>
      </c>
      <c r="K150" s="1174">
        <f>[1]Historicals!AH135/'Quarterly (2)'!K147</f>
        <v>0.43318727512379324</v>
      </c>
      <c r="L150" s="1210">
        <f>[1]Historicals!AI135/'Quarterly (2)'!L147</f>
        <v>0.4107600015284093</v>
      </c>
      <c r="M150" s="1210">
        <f>[1]Historicals!AJ135/'Quarterly (2)'!M147</f>
        <v>0.40650686109296008</v>
      </c>
      <c r="N150" s="1210">
        <f>[1]Historicals!AK135/'Quarterly (2)'!N147</f>
        <v>0.40951396070320578</v>
      </c>
      <c r="O150" s="1210">
        <f>[1]Historicals!AL135/'Quarterly (2)'!O147</f>
        <v>0.41370912654806807</v>
      </c>
      <c r="P150" s="1210">
        <f>[1]Historicals!AM135/'Quarterly (2)'!P147</f>
        <v>0.39773541636806653</v>
      </c>
      <c r="Q150" s="1210">
        <f>[1]Historicals!AN135/'Quarterly (2)'!Q147</f>
        <v>0.39657206300742487</v>
      </c>
      <c r="R150" s="1210">
        <f>[1]Historicals!AO135/'Quarterly (2)'!R147</f>
        <v>0.40737533376632751</v>
      </c>
      <c r="S150" s="1210">
        <f>[1]Historicals!AP135/'Quarterly (2)'!S147</f>
        <v>0.41598010259598944</v>
      </c>
      <c r="T150" s="1210">
        <f>[1]Historicals!AQ135/'Quarterly (2)'!T147</f>
        <v>0.37668004887414908</v>
      </c>
      <c r="U150" s="1210">
        <f>[1]Historicals!AR135/'Quarterly (2)'!U147</f>
        <v>0.36438638707459609</v>
      </c>
      <c r="V150" s="1210">
        <f>[1]Historicals!AS135/'Quarterly (2)'!V147</f>
        <v>0.35611784689275466</v>
      </c>
      <c r="W150" s="1210">
        <f>[1]Historicals!AT135/'Quarterly (2)'!W147</f>
        <v>0.37819106501794975</v>
      </c>
      <c r="X150" s="1210">
        <f>[1]Historicals!AU135/'Quarterly (2)'!X147</f>
        <v>0</v>
      </c>
      <c r="Y150" s="1210">
        <f>[1]Historicals!AV135/'Quarterly (2)'!Y147</f>
        <v>0</v>
      </c>
      <c r="Z150" s="1210">
        <f>[1]Historicals!AW135/'Quarterly (2)'!Z147</f>
        <v>0</v>
      </c>
      <c r="AA150" s="1210">
        <f>[1]Historicals!AX135/'Quarterly (2)'!AA147</f>
        <v>0</v>
      </c>
      <c r="AB150" s="1213"/>
      <c r="AC150" s="1213"/>
      <c r="AD150" s="1245"/>
      <c r="AE150" s="1245"/>
    </row>
    <row r="151" spans="3:35" s="1172" customFormat="1" outlineLevel="1" x14ac:dyDescent="0.5">
      <c r="C151" s="1175" t="s">
        <v>1268</v>
      </c>
      <c r="D151" s="1333"/>
      <c r="E151" s="1333"/>
      <c r="F151" s="1333"/>
      <c r="G151" s="1333"/>
      <c r="H151" s="1333"/>
      <c r="I151" s="1333"/>
      <c r="J151" s="1333"/>
      <c r="K151" s="1333"/>
      <c r="L151" s="1213"/>
      <c r="M151" s="1213"/>
      <c r="N151" s="1213"/>
      <c r="O151" s="1213"/>
      <c r="P151" s="1213"/>
      <c r="Q151" s="1213"/>
      <c r="R151" s="1213"/>
      <c r="S151" s="1213"/>
      <c r="T151" s="1213"/>
      <c r="U151" s="1213"/>
      <c r="V151" s="1213"/>
      <c r="W151" s="1210">
        <f>W131/W147</f>
        <v>0.40204926206621461</v>
      </c>
      <c r="X151" s="1213"/>
      <c r="Y151" s="1213"/>
      <c r="Z151" s="1213"/>
      <c r="AA151" s="1213"/>
      <c r="AB151" s="1213"/>
      <c r="AC151" s="1213"/>
      <c r="AD151" s="1245"/>
      <c r="AE151" s="1245"/>
    </row>
    <row r="152" spans="3:35" outlineLevel="1" x14ac:dyDescent="0.5">
      <c r="L152" s="1203"/>
      <c r="M152" s="1203"/>
      <c r="N152" s="1203"/>
      <c r="O152" s="1203"/>
      <c r="P152" s="1203"/>
      <c r="Q152" s="1203"/>
      <c r="R152" s="1203"/>
      <c r="S152" s="1203"/>
      <c r="T152" s="1203"/>
      <c r="U152" s="1203"/>
      <c r="V152" s="1203"/>
      <c r="W152" s="1203"/>
      <c r="X152" s="1203"/>
      <c r="Y152" s="1203"/>
      <c r="Z152" s="1203"/>
      <c r="AA152" s="1203"/>
      <c r="AB152" s="1203"/>
      <c r="AC152" s="1203"/>
    </row>
    <row r="153" spans="3:35" outlineLevel="1" x14ac:dyDescent="0.5">
      <c r="C153" s="1288" t="s">
        <v>1250</v>
      </c>
      <c r="D153" s="1174">
        <f t="shared" ref="D153:AA153" si="67">D131/D$147</f>
        <v>0.44949260462956819</v>
      </c>
      <c r="E153" s="1174">
        <f t="shared" si="67"/>
        <v>0.45197204785029016</v>
      </c>
      <c r="F153" s="1174">
        <f t="shared" si="67"/>
        <v>0.45467935644686153</v>
      </c>
      <c r="G153" s="1174">
        <f t="shared" si="67"/>
        <v>0.46347595104828765</v>
      </c>
      <c r="H153" s="1174">
        <f t="shared" si="67"/>
        <v>0.45171111236398487</v>
      </c>
      <c r="I153" s="1174">
        <f t="shared" si="67"/>
        <v>0.44373093594477442</v>
      </c>
      <c r="J153" s="1174">
        <f t="shared" si="67"/>
        <v>0.42985561248253379</v>
      </c>
      <c r="K153" s="1174">
        <f t="shared" si="67"/>
        <v>0.45954900074810301</v>
      </c>
      <c r="L153" s="1210">
        <f t="shared" si="67"/>
        <v>0.43697222116082685</v>
      </c>
      <c r="M153" s="1210">
        <f t="shared" si="67"/>
        <v>0.43374488427279295</v>
      </c>
      <c r="N153" s="1210">
        <f t="shared" si="67"/>
        <v>0.43667700792830061</v>
      </c>
      <c r="O153" s="1210">
        <f t="shared" si="67"/>
        <v>0.44028986368091239</v>
      </c>
      <c r="P153" s="1210">
        <f t="shared" si="67"/>
        <v>0.42210118962304716</v>
      </c>
      <c r="Q153" s="1210">
        <f t="shared" si="67"/>
        <v>0.42280202622996321</v>
      </c>
      <c r="R153" s="1210">
        <f t="shared" si="67"/>
        <v>0.43176733780760629</v>
      </c>
      <c r="S153" s="1210">
        <f t="shared" si="67"/>
        <v>0.44203326597233017</v>
      </c>
      <c r="T153" s="1210">
        <f t="shared" si="67"/>
        <v>0.39968580904171758</v>
      </c>
      <c r="U153" s="1210">
        <f t="shared" si="67"/>
        <v>0.38763711365980186</v>
      </c>
      <c r="V153" s="1210">
        <f t="shared" si="67"/>
        <v>0.37802378023780236</v>
      </c>
      <c r="W153" s="1210">
        <f t="shared" si="67"/>
        <v>0.40204926206621461</v>
      </c>
      <c r="X153" s="1210">
        <f t="shared" si="67"/>
        <v>0.37432450966945552</v>
      </c>
      <c r="Y153" s="1210">
        <f t="shared" si="67"/>
        <v>0.3747024647436718</v>
      </c>
      <c r="Z153" s="1210">
        <f t="shared" si="67"/>
        <v>0.38480869201015055</v>
      </c>
      <c r="AA153" s="1210">
        <f t="shared" si="67"/>
        <v>0.39891704211962137</v>
      </c>
      <c r="AB153" s="1203"/>
      <c r="AC153" s="1203"/>
    </row>
    <row r="154" spans="3:35" outlineLevel="1" x14ac:dyDescent="0.5">
      <c r="C154" s="1288" t="s">
        <v>1249</v>
      </c>
      <c r="D154" s="1174">
        <f t="shared" ref="D154:AA154" si="68">D135/D147</f>
        <v>0.24036612058101745</v>
      </c>
      <c r="E154" s="1174">
        <f t="shared" si="68"/>
        <v>0.24262702830747365</v>
      </c>
      <c r="F154" s="1174">
        <f t="shared" si="68"/>
        <v>0.22960571040108771</v>
      </c>
      <c r="G154" s="1174">
        <f t="shared" si="68"/>
        <v>0.23963570818707902</v>
      </c>
      <c r="H154" s="1174">
        <f t="shared" si="68"/>
        <v>0.23397417827141004</v>
      </c>
      <c r="I154" s="1174">
        <f t="shared" si="68"/>
        <v>0.227377321132338</v>
      </c>
      <c r="J154" s="1174">
        <f t="shared" si="68"/>
        <v>0.23544480670703308</v>
      </c>
      <c r="K154" s="1174">
        <f t="shared" si="68"/>
        <v>0.24562715970218374</v>
      </c>
      <c r="L154" s="1210">
        <f t="shared" si="68"/>
        <v>0.24393412555882465</v>
      </c>
      <c r="M154" s="1210">
        <f t="shared" si="68"/>
        <v>0.24830622141211267</v>
      </c>
      <c r="N154" s="1210">
        <f t="shared" si="68"/>
        <v>0.24191658048948639</v>
      </c>
      <c r="O154" s="1210">
        <f t="shared" si="68"/>
        <v>0.25051231029669446</v>
      </c>
      <c r="P154" s="1210">
        <f t="shared" si="68"/>
        <v>0.2378529453920023</v>
      </c>
      <c r="Q154" s="1210">
        <f t="shared" si="68"/>
        <v>0.23072652834640206</v>
      </c>
      <c r="R154" s="1210">
        <f t="shared" si="68"/>
        <v>0.21635274590459697</v>
      </c>
      <c r="S154" s="1210">
        <f t="shared" si="68"/>
        <v>0.22997046479092181</v>
      </c>
      <c r="T154" s="1210">
        <f t="shared" si="68"/>
        <v>0.23595740967009948</v>
      </c>
      <c r="U154" s="1210">
        <f t="shared" si="68"/>
        <v>0.23485108909653427</v>
      </c>
      <c r="V154" s="1210">
        <f t="shared" si="68"/>
        <v>0.22192936215076436</v>
      </c>
      <c r="W154" s="1210">
        <f t="shared" si="68"/>
        <v>0.23329676904666932</v>
      </c>
      <c r="X154" s="1210">
        <f t="shared" si="68"/>
        <v>0.23053079138664107</v>
      </c>
      <c r="Y154" s="1210">
        <f t="shared" si="68"/>
        <v>0.23426582375675054</v>
      </c>
      <c r="Z154" s="1210">
        <f t="shared" si="68"/>
        <v>0.22678558230062332</v>
      </c>
      <c r="AA154" s="1210">
        <f t="shared" si="68"/>
        <v>0.2397181002769396</v>
      </c>
      <c r="AB154" s="1203"/>
      <c r="AC154" s="1203"/>
    </row>
    <row r="155" spans="3:35" outlineLevel="1" x14ac:dyDescent="0.5">
      <c r="C155" s="1288" t="s">
        <v>1149</v>
      </c>
      <c r="D155" s="1174">
        <f t="shared" ref="D155:AA155" si="69">D139/D147</f>
        <v>0.22133050341579891</v>
      </c>
      <c r="E155" s="1174">
        <f t="shared" si="69"/>
        <v>0.21485254056614947</v>
      </c>
      <c r="F155" s="1174">
        <f t="shared" si="69"/>
        <v>0.22422388397915249</v>
      </c>
      <c r="G155" s="1174">
        <f t="shared" si="69"/>
        <v>0.21264585902665781</v>
      </c>
      <c r="H155" s="1174">
        <f t="shared" si="69"/>
        <v>0.22388227997970345</v>
      </c>
      <c r="I155" s="1174">
        <f t="shared" si="69"/>
        <v>0.24674907689837855</v>
      </c>
      <c r="J155" s="1174">
        <f t="shared" si="69"/>
        <v>0.24736842105263157</v>
      </c>
      <c r="K155" s="1174">
        <f t="shared" si="69"/>
        <v>0.21214064336860106</v>
      </c>
      <c r="L155" s="1210">
        <f t="shared" si="69"/>
        <v>0.2331206297046349</v>
      </c>
      <c r="M155" s="1210">
        <f t="shared" si="69"/>
        <v>0.22963166764109089</v>
      </c>
      <c r="N155" s="1210">
        <f t="shared" si="69"/>
        <v>0.22723198896932092</v>
      </c>
      <c r="O155" s="1210">
        <f t="shared" si="69"/>
        <v>0.21885301891835704</v>
      </c>
      <c r="P155" s="1210">
        <f t="shared" si="69"/>
        <v>0.24086283502938224</v>
      </c>
      <c r="Q155" s="1210">
        <f t="shared" si="69"/>
        <v>0.24148220109638471</v>
      </c>
      <c r="R155" s="1210">
        <f t="shared" si="69"/>
        <v>0.2452551057227394</v>
      </c>
      <c r="S155" s="1210">
        <f t="shared" si="69"/>
        <v>0.22636406031400591</v>
      </c>
      <c r="T155" s="1210">
        <f t="shared" si="69"/>
        <v>0.25456449642171408</v>
      </c>
      <c r="U155" s="1210">
        <f t="shared" si="69"/>
        <v>0.26722710084690149</v>
      </c>
      <c r="V155" s="1210">
        <f t="shared" si="69"/>
        <v>0.28671000995724244</v>
      </c>
      <c r="W155" s="1210">
        <f t="shared" si="69"/>
        <v>0.26229058635819708</v>
      </c>
      <c r="X155" s="1210">
        <f t="shared" si="69"/>
        <v>0.28286929090659718</v>
      </c>
      <c r="Y155" s="1210">
        <f t="shared" si="69"/>
        <v>0.28069412095927926</v>
      </c>
      <c r="Z155" s="1210">
        <f t="shared" si="69"/>
        <v>0.27699623050580208</v>
      </c>
      <c r="AA155" s="1210">
        <f t="shared" si="69"/>
        <v>0.25807051626503535</v>
      </c>
      <c r="AB155" s="1203"/>
      <c r="AC155" s="1203"/>
    </row>
    <row r="156" spans="3:35" outlineLevel="1" x14ac:dyDescent="0.5">
      <c r="C156" s="1288" t="s">
        <v>1148</v>
      </c>
      <c r="D156" s="1174">
        <f t="shared" ref="D156:AA156" si="70">D143/D147</f>
        <v>8.8810771373615441E-2</v>
      </c>
      <c r="E156" s="1174">
        <f t="shared" si="70"/>
        <v>9.0548383276086705E-2</v>
      </c>
      <c r="F156" s="1174">
        <f t="shared" si="70"/>
        <v>9.1491049172898256E-2</v>
      </c>
      <c r="G156" s="1174">
        <f t="shared" si="70"/>
        <v>8.4242481737975522E-2</v>
      </c>
      <c r="H156" s="1174">
        <f t="shared" si="70"/>
        <v>9.0432429384901619E-2</v>
      </c>
      <c r="I156" s="1174">
        <f t="shared" si="70"/>
        <v>8.2142666024509023E-2</v>
      </c>
      <c r="J156" s="1174">
        <f t="shared" si="70"/>
        <v>8.7331159757801577E-2</v>
      </c>
      <c r="K156" s="1174">
        <f t="shared" si="70"/>
        <v>8.2683196181112181E-2</v>
      </c>
      <c r="L156" s="1210">
        <f t="shared" si="70"/>
        <v>8.597302357571357E-2</v>
      </c>
      <c r="M156" s="1210">
        <f t="shared" si="70"/>
        <v>8.8317226674003504E-2</v>
      </c>
      <c r="N156" s="1210">
        <f t="shared" si="70"/>
        <v>9.4174422612892106E-2</v>
      </c>
      <c r="O156" s="1210">
        <f t="shared" si="70"/>
        <v>9.0344807104036112E-2</v>
      </c>
      <c r="P156" s="1210">
        <f t="shared" si="70"/>
        <v>9.9183029955568297E-2</v>
      </c>
      <c r="Q156" s="1210">
        <f t="shared" si="70"/>
        <v>0.10498924432725001</v>
      </c>
      <c r="R156" s="1210">
        <f t="shared" si="70"/>
        <v>0.10662481056505738</v>
      </c>
      <c r="S156" s="1210">
        <f t="shared" si="70"/>
        <v>0.10163220892274211</v>
      </c>
      <c r="T156" s="1210">
        <f t="shared" si="70"/>
        <v>0.10979228486646884</v>
      </c>
      <c r="U156" s="1210">
        <f t="shared" si="70"/>
        <v>0.1102846963967624</v>
      </c>
      <c r="V156" s="1210">
        <f t="shared" si="70"/>
        <v>0.11333684765419083</v>
      </c>
      <c r="W156" s="1210">
        <f t="shared" si="70"/>
        <v>0.10236338252891902</v>
      </c>
      <c r="X156" s="1210">
        <f t="shared" si="70"/>
        <v>0.11227540803730626</v>
      </c>
      <c r="Y156" s="1210">
        <f t="shared" si="70"/>
        <v>0.11033759054029843</v>
      </c>
      <c r="Z156" s="1210">
        <f t="shared" si="70"/>
        <v>0.11140949518342408</v>
      </c>
      <c r="AA156" s="1210">
        <f t="shared" si="70"/>
        <v>0.10329434133840366</v>
      </c>
      <c r="AB156" s="1203"/>
      <c r="AC156" s="1203"/>
    </row>
    <row r="157" spans="3:35" x14ac:dyDescent="0.5">
      <c r="L157" s="1203"/>
      <c r="M157" s="1203"/>
      <c r="N157" s="1203"/>
      <c r="O157" s="1203"/>
      <c r="P157" s="1203"/>
      <c r="Q157" s="1203"/>
      <c r="R157" s="1203"/>
      <c r="S157" s="1203"/>
      <c r="T157" s="1203"/>
      <c r="U157" s="1203"/>
      <c r="V157" s="1203"/>
      <c r="W157" s="1203"/>
      <c r="X157" s="1203"/>
      <c r="Y157" s="1203"/>
      <c r="Z157" s="1203"/>
      <c r="AA157" s="1203"/>
      <c r="AB157" s="1203"/>
      <c r="AC157" s="1203"/>
    </row>
    <row r="158" spans="3:35" s="1262" customFormat="1" x14ac:dyDescent="0.5">
      <c r="C158" s="1285" t="s">
        <v>1202</v>
      </c>
      <c r="D158" s="1332"/>
      <c r="E158" s="1332"/>
      <c r="F158" s="1332"/>
      <c r="G158" s="1332"/>
      <c r="H158" s="1332"/>
      <c r="I158" s="1332"/>
      <c r="J158" s="1332"/>
      <c r="K158" s="1332"/>
      <c r="L158" s="1331"/>
      <c r="M158" s="1331"/>
      <c r="N158" s="1331"/>
      <c r="O158" s="1331"/>
      <c r="P158" s="1331"/>
      <c r="Q158" s="1331"/>
      <c r="R158" s="1331"/>
      <c r="S158" s="1331"/>
      <c r="T158" s="1330"/>
      <c r="U158" s="1330"/>
      <c r="V158" s="1330"/>
      <c r="W158" s="1330"/>
      <c r="X158" s="1330"/>
      <c r="Y158" s="1330"/>
      <c r="Z158" s="1330"/>
      <c r="AA158" s="1330"/>
      <c r="AB158" s="1329"/>
      <c r="AC158" s="1329"/>
      <c r="AD158" s="1328"/>
      <c r="AE158" s="1328"/>
    </row>
    <row r="159" spans="3:35" x14ac:dyDescent="0.5">
      <c r="L159" s="1203"/>
      <c r="M159" s="1203"/>
      <c r="N159" s="1203"/>
      <c r="O159" s="1203"/>
      <c r="P159" s="1203"/>
      <c r="Q159" s="1203"/>
      <c r="R159" s="1203"/>
      <c r="S159" s="1203"/>
      <c r="T159" s="1203"/>
      <c r="U159" s="1203"/>
      <c r="V159" s="1203"/>
      <c r="W159" s="1203"/>
      <c r="X159" s="1203"/>
      <c r="Y159" s="1203"/>
      <c r="Z159" s="1203"/>
      <c r="AA159" s="1203"/>
      <c r="AB159" s="1203"/>
      <c r="AC159" s="1203"/>
    </row>
    <row r="160" spans="3:35" x14ac:dyDescent="0.5">
      <c r="L160" s="1203"/>
      <c r="M160" s="1203"/>
      <c r="N160" s="1203"/>
      <c r="O160" s="1203"/>
      <c r="P160" s="1203"/>
      <c r="Q160" s="1203"/>
      <c r="R160" s="1203"/>
      <c r="S160" s="1203"/>
      <c r="T160" s="1203"/>
      <c r="U160" s="1203"/>
      <c r="V160" s="1203"/>
      <c r="W160" s="1203"/>
      <c r="X160" s="1203"/>
      <c r="Y160" s="1203"/>
      <c r="Z160" s="1203"/>
      <c r="AA160" s="1203"/>
      <c r="AB160" s="1203"/>
      <c r="AC160" s="1203"/>
    </row>
    <row r="161" spans="3:29" s="1180" customFormat="1" x14ac:dyDescent="0.5">
      <c r="C161" s="1288" t="s">
        <v>1188</v>
      </c>
      <c r="D161" s="1287"/>
      <c r="E161" s="1287"/>
      <c r="F161" s="1287"/>
      <c r="G161" s="1287"/>
      <c r="H161" s="1287"/>
      <c r="I161" s="1287"/>
      <c r="J161" s="1287"/>
      <c r="K161" s="1287"/>
      <c r="L161" s="1271">
        <f t="shared" ref="L161:AA161" si="71">L19</f>
        <v>0.15254237288135597</v>
      </c>
      <c r="M161" s="1271">
        <f t="shared" si="71"/>
        <v>0.1174089068825912</v>
      </c>
      <c r="N161" s="1271">
        <f t="shared" si="71"/>
        <v>0.10629921259842523</v>
      </c>
      <c r="O161" s="1271">
        <f t="shared" si="71"/>
        <v>8.4615384615384537E-2</v>
      </c>
      <c r="P161" s="1271">
        <f t="shared" si="71"/>
        <v>5.5147058823529438E-2</v>
      </c>
      <c r="Q161" s="1271">
        <f t="shared" si="71"/>
        <v>4.3478260869565188E-2</v>
      </c>
      <c r="R161" s="1271">
        <f t="shared" si="71"/>
        <v>4.2704626334519658E-2</v>
      </c>
      <c r="S161" s="1271">
        <f t="shared" si="71"/>
        <v>4.9645390070921946E-2</v>
      </c>
      <c r="T161" s="1271">
        <f t="shared" si="71"/>
        <v>5.2264808362369353E-2</v>
      </c>
      <c r="U161" s="1271">
        <f t="shared" si="71"/>
        <v>6.5972222222222321E-2</v>
      </c>
      <c r="V161" s="1271">
        <f t="shared" si="71"/>
        <v>7.1672354948805417E-2</v>
      </c>
      <c r="W161" s="1271">
        <f t="shared" si="71"/>
        <v>7.7702702702702631E-2</v>
      </c>
      <c r="X161" s="1271">
        <f t="shared" si="71"/>
        <v>7.2847682119205226E-2</v>
      </c>
      <c r="Y161" s="1271">
        <f t="shared" si="71"/>
        <v>6.514657980456029E-2</v>
      </c>
      <c r="Z161" s="1271">
        <f t="shared" si="71"/>
        <v>4.7770700636942776E-2</v>
      </c>
      <c r="AA161" s="1271">
        <f t="shared" si="71"/>
        <v>5.0156739811912265E-2</v>
      </c>
      <c r="AB161" s="1203"/>
      <c r="AC161" s="1203"/>
    </row>
    <row r="162" spans="3:29" s="1180" customFormat="1" x14ac:dyDescent="0.5">
      <c r="C162" s="1288" t="s">
        <v>1267</v>
      </c>
      <c r="D162" s="1287"/>
      <c r="E162" s="1287"/>
      <c r="F162" s="1287"/>
      <c r="G162" s="1287"/>
      <c r="H162" s="1287"/>
      <c r="I162" s="1287"/>
      <c r="J162" s="1287"/>
      <c r="K162" s="1287"/>
      <c r="L162" s="1271">
        <f t="shared" ref="L162:AA162" si="72">L21</f>
        <v>0</v>
      </c>
      <c r="M162" s="1271">
        <f t="shared" si="72"/>
        <v>0</v>
      </c>
      <c r="N162" s="1271">
        <f t="shared" si="72"/>
        <v>0</v>
      </c>
      <c r="O162" s="1271">
        <f t="shared" si="72"/>
        <v>0.10530443563807101</v>
      </c>
      <c r="P162" s="1271">
        <f t="shared" si="72"/>
        <v>1.4835968965932533E-2</v>
      </c>
      <c r="Q162" s="1271">
        <f t="shared" si="72"/>
        <v>-5.3413040455999039E-2</v>
      </c>
      <c r="R162" s="1271">
        <f t="shared" si="72"/>
        <v>-6.7481712110840086E-2</v>
      </c>
      <c r="S162" s="1271">
        <f t="shared" si="72"/>
        <v>-8.2038796901955258E-2</v>
      </c>
      <c r="T162" s="1271">
        <f t="shared" si="72"/>
        <v>-1.0278139001783093E-2</v>
      </c>
      <c r="U162" s="1271">
        <f t="shared" si="72"/>
        <v>5.5760641256490384E-2</v>
      </c>
      <c r="V162" s="1271">
        <f t="shared" si="72"/>
        <v>0.15753787160280108</v>
      </c>
      <c r="W162" s="1271">
        <f t="shared" si="72"/>
        <v>0.15549077916291942</v>
      </c>
      <c r="X162" s="1271">
        <f t="shared" si="72"/>
        <v>0.18330071747561294</v>
      </c>
      <c r="Y162" s="1271">
        <f t="shared" si="72"/>
        <v>0.14176037941332886</v>
      </c>
      <c r="Z162" s="1271">
        <f t="shared" si="72"/>
        <v>0.1247004314434057</v>
      </c>
      <c r="AA162" s="1271">
        <f t="shared" si="72"/>
        <v>0.15506207720225151</v>
      </c>
      <c r="AB162" s="1203"/>
      <c r="AC162" s="1203"/>
    </row>
    <row r="163" spans="3:29" s="1180" customFormat="1" x14ac:dyDescent="0.5">
      <c r="C163" s="1288" t="s">
        <v>40</v>
      </c>
      <c r="D163" s="1287"/>
      <c r="E163" s="1287"/>
      <c r="F163" s="1287"/>
      <c r="G163" s="1287"/>
      <c r="H163" s="1287"/>
      <c r="I163" s="1287"/>
      <c r="J163" s="1287"/>
      <c r="K163" s="1287"/>
      <c r="L163" s="1271">
        <f t="shared" ref="L163:AA163" si="73">L26</f>
        <v>0</v>
      </c>
      <c r="M163" s="1271">
        <f t="shared" si="73"/>
        <v>0</v>
      </c>
      <c r="N163" s="1271">
        <f t="shared" si="73"/>
        <v>0</v>
      </c>
      <c r="O163" s="1271">
        <f t="shared" si="73"/>
        <v>0.19883019557667692</v>
      </c>
      <c r="P163" s="1271">
        <f t="shared" si="73"/>
        <v>6.1473651363264104E-2</v>
      </c>
      <c r="Q163" s="1271">
        <f t="shared" si="73"/>
        <v>-1.3971917141665458E-2</v>
      </c>
      <c r="R163" s="1271">
        <f t="shared" si="73"/>
        <v>-3.5955293125263577E-2</v>
      </c>
      <c r="S163" s="1271">
        <f t="shared" si="73"/>
        <v>-4.1349027261084359E-2</v>
      </c>
      <c r="T163" s="1271">
        <f t="shared" si="73"/>
        <v>4.016462720023517E-2</v>
      </c>
      <c r="U163" s="1271">
        <f t="shared" si="73"/>
        <v>0.11818822700035247</v>
      </c>
      <c r="V163" s="1271">
        <f t="shared" si="73"/>
        <v>0.2372306682708083</v>
      </c>
      <c r="W163" s="1271">
        <f t="shared" si="73"/>
        <v>0.2418092753991985</v>
      </c>
      <c r="X163" s="1271">
        <f t="shared" si="73"/>
        <v>0.27234508584752359</v>
      </c>
      <c r="Y163" s="1271">
        <f t="shared" si="73"/>
        <v>0.2205024745452826</v>
      </c>
      <c r="Z163" s="1271">
        <f t="shared" si="73"/>
        <v>0.1880893446487506</v>
      </c>
      <c r="AA163" s="1271">
        <f t="shared" si="73"/>
        <v>0.21162909836065569</v>
      </c>
      <c r="AB163" s="1203"/>
      <c r="AC163" s="1203"/>
    </row>
    <row r="164" spans="3:29" s="1180" customFormat="1" x14ac:dyDescent="0.5">
      <c r="C164" s="1288"/>
      <c r="D164" s="1287"/>
      <c r="E164" s="1287"/>
      <c r="F164" s="1287"/>
      <c r="G164" s="1287"/>
      <c r="H164" s="1287"/>
      <c r="I164" s="1287"/>
      <c r="J164" s="1287"/>
      <c r="K164" s="1287"/>
      <c r="L164" s="1271"/>
      <c r="M164" s="1271"/>
      <c r="N164" s="1271"/>
      <c r="O164" s="1271"/>
      <c r="P164" s="1271"/>
      <c r="Q164" s="1271"/>
      <c r="R164" s="1271"/>
      <c r="S164" s="1271"/>
      <c r="T164" s="1271"/>
      <c r="U164" s="1271"/>
      <c r="V164" s="1271"/>
      <c r="W164" s="1271"/>
      <c r="X164" s="1271"/>
      <c r="Y164" s="1271"/>
      <c r="Z164" s="1271"/>
      <c r="AA164" s="1271"/>
      <c r="AB164" s="1203"/>
      <c r="AC164" s="1203"/>
    </row>
    <row r="165" spans="3:29" s="1180" customFormat="1" x14ac:dyDescent="0.5">
      <c r="C165" s="1288" t="s">
        <v>1185</v>
      </c>
      <c r="D165" s="1287"/>
      <c r="E165" s="1287"/>
      <c r="F165" s="1287"/>
      <c r="G165" s="1287"/>
      <c r="H165" s="1287"/>
      <c r="I165" s="1287"/>
      <c r="J165" s="1287"/>
      <c r="K165" s="1287"/>
      <c r="L165" s="1271"/>
      <c r="M165" s="1271"/>
      <c r="N165" s="1271"/>
      <c r="O165" s="1271"/>
      <c r="P165" s="1271"/>
      <c r="Q165" s="1271"/>
      <c r="R165" s="1271"/>
      <c r="S165" s="1271"/>
      <c r="T165" s="1271"/>
      <c r="U165" s="1271"/>
      <c r="V165" s="1271"/>
      <c r="W165" s="1271"/>
      <c r="X165" s="1271"/>
      <c r="Y165" s="1271"/>
      <c r="Z165" s="1271"/>
      <c r="AA165" s="1271"/>
      <c r="AB165" s="1203"/>
      <c r="AC165" s="1203"/>
    </row>
    <row r="166" spans="3:29" s="1180" customFormat="1" x14ac:dyDescent="0.5">
      <c r="C166" s="1288"/>
      <c r="D166" s="1287"/>
      <c r="E166" s="1287"/>
      <c r="F166" s="1287"/>
      <c r="G166" s="1287"/>
      <c r="H166" s="1287"/>
      <c r="I166" s="1287"/>
      <c r="J166" s="1287"/>
      <c r="K166" s="1287"/>
      <c r="L166" s="1271"/>
      <c r="M166" s="1271"/>
      <c r="N166" s="1271"/>
      <c r="O166" s="1271"/>
      <c r="P166" s="1271"/>
      <c r="Q166" s="1271"/>
      <c r="R166" s="1271"/>
      <c r="S166" s="1271"/>
      <c r="T166" s="1271"/>
      <c r="U166" s="1271"/>
      <c r="V166" s="1271"/>
      <c r="W166" s="1271"/>
      <c r="X166" s="1271"/>
      <c r="Y166" s="1271"/>
      <c r="Z166" s="1271"/>
      <c r="AA166" s="1271"/>
      <c r="AB166" s="1203"/>
      <c r="AC166" s="1203"/>
    </row>
    <row r="167" spans="3:29" s="1180" customFormat="1" x14ac:dyDescent="0.5">
      <c r="C167" s="1288"/>
      <c r="D167" s="1287"/>
      <c r="E167" s="1287"/>
      <c r="F167" s="1287"/>
      <c r="G167" s="1287"/>
      <c r="H167" s="1287"/>
      <c r="I167" s="1287"/>
      <c r="J167" s="1287"/>
      <c r="K167" s="1287"/>
      <c r="L167" s="1271"/>
      <c r="M167" s="1271"/>
      <c r="N167" s="1271"/>
      <c r="O167" s="1271"/>
      <c r="P167" s="1271"/>
      <c r="Q167" s="1271"/>
      <c r="R167" s="1271"/>
      <c r="S167" s="1271"/>
      <c r="T167" s="1271"/>
      <c r="U167" s="1271"/>
      <c r="V167" s="1271"/>
      <c r="W167" s="1271"/>
      <c r="X167" s="1271"/>
      <c r="Y167" s="1271"/>
      <c r="Z167" s="1271"/>
      <c r="AA167" s="1271"/>
      <c r="AB167" s="1203"/>
      <c r="AC167" s="1203"/>
    </row>
    <row r="168" spans="3:29" s="1180" customFormat="1" x14ac:dyDescent="0.5">
      <c r="C168" s="1288"/>
      <c r="D168" s="1287"/>
      <c r="E168" s="1287"/>
      <c r="F168" s="1287"/>
      <c r="G168" s="1287"/>
      <c r="H168" s="1287"/>
      <c r="I168" s="1287"/>
      <c r="J168" s="1287"/>
      <c r="K168" s="1287"/>
      <c r="L168" s="1271"/>
      <c r="M168" s="1271"/>
      <c r="N168" s="1271"/>
      <c r="O168" s="1271"/>
      <c r="P168" s="1271"/>
      <c r="Q168" s="1271"/>
      <c r="R168" s="1271"/>
      <c r="S168" s="1271"/>
      <c r="T168" s="1271"/>
      <c r="U168" s="1271"/>
      <c r="V168" s="1271"/>
      <c r="W168" s="1271"/>
      <c r="X168" s="1271"/>
      <c r="Y168" s="1271"/>
      <c r="Z168" s="1271"/>
      <c r="AA168" s="1271"/>
      <c r="AB168" s="1203"/>
      <c r="AC168" s="1203"/>
    </row>
    <row r="169" spans="3:29" s="1180" customFormat="1" x14ac:dyDescent="0.5">
      <c r="C169" s="1288"/>
      <c r="D169" s="1287"/>
      <c r="E169" s="1287"/>
      <c r="F169" s="1287"/>
      <c r="G169" s="1287"/>
      <c r="H169" s="1287"/>
      <c r="I169" s="1287"/>
      <c r="J169" s="1287"/>
      <c r="K169" s="1287"/>
      <c r="L169" s="1271"/>
      <c r="M169" s="1271"/>
      <c r="N169" s="1271"/>
      <c r="O169" s="1271"/>
      <c r="P169" s="1271"/>
      <c r="Q169" s="1271"/>
      <c r="R169" s="1271"/>
      <c r="S169" s="1271"/>
      <c r="T169" s="1271"/>
      <c r="U169" s="1271"/>
      <c r="V169" s="1271"/>
      <c r="W169" s="1271"/>
      <c r="X169" s="1271"/>
      <c r="Y169" s="1271"/>
      <c r="Z169" s="1271"/>
      <c r="AA169" s="1271"/>
      <c r="AB169" s="1203"/>
      <c r="AC169" s="1203"/>
    </row>
    <row r="170" spans="3:29" s="1180" customFormat="1" x14ac:dyDescent="0.5">
      <c r="C170" s="1288"/>
      <c r="D170" s="1287"/>
      <c r="E170" s="1287"/>
      <c r="F170" s="1287"/>
      <c r="G170" s="1287"/>
      <c r="H170" s="1287"/>
      <c r="I170" s="1287"/>
      <c r="J170" s="1287"/>
      <c r="K170" s="1287"/>
      <c r="L170" s="1271"/>
      <c r="M170" s="1271"/>
      <c r="N170" s="1271"/>
      <c r="O170" s="1271"/>
      <c r="P170" s="1271"/>
      <c r="Q170" s="1271"/>
      <c r="R170" s="1271"/>
      <c r="S170" s="1271"/>
      <c r="T170" s="1271"/>
      <c r="U170" s="1271"/>
      <c r="V170" s="1271"/>
      <c r="W170" s="1271"/>
      <c r="X170" s="1271"/>
      <c r="Y170" s="1271"/>
      <c r="Z170" s="1271"/>
      <c r="AA170" s="1271"/>
      <c r="AB170" s="1203"/>
      <c r="AC170" s="1203"/>
    </row>
    <row r="171" spans="3:29" s="1180" customFormat="1" x14ac:dyDescent="0.5">
      <c r="C171" s="1288"/>
      <c r="D171" s="1287"/>
      <c r="E171" s="1287"/>
      <c r="F171" s="1287"/>
      <c r="G171" s="1287"/>
      <c r="H171" s="1287"/>
      <c r="I171" s="1287"/>
      <c r="J171" s="1287"/>
      <c r="K171" s="1287"/>
      <c r="L171" s="1271"/>
      <c r="M171" s="1271"/>
      <c r="N171" s="1271"/>
      <c r="O171" s="1271"/>
      <c r="P171" s="1271"/>
      <c r="Q171" s="1271"/>
      <c r="R171" s="1271"/>
      <c r="S171" s="1271"/>
      <c r="T171" s="1271"/>
      <c r="U171" s="1271"/>
      <c r="V171" s="1271"/>
      <c r="W171" s="1271"/>
      <c r="X171" s="1271"/>
      <c r="Y171" s="1271"/>
      <c r="Z171" s="1271"/>
      <c r="AA171" s="1271"/>
      <c r="AB171" s="1203"/>
      <c r="AC171" s="1203"/>
    </row>
    <row r="172" spans="3:29" s="1180" customFormat="1" x14ac:dyDescent="0.5">
      <c r="C172" s="1288"/>
      <c r="D172" s="1287"/>
      <c r="E172" s="1287"/>
      <c r="F172" s="1287"/>
      <c r="G172" s="1287"/>
      <c r="H172" s="1287"/>
      <c r="I172" s="1287"/>
      <c r="J172" s="1287"/>
      <c r="K172" s="1287"/>
      <c r="L172" s="1271"/>
      <c r="M172" s="1271"/>
      <c r="N172" s="1271"/>
      <c r="O172" s="1271"/>
      <c r="P172" s="1271"/>
      <c r="Q172" s="1271"/>
      <c r="R172" s="1271"/>
      <c r="S172" s="1271"/>
      <c r="T172" s="1271"/>
      <c r="U172" s="1271"/>
      <c r="V172" s="1271"/>
      <c r="W172" s="1271"/>
      <c r="X172" s="1271"/>
      <c r="Y172" s="1271"/>
      <c r="Z172" s="1271"/>
      <c r="AA172" s="1271"/>
      <c r="AB172" s="1203"/>
      <c r="AC172" s="1203"/>
    </row>
    <row r="173" spans="3:29" s="1180" customFormat="1" x14ac:dyDescent="0.5">
      <c r="C173" s="1325" t="str">
        <f>[1]Historicals!A291</f>
        <v>Total number of ad impressions growth rate, %</v>
      </c>
      <c r="D173" s="1324">
        <f>[1]Historicals!AA291</f>
        <v>0.32</v>
      </c>
      <c r="E173" s="1324">
        <f>[1]Historicals!AB291</f>
        <v>0.33</v>
      </c>
      <c r="F173" s="1324">
        <f>[1]Historicals!AC291</f>
        <v>0.37</v>
      </c>
      <c r="G173" s="1324">
        <f>[1]Historicals!AD291</f>
        <v>0.31</v>
      </c>
      <c r="H173" s="1324">
        <f>[1]Historicals!AE291</f>
        <v>0.39</v>
      </c>
      <c r="I173" s="1324">
        <f>[1]Historicals!AF291</f>
        <v>0.4</v>
      </c>
      <c r="J173" s="1324">
        <f>[1]Historicals!AG291</f>
        <v>0.35</v>
      </c>
      <c r="K173" s="1324">
        <f>[1]Historicals!AH291</f>
        <v>0.25</v>
      </c>
      <c r="L173" s="1323">
        <f>[1]Historicals!AI291</f>
        <v>0.12</v>
      </c>
      <c r="M173" s="1323">
        <f>[1]Historicals!AJ291</f>
        <v>0.06</v>
      </c>
      <c r="N173" s="1323">
        <f>[1]Historicals!AK291</f>
        <v>0.09</v>
      </c>
      <c r="O173" s="1323">
        <f>[1]Historicals!AL291</f>
        <v>0.13</v>
      </c>
      <c r="P173" s="1323">
        <f>[1]Historicals!AM291</f>
        <v>0.15</v>
      </c>
      <c r="Q173" s="1323">
        <f>[1]Historicals!AN291</f>
        <v>0.15</v>
      </c>
      <c r="R173" s="1323">
        <f>[1]Historicals!AO291</f>
        <v>0.17</v>
      </c>
      <c r="S173" s="1323">
        <f>[1]Historicals!AP291</f>
        <v>0.23</v>
      </c>
      <c r="T173" s="1323">
        <f>[1]Historicals!AQ291</f>
        <v>0.26</v>
      </c>
      <c r="U173" s="1323">
        <f>[1]Historicals!AR291</f>
        <v>0.34</v>
      </c>
      <c r="V173" s="1323">
        <f>[1]Historicals!AS291</f>
        <v>0.31</v>
      </c>
      <c r="W173" s="1323">
        <f>[1]Historicals!AT291</f>
        <v>0.21</v>
      </c>
      <c r="X173" s="1323">
        <f>[1]Historicals!AU291</f>
        <v>0.2</v>
      </c>
      <c r="Y173" s="1323">
        <f>[1]Historicals!AV291</f>
        <v>0.1</v>
      </c>
      <c r="Z173" s="1323">
        <f>[1]Historicals!AW291</f>
        <v>7.0000000000000007E-2</v>
      </c>
      <c r="AA173" s="1323">
        <f>[1]Historicals!AX291</f>
        <v>0.06</v>
      </c>
      <c r="AB173" s="1327"/>
      <c r="AC173" s="1203"/>
    </row>
    <row r="174" spans="3:29" s="1180" customFormat="1" x14ac:dyDescent="0.5">
      <c r="C174" s="1325" t="str">
        <f>[1]Historicals!A297</f>
        <v>Average price per ad growth rate, %</v>
      </c>
      <c r="D174" s="1324">
        <f>[1]Historicals!AA297</f>
        <v>-0.04</v>
      </c>
      <c r="E174" s="1324">
        <f>[1]Historicals!AB297</f>
        <v>-0.04</v>
      </c>
      <c r="F174" s="1324">
        <f>[1]Historicals!AC297</f>
        <v>-0.06</v>
      </c>
      <c r="G174" s="1324">
        <f>[1]Historicals!AD297</f>
        <v>-0.05</v>
      </c>
      <c r="H174" s="1324">
        <f>[1]Historicals!AE297</f>
        <v>-0.16</v>
      </c>
      <c r="I174" s="1324">
        <f>[1]Historicals!AF297</f>
        <v>-0.21</v>
      </c>
      <c r="J174" s="1324">
        <f>[1]Historicals!AG297</f>
        <v>-0.09</v>
      </c>
      <c r="K174" s="1324">
        <f>[1]Historicals!AH297</f>
        <v>0.05</v>
      </c>
      <c r="L174" s="1323">
        <f>[1]Historicals!AI297</f>
        <v>0.3</v>
      </c>
      <c r="M174" s="1323">
        <f>[1]Historicals!AJ297</f>
        <v>0.47</v>
      </c>
      <c r="N174" s="1323">
        <f>[1]Historicals!AK297</f>
        <v>0.22</v>
      </c>
      <c r="O174" s="1323">
        <f>[1]Historicals!AL297</f>
        <v>0.06</v>
      </c>
      <c r="P174" s="1323">
        <f>[1]Historicals!AM297</f>
        <v>-0.08</v>
      </c>
      <c r="Q174" s="1323">
        <f>[1]Historicals!AN297</f>
        <v>-0.14000000000000001</v>
      </c>
      <c r="R174" s="1323">
        <f>[1]Historicals!AO297</f>
        <v>-0.18</v>
      </c>
      <c r="S174" s="1323">
        <f>[1]Historicals!AP297</f>
        <v>-0.22</v>
      </c>
      <c r="T174" s="1323">
        <f>[1]Historicals!AQ297</f>
        <v>-0.17</v>
      </c>
      <c r="U174" s="1323">
        <f>[1]Historicals!AR297</f>
        <v>-0.16</v>
      </c>
      <c r="V174" s="1323">
        <f>[1]Historicals!AS297</f>
        <v>-0.06</v>
      </c>
      <c r="W174" s="1323">
        <f>[1]Historicals!AT297</f>
        <v>0.02</v>
      </c>
      <c r="X174" s="1323">
        <f>[1]Historicals!AU297</f>
        <v>0.06</v>
      </c>
      <c r="Y174" s="1323">
        <f>[1]Historicals!AV297</f>
        <v>0.1</v>
      </c>
      <c r="Z174" s="1323">
        <f>[1]Historicals!AW297</f>
        <v>0.11</v>
      </c>
      <c r="AA174" s="1323">
        <f>[1]Historicals!AX297</f>
        <v>0.14000000000000001</v>
      </c>
      <c r="AB174" s="1327"/>
      <c r="AC174" s="1203"/>
    </row>
    <row r="175" spans="3:29" s="1180" customFormat="1" x14ac:dyDescent="0.5">
      <c r="C175" s="1288"/>
      <c r="D175" s="1287"/>
      <c r="E175" s="1287"/>
      <c r="F175" s="1287"/>
      <c r="G175" s="1287"/>
      <c r="H175" s="1287"/>
      <c r="I175" s="1287"/>
      <c r="J175" s="1287"/>
      <c r="K175" s="1287"/>
      <c r="L175" s="1203"/>
      <c r="M175" s="1203"/>
      <c r="N175" s="1203"/>
      <c r="O175" s="1203"/>
      <c r="P175" s="1203"/>
      <c r="Q175" s="1203"/>
      <c r="R175" s="1203"/>
      <c r="S175" s="1203"/>
      <c r="T175" s="1203"/>
      <c r="U175" s="1203"/>
      <c r="V175" s="1203"/>
      <c r="W175" s="1203"/>
      <c r="X175" s="1203"/>
      <c r="Y175" s="1203"/>
      <c r="Z175" s="1203"/>
      <c r="AA175" s="1203"/>
      <c r="AB175" s="1203"/>
      <c r="AC175" s="1203"/>
    </row>
    <row r="176" spans="3:29" s="1180" customFormat="1" x14ac:dyDescent="0.5">
      <c r="C176" s="1288"/>
      <c r="D176" s="1287"/>
      <c r="E176" s="1287"/>
      <c r="F176" s="1287"/>
      <c r="G176" s="1287"/>
      <c r="H176" s="1287"/>
      <c r="I176" s="1287"/>
      <c r="J176" s="1287"/>
      <c r="K176" s="1287"/>
      <c r="L176" s="1203"/>
      <c r="M176" s="1203"/>
      <c r="N176" s="1203"/>
      <c r="O176" s="1203"/>
      <c r="P176" s="1203"/>
      <c r="Q176" s="1203"/>
      <c r="R176" s="1203"/>
      <c r="S176" s="1203"/>
      <c r="T176" s="1203"/>
      <c r="U176" s="1203"/>
      <c r="V176" s="1203"/>
      <c r="W176" s="1203"/>
      <c r="X176" s="1203"/>
      <c r="Y176" s="1203"/>
      <c r="Z176" s="1203"/>
      <c r="AA176" s="1203"/>
      <c r="AB176" s="1203"/>
      <c r="AC176" s="1203"/>
    </row>
    <row r="177" spans="3:49" x14ac:dyDescent="0.5">
      <c r="L177" s="1203"/>
      <c r="M177" s="1203"/>
      <c r="N177" s="1203"/>
      <c r="O177" s="1203"/>
      <c r="P177" s="1203"/>
      <c r="Q177" s="1203"/>
      <c r="R177" s="1203"/>
      <c r="S177" s="1203"/>
      <c r="T177" s="1203"/>
      <c r="U177" s="1203"/>
      <c r="V177" s="1203"/>
      <c r="W177" s="1203"/>
      <c r="X177" s="1203"/>
      <c r="Y177" s="1203"/>
      <c r="Z177" s="1203"/>
      <c r="AA177" s="1203"/>
      <c r="AB177" s="1203"/>
      <c r="AC177" s="1203"/>
    </row>
    <row r="178" spans="3:49" x14ac:dyDescent="0.5">
      <c r="L178" s="1203"/>
      <c r="M178" s="1203"/>
      <c r="N178" s="1203"/>
      <c r="O178" s="1203"/>
      <c r="P178" s="1203"/>
      <c r="Q178" s="1203"/>
      <c r="R178" s="1203"/>
      <c r="S178" s="1203"/>
      <c r="T178" s="1203"/>
      <c r="U178" s="1203"/>
      <c r="V178" s="1203"/>
      <c r="W178" s="1203"/>
      <c r="X178" s="1203"/>
      <c r="Y178" s="1203"/>
      <c r="Z178" s="1203"/>
      <c r="AA178" s="1203"/>
      <c r="AB178" s="1203"/>
      <c r="AC178" s="1203"/>
    </row>
    <row r="179" spans="3:49" x14ac:dyDescent="0.5">
      <c r="L179" s="1203"/>
      <c r="M179" s="1203"/>
      <c r="N179" s="1203"/>
      <c r="O179" s="1203"/>
      <c r="P179" s="1203"/>
      <c r="Q179" s="1203"/>
      <c r="R179" s="1203"/>
      <c r="S179" s="1203"/>
      <c r="T179" s="1203"/>
      <c r="U179" s="1203"/>
      <c r="V179" s="1203"/>
      <c r="W179" s="1203"/>
      <c r="X179" s="1203"/>
      <c r="Y179" s="1203"/>
      <c r="Z179" s="1203"/>
      <c r="AA179" s="1203"/>
      <c r="AB179" s="1203"/>
      <c r="AC179" s="1203"/>
    </row>
    <row r="180" spans="3:49" x14ac:dyDescent="0.5">
      <c r="L180" s="1203"/>
      <c r="M180" s="1203"/>
      <c r="N180" s="1203"/>
      <c r="O180" s="1203"/>
      <c r="P180" s="1203"/>
      <c r="Q180" s="1203"/>
      <c r="R180" s="1203"/>
      <c r="S180" s="1203"/>
      <c r="T180" s="1203"/>
      <c r="U180" s="1203"/>
      <c r="V180" s="1203"/>
      <c r="W180" s="1203"/>
      <c r="X180" s="1203"/>
      <c r="Y180" s="1203"/>
      <c r="Z180" s="1203"/>
      <c r="AA180" s="1203"/>
      <c r="AB180" s="1203"/>
      <c r="AC180" s="1203"/>
    </row>
    <row r="181" spans="3:49" x14ac:dyDescent="0.5">
      <c r="L181" s="1203"/>
      <c r="M181" s="1203"/>
      <c r="N181" s="1203"/>
      <c r="O181" s="1203"/>
      <c r="P181" s="1203"/>
      <c r="Q181" s="1203"/>
      <c r="R181" s="1203"/>
      <c r="S181" s="1203"/>
      <c r="T181" s="1203"/>
      <c r="U181" s="1203"/>
      <c r="V181" s="1203"/>
      <c r="W181" s="1203"/>
      <c r="X181" s="1203"/>
      <c r="Y181" s="1203"/>
      <c r="Z181" s="1203"/>
      <c r="AA181" s="1203"/>
      <c r="AB181" s="1203"/>
      <c r="AC181" s="1203"/>
    </row>
    <row r="182" spans="3:49" x14ac:dyDescent="0.5">
      <c r="L182" s="1203"/>
      <c r="M182" s="1203"/>
      <c r="N182" s="1203"/>
      <c r="O182" s="1203"/>
      <c r="P182" s="1203"/>
      <c r="Q182" s="1203"/>
      <c r="R182" s="1203"/>
      <c r="S182" s="1203"/>
      <c r="T182" s="1203"/>
      <c r="U182" s="1203"/>
      <c r="V182" s="1203"/>
      <c r="W182" s="1203"/>
      <c r="X182" s="1203"/>
      <c r="Y182" s="1203"/>
      <c r="Z182" s="1203"/>
      <c r="AA182" s="1203"/>
      <c r="AB182" s="1203"/>
      <c r="AC182" s="1203"/>
    </row>
    <row r="183" spans="3:49" x14ac:dyDescent="0.5">
      <c r="L183" s="1203"/>
      <c r="M183" s="1203"/>
      <c r="N183" s="1203"/>
      <c r="O183" s="1203"/>
      <c r="P183" s="1203"/>
      <c r="Q183" s="1203"/>
      <c r="R183" s="1203"/>
      <c r="S183" s="1203"/>
      <c r="T183" s="1203"/>
      <c r="U183" s="1203"/>
      <c r="V183" s="1203"/>
      <c r="W183" s="1203"/>
      <c r="X183" s="1203"/>
      <c r="Y183" s="1203"/>
      <c r="Z183" s="1203"/>
      <c r="AA183" s="1203"/>
      <c r="AB183" s="1203"/>
      <c r="AC183" s="1203"/>
    </row>
    <row r="184" spans="3:49" x14ac:dyDescent="0.5">
      <c r="L184" s="1203"/>
      <c r="M184" s="1203"/>
      <c r="N184" s="1203"/>
      <c r="O184" s="1203"/>
      <c r="P184" s="1203"/>
      <c r="Q184" s="1203"/>
      <c r="R184" s="1203"/>
      <c r="S184" s="1203"/>
      <c r="T184" s="1203"/>
      <c r="U184" s="1203"/>
      <c r="V184" s="1203"/>
      <c r="W184" s="1203"/>
      <c r="X184" s="1203"/>
      <c r="Y184" s="1203"/>
      <c r="Z184" s="1203"/>
      <c r="AA184" s="1203"/>
      <c r="AB184" s="1203"/>
      <c r="AC184" s="1203"/>
    </row>
    <row r="185" spans="3:49" x14ac:dyDescent="0.5">
      <c r="L185" s="1203"/>
      <c r="M185" s="1203"/>
      <c r="N185" s="1203"/>
      <c r="O185" s="1203"/>
      <c r="P185" s="1203"/>
      <c r="Q185" s="1203"/>
      <c r="R185" s="1203"/>
      <c r="S185" s="1203"/>
      <c r="T185" s="1203"/>
      <c r="U185" s="1203"/>
      <c r="V185" s="1203"/>
      <c r="W185" s="1203"/>
      <c r="X185" s="1203"/>
      <c r="Y185" s="1203"/>
      <c r="Z185" s="1203"/>
      <c r="AA185" s="1203"/>
      <c r="AB185" s="1203"/>
      <c r="AC185" s="1203"/>
    </row>
    <row r="186" spans="3:49" x14ac:dyDescent="0.5">
      <c r="L186" s="1203"/>
      <c r="M186" s="1203"/>
      <c r="N186" s="1203"/>
      <c r="O186" s="1203"/>
      <c r="P186" s="1203"/>
      <c r="Q186" s="1203"/>
      <c r="R186" s="1203"/>
      <c r="S186" s="1203"/>
      <c r="T186" s="1203"/>
      <c r="U186" s="1203"/>
      <c r="V186" s="1203"/>
      <c r="W186" s="1203"/>
      <c r="X186" s="1203"/>
      <c r="Y186" s="1203"/>
      <c r="Z186" s="1203"/>
      <c r="AA186" s="1203"/>
      <c r="AB186" s="1203"/>
      <c r="AC186" s="1203"/>
    </row>
    <row r="187" spans="3:49" x14ac:dyDescent="0.5">
      <c r="L187" s="1203"/>
      <c r="M187" s="1203"/>
      <c r="N187" s="1203"/>
      <c r="O187" s="1203"/>
      <c r="P187" s="1203"/>
      <c r="Q187" s="1203"/>
      <c r="R187" s="1203"/>
      <c r="S187" s="1203"/>
      <c r="T187" s="1203"/>
      <c r="U187" s="1203"/>
      <c r="V187" s="1203"/>
      <c r="W187" s="1203"/>
      <c r="X187" s="1203"/>
      <c r="Y187" s="1203"/>
      <c r="Z187" s="1203"/>
      <c r="AA187" s="1203"/>
      <c r="AB187" s="1203"/>
      <c r="AC187" s="1203"/>
    </row>
    <row r="188" spans="3:49" x14ac:dyDescent="0.5">
      <c r="L188" s="1203"/>
      <c r="M188" s="1203"/>
      <c r="N188" s="1203"/>
      <c r="O188" s="1203"/>
      <c r="P188" s="1203"/>
      <c r="Q188" s="1203"/>
      <c r="R188" s="1203"/>
      <c r="S188" s="1203"/>
      <c r="T188" s="1203"/>
      <c r="U188" s="1203"/>
      <c r="V188" s="1203"/>
      <c r="W188" s="1203"/>
      <c r="X188" s="1203"/>
      <c r="Y188" s="1203"/>
      <c r="Z188" s="1203"/>
      <c r="AA188" s="1203"/>
      <c r="AB188" s="1203"/>
      <c r="AC188" s="1203"/>
    </row>
    <row r="189" spans="3:49" x14ac:dyDescent="0.5">
      <c r="L189" s="1203"/>
      <c r="M189" s="1203"/>
      <c r="N189" s="1203"/>
      <c r="O189" s="1203"/>
      <c r="P189" s="1203"/>
      <c r="Q189" s="1203"/>
      <c r="R189" s="1203"/>
      <c r="S189" s="1203"/>
      <c r="T189" s="1203"/>
      <c r="U189" s="1203"/>
      <c r="V189" s="1203"/>
      <c r="W189" s="1203"/>
      <c r="X189" s="1203"/>
      <c r="Y189" s="1203"/>
      <c r="Z189" s="1203"/>
      <c r="AA189" s="1203"/>
      <c r="AB189" s="1203"/>
      <c r="AC189" s="1203"/>
    </row>
    <row r="190" spans="3:49" x14ac:dyDescent="0.5">
      <c r="L190" s="1203"/>
      <c r="M190" s="1203"/>
      <c r="N190" s="1203"/>
      <c r="O190" s="1203"/>
      <c r="P190" s="1203"/>
      <c r="Q190" s="1203"/>
      <c r="R190" s="1203"/>
      <c r="S190" s="1203"/>
      <c r="T190" s="1203"/>
      <c r="U190" s="1203"/>
      <c r="V190" s="1203"/>
      <c r="W190" s="1203"/>
      <c r="X190" s="1203"/>
      <c r="Y190" s="1203"/>
      <c r="Z190" s="1203"/>
      <c r="AA190" s="1203"/>
      <c r="AB190" s="1203"/>
      <c r="AC190" s="1203"/>
    </row>
    <row r="191" spans="3:49" x14ac:dyDescent="0.5">
      <c r="L191" s="1203"/>
      <c r="M191" s="1203"/>
      <c r="N191" s="1203"/>
      <c r="O191" s="1203"/>
      <c r="P191" s="1203"/>
      <c r="Q191" s="1203"/>
      <c r="R191" s="1203"/>
      <c r="S191" s="1203"/>
      <c r="T191" s="1203"/>
      <c r="U191" s="1203"/>
      <c r="V191" s="1203"/>
      <c r="W191" s="1203"/>
      <c r="X191" s="1203"/>
      <c r="Y191" s="1203"/>
      <c r="Z191" s="1203"/>
      <c r="AA191" s="1203"/>
      <c r="AB191" s="1203"/>
      <c r="AC191" s="1203"/>
    </row>
    <row r="192" spans="3:49" s="1197" customFormat="1" ht="14.7" x14ac:dyDescent="0.8">
      <c r="C192" s="1290" t="s">
        <v>1266</v>
      </c>
      <c r="D192" s="1291"/>
      <c r="E192" s="1291"/>
      <c r="F192" s="1291"/>
      <c r="G192" s="1291"/>
      <c r="H192" s="1291"/>
      <c r="I192" s="1291"/>
      <c r="J192" s="1291"/>
      <c r="K192" s="1291"/>
      <c r="L192" s="1199"/>
      <c r="M192" s="1199"/>
      <c r="N192" s="1199"/>
      <c r="O192" s="1199"/>
      <c r="P192" s="1199"/>
      <c r="Q192" s="1199"/>
      <c r="R192" s="1199"/>
      <c r="S192" s="1199"/>
      <c r="T192" s="1199"/>
      <c r="U192" s="1199"/>
      <c r="V192" s="1199"/>
      <c r="W192" s="1199"/>
      <c r="X192" s="1199"/>
      <c r="Y192" s="1199"/>
      <c r="Z192" s="1199"/>
      <c r="AA192" s="1199"/>
      <c r="AB192" s="1199"/>
      <c r="AC192" s="1199"/>
      <c r="AD192" s="1295"/>
      <c r="AE192" s="1295"/>
      <c r="AO192" s="1318" t="s">
        <v>1265</v>
      </c>
      <c r="AP192" s="1275" t="str">
        <f t="shared" ref="AP192:AW192" si="74">T$5</f>
        <v>Q1-2023</v>
      </c>
      <c r="AQ192" s="1275" t="str">
        <f t="shared" si="74"/>
        <v>Q2-2023</v>
      </c>
      <c r="AR192" s="1275" t="str">
        <f t="shared" si="74"/>
        <v>Q3-2023</v>
      </c>
      <c r="AS192" s="1275" t="str">
        <f t="shared" si="74"/>
        <v>Q4-2023</v>
      </c>
      <c r="AT192" s="1275" t="str">
        <f t="shared" si="74"/>
        <v>Q1-2024</v>
      </c>
      <c r="AU192" s="1275" t="str">
        <f t="shared" si="74"/>
        <v>Q2-2024</v>
      </c>
      <c r="AV192" s="1275" t="str">
        <f t="shared" si="74"/>
        <v>Q3-2024</v>
      </c>
      <c r="AW192" s="1275" t="str">
        <f t="shared" si="74"/>
        <v>Q4-2024</v>
      </c>
    </row>
    <row r="193" spans="3:49" x14ac:dyDescent="0.5">
      <c r="C193" s="1325" t="s">
        <v>1250</v>
      </c>
      <c r="D193" s="1324">
        <f>[1]Historicals!AA287</f>
        <v>0</v>
      </c>
      <c r="E193" s="1324">
        <f>[1]Historicals!AB287</f>
        <v>0</v>
      </c>
      <c r="F193" s="1324">
        <f>[1]Historicals!AC287</f>
        <v>0</v>
      </c>
      <c r="G193" s="1324">
        <f>[1]Historicals!AD287</f>
        <v>0</v>
      </c>
      <c r="H193" s="1324">
        <f>[1]Historicals!AE287</f>
        <v>0</v>
      </c>
      <c r="I193" s="1324">
        <f>[1]Historicals!AF287</f>
        <v>0</v>
      </c>
      <c r="J193" s="1324">
        <f>[1]Historicals!AG287</f>
        <v>0</v>
      </c>
      <c r="K193" s="1324">
        <f>[1]Historicals!AH287</f>
        <v>0</v>
      </c>
      <c r="L193" s="1323">
        <f>[1]Historicals!AI287</f>
        <v>0</v>
      </c>
      <c r="M193" s="1323">
        <f>[1]Historicals!AJ287</f>
        <v>0</v>
      </c>
      <c r="N193" s="1323">
        <f>[1]Historicals!AK287</f>
        <v>0</v>
      </c>
      <c r="O193" s="1323">
        <f>[1]Historicals!AL287</f>
        <v>0</v>
      </c>
      <c r="P193" s="1323">
        <f>[1]Historicals!AM287</f>
        <v>0</v>
      </c>
      <c r="Q193" s="1323">
        <f>[1]Historicals!AN287</f>
        <v>0</v>
      </c>
      <c r="R193" s="1323">
        <f>[1]Historicals!AO287</f>
        <v>0</v>
      </c>
      <c r="S193" s="1323">
        <f>[1]Historicals!AP287</f>
        <v>0</v>
      </c>
      <c r="T193" s="1323">
        <f>[1]Historicals!AQ287</f>
        <v>0.22</v>
      </c>
      <c r="U193" s="1323">
        <f>[1]Historicals!AR287</f>
        <v>0.28000000000000003</v>
      </c>
      <c r="V193" s="1323">
        <f>[1]Historicals!AS287</f>
        <v>0.26</v>
      </c>
      <c r="W193" s="1323">
        <f>[1]Historicals!AT287</f>
        <v>0.16</v>
      </c>
      <c r="X193" s="1323">
        <f>[1]Historicals!AU287</f>
        <v>0.16</v>
      </c>
      <c r="Y193" s="1323">
        <f>[1]Historicals!AV287</f>
        <v>0.08</v>
      </c>
      <c r="Z193" s="1323">
        <f>[1]Historicals!AW287</f>
        <v>7.0000000000000007E-2</v>
      </c>
      <c r="AA193" s="1323">
        <f>[1]Historicals!AX287</f>
        <v>0.06</v>
      </c>
      <c r="AB193" s="1203"/>
      <c r="AC193" s="1203"/>
      <c r="AO193" s="1287" t="str">
        <f>C193</f>
        <v>US &amp; Canada</v>
      </c>
      <c r="AP193" s="1304">
        <f t="shared" ref="AP193:AW197" si="75">T193</f>
        <v>0.22</v>
      </c>
      <c r="AQ193" s="1304">
        <f t="shared" si="75"/>
        <v>0.28000000000000003</v>
      </c>
      <c r="AR193" s="1304">
        <f t="shared" si="75"/>
        <v>0.26</v>
      </c>
      <c r="AS193" s="1304">
        <f t="shared" si="75"/>
        <v>0.16</v>
      </c>
      <c r="AT193" s="1304">
        <f t="shared" si="75"/>
        <v>0.16</v>
      </c>
      <c r="AU193" s="1304">
        <f t="shared" si="75"/>
        <v>0.08</v>
      </c>
      <c r="AV193" s="1304">
        <f t="shared" si="75"/>
        <v>7.0000000000000007E-2</v>
      </c>
      <c r="AW193" s="1304">
        <f t="shared" si="75"/>
        <v>0.06</v>
      </c>
    </row>
    <row r="194" spans="3:49" x14ac:dyDescent="0.5">
      <c r="C194" s="1325" t="s">
        <v>1249</v>
      </c>
      <c r="D194" s="1324">
        <f>[1]Historicals!AA288</f>
        <v>0</v>
      </c>
      <c r="E194" s="1324">
        <f>[1]Historicals!AB288</f>
        <v>0</v>
      </c>
      <c r="F194" s="1324">
        <f>[1]Historicals!AC288</f>
        <v>0</v>
      </c>
      <c r="G194" s="1324">
        <f>[1]Historicals!AD288</f>
        <v>0</v>
      </c>
      <c r="H194" s="1324">
        <f>[1]Historicals!AE288</f>
        <v>0</v>
      </c>
      <c r="I194" s="1324">
        <f>[1]Historicals!AF288</f>
        <v>0</v>
      </c>
      <c r="J194" s="1324">
        <f>[1]Historicals!AG288</f>
        <v>0</v>
      </c>
      <c r="K194" s="1324">
        <f>[1]Historicals!AH288</f>
        <v>0</v>
      </c>
      <c r="L194" s="1323">
        <f>[1]Historicals!AI288</f>
        <v>0</v>
      </c>
      <c r="M194" s="1323">
        <f>[1]Historicals!AJ288</f>
        <v>0</v>
      </c>
      <c r="N194" s="1323">
        <f>[1]Historicals!AK288</f>
        <v>0</v>
      </c>
      <c r="O194" s="1323">
        <f>[1]Historicals!AL288</f>
        <v>0</v>
      </c>
      <c r="P194" s="1323">
        <f>[1]Historicals!AM288</f>
        <v>0</v>
      </c>
      <c r="Q194" s="1323">
        <f>[1]Historicals!AN288</f>
        <v>0</v>
      </c>
      <c r="R194" s="1323">
        <f>[1]Historicals!AO288</f>
        <v>0</v>
      </c>
      <c r="S194" s="1323">
        <f>[1]Historicals!AP288</f>
        <v>0</v>
      </c>
      <c r="T194" s="1323">
        <f>[1]Historicals!AQ288</f>
        <v>0.11</v>
      </c>
      <c r="U194" s="1323">
        <f>[1]Historicals!AR288</f>
        <v>0.26</v>
      </c>
      <c r="V194" s="1323">
        <f>[1]Historicals!AS288</f>
        <v>0.25</v>
      </c>
      <c r="W194" s="1323">
        <f>[1]Historicals!AT288</f>
        <v>0.17</v>
      </c>
      <c r="X194" s="1323">
        <f>[1]Historicals!AU288</f>
        <v>0.12</v>
      </c>
      <c r="Y194" s="1323">
        <f>[1]Historicals!AV288</f>
        <v>0.06</v>
      </c>
      <c r="Z194" s="1323">
        <f>[1]Historicals!AW288</f>
        <v>0.05</v>
      </c>
      <c r="AA194" s="1323">
        <f>[1]Historicals!AX288</f>
        <v>0.05</v>
      </c>
      <c r="AB194" s="1203"/>
      <c r="AC194" s="1203"/>
      <c r="AO194" s="1287" t="str">
        <f>C194</f>
        <v>EU</v>
      </c>
      <c r="AP194" s="1304">
        <f t="shared" si="75"/>
        <v>0.11</v>
      </c>
      <c r="AQ194" s="1304">
        <f t="shared" si="75"/>
        <v>0.26</v>
      </c>
      <c r="AR194" s="1304">
        <f t="shared" si="75"/>
        <v>0.25</v>
      </c>
      <c r="AS194" s="1304">
        <f t="shared" si="75"/>
        <v>0.17</v>
      </c>
      <c r="AT194" s="1304">
        <f t="shared" si="75"/>
        <v>0.12</v>
      </c>
      <c r="AU194" s="1304">
        <f t="shared" si="75"/>
        <v>0.06</v>
      </c>
      <c r="AV194" s="1304">
        <f t="shared" si="75"/>
        <v>0.05</v>
      </c>
      <c r="AW194" s="1304">
        <f t="shared" si="75"/>
        <v>0.05</v>
      </c>
    </row>
    <row r="195" spans="3:49" x14ac:dyDescent="0.5">
      <c r="C195" s="1325" t="s">
        <v>1149</v>
      </c>
      <c r="D195" s="1324">
        <f>[1]Historicals!AA289</f>
        <v>0</v>
      </c>
      <c r="E195" s="1324">
        <f>[1]Historicals!AB289</f>
        <v>0</v>
      </c>
      <c r="F195" s="1324">
        <f>[1]Historicals!AC289</f>
        <v>0</v>
      </c>
      <c r="G195" s="1324">
        <f>[1]Historicals!AD289</f>
        <v>0</v>
      </c>
      <c r="H195" s="1324">
        <f>[1]Historicals!AE289</f>
        <v>0</v>
      </c>
      <c r="I195" s="1324">
        <f>[1]Historicals!AF289</f>
        <v>0</v>
      </c>
      <c r="J195" s="1324">
        <f>[1]Historicals!AG289</f>
        <v>0</v>
      </c>
      <c r="K195" s="1324">
        <f>[1]Historicals!AH289</f>
        <v>0</v>
      </c>
      <c r="L195" s="1323">
        <f>[1]Historicals!AI289</f>
        <v>0</v>
      </c>
      <c r="M195" s="1323">
        <f>[1]Historicals!AJ289</f>
        <v>0</v>
      </c>
      <c r="N195" s="1323">
        <f>[1]Historicals!AK289</f>
        <v>0</v>
      </c>
      <c r="O195" s="1323">
        <f>[1]Historicals!AL289</f>
        <v>0</v>
      </c>
      <c r="P195" s="1323">
        <f>[1]Historicals!AM289</f>
        <v>0</v>
      </c>
      <c r="Q195" s="1323">
        <f>[1]Historicals!AN289</f>
        <v>0</v>
      </c>
      <c r="R195" s="1323">
        <f>[1]Historicals!AO289</f>
        <v>0</v>
      </c>
      <c r="S195" s="1323">
        <f>[1]Historicals!AP289</f>
        <v>0</v>
      </c>
      <c r="T195" s="1323">
        <f>[1]Historicals!AQ289</f>
        <v>0.34</v>
      </c>
      <c r="U195" s="1323">
        <f>[1]Historicals!AR289</f>
        <v>0.42</v>
      </c>
      <c r="V195" s="1323">
        <f>[1]Historicals!AS289</f>
        <v>0.39</v>
      </c>
      <c r="W195" s="1323">
        <f>[1]Historicals!AT289</f>
        <v>0.3</v>
      </c>
      <c r="X195" s="1323">
        <f>[1]Historicals!AU289</f>
        <v>0.28000000000000003</v>
      </c>
      <c r="Y195" s="1323">
        <f>[1]Historicals!AV289</f>
        <v>0.15</v>
      </c>
      <c r="Z195" s="1323">
        <f>[1]Historicals!AW289</f>
        <v>0.09</v>
      </c>
      <c r="AA195" s="1323">
        <f>[1]Historicals!AX289</f>
        <v>0.1</v>
      </c>
      <c r="AB195" s="1203"/>
      <c r="AC195" s="1203"/>
      <c r="AO195" s="1287" t="str">
        <f>C195</f>
        <v>APAC</v>
      </c>
      <c r="AP195" s="1304">
        <f t="shared" si="75"/>
        <v>0.34</v>
      </c>
      <c r="AQ195" s="1304">
        <f t="shared" si="75"/>
        <v>0.42</v>
      </c>
      <c r="AR195" s="1304">
        <f t="shared" si="75"/>
        <v>0.39</v>
      </c>
      <c r="AS195" s="1304">
        <f t="shared" si="75"/>
        <v>0.3</v>
      </c>
      <c r="AT195" s="1304">
        <f t="shared" si="75"/>
        <v>0.28000000000000003</v>
      </c>
      <c r="AU195" s="1304">
        <f t="shared" si="75"/>
        <v>0.15</v>
      </c>
      <c r="AV195" s="1304">
        <f t="shared" si="75"/>
        <v>0.09</v>
      </c>
      <c r="AW195" s="1304">
        <f t="shared" si="75"/>
        <v>0.1</v>
      </c>
    </row>
    <row r="196" spans="3:49" x14ac:dyDescent="0.5">
      <c r="C196" s="1325" t="s">
        <v>1148</v>
      </c>
      <c r="D196" s="1324">
        <f>[1]Historicals!AA290</f>
        <v>0</v>
      </c>
      <c r="E196" s="1324">
        <f>[1]Historicals!AB290</f>
        <v>0</v>
      </c>
      <c r="F196" s="1324">
        <f>[1]Historicals!AC290</f>
        <v>0</v>
      </c>
      <c r="G196" s="1324">
        <f>[1]Historicals!AD290</f>
        <v>0</v>
      </c>
      <c r="H196" s="1324">
        <f>[1]Historicals!AE290</f>
        <v>0</v>
      </c>
      <c r="I196" s="1324">
        <f>[1]Historicals!AF290</f>
        <v>0</v>
      </c>
      <c r="J196" s="1324">
        <f>[1]Historicals!AG290</f>
        <v>0</v>
      </c>
      <c r="K196" s="1324">
        <f>[1]Historicals!AH290</f>
        <v>0</v>
      </c>
      <c r="L196" s="1323">
        <f>[1]Historicals!AI290</f>
        <v>0</v>
      </c>
      <c r="M196" s="1323">
        <f>[1]Historicals!AJ290</f>
        <v>0</v>
      </c>
      <c r="N196" s="1323">
        <f>[1]Historicals!AK290</f>
        <v>0</v>
      </c>
      <c r="O196" s="1323">
        <f>[1]Historicals!AL290</f>
        <v>0</v>
      </c>
      <c r="P196" s="1323">
        <f>[1]Historicals!AM290</f>
        <v>0</v>
      </c>
      <c r="Q196" s="1323">
        <f>[1]Historicals!AN290</f>
        <v>0</v>
      </c>
      <c r="R196" s="1323">
        <f>[1]Historicals!AO290</f>
        <v>0</v>
      </c>
      <c r="S196" s="1323">
        <f>[1]Historicals!AP290</f>
        <v>0</v>
      </c>
      <c r="T196" s="1323">
        <f>[1]Historicals!AQ290</f>
        <v>0.28000000000000003</v>
      </c>
      <c r="U196" s="1323">
        <f>[1]Historicals!AR290</f>
        <v>0.31</v>
      </c>
      <c r="V196" s="1323">
        <f>[1]Historicals!AS290</f>
        <v>0.27</v>
      </c>
      <c r="W196" s="1323">
        <f>[1]Historicals!AT290</f>
        <v>0.17</v>
      </c>
      <c r="X196" s="1323">
        <f>[1]Historicals!AU290</f>
        <v>0.17</v>
      </c>
      <c r="Y196" s="1323">
        <f>[1]Historicals!AV290</f>
        <v>0.08</v>
      </c>
      <c r="Z196" s="1323">
        <f>[1]Historicals!AW290</f>
        <v>0.05</v>
      </c>
      <c r="AA196" s="1323">
        <f>[1]Historicals!AX290</f>
        <v>0.03</v>
      </c>
      <c r="AB196" s="1203"/>
      <c r="AC196" s="1203"/>
      <c r="AO196" s="1287" t="str">
        <f>C196</f>
        <v>ROW</v>
      </c>
      <c r="AP196" s="1304">
        <f t="shared" si="75"/>
        <v>0.28000000000000003</v>
      </c>
      <c r="AQ196" s="1304">
        <f t="shared" si="75"/>
        <v>0.31</v>
      </c>
      <c r="AR196" s="1304">
        <f t="shared" si="75"/>
        <v>0.27</v>
      </c>
      <c r="AS196" s="1304">
        <f t="shared" si="75"/>
        <v>0.17</v>
      </c>
      <c r="AT196" s="1304">
        <f t="shared" si="75"/>
        <v>0.17</v>
      </c>
      <c r="AU196" s="1304">
        <f t="shared" si="75"/>
        <v>0.08</v>
      </c>
      <c r="AV196" s="1304">
        <f t="shared" si="75"/>
        <v>0.05</v>
      </c>
      <c r="AW196" s="1304">
        <f t="shared" si="75"/>
        <v>0.03</v>
      </c>
    </row>
    <row r="197" spans="3:49" x14ac:dyDescent="0.5">
      <c r="C197" s="1325" t="s">
        <v>1248</v>
      </c>
      <c r="D197" s="1324">
        <f>[1]Historicals!AA291</f>
        <v>0.32</v>
      </c>
      <c r="E197" s="1324">
        <f>[1]Historicals!AB291</f>
        <v>0.33</v>
      </c>
      <c r="F197" s="1324">
        <f>[1]Historicals!AC291</f>
        <v>0.37</v>
      </c>
      <c r="G197" s="1324">
        <f>[1]Historicals!AD291</f>
        <v>0.31</v>
      </c>
      <c r="H197" s="1324">
        <f>[1]Historicals!AE291</f>
        <v>0.39</v>
      </c>
      <c r="I197" s="1324">
        <f>[1]Historicals!AF291</f>
        <v>0.4</v>
      </c>
      <c r="J197" s="1324">
        <f>[1]Historicals!AG291</f>
        <v>0.35</v>
      </c>
      <c r="K197" s="1324">
        <f>[1]Historicals!AH291</f>
        <v>0.25</v>
      </c>
      <c r="L197" s="1323">
        <f>[1]Historicals!AI291</f>
        <v>0.12</v>
      </c>
      <c r="M197" s="1323">
        <f>[1]Historicals!AJ291</f>
        <v>0.06</v>
      </c>
      <c r="N197" s="1323">
        <f>[1]Historicals!AK291</f>
        <v>0.09</v>
      </c>
      <c r="O197" s="1323">
        <f>[1]Historicals!AL291</f>
        <v>0.13</v>
      </c>
      <c r="P197" s="1323">
        <f>[1]Historicals!AM291</f>
        <v>0.15</v>
      </c>
      <c r="Q197" s="1323">
        <f>[1]Historicals!AN291</f>
        <v>0.15</v>
      </c>
      <c r="R197" s="1323">
        <f>[1]Historicals!AO291</f>
        <v>0.17</v>
      </c>
      <c r="S197" s="1323">
        <f>[1]Historicals!AP291</f>
        <v>0.23</v>
      </c>
      <c r="T197" s="1323">
        <f>[1]Historicals!AQ291</f>
        <v>0.26</v>
      </c>
      <c r="U197" s="1323">
        <f>[1]Historicals!AR291</f>
        <v>0.34</v>
      </c>
      <c r="V197" s="1323">
        <f>[1]Historicals!AS291</f>
        <v>0.31</v>
      </c>
      <c r="W197" s="1323">
        <f>[1]Historicals!AT291</f>
        <v>0.21</v>
      </c>
      <c r="X197" s="1323">
        <f>[1]Historicals!AU291</f>
        <v>0.2</v>
      </c>
      <c r="Y197" s="1323">
        <f>[1]Historicals!AV291</f>
        <v>0.1</v>
      </c>
      <c r="Z197" s="1323">
        <f>[1]Historicals!AW291</f>
        <v>7.0000000000000007E-2</v>
      </c>
      <c r="AA197" s="1323">
        <f>[1]Historicals!AX291</f>
        <v>0.06</v>
      </c>
      <c r="AB197" s="1203"/>
      <c r="AC197" s="1203"/>
      <c r="AO197" s="1287" t="str">
        <f>C197</f>
        <v>Total</v>
      </c>
      <c r="AP197" s="1304">
        <f t="shared" si="75"/>
        <v>0.26</v>
      </c>
      <c r="AQ197" s="1304">
        <f t="shared" si="75"/>
        <v>0.34</v>
      </c>
      <c r="AR197" s="1304">
        <f t="shared" si="75"/>
        <v>0.31</v>
      </c>
      <c r="AS197" s="1304">
        <f t="shared" si="75"/>
        <v>0.21</v>
      </c>
      <c r="AT197" s="1304">
        <f t="shared" si="75"/>
        <v>0.2</v>
      </c>
      <c r="AU197" s="1304">
        <f t="shared" si="75"/>
        <v>0.1</v>
      </c>
      <c r="AV197" s="1304">
        <f t="shared" si="75"/>
        <v>7.0000000000000007E-2</v>
      </c>
      <c r="AW197" s="1304">
        <f t="shared" si="75"/>
        <v>0.06</v>
      </c>
    </row>
    <row r="198" spans="3:49" x14ac:dyDescent="0.5">
      <c r="C198" s="1325"/>
      <c r="D198" s="1324"/>
      <c r="E198" s="1324"/>
      <c r="F198" s="1324"/>
      <c r="G198" s="1324"/>
      <c r="H198" s="1324"/>
      <c r="I198" s="1324"/>
      <c r="J198" s="1324"/>
      <c r="K198" s="1324"/>
      <c r="L198" s="1323"/>
      <c r="M198" s="1323"/>
      <c r="N198" s="1323"/>
      <c r="O198" s="1323"/>
      <c r="P198" s="1323"/>
      <c r="Q198" s="1323"/>
      <c r="R198" s="1323"/>
      <c r="S198" s="1323"/>
      <c r="T198" s="1323"/>
      <c r="U198" s="1323"/>
      <c r="V198" s="1323"/>
      <c r="W198" s="1323"/>
      <c r="X198" s="1323"/>
      <c r="Y198" s="1323"/>
      <c r="Z198" s="1323"/>
      <c r="AA198" s="1323"/>
      <c r="AB198" s="1203"/>
      <c r="AC198" s="1203"/>
    </row>
    <row r="199" spans="3:49" ht="14.7" x14ac:dyDescent="0.8">
      <c r="C199" s="1326" t="s">
        <v>1264</v>
      </c>
      <c r="D199" s="1324"/>
      <c r="E199" s="1324"/>
      <c r="F199" s="1324"/>
      <c r="G199" s="1324"/>
      <c r="H199" s="1324"/>
      <c r="I199" s="1324"/>
      <c r="J199" s="1324"/>
      <c r="K199" s="1324"/>
      <c r="L199" s="1323"/>
      <c r="M199" s="1323"/>
      <c r="N199" s="1323"/>
      <c r="O199" s="1323"/>
      <c r="P199" s="1323"/>
      <c r="Q199" s="1323"/>
      <c r="R199" s="1323"/>
      <c r="S199" s="1323"/>
      <c r="T199" s="1316" t="s">
        <v>1246</v>
      </c>
      <c r="U199" s="1316" t="s">
        <v>1245</v>
      </c>
      <c r="V199" s="1316" t="s">
        <v>1244</v>
      </c>
      <c r="W199" s="1316" t="s">
        <v>1243</v>
      </c>
      <c r="X199" s="1316" t="s">
        <v>1242</v>
      </c>
      <c r="Y199" s="1316" t="s">
        <v>1241</v>
      </c>
      <c r="Z199" s="1316" t="s">
        <v>1240</v>
      </c>
      <c r="AA199" s="1316" t="s">
        <v>1239</v>
      </c>
      <c r="AB199" s="1203"/>
      <c r="AC199" s="1203"/>
      <c r="AO199" s="1318" t="s">
        <v>1230</v>
      </c>
      <c r="AP199" s="1275" t="str">
        <f t="shared" ref="AP199:AW199" si="76">T$5</f>
        <v>Q1-2023</v>
      </c>
      <c r="AQ199" s="1275" t="str">
        <f t="shared" si="76"/>
        <v>Q2-2023</v>
      </c>
      <c r="AR199" s="1275" t="str">
        <f t="shared" si="76"/>
        <v>Q3-2023</v>
      </c>
      <c r="AS199" s="1275" t="str">
        <f t="shared" si="76"/>
        <v>Q4-2023</v>
      </c>
      <c r="AT199" s="1275" t="str">
        <f t="shared" si="76"/>
        <v>Q1-2024</v>
      </c>
      <c r="AU199" s="1275" t="str">
        <f t="shared" si="76"/>
        <v>Q2-2024</v>
      </c>
      <c r="AV199" s="1275" t="str">
        <f t="shared" si="76"/>
        <v>Q3-2024</v>
      </c>
      <c r="AW199" s="1275" t="str">
        <f t="shared" si="76"/>
        <v>Q4-2024</v>
      </c>
    </row>
    <row r="200" spans="3:49" x14ac:dyDescent="0.5">
      <c r="C200" s="1325" t="s">
        <v>1250</v>
      </c>
      <c r="D200" s="1324">
        <f>[1]Historicals!AA293</f>
        <v>0</v>
      </c>
      <c r="E200" s="1324">
        <f>[1]Historicals!AB293</f>
        <v>0</v>
      </c>
      <c r="F200" s="1324">
        <f>[1]Historicals!AC293</f>
        <v>0</v>
      </c>
      <c r="G200" s="1324">
        <f>[1]Historicals!AD293</f>
        <v>0</v>
      </c>
      <c r="H200" s="1324">
        <f>[1]Historicals!AE293</f>
        <v>0</v>
      </c>
      <c r="I200" s="1324">
        <f>[1]Historicals!AF293</f>
        <v>0</v>
      </c>
      <c r="J200" s="1324">
        <f>[1]Historicals!AG293</f>
        <v>0</v>
      </c>
      <c r="K200" s="1324">
        <f>[1]Historicals!AH293</f>
        <v>0</v>
      </c>
      <c r="L200" s="1323">
        <f>[1]Historicals!AI293</f>
        <v>0</v>
      </c>
      <c r="M200" s="1323">
        <f>[1]Historicals!AJ293</f>
        <v>0</v>
      </c>
      <c r="N200" s="1323">
        <f>[1]Historicals!AK293</f>
        <v>0</v>
      </c>
      <c r="O200" s="1323">
        <f>[1]Historicals!AL293</f>
        <v>0</v>
      </c>
      <c r="P200" s="1323">
        <f>[1]Historicals!AM293</f>
        <v>0</v>
      </c>
      <c r="Q200" s="1323">
        <f>[1]Historicals!AN293</f>
        <v>0</v>
      </c>
      <c r="R200" s="1323">
        <f>[1]Historicals!AO293</f>
        <v>0</v>
      </c>
      <c r="S200" s="1323">
        <f>[1]Historicals!AP293</f>
        <v>0</v>
      </c>
      <c r="T200" s="1323">
        <f>[1]Historicals!AQ293</f>
        <v>-0.13</v>
      </c>
      <c r="U200" s="1323">
        <f>[1]Historicals!AR293</f>
        <v>-0.14000000000000001</v>
      </c>
      <c r="V200" s="1323">
        <f>[1]Historicals!AS293</f>
        <v>-7.0000000000000007E-2</v>
      </c>
      <c r="W200" s="1323">
        <f>[1]Historicals!AT293</f>
        <v>0.02</v>
      </c>
      <c r="X200" s="1323">
        <f>[1]Historicals!AU293</f>
        <v>0.05</v>
      </c>
      <c r="Y200" s="1323">
        <f>[1]Historicals!AV293</f>
        <v>0.09</v>
      </c>
      <c r="Z200" s="1323">
        <f>[1]Historicals!AW293</f>
        <v>0.09</v>
      </c>
      <c r="AA200" s="1323">
        <f>[1]Historicals!AX293</f>
        <v>0.12</v>
      </c>
      <c r="AB200" s="1203"/>
      <c r="AC200" s="1203"/>
      <c r="AO200" s="1287" t="str">
        <f>C200</f>
        <v>US &amp; Canada</v>
      </c>
      <c r="AP200" s="1304">
        <f t="shared" ref="AP200:AW204" si="77">T200</f>
        <v>-0.13</v>
      </c>
      <c r="AQ200" s="1304">
        <f t="shared" si="77"/>
        <v>-0.14000000000000001</v>
      </c>
      <c r="AR200" s="1304">
        <f t="shared" si="77"/>
        <v>-7.0000000000000007E-2</v>
      </c>
      <c r="AS200" s="1304">
        <f t="shared" si="77"/>
        <v>0.02</v>
      </c>
      <c r="AT200" s="1304">
        <f t="shared" si="77"/>
        <v>0.05</v>
      </c>
      <c r="AU200" s="1304">
        <f t="shared" si="77"/>
        <v>0.09</v>
      </c>
      <c r="AV200" s="1304">
        <f t="shared" si="77"/>
        <v>0.09</v>
      </c>
      <c r="AW200" s="1304">
        <f t="shared" si="77"/>
        <v>0.12</v>
      </c>
    </row>
    <row r="201" spans="3:49" x14ac:dyDescent="0.5">
      <c r="C201" s="1325" t="s">
        <v>1249</v>
      </c>
      <c r="D201" s="1324">
        <f>[1]Historicals!AA294</f>
        <v>0</v>
      </c>
      <c r="E201" s="1324">
        <f>[1]Historicals!AB294</f>
        <v>0</v>
      </c>
      <c r="F201" s="1324">
        <f>[1]Historicals!AC294</f>
        <v>0</v>
      </c>
      <c r="G201" s="1324">
        <f>[1]Historicals!AD294</f>
        <v>0</v>
      </c>
      <c r="H201" s="1324">
        <f>[1]Historicals!AE294</f>
        <v>0</v>
      </c>
      <c r="I201" s="1324">
        <f>[1]Historicals!AF294</f>
        <v>0</v>
      </c>
      <c r="J201" s="1324">
        <f>[1]Historicals!AG294</f>
        <v>0</v>
      </c>
      <c r="K201" s="1324">
        <f>[1]Historicals!AH294</f>
        <v>0</v>
      </c>
      <c r="L201" s="1323">
        <f>[1]Historicals!AI294</f>
        <v>0</v>
      </c>
      <c r="M201" s="1323">
        <f>[1]Historicals!AJ294</f>
        <v>0</v>
      </c>
      <c r="N201" s="1323">
        <f>[1]Historicals!AK294</f>
        <v>0</v>
      </c>
      <c r="O201" s="1323">
        <f>[1]Historicals!AL294</f>
        <v>0</v>
      </c>
      <c r="P201" s="1323">
        <f>[1]Historicals!AM294</f>
        <v>0</v>
      </c>
      <c r="Q201" s="1323">
        <f>[1]Historicals!AN294</f>
        <v>0</v>
      </c>
      <c r="R201" s="1323">
        <f>[1]Historicals!AO294</f>
        <v>0</v>
      </c>
      <c r="S201" s="1323">
        <f>[1]Historicals!AP294</f>
        <v>0</v>
      </c>
      <c r="T201" s="1323">
        <f>[1]Historicals!AQ294</f>
        <v>-0.11</v>
      </c>
      <c r="U201" s="1323">
        <f>[1]Historicals!AR294</f>
        <v>-0.09</v>
      </c>
      <c r="V201" s="1323">
        <f>[1]Historicals!AS294</f>
        <v>0.08</v>
      </c>
      <c r="W201" s="1323">
        <f>[1]Historicals!AT294</f>
        <v>0.14000000000000001</v>
      </c>
      <c r="X201" s="1323">
        <f>[1]Historicals!AU294</f>
        <v>0.18</v>
      </c>
      <c r="Y201" s="1323">
        <f>[1]Historicals!AV294</f>
        <v>0.18</v>
      </c>
      <c r="Z201" s="1323">
        <f>[1]Historicals!AW294</f>
        <v>0.16</v>
      </c>
      <c r="AA201" s="1323">
        <f>[1]Historicals!AX294</f>
        <v>0.16</v>
      </c>
      <c r="AB201" s="1203"/>
      <c r="AC201" s="1203"/>
      <c r="AO201" s="1287" t="str">
        <f>C201</f>
        <v>EU</v>
      </c>
      <c r="AP201" s="1304">
        <f t="shared" si="77"/>
        <v>-0.11</v>
      </c>
      <c r="AQ201" s="1304">
        <f t="shared" si="77"/>
        <v>-0.09</v>
      </c>
      <c r="AR201" s="1304">
        <f t="shared" si="77"/>
        <v>0.08</v>
      </c>
      <c r="AS201" s="1304">
        <f t="shared" si="77"/>
        <v>0.14000000000000001</v>
      </c>
      <c r="AT201" s="1304">
        <f t="shared" si="77"/>
        <v>0.18</v>
      </c>
      <c r="AU201" s="1304">
        <f t="shared" si="77"/>
        <v>0.18</v>
      </c>
      <c r="AV201" s="1304">
        <f t="shared" si="77"/>
        <v>0.16</v>
      </c>
      <c r="AW201" s="1304">
        <f t="shared" si="77"/>
        <v>0.16</v>
      </c>
    </row>
    <row r="202" spans="3:49" x14ac:dyDescent="0.5">
      <c r="C202" s="1325" t="s">
        <v>1149</v>
      </c>
      <c r="D202" s="1324">
        <f>[1]Historicals!AA295</f>
        <v>0</v>
      </c>
      <c r="E202" s="1324">
        <f>[1]Historicals!AB295</f>
        <v>0</v>
      </c>
      <c r="F202" s="1324">
        <f>[1]Historicals!AC295</f>
        <v>0</v>
      </c>
      <c r="G202" s="1324">
        <f>[1]Historicals!AD295</f>
        <v>0</v>
      </c>
      <c r="H202" s="1324">
        <f>[1]Historicals!AE295</f>
        <v>0</v>
      </c>
      <c r="I202" s="1324">
        <f>[1]Historicals!AF295</f>
        <v>0</v>
      </c>
      <c r="J202" s="1324">
        <f>[1]Historicals!AG295</f>
        <v>0</v>
      </c>
      <c r="K202" s="1324">
        <f>[1]Historicals!AH295</f>
        <v>0</v>
      </c>
      <c r="L202" s="1323">
        <f>[1]Historicals!AI295</f>
        <v>0</v>
      </c>
      <c r="M202" s="1323">
        <f>[1]Historicals!AJ295</f>
        <v>0</v>
      </c>
      <c r="N202" s="1323">
        <f>[1]Historicals!AK295</f>
        <v>0</v>
      </c>
      <c r="O202" s="1323">
        <f>[1]Historicals!AL295</f>
        <v>0</v>
      </c>
      <c r="P202" s="1323">
        <f>[1]Historicals!AM295</f>
        <v>0</v>
      </c>
      <c r="Q202" s="1323">
        <f>[1]Historicals!AN295</f>
        <v>0</v>
      </c>
      <c r="R202" s="1323">
        <f>[1]Historicals!AO295</f>
        <v>0</v>
      </c>
      <c r="S202" s="1323">
        <f>[1]Historicals!AP295</f>
        <v>0</v>
      </c>
      <c r="T202" s="1323">
        <f>[1]Historicals!AQ295</f>
        <v>-0.22</v>
      </c>
      <c r="U202" s="1323">
        <f>[1]Historicals!AR295</f>
        <v>-0.22</v>
      </c>
      <c r="V202" s="1323">
        <f>[1]Historicals!AS295</f>
        <v>-0.14000000000000001</v>
      </c>
      <c r="W202" s="1323">
        <f>[1]Historicals!AT295</f>
        <v>-0.06</v>
      </c>
      <c r="X202" s="1323">
        <f>[1]Historicals!AU295</f>
        <v>-0.03</v>
      </c>
      <c r="Y202" s="1323">
        <f>[1]Historicals!AV295</f>
        <v>0.04</v>
      </c>
      <c r="Z202" s="1323">
        <f>[1]Historicals!AW295</f>
        <v>0.08</v>
      </c>
      <c r="AA202" s="1323">
        <f>[1]Historicals!AX295</f>
        <v>0.12</v>
      </c>
      <c r="AB202" s="1203"/>
      <c r="AC202" s="1203"/>
      <c r="AO202" s="1287" t="str">
        <f>C202</f>
        <v>APAC</v>
      </c>
      <c r="AP202" s="1304">
        <f t="shared" si="77"/>
        <v>-0.22</v>
      </c>
      <c r="AQ202" s="1304">
        <f t="shared" si="77"/>
        <v>-0.22</v>
      </c>
      <c r="AR202" s="1304">
        <f t="shared" si="77"/>
        <v>-0.14000000000000001</v>
      </c>
      <c r="AS202" s="1304">
        <f t="shared" si="77"/>
        <v>-0.06</v>
      </c>
      <c r="AT202" s="1304">
        <f t="shared" si="77"/>
        <v>-0.03</v>
      </c>
      <c r="AU202" s="1304">
        <f t="shared" si="77"/>
        <v>0.04</v>
      </c>
      <c r="AV202" s="1304">
        <f t="shared" si="77"/>
        <v>0.08</v>
      </c>
      <c r="AW202" s="1304">
        <f t="shared" si="77"/>
        <v>0.12</v>
      </c>
    </row>
    <row r="203" spans="3:49" x14ac:dyDescent="0.5">
      <c r="C203" s="1325" t="s">
        <v>1148</v>
      </c>
      <c r="D203" s="1324">
        <f>[1]Historicals!AA296</f>
        <v>0</v>
      </c>
      <c r="E203" s="1324">
        <f>[1]Historicals!AB296</f>
        <v>0</v>
      </c>
      <c r="F203" s="1324">
        <f>[1]Historicals!AC296</f>
        <v>0</v>
      </c>
      <c r="G203" s="1324">
        <f>[1]Historicals!AD296</f>
        <v>0</v>
      </c>
      <c r="H203" s="1324">
        <f>[1]Historicals!AE296</f>
        <v>0</v>
      </c>
      <c r="I203" s="1324">
        <f>[1]Historicals!AF296</f>
        <v>0</v>
      </c>
      <c r="J203" s="1324">
        <f>[1]Historicals!AG296</f>
        <v>0</v>
      </c>
      <c r="K203" s="1324">
        <f>[1]Historicals!AH296</f>
        <v>0</v>
      </c>
      <c r="L203" s="1323">
        <f>[1]Historicals!AI296</f>
        <v>0</v>
      </c>
      <c r="M203" s="1323">
        <f>[1]Historicals!AJ296</f>
        <v>0</v>
      </c>
      <c r="N203" s="1323">
        <f>[1]Historicals!AK296</f>
        <v>0</v>
      </c>
      <c r="O203" s="1323">
        <f>[1]Historicals!AL296</f>
        <v>0</v>
      </c>
      <c r="P203" s="1323">
        <f>[1]Historicals!AM296</f>
        <v>0</v>
      </c>
      <c r="Q203" s="1323">
        <f>[1]Historicals!AN296</f>
        <v>0</v>
      </c>
      <c r="R203" s="1323">
        <f>[1]Historicals!AO296</f>
        <v>0</v>
      </c>
      <c r="S203" s="1323">
        <f>[1]Historicals!AP296</f>
        <v>0</v>
      </c>
      <c r="T203" s="1323">
        <f>[1]Historicals!AQ296</f>
        <v>-0.15</v>
      </c>
      <c r="U203" s="1323">
        <f>[1]Historicals!AR296</f>
        <v>-0.12</v>
      </c>
      <c r="V203" s="1323">
        <f>[1]Historicals!AS296</f>
        <v>7.0000000000000007E-2</v>
      </c>
      <c r="W203" s="1323">
        <f>[1]Historicals!AT296</f>
        <v>0.13</v>
      </c>
      <c r="X203" s="1323">
        <f>[1]Historicals!AU296</f>
        <v>0.2</v>
      </c>
      <c r="Y203" s="1323">
        <f>[1]Historicals!AV296</f>
        <v>0.24</v>
      </c>
      <c r="Z203" s="1323">
        <f>[1]Historicals!AW296</f>
        <v>0.17</v>
      </c>
      <c r="AA203" s="1323">
        <f>[1]Historicals!AX296</f>
        <v>0.23</v>
      </c>
      <c r="AB203" s="1203"/>
      <c r="AC203" s="1203"/>
      <c r="AO203" s="1287" t="str">
        <f>C203</f>
        <v>ROW</v>
      </c>
      <c r="AP203" s="1304">
        <f t="shared" si="77"/>
        <v>-0.15</v>
      </c>
      <c r="AQ203" s="1304">
        <f t="shared" si="77"/>
        <v>-0.12</v>
      </c>
      <c r="AR203" s="1304">
        <f t="shared" si="77"/>
        <v>7.0000000000000007E-2</v>
      </c>
      <c r="AS203" s="1304">
        <f t="shared" si="77"/>
        <v>0.13</v>
      </c>
      <c r="AT203" s="1304">
        <f t="shared" si="77"/>
        <v>0.2</v>
      </c>
      <c r="AU203" s="1304">
        <f t="shared" si="77"/>
        <v>0.24</v>
      </c>
      <c r="AV203" s="1304">
        <f t="shared" si="77"/>
        <v>0.17</v>
      </c>
      <c r="AW203" s="1304">
        <f t="shared" si="77"/>
        <v>0.23</v>
      </c>
    </row>
    <row r="204" spans="3:49" x14ac:dyDescent="0.5">
      <c r="C204" s="1325" t="s">
        <v>1248</v>
      </c>
      <c r="D204" s="1324">
        <f>[1]Historicals!AA297</f>
        <v>-0.04</v>
      </c>
      <c r="E204" s="1324">
        <f>[1]Historicals!AB297</f>
        <v>-0.04</v>
      </c>
      <c r="F204" s="1324">
        <f>[1]Historicals!AC297</f>
        <v>-0.06</v>
      </c>
      <c r="G204" s="1324">
        <f>[1]Historicals!AD297</f>
        <v>-0.05</v>
      </c>
      <c r="H204" s="1324">
        <f>[1]Historicals!AE297</f>
        <v>-0.16</v>
      </c>
      <c r="I204" s="1324">
        <f>[1]Historicals!AF297</f>
        <v>-0.21</v>
      </c>
      <c r="J204" s="1324">
        <f>[1]Historicals!AG297</f>
        <v>-0.09</v>
      </c>
      <c r="K204" s="1324">
        <f>[1]Historicals!AH297</f>
        <v>0.05</v>
      </c>
      <c r="L204" s="1323">
        <f>[1]Historicals!AI297</f>
        <v>0.3</v>
      </c>
      <c r="M204" s="1323">
        <f>[1]Historicals!AJ297</f>
        <v>0.47</v>
      </c>
      <c r="N204" s="1323">
        <f>[1]Historicals!AK297</f>
        <v>0.22</v>
      </c>
      <c r="O204" s="1323">
        <f>[1]Historicals!AL297</f>
        <v>0.06</v>
      </c>
      <c r="P204" s="1323">
        <f>[1]Historicals!AM297</f>
        <v>-0.08</v>
      </c>
      <c r="Q204" s="1323">
        <f>[1]Historicals!AN297</f>
        <v>-0.14000000000000001</v>
      </c>
      <c r="R204" s="1323">
        <f>[1]Historicals!AO297</f>
        <v>-0.18</v>
      </c>
      <c r="S204" s="1323">
        <f>[1]Historicals!AP297</f>
        <v>-0.22</v>
      </c>
      <c r="T204" s="1323">
        <f>[1]Historicals!AQ297</f>
        <v>-0.17</v>
      </c>
      <c r="U204" s="1323">
        <f>[1]Historicals!AR297</f>
        <v>-0.16</v>
      </c>
      <c r="V204" s="1323">
        <f>[1]Historicals!AS297</f>
        <v>-0.06</v>
      </c>
      <c r="W204" s="1323">
        <f>[1]Historicals!AT297</f>
        <v>0.02</v>
      </c>
      <c r="X204" s="1323">
        <f>[1]Historicals!AU297</f>
        <v>0.06</v>
      </c>
      <c r="Y204" s="1323">
        <f>[1]Historicals!AV297</f>
        <v>0.1</v>
      </c>
      <c r="Z204" s="1323">
        <f>[1]Historicals!AW297</f>
        <v>0.11</v>
      </c>
      <c r="AA204" s="1323">
        <f>[1]Historicals!AX297</f>
        <v>0.14000000000000001</v>
      </c>
      <c r="AB204" s="1203"/>
      <c r="AC204" s="1203"/>
      <c r="AO204" s="1287" t="str">
        <f>C204</f>
        <v>Total</v>
      </c>
      <c r="AP204" s="1304">
        <f t="shared" si="77"/>
        <v>-0.17</v>
      </c>
      <c r="AQ204" s="1304">
        <f t="shared" si="77"/>
        <v>-0.16</v>
      </c>
      <c r="AR204" s="1304">
        <f t="shared" si="77"/>
        <v>-0.06</v>
      </c>
      <c r="AS204" s="1304">
        <f t="shared" si="77"/>
        <v>0.02</v>
      </c>
      <c r="AT204" s="1304">
        <f t="shared" si="77"/>
        <v>0.06</v>
      </c>
      <c r="AU204" s="1304">
        <f t="shared" si="77"/>
        <v>0.1</v>
      </c>
      <c r="AV204" s="1304">
        <f t="shared" si="77"/>
        <v>0.11</v>
      </c>
      <c r="AW204" s="1304">
        <f t="shared" si="77"/>
        <v>0.14000000000000001</v>
      </c>
    </row>
    <row r="205" spans="3:49" x14ac:dyDescent="0.5">
      <c r="L205" s="1203"/>
      <c r="M205" s="1203"/>
      <c r="N205" s="1203"/>
      <c r="O205" s="1203"/>
      <c r="P205" s="1203"/>
      <c r="Q205" s="1203"/>
      <c r="R205" s="1203"/>
      <c r="S205" s="1203"/>
      <c r="T205" s="1203"/>
      <c r="U205" s="1203"/>
      <c r="V205" s="1203"/>
      <c r="W205" s="1203"/>
      <c r="X205" s="1203"/>
      <c r="Y205" s="1203"/>
      <c r="Z205" s="1203"/>
      <c r="AA205" s="1203"/>
      <c r="AB205" s="1203"/>
      <c r="AC205" s="1203"/>
    </row>
    <row r="206" spans="3:49" x14ac:dyDescent="0.5">
      <c r="L206" s="1203"/>
      <c r="M206" s="1203"/>
      <c r="N206" s="1203"/>
      <c r="O206" s="1203"/>
      <c r="P206" s="1203"/>
      <c r="Q206" s="1203"/>
      <c r="R206" s="1203"/>
      <c r="S206" s="1203"/>
      <c r="T206" s="1203"/>
      <c r="U206" s="1203"/>
      <c r="V206" s="1203"/>
      <c r="W206" s="1203"/>
      <c r="X206" s="1203"/>
      <c r="Y206" s="1203"/>
      <c r="Z206" s="1203"/>
      <c r="AA206" s="1203"/>
      <c r="AB206" s="1203"/>
      <c r="AC206" s="1203"/>
    </row>
    <row r="207" spans="3:49" x14ac:dyDescent="0.5">
      <c r="C207" s="1288" t="str">
        <f>C200</f>
        <v>US &amp; Canada</v>
      </c>
      <c r="L207" s="1203"/>
      <c r="M207" s="1203"/>
      <c r="N207" s="1203"/>
      <c r="O207" s="1203"/>
      <c r="P207" s="1203"/>
      <c r="Q207" s="1203"/>
      <c r="R207" s="1203"/>
      <c r="S207" s="1203"/>
      <c r="T207" s="1271">
        <f t="shared" ref="T207:AA211" si="78">T193+T200</f>
        <v>0.09</v>
      </c>
      <c r="U207" s="1271">
        <f t="shared" si="78"/>
        <v>0.14000000000000001</v>
      </c>
      <c r="V207" s="1271">
        <f t="shared" si="78"/>
        <v>0.19</v>
      </c>
      <c r="W207" s="1271">
        <f t="shared" si="78"/>
        <v>0.18</v>
      </c>
      <c r="X207" s="1271">
        <f t="shared" si="78"/>
        <v>0.21000000000000002</v>
      </c>
      <c r="Y207" s="1271">
        <f t="shared" si="78"/>
        <v>0.16999999999999998</v>
      </c>
      <c r="Z207" s="1271">
        <f t="shared" si="78"/>
        <v>0.16</v>
      </c>
      <c r="AA207" s="1271">
        <f t="shared" si="78"/>
        <v>0.18</v>
      </c>
      <c r="AB207" s="1203"/>
      <c r="AC207" s="1203"/>
    </row>
    <row r="208" spans="3:49" x14ac:dyDescent="0.5">
      <c r="C208" s="1288" t="str">
        <f>C201</f>
        <v>EU</v>
      </c>
      <c r="L208" s="1203"/>
      <c r="M208" s="1203"/>
      <c r="N208" s="1203"/>
      <c r="O208" s="1203"/>
      <c r="P208" s="1203"/>
      <c r="Q208" s="1203"/>
      <c r="R208" s="1203"/>
      <c r="S208" s="1203"/>
      <c r="T208" s="1271">
        <f t="shared" si="78"/>
        <v>0</v>
      </c>
      <c r="U208" s="1271">
        <f t="shared" si="78"/>
        <v>0.17</v>
      </c>
      <c r="V208" s="1271">
        <f t="shared" si="78"/>
        <v>0.33</v>
      </c>
      <c r="W208" s="1271">
        <f t="shared" si="78"/>
        <v>0.31000000000000005</v>
      </c>
      <c r="X208" s="1271">
        <f t="shared" si="78"/>
        <v>0.3</v>
      </c>
      <c r="Y208" s="1271">
        <f t="shared" si="78"/>
        <v>0.24</v>
      </c>
      <c r="Z208" s="1271">
        <f t="shared" si="78"/>
        <v>0.21000000000000002</v>
      </c>
      <c r="AA208" s="1271">
        <f t="shared" si="78"/>
        <v>0.21000000000000002</v>
      </c>
      <c r="AB208" s="1203"/>
      <c r="AC208" s="1203"/>
    </row>
    <row r="209" spans="3:50" x14ac:dyDescent="0.5">
      <c r="C209" s="1288" t="str">
        <f>C202</f>
        <v>APAC</v>
      </c>
      <c r="L209" s="1203"/>
      <c r="M209" s="1203"/>
      <c r="N209" s="1203"/>
      <c r="O209" s="1203"/>
      <c r="P209" s="1203"/>
      <c r="Q209" s="1203"/>
      <c r="R209" s="1203"/>
      <c r="S209" s="1203"/>
      <c r="T209" s="1271">
        <f t="shared" si="78"/>
        <v>0.12000000000000002</v>
      </c>
      <c r="U209" s="1271">
        <f t="shared" si="78"/>
        <v>0.19999999999999998</v>
      </c>
      <c r="V209" s="1271">
        <f t="shared" si="78"/>
        <v>0.25</v>
      </c>
      <c r="W209" s="1271">
        <f t="shared" si="78"/>
        <v>0.24</v>
      </c>
      <c r="X209" s="1271">
        <f t="shared" si="78"/>
        <v>0.25</v>
      </c>
      <c r="Y209" s="1271">
        <f t="shared" si="78"/>
        <v>0.19</v>
      </c>
      <c r="Z209" s="1271">
        <f t="shared" si="78"/>
        <v>0.16999999999999998</v>
      </c>
      <c r="AA209" s="1271">
        <f t="shared" si="78"/>
        <v>0.22</v>
      </c>
      <c r="AB209" s="1203"/>
      <c r="AC209" s="1203"/>
    </row>
    <row r="210" spans="3:50" x14ac:dyDescent="0.5">
      <c r="C210" s="1288" t="str">
        <f>C203</f>
        <v>ROW</v>
      </c>
      <c r="L210" s="1203"/>
      <c r="M210" s="1203"/>
      <c r="N210" s="1203"/>
      <c r="O210" s="1203"/>
      <c r="P210" s="1203"/>
      <c r="Q210" s="1203"/>
      <c r="R210" s="1203"/>
      <c r="S210" s="1203"/>
      <c r="T210" s="1271">
        <f t="shared" si="78"/>
        <v>0.13000000000000003</v>
      </c>
      <c r="U210" s="1271">
        <f t="shared" si="78"/>
        <v>0.19</v>
      </c>
      <c r="V210" s="1271">
        <f t="shared" si="78"/>
        <v>0.34</v>
      </c>
      <c r="W210" s="1271">
        <f t="shared" si="78"/>
        <v>0.30000000000000004</v>
      </c>
      <c r="X210" s="1271">
        <f t="shared" si="78"/>
        <v>0.37</v>
      </c>
      <c r="Y210" s="1271">
        <f t="shared" si="78"/>
        <v>0.32</v>
      </c>
      <c r="Z210" s="1271">
        <f t="shared" si="78"/>
        <v>0.22000000000000003</v>
      </c>
      <c r="AA210" s="1271">
        <f t="shared" si="78"/>
        <v>0.26</v>
      </c>
      <c r="AB210" s="1203"/>
      <c r="AC210" s="1203"/>
    </row>
    <row r="211" spans="3:50" x14ac:dyDescent="0.5">
      <c r="C211" s="1288" t="str">
        <f>C204</f>
        <v>Total</v>
      </c>
      <c r="L211" s="1203"/>
      <c r="M211" s="1203"/>
      <c r="N211" s="1203"/>
      <c r="O211" s="1203"/>
      <c r="P211" s="1203"/>
      <c r="Q211" s="1203"/>
      <c r="R211" s="1203"/>
      <c r="S211" s="1203"/>
      <c r="T211" s="1271">
        <f t="shared" si="78"/>
        <v>0.09</v>
      </c>
      <c r="U211" s="1271">
        <f t="shared" si="78"/>
        <v>0.18000000000000002</v>
      </c>
      <c r="V211" s="1271">
        <f t="shared" si="78"/>
        <v>0.25</v>
      </c>
      <c r="W211" s="1271">
        <f t="shared" si="78"/>
        <v>0.22999999999999998</v>
      </c>
      <c r="X211" s="1271">
        <f t="shared" si="78"/>
        <v>0.26</v>
      </c>
      <c r="Y211" s="1271">
        <f t="shared" si="78"/>
        <v>0.2</v>
      </c>
      <c r="Z211" s="1271">
        <f t="shared" si="78"/>
        <v>0.18</v>
      </c>
      <c r="AA211" s="1271">
        <f t="shared" si="78"/>
        <v>0.2</v>
      </c>
      <c r="AB211" s="1203"/>
      <c r="AC211" s="1203"/>
    </row>
    <row r="212" spans="3:50" ht="14.7" x14ac:dyDescent="0.8">
      <c r="L212" s="1203"/>
      <c r="M212" s="1203"/>
      <c r="N212" s="1203"/>
      <c r="O212" s="1203"/>
      <c r="P212" s="1203"/>
      <c r="Q212" s="1203"/>
      <c r="R212" s="1203"/>
      <c r="S212" s="1203"/>
      <c r="T212" s="1271"/>
      <c r="U212" s="1271"/>
      <c r="V212" s="1271"/>
      <c r="W212" s="1271"/>
      <c r="X212" s="1271"/>
      <c r="Y212" s="1271"/>
      <c r="Z212" s="1271"/>
      <c r="AA212" s="1271"/>
      <c r="AB212" s="1203"/>
      <c r="AC212" s="1203"/>
      <c r="AX212" s="1275"/>
    </row>
    <row r="213" spans="3:50" x14ac:dyDescent="0.5">
      <c r="L213" s="1203"/>
      <c r="M213" s="1203"/>
      <c r="N213" s="1203"/>
      <c r="O213" s="1203"/>
      <c r="P213" s="1203"/>
      <c r="Q213" s="1203"/>
      <c r="R213" s="1203"/>
      <c r="S213" s="1203"/>
      <c r="T213" s="1203"/>
      <c r="U213" s="1203"/>
      <c r="V213" s="1203"/>
      <c r="W213" s="1203"/>
      <c r="X213" s="1203"/>
      <c r="Y213" s="1203"/>
      <c r="Z213" s="1203"/>
      <c r="AA213" s="1203"/>
      <c r="AB213" s="1203"/>
      <c r="AC213" s="1203"/>
      <c r="AX213" s="1304"/>
    </row>
    <row r="214" spans="3:50" x14ac:dyDescent="0.5">
      <c r="C214" s="1288" t="s">
        <v>1263</v>
      </c>
      <c r="D214" s="1180"/>
      <c r="E214" s="1180"/>
      <c r="F214" s="1180"/>
      <c r="G214" s="1180">
        <f t="shared" ref="G214:AA214" si="79">-SUM(D57:G57)</f>
        <v>15654</v>
      </c>
      <c r="H214" s="1180">
        <f t="shared" si="79"/>
        <v>15350</v>
      </c>
      <c r="I214" s="1180">
        <f t="shared" si="79"/>
        <v>14939</v>
      </c>
      <c r="J214" s="1180">
        <f t="shared" si="79"/>
        <v>15141</v>
      </c>
      <c r="K214" s="1180">
        <f t="shared" si="79"/>
        <v>15719</v>
      </c>
      <c r="L214" s="1203">
        <f t="shared" si="79"/>
        <v>16484</v>
      </c>
      <c r="M214" s="1203">
        <f t="shared" si="79"/>
        <v>17855</v>
      </c>
      <c r="N214" s="1203">
        <f t="shared" si="79"/>
        <v>18522</v>
      </c>
      <c r="O214" s="1203">
        <f t="shared" si="79"/>
        <v>19244</v>
      </c>
      <c r="P214" s="1203">
        <f t="shared" si="79"/>
        <v>20495</v>
      </c>
      <c r="Q214" s="1203">
        <f t="shared" si="79"/>
        <v>23551</v>
      </c>
      <c r="R214" s="1203">
        <f t="shared" si="79"/>
        <v>28544</v>
      </c>
      <c r="S214" s="1203">
        <f t="shared" si="79"/>
        <v>32281</v>
      </c>
      <c r="T214" s="1203">
        <f t="shared" si="79"/>
        <v>33713</v>
      </c>
      <c r="U214" s="1203">
        <f t="shared" si="79"/>
        <v>32358</v>
      </c>
      <c r="V214" s="1203">
        <f t="shared" si="79"/>
        <v>29630</v>
      </c>
      <c r="W214" s="1203">
        <f t="shared" si="79"/>
        <v>28324</v>
      </c>
      <c r="X214" s="1203">
        <f t="shared" si="79"/>
        <v>27933</v>
      </c>
      <c r="Y214" s="1203">
        <f t="shared" si="79"/>
        <v>29969</v>
      </c>
      <c r="Z214" s="1203">
        <f t="shared" si="79"/>
        <v>32361</v>
      </c>
      <c r="AA214" s="1203">
        <f t="shared" si="79"/>
        <v>39225</v>
      </c>
      <c r="AB214" s="1203"/>
      <c r="AC214" s="1203"/>
      <c r="AX214" s="1304"/>
    </row>
    <row r="215" spans="3:50" x14ac:dyDescent="0.5">
      <c r="G215" s="1176" t="e">
        <f t="shared" ref="G215:AA215" si="80">G214/F214-1</f>
        <v>#DIV/0!</v>
      </c>
      <c r="H215" s="1176">
        <f t="shared" si="80"/>
        <v>-1.9419956560623453E-2</v>
      </c>
      <c r="I215" s="1176">
        <f t="shared" si="80"/>
        <v>-2.6775244299674261E-2</v>
      </c>
      <c r="J215" s="1176">
        <f t="shared" si="80"/>
        <v>1.352165472923228E-2</v>
      </c>
      <c r="K215" s="1176">
        <f t="shared" si="80"/>
        <v>3.8174493098210194E-2</v>
      </c>
      <c r="L215" s="1271">
        <f t="shared" si="80"/>
        <v>4.8667218016413161E-2</v>
      </c>
      <c r="M215" s="1271">
        <f t="shared" si="80"/>
        <v>8.3171560300897784E-2</v>
      </c>
      <c r="N215" s="1271">
        <f t="shared" si="80"/>
        <v>3.7356482777933353E-2</v>
      </c>
      <c r="O215" s="1271">
        <f t="shared" si="80"/>
        <v>3.8980671633732866E-2</v>
      </c>
      <c r="P215" s="1271">
        <f t="shared" si="80"/>
        <v>6.5007274994803632E-2</v>
      </c>
      <c r="Q215" s="1271">
        <f t="shared" si="80"/>
        <v>0.14910953891192968</v>
      </c>
      <c r="R215" s="1271">
        <f t="shared" si="80"/>
        <v>0.21200798267589493</v>
      </c>
      <c r="S215" s="1271">
        <f t="shared" si="80"/>
        <v>0.13092068385650224</v>
      </c>
      <c r="T215" s="1271">
        <f t="shared" si="80"/>
        <v>4.4360459713143952E-2</v>
      </c>
      <c r="U215" s="1271">
        <f t="shared" si="80"/>
        <v>-4.0192210719900312E-2</v>
      </c>
      <c r="V215" s="1271">
        <f t="shared" si="80"/>
        <v>-8.4306817479448681E-2</v>
      </c>
      <c r="W215" s="1271">
        <f t="shared" si="80"/>
        <v>-4.407694903813697E-2</v>
      </c>
      <c r="X215" s="1271">
        <f t="shared" si="80"/>
        <v>-1.3804547380313559E-2</v>
      </c>
      <c r="Y215" s="1271">
        <f t="shared" si="80"/>
        <v>7.2888697955822757E-2</v>
      </c>
      <c r="Z215" s="1271">
        <f t="shared" si="80"/>
        <v>7.9815809669992355E-2</v>
      </c>
      <c r="AA215" s="1271">
        <f t="shared" si="80"/>
        <v>0.21210716603318813</v>
      </c>
      <c r="AB215" s="1203"/>
      <c r="AC215" s="1203"/>
      <c r="AX215" s="1304"/>
    </row>
    <row r="216" spans="3:50" x14ac:dyDescent="0.5">
      <c r="L216" s="1203"/>
      <c r="M216" s="1203"/>
      <c r="N216" s="1203"/>
      <c r="O216" s="1203"/>
      <c r="P216" s="1203"/>
      <c r="Q216" s="1203"/>
      <c r="R216" s="1203"/>
      <c r="S216" s="1203"/>
      <c r="T216" s="1203"/>
      <c r="U216" s="1203"/>
      <c r="V216" s="1203"/>
      <c r="W216" s="1203"/>
      <c r="X216" s="1203"/>
      <c r="Y216" s="1203"/>
      <c r="Z216" s="1203"/>
      <c r="AA216" s="1203"/>
      <c r="AB216" s="1203"/>
      <c r="AC216" s="1203"/>
      <c r="AX216" s="1304"/>
    </row>
    <row r="217" spans="3:50" x14ac:dyDescent="0.5">
      <c r="L217" s="1203"/>
      <c r="M217" s="1203"/>
      <c r="N217" s="1203"/>
      <c r="O217" s="1203"/>
      <c r="P217" s="1203"/>
      <c r="Q217" s="1203"/>
      <c r="R217" s="1203"/>
      <c r="S217" s="1203"/>
      <c r="T217" s="1203"/>
      <c r="U217" s="1203"/>
      <c r="V217" s="1203"/>
      <c r="W217" s="1203"/>
      <c r="X217" s="1203"/>
      <c r="Y217" s="1203"/>
      <c r="Z217" s="1203"/>
      <c r="AA217" s="1203"/>
      <c r="AB217" s="1203"/>
      <c r="AC217" s="1203"/>
    </row>
    <row r="218" spans="3:50" x14ac:dyDescent="0.5">
      <c r="L218" s="1203"/>
      <c r="M218" s="1203"/>
      <c r="N218" s="1203"/>
      <c r="O218" s="1203"/>
      <c r="P218" s="1203"/>
      <c r="Q218" s="1203"/>
      <c r="R218" s="1203"/>
      <c r="S218" s="1203"/>
      <c r="T218" s="1203"/>
      <c r="U218" s="1203"/>
      <c r="V218" s="1203"/>
      <c r="W218" s="1203"/>
      <c r="X218" s="1203"/>
      <c r="Y218" s="1203"/>
      <c r="Z218" s="1203"/>
      <c r="AA218" s="1203"/>
      <c r="AB218" s="1203"/>
      <c r="AC218" s="1203"/>
    </row>
    <row r="219" spans="3:50" x14ac:dyDescent="0.5">
      <c r="L219" s="1203"/>
      <c r="M219" s="1203"/>
      <c r="N219" s="1203"/>
      <c r="O219" s="1203"/>
      <c r="P219" s="1203"/>
      <c r="Q219" s="1203"/>
      <c r="R219" s="1203"/>
      <c r="S219" s="1203"/>
      <c r="T219" s="1203"/>
      <c r="U219" s="1203"/>
      <c r="V219" s="1203"/>
      <c r="W219" s="1203"/>
      <c r="X219" s="1203"/>
      <c r="Y219" s="1203"/>
      <c r="Z219" s="1203"/>
      <c r="AA219" s="1203"/>
      <c r="AB219" s="1203"/>
      <c r="AC219" s="1203"/>
    </row>
    <row r="220" spans="3:50" x14ac:dyDescent="0.5">
      <c r="L220" s="1203"/>
      <c r="M220" s="1203"/>
      <c r="N220" s="1203"/>
      <c r="O220" s="1203"/>
      <c r="P220" s="1203"/>
      <c r="Q220" s="1203"/>
      <c r="R220" s="1203"/>
      <c r="S220" s="1203"/>
      <c r="T220" s="1203"/>
      <c r="U220" s="1203"/>
      <c r="V220" s="1203"/>
      <c r="W220" s="1203"/>
      <c r="X220" s="1203"/>
      <c r="Y220" s="1203"/>
      <c r="Z220" s="1203"/>
      <c r="AA220" s="1203"/>
      <c r="AB220" s="1203"/>
      <c r="AC220" s="1203"/>
    </row>
    <row r="221" spans="3:50" s="1197" customFormat="1" ht="14.7" x14ac:dyDescent="0.8">
      <c r="C221" s="1322" t="s">
        <v>1262</v>
      </c>
      <c r="D221" s="1321" t="str">
        <f t="shared" ref="D221:S221" si="81">D5</f>
        <v>Q1-2019</v>
      </c>
      <c r="E221" s="1321" t="str">
        <f t="shared" si="81"/>
        <v>Q2-2019</v>
      </c>
      <c r="F221" s="1321" t="str">
        <f t="shared" si="81"/>
        <v>Q3-2019</v>
      </c>
      <c r="G221" s="1321" t="str">
        <f t="shared" si="81"/>
        <v>Q4-2019</v>
      </c>
      <c r="H221" s="1321" t="str">
        <f t="shared" si="81"/>
        <v>Q1-2020</v>
      </c>
      <c r="I221" s="1321" t="str">
        <f t="shared" si="81"/>
        <v>Q2-2020</v>
      </c>
      <c r="J221" s="1321" t="str">
        <f t="shared" si="81"/>
        <v>Q3-2020</v>
      </c>
      <c r="K221" s="1321" t="str">
        <f t="shared" si="81"/>
        <v>Q4-2020</v>
      </c>
      <c r="L221" s="1320" t="str">
        <f t="shared" si="81"/>
        <v>Q1-2021</v>
      </c>
      <c r="M221" s="1320" t="str">
        <f t="shared" si="81"/>
        <v>Q2-2021</v>
      </c>
      <c r="N221" s="1320" t="str">
        <f t="shared" si="81"/>
        <v>Q3-2021</v>
      </c>
      <c r="O221" s="1320" t="str">
        <f t="shared" si="81"/>
        <v>Q4-2021</v>
      </c>
      <c r="P221" s="1320" t="str">
        <f t="shared" si="81"/>
        <v>Q1-2022</v>
      </c>
      <c r="Q221" s="1320" t="str">
        <f t="shared" si="81"/>
        <v>Q2-2022</v>
      </c>
      <c r="R221" s="1320" t="str">
        <f t="shared" si="81"/>
        <v>Q3-2022</v>
      </c>
      <c r="S221" s="1320" t="str">
        <f t="shared" si="81"/>
        <v>Q4-2022</v>
      </c>
      <c r="T221" s="1316" t="s">
        <v>1246</v>
      </c>
      <c r="U221" s="1316" t="s">
        <v>1245</v>
      </c>
      <c r="V221" s="1316" t="s">
        <v>1244</v>
      </c>
      <c r="W221" s="1316" t="s">
        <v>1243</v>
      </c>
      <c r="X221" s="1316" t="s">
        <v>1242</v>
      </c>
      <c r="Y221" s="1316" t="s">
        <v>1241</v>
      </c>
      <c r="Z221" s="1316" t="s">
        <v>1240</v>
      </c>
      <c r="AA221" s="1316" t="s">
        <v>1239</v>
      </c>
      <c r="AB221" s="1199"/>
      <c r="AC221" s="1199"/>
      <c r="AD221" s="1295"/>
      <c r="AE221" s="1295"/>
    </row>
    <row r="222" spans="3:50" x14ac:dyDescent="0.5">
      <c r="C222" s="1288" t="s">
        <v>1261</v>
      </c>
      <c r="L222" s="1203">
        <f t="shared" ref="L222:AA222" si="82">L31-H31</f>
        <v>26171</v>
      </c>
      <c r="M222" s="1203">
        <f t="shared" si="82"/>
        <v>29077</v>
      </c>
      <c r="N222" s="1203">
        <f t="shared" si="82"/>
        <v>29010</v>
      </c>
      <c r="O222" s="1203">
        <f t="shared" si="82"/>
        <v>33671</v>
      </c>
      <c r="P222" s="1203">
        <f t="shared" si="82"/>
        <v>1737</v>
      </c>
      <c r="Q222" s="1203">
        <f t="shared" si="82"/>
        <v>-255</v>
      </c>
      <c r="R222" s="1203">
        <f t="shared" si="82"/>
        <v>-1296</v>
      </c>
      <c r="S222" s="1203">
        <f t="shared" si="82"/>
        <v>-1506</v>
      </c>
      <c r="T222" s="1203">
        <f t="shared" si="82"/>
        <v>737</v>
      </c>
      <c r="U222" s="1203">
        <f t="shared" si="82"/>
        <v>3177</v>
      </c>
      <c r="V222" s="1203">
        <f t="shared" si="82"/>
        <v>6432</v>
      </c>
      <c r="W222" s="1203">
        <f t="shared" si="82"/>
        <v>7946</v>
      </c>
      <c r="X222" s="1203">
        <f t="shared" si="82"/>
        <v>7810</v>
      </c>
      <c r="Y222" s="1203">
        <f t="shared" si="82"/>
        <v>7072</v>
      </c>
      <c r="Z222" s="1203">
        <f t="shared" si="82"/>
        <v>6443</v>
      </c>
      <c r="AA222" s="1203">
        <f t="shared" si="82"/>
        <v>8274</v>
      </c>
      <c r="AB222" s="1203"/>
      <c r="AC222" s="1203"/>
      <c r="AX222" s="1304"/>
    </row>
    <row r="223" spans="3:50" x14ac:dyDescent="0.5">
      <c r="L223" s="1203"/>
      <c r="M223" s="1203"/>
      <c r="N223" s="1203"/>
      <c r="O223" s="1203"/>
      <c r="P223" s="1203"/>
      <c r="Q223" s="1203"/>
      <c r="R223" s="1203"/>
      <c r="S223" s="1203"/>
      <c r="T223" s="1203"/>
      <c r="U223" s="1203"/>
      <c r="V223" s="1203"/>
      <c r="W223" s="1203"/>
      <c r="X223" s="1203"/>
      <c r="Y223" s="1203"/>
      <c r="Z223" s="1203"/>
      <c r="AA223" s="1203"/>
      <c r="AB223" s="1203"/>
      <c r="AC223" s="1203"/>
    </row>
    <row r="224" spans="3:50" x14ac:dyDescent="0.5">
      <c r="C224" s="1288" t="s">
        <v>1260</v>
      </c>
      <c r="L224" s="1203">
        <f>[1]Historicals!AI377-[1]Historicals!AE377</f>
        <v>1672</v>
      </c>
      <c r="M224" s="1203">
        <f>[1]Historicals!AJ377-[1]Historicals!AF377</f>
        <v>1570</v>
      </c>
      <c r="N224" s="1203">
        <f>[1]Historicals!AK377-[1]Historicals!AG377</f>
        <v>1577</v>
      </c>
      <c r="O224" s="1203">
        <f>[1]Historicals!AL377-[1]Historicals!AH377</f>
        <v>1138</v>
      </c>
      <c r="P224" s="1203">
        <f>[1]Historicals!AM377-[1]Historicals!AI377</f>
        <v>874</v>
      </c>
      <c r="Q224" s="1203">
        <f>[1]Historicals!AN377-[1]Historicals!AJ377</f>
        <v>-207</v>
      </c>
      <c r="R224" s="1203">
        <f>[1]Historicals!AO377-[1]Historicals!AK377</f>
        <v>-55</v>
      </c>
      <c r="S224" s="1203">
        <f>[1]Historicals!AP377-[1]Historicals!AL377</f>
        <v>1988</v>
      </c>
      <c r="T224" s="1203">
        <f>[1]Historicals!AQ377-[1]Historicals!AM377</f>
        <v>103</v>
      </c>
      <c r="U224" s="1203">
        <f>[1]Historicals!AR377-[1]Historicals!AN377</f>
        <v>753</v>
      </c>
      <c r="V224" s="1203">
        <f>[1]Historicals!AS377-[1]Historicals!AO377</f>
        <v>494</v>
      </c>
      <c r="W224" s="1203">
        <f>[1]Historicals!AT377-[1]Historicals!AP377</f>
        <v>-641</v>
      </c>
      <c r="X224" s="1203">
        <f>[1]Historicals!AU377-[1]Historicals!AQ377</f>
        <v>532</v>
      </c>
      <c r="Y224" s="1203">
        <f>[1]Historicals!AV377-[1]Historicals!AR377</f>
        <v>1363</v>
      </c>
      <c r="Z224" s="1203">
        <f>[1]Historicals!AW377-[1]Historicals!AS377</f>
        <v>1165</v>
      </c>
      <c r="AA224" s="1203">
        <f>[1]Historicals!AX377-[1]Historicals!AT377</f>
        <v>1144</v>
      </c>
      <c r="AB224" s="1203"/>
      <c r="AC224" s="1203"/>
    </row>
    <row r="225" spans="3:50" x14ac:dyDescent="0.5">
      <c r="C225" s="1288" t="s">
        <v>1259</v>
      </c>
      <c r="L225" s="1203">
        <f>[1]Historicals!AI379-[1]Historicals!AE379</f>
        <v>1182</v>
      </c>
      <c r="M225" s="1203">
        <f>[1]Historicals!AJ379-[1]Historicals!AF379</f>
        <v>1634</v>
      </c>
      <c r="N225" s="1203">
        <f>[1]Historicals!AK379-[1]Historicals!AG379</f>
        <v>1553</v>
      </c>
      <c r="O225" s="1203">
        <f>[1]Historicals!AL379-[1]Historicals!AH379</f>
        <v>1838</v>
      </c>
      <c r="P225" s="1203">
        <f>[1]Historicals!AM379-[1]Historicals!AI379</f>
        <v>2510</v>
      </c>
      <c r="Q225" s="1203">
        <f>[1]Historicals!AN379-[1]Historicals!AJ379</f>
        <v>2594</v>
      </c>
      <c r="R225" s="1203">
        <f>[1]Historicals!AO379-[1]Historicals!AK379</f>
        <v>2854</v>
      </c>
      <c r="S225" s="1203">
        <f>[1]Historicals!AP379-[1]Historicals!AL379</f>
        <v>2725</v>
      </c>
      <c r="T225" s="1203">
        <f>[1]Historicals!AQ379-[1]Historicals!AM379</f>
        <v>1674</v>
      </c>
      <c r="U225" s="1203">
        <f>[1]Historicals!AR379-[1]Historicals!AN379</f>
        <v>654</v>
      </c>
      <c r="V225" s="1203">
        <f>[1]Historicals!AS379-[1]Historicals!AO379</f>
        <v>71</v>
      </c>
      <c r="W225" s="1203">
        <f>[1]Historicals!AT379-[1]Historicals!AP379</f>
        <v>746</v>
      </c>
      <c r="X225" s="1203">
        <f>[1]Historicals!AU379-[1]Historicals!AQ379</f>
        <v>597</v>
      </c>
      <c r="Y225" s="1203">
        <f>[1]Historicals!AV379-[1]Historicals!AR379</f>
        <v>1193</v>
      </c>
      <c r="Z225" s="1203">
        <f>[1]Historicals!AW379-[1]Historicals!AS379</f>
        <v>1936</v>
      </c>
      <c r="AA225" s="1203">
        <f>[1]Historicals!AX379-[1]Historicals!AT379</f>
        <v>1663</v>
      </c>
      <c r="AB225" s="1203"/>
      <c r="AC225" s="1203"/>
    </row>
    <row r="226" spans="3:50" x14ac:dyDescent="0.5">
      <c r="C226" s="1288" t="s">
        <v>1258</v>
      </c>
      <c r="L226" s="1203">
        <f>[1]Historicals!AI380-[1]Historicals!AE380</f>
        <v>56</v>
      </c>
      <c r="M226" s="1203">
        <f>[1]Historicals!AJ380-[1]Historicals!AF380</f>
        <v>419</v>
      </c>
      <c r="N226" s="1203">
        <f>[1]Historicals!AK380-[1]Historicals!AG380</f>
        <v>871</v>
      </c>
      <c r="O226" s="1203">
        <f>[1]Historicals!AL380-[1]Historicals!AH380</f>
        <v>1107</v>
      </c>
      <c r="P226" s="1203">
        <f>[1]Historicals!AM380-[1]Historicals!AI380</f>
        <v>469</v>
      </c>
      <c r="Q226" s="1203">
        <f>[1]Historicals!AN380-[1]Historicals!AJ380</f>
        <v>336</v>
      </c>
      <c r="R226" s="1203">
        <f>[1]Historicals!AO380-[1]Historicals!AK380</f>
        <v>226</v>
      </c>
      <c r="S226" s="1203">
        <f>[1]Historicals!AP380-[1]Historicals!AL380</f>
        <v>187</v>
      </c>
      <c r="T226" s="1203">
        <f>[1]Historicals!AQ380-[1]Historicals!AM380</f>
        <v>-268</v>
      </c>
      <c r="U226" s="1203">
        <f>[1]Historicals!AR380-[1]Historicals!AN380</f>
        <v>-441</v>
      </c>
      <c r="V226" s="1203">
        <f>[1]Historicals!AS380-[1]Historicals!AO380</f>
        <v>-903</v>
      </c>
      <c r="W226" s="1203">
        <f>[1]Historicals!AT380-[1]Historicals!AP380</f>
        <v>-1348</v>
      </c>
      <c r="X226" s="1203">
        <f>[1]Historicals!AU380-[1]Historicals!AQ380</f>
        <v>-480</v>
      </c>
      <c r="Y226" s="1203">
        <f>[1]Historicals!AV380-[1]Historicals!AR380</f>
        <v>-433</v>
      </c>
      <c r="Z226" s="1203">
        <f>[1]Historicals!AW380-[1]Historicals!AS380</f>
        <v>-55</v>
      </c>
      <c r="AA226" s="1203">
        <f>[1]Historicals!AX380-[1]Historicals!AT380</f>
        <v>14</v>
      </c>
      <c r="AB226" s="1203"/>
      <c r="AC226" s="1203"/>
    </row>
    <row r="227" spans="3:50" x14ac:dyDescent="0.5">
      <c r="C227" s="1294" t="s">
        <v>1257</v>
      </c>
      <c r="D227" s="1293"/>
      <c r="E227" s="1293"/>
      <c r="F227" s="1293"/>
      <c r="G227" s="1293"/>
      <c r="H227" s="1293"/>
      <c r="I227" s="1293"/>
      <c r="J227" s="1293"/>
      <c r="K227" s="1293"/>
      <c r="L227" s="1292">
        <f>[1]Historicals!AI381-[1]Historicals!AE381</f>
        <v>39</v>
      </c>
      <c r="M227" s="1292">
        <f>[1]Historicals!AJ381-[1]Historicals!AF381</f>
        <v>363</v>
      </c>
      <c r="N227" s="1292">
        <f>[1]Historicals!AK381-[1]Historicals!AG381</f>
        <v>1156</v>
      </c>
      <c r="O227" s="1292">
        <f>[1]Historicals!AL381-[1]Historicals!AH381</f>
        <v>1706</v>
      </c>
      <c r="P227" s="1292">
        <f>[1]Historicals!AM381-[1]Historicals!AI381</f>
        <v>738</v>
      </c>
      <c r="Q227" s="1292">
        <f>[1]Historicals!AN381-[1]Historicals!AJ381</f>
        <v>1031</v>
      </c>
      <c r="R227" s="1292">
        <f>[1]Historicals!AO381-[1]Historicals!AK381</f>
        <v>438</v>
      </c>
      <c r="S227" s="1292">
        <f>[1]Historicals!AP381-[1]Historicals!AL381</f>
        <v>-220</v>
      </c>
      <c r="T227" s="1292">
        <f>[1]Historicals!AQ381-[1]Historicals!AM381</f>
        <v>525</v>
      </c>
      <c r="U227" s="1292">
        <f>[1]Historicals!AR381-[1]Historicals!AN381</f>
        <v>1177</v>
      </c>
      <c r="V227" s="1292">
        <f>[1]Historicals!AS381-[1]Historicals!AO381</f>
        <v>-1314</v>
      </c>
      <c r="W227" s="1292">
        <f>[1]Historicals!AT381-[1]Historicals!AP381</f>
        <v>-796</v>
      </c>
      <c r="X227" s="1292">
        <f>[1]Historicals!AU381-[1]Historicals!AQ381</f>
        <v>570</v>
      </c>
      <c r="Y227" s="1292">
        <f>[1]Historicals!AV381-[1]Historicals!AR381</f>
        <v>-506</v>
      </c>
      <c r="Z227" s="1292">
        <f>[1]Historicals!AW381-[1]Historicals!AS381</f>
        <v>-205</v>
      </c>
      <c r="AA227" s="1292">
        <f>[1]Historicals!AX381-[1]Historicals!AT381</f>
        <v>-1528</v>
      </c>
      <c r="AB227" s="1203"/>
      <c r="AC227" s="1203"/>
    </row>
    <row r="228" spans="3:50" s="1197" customFormat="1" x14ac:dyDescent="0.5">
      <c r="C228" s="1290" t="s">
        <v>1256</v>
      </c>
      <c r="D228" s="1291"/>
      <c r="E228" s="1291"/>
      <c r="F228" s="1291"/>
      <c r="G228" s="1291"/>
      <c r="H228" s="1291"/>
      <c r="I228" s="1291"/>
      <c r="J228" s="1291"/>
      <c r="K228" s="1291"/>
      <c r="L228" s="1199">
        <f t="shared" ref="L228:AA228" si="83">SUM(L224:L227)</f>
        <v>2949</v>
      </c>
      <c r="M228" s="1199">
        <f t="shared" si="83"/>
        <v>3986</v>
      </c>
      <c r="N228" s="1199">
        <f t="shared" si="83"/>
        <v>5157</v>
      </c>
      <c r="O228" s="1199">
        <f t="shared" si="83"/>
        <v>5789</v>
      </c>
      <c r="P228" s="1199">
        <f t="shared" si="83"/>
        <v>4591</v>
      </c>
      <c r="Q228" s="1199">
        <f t="shared" si="83"/>
        <v>3754</v>
      </c>
      <c r="R228" s="1199">
        <f t="shared" si="83"/>
        <v>3463</v>
      </c>
      <c r="S228" s="1199">
        <f t="shared" si="83"/>
        <v>4680</v>
      </c>
      <c r="T228" s="1199">
        <f t="shared" si="83"/>
        <v>2034</v>
      </c>
      <c r="U228" s="1199">
        <f t="shared" si="83"/>
        <v>2143</v>
      </c>
      <c r="V228" s="1199">
        <f t="shared" si="83"/>
        <v>-1652</v>
      </c>
      <c r="W228" s="1199">
        <f t="shared" si="83"/>
        <v>-2039</v>
      </c>
      <c r="X228" s="1199">
        <f t="shared" si="83"/>
        <v>1219</v>
      </c>
      <c r="Y228" s="1199">
        <f t="shared" si="83"/>
        <v>1617</v>
      </c>
      <c r="Z228" s="1199">
        <f t="shared" si="83"/>
        <v>2841</v>
      </c>
      <c r="AA228" s="1199">
        <f t="shared" si="83"/>
        <v>1293</v>
      </c>
      <c r="AB228" s="1199"/>
      <c r="AC228" s="1199"/>
      <c r="AD228" s="1295"/>
      <c r="AE228" s="1295"/>
    </row>
    <row r="229" spans="3:50" x14ac:dyDescent="0.5">
      <c r="L229" s="1203"/>
      <c r="M229" s="1203"/>
      <c r="N229" s="1203"/>
      <c r="O229" s="1203"/>
      <c r="P229" s="1203"/>
      <c r="Q229" s="1203"/>
      <c r="R229" s="1203"/>
      <c r="S229" s="1203"/>
      <c r="T229" s="1203"/>
      <c r="U229" s="1203"/>
      <c r="V229" s="1203"/>
      <c r="W229" s="1203"/>
      <c r="X229" s="1203"/>
      <c r="Y229" s="1203"/>
      <c r="Z229" s="1203"/>
      <c r="AA229" s="1203"/>
      <c r="AB229" s="1203"/>
      <c r="AC229" s="1203"/>
    </row>
    <row r="230" spans="3:50" x14ac:dyDescent="0.5">
      <c r="C230" s="1294" t="s">
        <v>1255</v>
      </c>
      <c r="D230" s="1293"/>
      <c r="E230" s="1293"/>
      <c r="F230" s="1293"/>
      <c r="G230" s="1293"/>
      <c r="H230" s="1293"/>
      <c r="I230" s="1293"/>
      <c r="J230" s="1293"/>
      <c r="K230" s="1293"/>
      <c r="L230" s="1292">
        <f t="shared" ref="L230:AA230" si="84">L41-H41</f>
        <v>11378</v>
      </c>
      <c r="M230" s="1292">
        <f t="shared" si="84"/>
        <v>12367</v>
      </c>
      <c r="N230" s="1292">
        <f t="shared" si="84"/>
        <v>10423</v>
      </c>
      <c r="O230" s="1292">
        <f t="shared" si="84"/>
        <v>12585</v>
      </c>
      <c r="P230" s="1292">
        <f t="shared" si="84"/>
        <v>-2854</v>
      </c>
      <c r="Q230" s="1292">
        <f t="shared" si="84"/>
        <v>-4009</v>
      </c>
      <c r="R230" s="1292">
        <f t="shared" si="84"/>
        <v>-4759</v>
      </c>
      <c r="S230" s="1292">
        <f t="shared" si="84"/>
        <v>-6186</v>
      </c>
      <c r="T230" s="1292">
        <f t="shared" si="84"/>
        <v>-1297</v>
      </c>
      <c r="U230" s="1292">
        <f t="shared" si="84"/>
        <v>1034</v>
      </c>
      <c r="V230" s="1292">
        <f t="shared" si="84"/>
        <v>8084</v>
      </c>
      <c r="W230" s="1292">
        <f t="shared" si="84"/>
        <v>9985</v>
      </c>
      <c r="X230" s="1292">
        <f t="shared" si="84"/>
        <v>6591</v>
      </c>
      <c r="Y230" s="1292">
        <f t="shared" si="84"/>
        <v>5455</v>
      </c>
      <c r="Z230" s="1292">
        <f t="shared" si="84"/>
        <v>3602</v>
      </c>
      <c r="AA230" s="1292">
        <f t="shared" si="84"/>
        <v>6981</v>
      </c>
      <c r="AB230" s="1203"/>
      <c r="AC230" s="1203"/>
      <c r="AX230" s="1304"/>
    </row>
    <row r="231" spans="3:50" s="1197" customFormat="1" x14ac:dyDescent="0.5">
      <c r="C231" s="1290" t="s">
        <v>1254</v>
      </c>
      <c r="D231" s="1291"/>
      <c r="E231" s="1291"/>
      <c r="F231" s="1291"/>
      <c r="G231" s="1291"/>
      <c r="H231" s="1291"/>
      <c r="I231" s="1291"/>
      <c r="J231" s="1291"/>
      <c r="K231" s="1291"/>
      <c r="L231" s="1319">
        <f t="shared" ref="L231:AA231" si="85">L230/L222</f>
        <v>0.43475602766420846</v>
      </c>
      <c r="M231" s="1319">
        <f t="shared" si="85"/>
        <v>0.42531898063761736</v>
      </c>
      <c r="N231" s="1319">
        <f t="shared" si="85"/>
        <v>0.35928990003447087</v>
      </c>
      <c r="O231" s="1319">
        <f t="shared" si="85"/>
        <v>0.37376377297971547</v>
      </c>
      <c r="P231" s="1319">
        <f t="shared" si="85"/>
        <v>-1.6430627518710421</v>
      </c>
      <c r="Q231" s="1319">
        <f t="shared" si="85"/>
        <v>15.72156862745098</v>
      </c>
      <c r="R231" s="1319">
        <f t="shared" si="85"/>
        <v>3.6720679012345681</v>
      </c>
      <c r="S231" s="1319">
        <f t="shared" si="85"/>
        <v>4.1075697211155378</v>
      </c>
      <c r="T231" s="1319">
        <f t="shared" si="85"/>
        <v>-1.7598371777476256</v>
      </c>
      <c r="U231" s="1319">
        <f t="shared" si="85"/>
        <v>0.32546427447277304</v>
      </c>
      <c r="V231" s="1319">
        <f t="shared" si="85"/>
        <v>1.2568407960199004</v>
      </c>
      <c r="W231" s="1319">
        <f t="shared" si="85"/>
        <v>1.2566070979108985</v>
      </c>
      <c r="X231" s="1319">
        <f t="shared" si="85"/>
        <v>0.84391805377720874</v>
      </c>
      <c r="Y231" s="1319">
        <f t="shared" si="85"/>
        <v>0.77135180995475117</v>
      </c>
      <c r="Z231" s="1319">
        <f t="shared" si="85"/>
        <v>0.55905634021418593</v>
      </c>
      <c r="AA231" s="1319">
        <f t="shared" si="85"/>
        <v>0.84372733865119653</v>
      </c>
      <c r="AB231" s="1199"/>
      <c r="AC231" s="1199"/>
      <c r="AD231" s="1295"/>
      <c r="AE231" s="1295"/>
      <c r="AX231" s="1299"/>
    </row>
    <row r="232" spans="3:50" x14ac:dyDescent="0.5">
      <c r="L232" s="1203"/>
      <c r="M232" s="1203"/>
      <c r="N232" s="1203"/>
      <c r="O232" s="1203"/>
      <c r="P232" s="1203"/>
      <c r="Q232" s="1203"/>
      <c r="R232" s="1203"/>
      <c r="S232" s="1203"/>
      <c r="T232" s="1203"/>
      <c r="U232" s="1203"/>
      <c r="V232" s="1203"/>
      <c r="W232" s="1203"/>
      <c r="X232" s="1203"/>
      <c r="Y232" s="1203"/>
      <c r="Z232" s="1203"/>
      <c r="AA232" s="1203"/>
      <c r="AB232" s="1203"/>
      <c r="AC232" s="1203"/>
    </row>
    <row r="233" spans="3:50" x14ac:dyDescent="0.5">
      <c r="C233" s="1288" t="s">
        <v>1253</v>
      </c>
      <c r="L233" s="1271">
        <f t="shared" ref="L233:AA233" si="86">L42</f>
        <v>0.43475602766420846</v>
      </c>
      <c r="M233" s="1271">
        <f t="shared" si="86"/>
        <v>0.42531898063761736</v>
      </c>
      <c r="N233" s="1271">
        <f t="shared" si="86"/>
        <v>0.35928990003447087</v>
      </c>
      <c r="O233" s="1271">
        <f t="shared" si="86"/>
        <v>0.37376377297971547</v>
      </c>
      <c r="P233" s="1271">
        <f t="shared" si="86"/>
        <v>0.30543213415508097</v>
      </c>
      <c r="Q233" s="1271">
        <f t="shared" si="86"/>
        <v>0.28998681562695161</v>
      </c>
      <c r="R233" s="1271">
        <f t="shared" si="86"/>
        <v>0.20437324096124701</v>
      </c>
      <c r="S233" s="1271">
        <f t="shared" si="86"/>
        <v>0.19894295041193844</v>
      </c>
      <c r="T233" s="1271">
        <f t="shared" si="86"/>
        <v>0.25229533950078548</v>
      </c>
      <c r="U233" s="1271">
        <f t="shared" si="86"/>
        <v>0.29350917216163003</v>
      </c>
      <c r="V233" s="1271">
        <f t="shared" si="86"/>
        <v>0.40262402624026239</v>
      </c>
      <c r="W233" s="1271">
        <f t="shared" si="86"/>
        <v>0.4084665054473835</v>
      </c>
      <c r="X233" s="1271">
        <f t="shared" si="86"/>
        <v>0.37904265532848719</v>
      </c>
      <c r="Y233" s="1271">
        <f t="shared" si="86"/>
        <v>0.38000051188861306</v>
      </c>
      <c r="Z233" s="1271">
        <f t="shared" si="86"/>
        <v>0.4274557146024785</v>
      </c>
      <c r="AA233" s="1271">
        <f t="shared" si="86"/>
        <v>0.48289759222899659</v>
      </c>
      <c r="AB233" s="1203"/>
      <c r="AC233" s="1203"/>
    </row>
    <row r="234" spans="3:50" x14ac:dyDescent="0.5">
      <c r="C234" s="1290" t="s">
        <v>1252</v>
      </c>
      <c r="D234" s="1291"/>
      <c r="E234" s="1291"/>
      <c r="F234" s="1291"/>
      <c r="G234" s="1291"/>
      <c r="H234" s="1291"/>
      <c r="I234" s="1291"/>
      <c r="J234" s="1291"/>
      <c r="K234" s="1291"/>
      <c r="L234" s="1319">
        <f t="shared" ref="L234:AA234" si="87">L231-L233</f>
        <v>0</v>
      </c>
      <c r="M234" s="1319">
        <f t="shared" si="87"/>
        <v>0</v>
      </c>
      <c r="N234" s="1319">
        <f t="shared" si="87"/>
        <v>0</v>
      </c>
      <c r="O234" s="1319">
        <f t="shared" si="87"/>
        <v>0</v>
      </c>
      <c r="P234" s="1319">
        <f t="shared" si="87"/>
        <v>-1.9484948860261231</v>
      </c>
      <c r="Q234" s="1319">
        <f t="shared" si="87"/>
        <v>15.431581811824028</v>
      </c>
      <c r="R234" s="1319">
        <f t="shared" si="87"/>
        <v>3.4676946602733212</v>
      </c>
      <c r="S234" s="1319">
        <f t="shared" si="87"/>
        <v>3.9086267707035995</v>
      </c>
      <c r="T234" s="1319">
        <f t="shared" si="87"/>
        <v>-2.012132517248411</v>
      </c>
      <c r="U234" s="1319">
        <f t="shared" si="87"/>
        <v>3.1955102311143013E-2</v>
      </c>
      <c r="V234" s="1319">
        <f t="shared" si="87"/>
        <v>0.85421676977963801</v>
      </c>
      <c r="W234" s="1319">
        <f t="shared" si="87"/>
        <v>0.84814059246351503</v>
      </c>
      <c r="X234" s="1319">
        <f t="shared" si="87"/>
        <v>0.46487539844872156</v>
      </c>
      <c r="Y234" s="1319">
        <f t="shared" si="87"/>
        <v>0.39135129806613811</v>
      </c>
      <c r="Z234" s="1319">
        <f t="shared" si="87"/>
        <v>0.13160062561170743</v>
      </c>
      <c r="AA234" s="1319">
        <f t="shared" si="87"/>
        <v>0.36082974642219995</v>
      </c>
      <c r="AB234" s="1203"/>
      <c r="AC234" s="1203"/>
    </row>
    <row r="235" spans="3:50" x14ac:dyDescent="0.5">
      <c r="L235" s="1203"/>
      <c r="M235" s="1203"/>
      <c r="N235" s="1203"/>
      <c r="O235" s="1203"/>
      <c r="P235" s="1203"/>
      <c r="Q235" s="1203"/>
      <c r="R235" s="1203"/>
      <c r="S235" s="1203"/>
      <c r="T235" s="1203"/>
      <c r="U235" s="1203"/>
      <c r="V235" s="1203"/>
      <c r="W235" s="1203"/>
      <c r="X235" s="1203"/>
      <c r="Y235" s="1203"/>
      <c r="Z235" s="1203"/>
      <c r="AA235" s="1203"/>
      <c r="AB235" s="1203"/>
      <c r="AC235" s="1203"/>
    </row>
    <row r="236" spans="3:50" x14ac:dyDescent="0.5">
      <c r="C236" s="1308" t="s">
        <v>1251</v>
      </c>
      <c r="D236" s="1293"/>
      <c r="E236" s="1293"/>
      <c r="F236" s="1293"/>
      <c r="G236" s="1293"/>
      <c r="H236" s="1293"/>
      <c r="I236" s="1293"/>
      <c r="J236" s="1293"/>
      <c r="K236" s="1293"/>
      <c r="L236" s="1292"/>
      <c r="M236" s="1292"/>
      <c r="N236" s="1292"/>
      <c r="O236" s="1292"/>
      <c r="P236" s="1292"/>
      <c r="Q236" s="1292"/>
      <c r="R236" s="1292"/>
      <c r="S236" s="1292"/>
      <c r="T236" s="1292"/>
      <c r="U236" s="1292"/>
      <c r="V236" s="1292"/>
      <c r="W236" s="1292"/>
      <c r="X236" s="1292"/>
      <c r="Y236" s="1292"/>
      <c r="Z236" s="1292"/>
      <c r="AA236" s="1292"/>
      <c r="AB236" s="1203"/>
      <c r="AC236" s="1203"/>
    </row>
    <row r="237" spans="3:50" x14ac:dyDescent="0.5">
      <c r="C237" s="1288" t="s">
        <v>1250</v>
      </c>
      <c r="D237" s="1178">
        <f>[1]Historicals!AA105</f>
        <v>7203</v>
      </c>
      <c r="E237" s="1178">
        <f>[1]Historicals!AB105</f>
        <v>7952</v>
      </c>
      <c r="F237" s="1178">
        <f>[1]Historicals!AC105</f>
        <v>8317</v>
      </c>
      <c r="G237" s="1178">
        <f>[1]Historicals!AD105</f>
        <v>10021</v>
      </c>
      <c r="H237" s="1178">
        <f>[1]Historicals!AE105</f>
        <v>8379</v>
      </c>
      <c r="I237" s="1178">
        <f>[1]Historicals!AF105</f>
        <v>9059</v>
      </c>
      <c r="J237" s="1178">
        <f>[1]Historicals!AG105</f>
        <v>9988</v>
      </c>
      <c r="K237" s="1178">
        <f>[1]Historicals!AH105</f>
        <v>13150</v>
      </c>
      <c r="L237" s="1196">
        <f>[1]Historicals!AI105</f>
        <v>11897</v>
      </c>
      <c r="M237" s="1196">
        <f>[1]Historicals!AJ105</f>
        <v>13366</v>
      </c>
      <c r="N237" s="1196">
        <f>[1]Historicals!AK105</f>
        <v>13094</v>
      </c>
      <c r="O237" s="1196">
        <f>[1]Historicals!AL105</f>
        <v>15062</v>
      </c>
      <c r="P237" s="1196">
        <f>[1]Historicals!AM105</f>
        <v>12024</v>
      </c>
      <c r="Q237" s="1196">
        <f>[1]Historicals!AN105</f>
        <v>12788</v>
      </c>
      <c r="R237" s="1196">
        <f>[1]Historicals!AO105</f>
        <v>12766</v>
      </c>
      <c r="S237" s="1196">
        <f>[1]Historicals!AP105</f>
        <v>15005</v>
      </c>
      <c r="T237" s="1196">
        <f>[1]Historicals!AQ105</f>
        <v>12710</v>
      </c>
      <c r="U237" s="1196">
        <f>[1]Historicals!AR105</f>
        <v>14131</v>
      </c>
      <c r="V237" s="1196">
        <f>[1]Historicals!AS105</f>
        <v>14956</v>
      </c>
      <c r="W237" s="1196">
        <f>[1]Historicals!AT105</f>
        <v>17784</v>
      </c>
      <c r="X237" s="1196">
        <f>[1]Historicals!AU105</f>
        <v>15451</v>
      </c>
      <c r="Y237" s="1196">
        <f>[1]Historicals!AV105</f>
        <v>16593</v>
      </c>
      <c r="Z237" s="1196">
        <f>[1]Historicals!AW105</f>
        <v>17389</v>
      </c>
      <c r="AA237" s="1196">
        <f>[1]Historicals!AX105</f>
        <v>20982</v>
      </c>
      <c r="AB237" s="1203"/>
      <c r="AC237" s="1203"/>
    </row>
    <row r="238" spans="3:50" x14ac:dyDescent="0.5">
      <c r="C238" s="1288" t="s">
        <v>1249</v>
      </c>
      <c r="D238" s="1178">
        <f>[1]Historicals!AA106</f>
        <v>3609</v>
      </c>
      <c r="E238" s="1178">
        <f>[1]Historicals!AB106</f>
        <v>4043</v>
      </c>
      <c r="F238" s="1178">
        <f>[1]Historicals!AC106</f>
        <v>4057</v>
      </c>
      <c r="G238" s="1178">
        <f>[1]Historicals!AD106</f>
        <v>5071</v>
      </c>
      <c r="H238" s="1178">
        <f>[1]Historicals!AE106</f>
        <v>4171</v>
      </c>
      <c r="I238" s="1178">
        <f>[1]Historicals!AF106</f>
        <v>4411</v>
      </c>
      <c r="J238" s="1178">
        <f>[1]Historicals!AG106</f>
        <v>5051</v>
      </c>
      <c r="K238" s="1178">
        <f>[1]Historicals!AH106</f>
        <v>6822</v>
      </c>
      <c r="L238" s="1196">
        <f>[1]Historicals!AI106</f>
        <v>6373</v>
      </c>
      <c r="M238" s="1196">
        <f>[1]Historicals!AJ106</f>
        <v>7205</v>
      </c>
      <c r="N238" s="1196">
        <f>[1]Historicals!AK106</f>
        <v>6821</v>
      </c>
      <c r="O238" s="1196">
        <f>[1]Historicals!AL106</f>
        <v>8174</v>
      </c>
      <c r="P238" s="1196">
        <f>[1]Historicals!AM106</f>
        <v>6364</v>
      </c>
      <c r="Q238" s="1196">
        <f>[1]Historicals!AN106</f>
        <v>6360</v>
      </c>
      <c r="R238" s="1196">
        <f>[1]Historicals!AO106</f>
        <v>5707</v>
      </c>
      <c r="S238" s="1196">
        <f>[1]Historicals!AP106</f>
        <v>6904</v>
      </c>
      <c r="T238" s="1196">
        <f>[1]Historicals!AQ106</f>
        <v>6269</v>
      </c>
      <c r="U238" s="1196">
        <f>[1]Historicals!AR106</f>
        <v>7268</v>
      </c>
      <c r="V238" s="1196">
        <f>[1]Historicals!AS106</f>
        <v>7721</v>
      </c>
      <c r="W238" s="1196">
        <f>[1]Historicals!AT106</f>
        <v>9159</v>
      </c>
      <c r="X238" s="1196">
        <f>[1]Historicals!AU106</f>
        <v>8327</v>
      </c>
      <c r="Y238" s="1196">
        <f>[1]Historicals!AV106</f>
        <v>9135</v>
      </c>
      <c r="Z238" s="1196">
        <f>[1]Historicals!AW106</f>
        <v>9358</v>
      </c>
      <c r="AA238" s="1196">
        <f>[1]Historicals!AX106</f>
        <v>11154</v>
      </c>
      <c r="AB238" s="1203"/>
      <c r="AC238" s="1203"/>
    </row>
    <row r="239" spans="3:50" x14ac:dyDescent="0.5">
      <c r="C239" s="1288" t="s">
        <v>1149</v>
      </c>
      <c r="D239" s="1178">
        <f>[1]Historicals!AA107</f>
        <v>2670</v>
      </c>
      <c r="E239" s="1178">
        <f>[1]Historicals!AB107</f>
        <v>2985</v>
      </c>
      <c r="F239" s="1178">
        <f>[1]Historicals!AC107</f>
        <v>3243</v>
      </c>
      <c r="G239" s="1178">
        <f>[1]Historicals!AD107</f>
        <v>3642</v>
      </c>
      <c r="H239" s="1178">
        <f>[1]Historicals!AE107</f>
        <v>3236</v>
      </c>
      <c r="I239" s="1178">
        <f>[1]Historicals!AF107</f>
        <v>3312</v>
      </c>
      <c r="J239" s="1178">
        <f>[1]Historicals!AG107</f>
        <v>4202</v>
      </c>
      <c r="K239" s="1178">
        <f>[1]Historicals!AH107</f>
        <v>4703</v>
      </c>
      <c r="L239" s="1196">
        <f>[1]Historicals!AI107</f>
        <v>4735</v>
      </c>
      <c r="M239" s="1196">
        <f>[1]Historicals!AJ107</f>
        <v>5152</v>
      </c>
      <c r="N239" s="1196">
        <f>[1]Historicals!AK107</f>
        <v>5398</v>
      </c>
      <c r="O239" s="1196">
        <f>[1]Historicals!AL107</f>
        <v>6183</v>
      </c>
      <c r="P239" s="1196">
        <f>[1]Historicals!AM107</f>
        <v>5661</v>
      </c>
      <c r="Q239" s="1196">
        <f>[1]Historicals!AN107</f>
        <v>5835</v>
      </c>
      <c r="R239" s="1196">
        <f>[1]Historicals!AO107</f>
        <v>5717</v>
      </c>
      <c r="S239" s="1196">
        <f>[1]Historicals!AP107</f>
        <v>5968</v>
      </c>
      <c r="T239" s="1196">
        <f>[1]Historicals!AQ107</f>
        <v>5893</v>
      </c>
      <c r="U239" s="1196">
        <f>[1]Historicals!AR107</f>
        <v>6435</v>
      </c>
      <c r="V239" s="1196">
        <f>[1]Historicals!AS107</f>
        <v>6829</v>
      </c>
      <c r="W239" s="1196">
        <f>[1]Historicals!AT107</f>
        <v>7316</v>
      </c>
      <c r="X239" s="1196">
        <f>[1]Historicals!AU107</f>
        <v>7338</v>
      </c>
      <c r="Y239" s="1196">
        <f>[1]Historicals!AV107</f>
        <v>7721</v>
      </c>
      <c r="Z239" s="1196">
        <f>[1]Historicals!AW107</f>
        <v>8050</v>
      </c>
      <c r="AA239" s="1196">
        <f>[1]Historicals!AX107</f>
        <v>9012</v>
      </c>
      <c r="AB239" s="1203"/>
      <c r="AC239" s="1203"/>
    </row>
    <row r="240" spans="3:50" x14ac:dyDescent="0.5">
      <c r="C240" s="1294" t="s">
        <v>1148</v>
      </c>
      <c r="D240" s="1315">
        <f>[1]Historicals!AA108</f>
        <v>1430</v>
      </c>
      <c r="E240" s="1315">
        <f>[1]Historicals!AB108</f>
        <v>1644</v>
      </c>
      <c r="F240" s="1315">
        <f>[1]Historicals!AC108</f>
        <v>1766</v>
      </c>
      <c r="G240" s="1315">
        <f>[1]Historicals!AD108</f>
        <v>2002</v>
      </c>
      <c r="H240" s="1315">
        <f>[1]Historicals!AE108</f>
        <v>1654</v>
      </c>
      <c r="I240" s="1315">
        <f>[1]Historicals!AF108</f>
        <v>1539</v>
      </c>
      <c r="J240" s="1315">
        <f>[1]Historicals!AG108</f>
        <v>1980</v>
      </c>
      <c r="K240" s="1315">
        <f>[1]Historicals!AH108</f>
        <v>2512</v>
      </c>
      <c r="L240" s="1200">
        <f>[1]Historicals!AI108</f>
        <v>2434</v>
      </c>
      <c r="M240" s="1200">
        <f>[1]Historicals!AJ108</f>
        <v>2857</v>
      </c>
      <c r="N240" s="1200">
        <f>[1]Historicals!AK108</f>
        <v>2963</v>
      </c>
      <c r="O240" s="1200">
        <f>[1]Historicals!AL108</f>
        <v>3220</v>
      </c>
      <c r="P240" s="1200">
        <f>[1]Historicals!AM108</f>
        <v>2949</v>
      </c>
      <c r="Q240" s="1200">
        <f>[1]Historicals!AN108</f>
        <v>3169</v>
      </c>
      <c r="R240" s="1200">
        <f>[1]Historicals!AO108</f>
        <v>3047</v>
      </c>
      <c r="S240" s="1200">
        <f>[1]Historicals!AP108</f>
        <v>3377</v>
      </c>
      <c r="T240" s="1200">
        <f>[1]Historicals!AQ108</f>
        <v>3229</v>
      </c>
      <c r="U240" s="1200">
        <f>[1]Historicals!AR108</f>
        <v>3664</v>
      </c>
      <c r="V240" s="1200">
        <f>[1]Historicals!AS108</f>
        <v>4137</v>
      </c>
      <c r="W240" s="1200">
        <f>[1]Historicals!AT108</f>
        <v>4447</v>
      </c>
      <c r="X240" s="1200">
        <f>[1]Historicals!AU108</f>
        <v>4519</v>
      </c>
      <c r="Y240" s="1200">
        <f>[1]Historicals!AV108</f>
        <v>4880</v>
      </c>
      <c r="Z240" s="1200">
        <f>[1]Historicals!AW108</f>
        <v>5088</v>
      </c>
      <c r="AA240" s="1200">
        <f>[1]Historicals!AX108</f>
        <v>5635</v>
      </c>
      <c r="AB240" s="1203"/>
      <c r="AC240" s="1203"/>
    </row>
    <row r="241" spans="3:42" s="1197" customFormat="1" x14ac:dyDescent="0.5">
      <c r="C241" s="1290" t="s">
        <v>1248</v>
      </c>
      <c r="D241" s="1295">
        <f t="shared" ref="D241:AA241" si="88">SUM(D237:D240)</f>
        <v>14912</v>
      </c>
      <c r="E241" s="1295">
        <f t="shared" si="88"/>
        <v>16624</v>
      </c>
      <c r="F241" s="1295">
        <f t="shared" si="88"/>
        <v>17383</v>
      </c>
      <c r="G241" s="1295">
        <f t="shared" si="88"/>
        <v>20736</v>
      </c>
      <c r="H241" s="1295">
        <f t="shared" si="88"/>
        <v>17440</v>
      </c>
      <c r="I241" s="1295">
        <f t="shared" si="88"/>
        <v>18321</v>
      </c>
      <c r="J241" s="1295">
        <f t="shared" si="88"/>
        <v>21221</v>
      </c>
      <c r="K241" s="1295">
        <f t="shared" si="88"/>
        <v>27187</v>
      </c>
      <c r="L241" s="1199">
        <f t="shared" si="88"/>
        <v>25439</v>
      </c>
      <c r="M241" s="1199">
        <f t="shared" si="88"/>
        <v>28580</v>
      </c>
      <c r="N241" s="1199">
        <f t="shared" si="88"/>
        <v>28276</v>
      </c>
      <c r="O241" s="1199">
        <f t="shared" si="88"/>
        <v>32639</v>
      </c>
      <c r="P241" s="1199">
        <f t="shared" si="88"/>
        <v>26998</v>
      </c>
      <c r="Q241" s="1199">
        <f t="shared" si="88"/>
        <v>28152</v>
      </c>
      <c r="R241" s="1199">
        <f t="shared" si="88"/>
        <v>27237</v>
      </c>
      <c r="S241" s="1199">
        <f t="shared" si="88"/>
        <v>31254</v>
      </c>
      <c r="T241" s="1199">
        <f t="shared" si="88"/>
        <v>28101</v>
      </c>
      <c r="U241" s="1199">
        <f t="shared" si="88"/>
        <v>31498</v>
      </c>
      <c r="V241" s="1199">
        <f t="shared" si="88"/>
        <v>33643</v>
      </c>
      <c r="W241" s="1199">
        <f t="shared" si="88"/>
        <v>38706</v>
      </c>
      <c r="X241" s="1199">
        <f t="shared" si="88"/>
        <v>35635</v>
      </c>
      <c r="Y241" s="1199">
        <f t="shared" si="88"/>
        <v>38329</v>
      </c>
      <c r="Z241" s="1199">
        <f t="shared" si="88"/>
        <v>39885</v>
      </c>
      <c r="AA241" s="1199">
        <f t="shared" si="88"/>
        <v>46783</v>
      </c>
      <c r="AB241" s="1199"/>
      <c r="AC241" s="1199"/>
      <c r="AD241" s="1295"/>
      <c r="AE241" s="1295"/>
    </row>
    <row r="242" spans="3:42" x14ac:dyDescent="0.5">
      <c r="D242" s="1178"/>
      <c r="L242" s="1203"/>
      <c r="M242" s="1203"/>
      <c r="N242" s="1203"/>
      <c r="O242" s="1203"/>
      <c r="P242" s="1203"/>
      <c r="Q242" s="1203"/>
      <c r="R242" s="1203"/>
      <c r="S242" s="1203"/>
      <c r="T242" s="1203"/>
      <c r="U242" s="1203"/>
      <c r="V242" s="1203"/>
      <c r="W242" s="1203"/>
      <c r="X242" s="1203"/>
      <c r="Y242" s="1203"/>
      <c r="Z242" s="1203"/>
      <c r="AA242" s="1203"/>
      <c r="AB242" s="1203"/>
      <c r="AC242" s="1203"/>
    </row>
    <row r="243" spans="3:42" ht="14.7" x14ac:dyDescent="0.8">
      <c r="C243" s="1318" t="s">
        <v>1247</v>
      </c>
      <c r="D243" s="1275" t="str">
        <f t="shared" ref="D243:S243" si="89">D5</f>
        <v>Q1-2019</v>
      </c>
      <c r="E243" s="1275" t="str">
        <f t="shared" si="89"/>
        <v>Q2-2019</v>
      </c>
      <c r="F243" s="1275" t="str">
        <f t="shared" si="89"/>
        <v>Q3-2019</v>
      </c>
      <c r="G243" s="1275" t="str">
        <f t="shared" si="89"/>
        <v>Q4-2019</v>
      </c>
      <c r="H243" s="1275" t="str">
        <f t="shared" si="89"/>
        <v>Q1-2020</v>
      </c>
      <c r="I243" s="1275" t="str">
        <f t="shared" si="89"/>
        <v>Q2-2020</v>
      </c>
      <c r="J243" s="1275" t="str">
        <f t="shared" si="89"/>
        <v>Q3-2020</v>
      </c>
      <c r="K243" s="1275" t="str">
        <f t="shared" si="89"/>
        <v>Q4-2020</v>
      </c>
      <c r="L243" s="1316" t="str">
        <f t="shared" si="89"/>
        <v>Q1-2021</v>
      </c>
      <c r="M243" s="1316" t="str">
        <f t="shared" si="89"/>
        <v>Q2-2021</v>
      </c>
      <c r="N243" s="1316" t="str">
        <f t="shared" si="89"/>
        <v>Q3-2021</v>
      </c>
      <c r="O243" s="1316" t="str">
        <f t="shared" si="89"/>
        <v>Q4-2021</v>
      </c>
      <c r="P243" s="1316" t="str">
        <f t="shared" si="89"/>
        <v>Q1-2022</v>
      </c>
      <c r="Q243" s="1316" t="str">
        <f t="shared" si="89"/>
        <v>Q2-2022</v>
      </c>
      <c r="R243" s="1316" t="str">
        <f t="shared" si="89"/>
        <v>Q3-2022</v>
      </c>
      <c r="S243" s="1316" t="str">
        <f t="shared" si="89"/>
        <v>Q4-2022</v>
      </c>
      <c r="T243" s="1316" t="s">
        <v>1246</v>
      </c>
      <c r="U243" s="1316" t="s">
        <v>1245</v>
      </c>
      <c r="V243" s="1316" t="s">
        <v>1244</v>
      </c>
      <c r="W243" s="1316" t="s">
        <v>1243</v>
      </c>
      <c r="X243" s="1316" t="s">
        <v>1242</v>
      </c>
      <c r="Y243" s="1316" t="s">
        <v>1241</v>
      </c>
      <c r="Z243" s="1316" t="s">
        <v>1240</v>
      </c>
      <c r="AA243" s="1316" t="s">
        <v>1239</v>
      </c>
      <c r="AB243" s="1317" t="s">
        <v>1238</v>
      </c>
      <c r="AC243" s="1316" t="s">
        <v>1237</v>
      </c>
    </row>
    <row r="244" spans="3:42" ht="12.9" customHeight="1" x14ac:dyDescent="0.5">
      <c r="C244" s="1288" t="str">
        <f>C251</f>
        <v>US &amp; Canada</v>
      </c>
      <c r="D244" s="1178"/>
      <c r="H244" s="1304">
        <f t="shared" ref="H244:Q248" si="90">H237/D237-1</f>
        <v>0.16326530612244894</v>
      </c>
      <c r="I244" s="1304">
        <f t="shared" si="90"/>
        <v>0.1392102615694164</v>
      </c>
      <c r="J244" s="1304">
        <f t="shared" si="90"/>
        <v>0.20091379103041973</v>
      </c>
      <c r="K244" s="1304">
        <f t="shared" si="90"/>
        <v>0.31224428699730566</v>
      </c>
      <c r="L244" s="1289">
        <f t="shared" si="90"/>
        <v>0.41985917173887088</v>
      </c>
      <c r="M244" s="1289">
        <f t="shared" si="90"/>
        <v>0.47543879015343848</v>
      </c>
      <c r="N244" s="1289">
        <f t="shared" si="90"/>
        <v>0.31097316780136164</v>
      </c>
      <c r="O244" s="1289">
        <f t="shared" si="90"/>
        <v>0.14539923954372624</v>
      </c>
      <c r="P244" s="1289">
        <f t="shared" si="90"/>
        <v>1.0674960073968176E-2</v>
      </c>
      <c r="Q244" s="1289">
        <f t="shared" si="90"/>
        <v>-4.3244052072422545E-2</v>
      </c>
      <c r="R244" s="1289">
        <f t="shared" ref="R244:AA248" si="91">R237/N237-1</f>
        <v>-2.5049641056972605E-2</v>
      </c>
      <c r="S244" s="1289">
        <f t="shared" si="91"/>
        <v>-3.7843579869871746E-3</v>
      </c>
      <c r="T244" s="1289">
        <f t="shared" si="91"/>
        <v>5.7052561543579516E-2</v>
      </c>
      <c r="U244" s="1289">
        <f t="shared" si="91"/>
        <v>0.10502033156083823</v>
      </c>
      <c r="V244" s="1289">
        <f t="shared" si="91"/>
        <v>0.17154942816857277</v>
      </c>
      <c r="W244" s="1289">
        <f t="shared" si="91"/>
        <v>0.18520493168943686</v>
      </c>
      <c r="X244" s="1289">
        <f t="shared" si="91"/>
        <v>0.21565696302124304</v>
      </c>
      <c r="Y244" s="1289">
        <f t="shared" si="91"/>
        <v>0.17422687707876294</v>
      </c>
      <c r="Z244" s="1289">
        <f t="shared" si="91"/>
        <v>0.1626771864134795</v>
      </c>
      <c r="AA244" s="1289">
        <f t="shared" si="91"/>
        <v>0.17982456140350878</v>
      </c>
      <c r="AB244" s="1309"/>
      <c r="AC244" s="1203"/>
    </row>
    <row r="245" spans="3:42" ht="12.9" customHeight="1" x14ac:dyDescent="0.5">
      <c r="C245" s="1288" t="str">
        <f>C252</f>
        <v>EU</v>
      </c>
      <c r="D245" s="1178"/>
      <c r="H245" s="1304">
        <f t="shared" si="90"/>
        <v>0.15572180659462465</v>
      </c>
      <c r="I245" s="1304">
        <f t="shared" si="90"/>
        <v>9.1021518674251789E-2</v>
      </c>
      <c r="J245" s="1304">
        <f t="shared" si="90"/>
        <v>0.24500862706433324</v>
      </c>
      <c r="K245" s="1304">
        <f t="shared" si="90"/>
        <v>0.34529678564385713</v>
      </c>
      <c r="L245" s="1289">
        <f t="shared" si="90"/>
        <v>0.5279309518101174</v>
      </c>
      <c r="M245" s="1289">
        <f t="shared" si="90"/>
        <v>0.6334164588528679</v>
      </c>
      <c r="N245" s="1289">
        <f t="shared" si="90"/>
        <v>0.35042565828548811</v>
      </c>
      <c r="O245" s="1289">
        <f t="shared" si="90"/>
        <v>0.19818235121665206</v>
      </c>
      <c r="P245" s="1289">
        <f t="shared" si="90"/>
        <v>-1.4122077514514553E-3</v>
      </c>
      <c r="Q245" s="1289">
        <f t="shared" si="90"/>
        <v>-0.11727966689798752</v>
      </c>
      <c r="R245" s="1289">
        <f t="shared" si="91"/>
        <v>-0.16331916141328251</v>
      </c>
      <c r="S245" s="1289">
        <f t="shared" si="91"/>
        <v>-0.15537068754587713</v>
      </c>
      <c r="T245" s="1289">
        <f t="shared" si="91"/>
        <v>-1.492771841609053E-2</v>
      </c>
      <c r="U245" s="1289">
        <f t="shared" si="91"/>
        <v>0.14276729559748436</v>
      </c>
      <c r="V245" s="1289">
        <f t="shared" si="91"/>
        <v>0.35289994743297703</v>
      </c>
      <c r="W245" s="1289">
        <f t="shared" si="91"/>
        <v>0.32662224797219008</v>
      </c>
      <c r="X245" s="1289">
        <f t="shared" si="91"/>
        <v>0.32828202265114048</v>
      </c>
      <c r="Y245" s="1289">
        <f t="shared" si="91"/>
        <v>0.25687947165657676</v>
      </c>
      <c r="Z245" s="1289">
        <f t="shared" si="91"/>
        <v>0.21201916850148939</v>
      </c>
      <c r="AA245" s="1289">
        <f t="shared" si="91"/>
        <v>0.21781853914182769</v>
      </c>
      <c r="AB245" s="1309"/>
      <c r="AC245" s="1203"/>
    </row>
    <row r="246" spans="3:42" ht="12.9" customHeight="1" x14ac:dyDescent="0.5">
      <c r="C246" s="1288" t="str">
        <f>C253</f>
        <v>APAC</v>
      </c>
      <c r="D246" s="1178"/>
      <c r="H246" s="1304">
        <f t="shared" si="90"/>
        <v>0.2119850187265917</v>
      </c>
      <c r="I246" s="1304">
        <f t="shared" si="90"/>
        <v>0.10954773869346734</v>
      </c>
      <c r="J246" s="1304">
        <f t="shared" si="90"/>
        <v>0.29571384520505695</v>
      </c>
      <c r="K246" s="1304">
        <f t="shared" si="90"/>
        <v>0.29132344865458548</v>
      </c>
      <c r="L246" s="1289">
        <f t="shared" si="90"/>
        <v>0.46322620519159452</v>
      </c>
      <c r="M246" s="1289">
        <f t="shared" si="90"/>
        <v>0.55555555555555558</v>
      </c>
      <c r="N246" s="1289">
        <f t="shared" si="90"/>
        <v>0.28462636839600197</v>
      </c>
      <c r="O246" s="1289">
        <f t="shared" si="90"/>
        <v>0.31469274930895175</v>
      </c>
      <c r="P246" s="1289">
        <f t="shared" si="90"/>
        <v>0.19556494192185858</v>
      </c>
      <c r="Q246" s="1289">
        <f t="shared" si="90"/>
        <v>0.13256987577639756</v>
      </c>
      <c r="R246" s="1289">
        <f t="shared" si="91"/>
        <v>5.9095961467209968E-2</v>
      </c>
      <c r="S246" s="1289">
        <f t="shared" si="91"/>
        <v>-3.4772764030405967E-2</v>
      </c>
      <c r="T246" s="1289">
        <f t="shared" si="91"/>
        <v>4.0982158629217391E-2</v>
      </c>
      <c r="U246" s="1289">
        <f t="shared" si="91"/>
        <v>0.10282776349614386</v>
      </c>
      <c r="V246" s="1289">
        <f t="shared" si="91"/>
        <v>0.19450760888577934</v>
      </c>
      <c r="W246" s="1289">
        <f t="shared" si="91"/>
        <v>0.22587131367292224</v>
      </c>
      <c r="X246" s="1289">
        <f t="shared" si="91"/>
        <v>0.24520617681995582</v>
      </c>
      <c r="Y246" s="1289">
        <f t="shared" si="91"/>
        <v>0.1998445998445999</v>
      </c>
      <c r="Z246" s="1289">
        <f t="shared" si="91"/>
        <v>0.17879630985503003</v>
      </c>
      <c r="AA246" s="1289">
        <f t="shared" si="91"/>
        <v>0.23182066703116466</v>
      </c>
      <c r="AB246" s="1309"/>
      <c r="AC246" s="1203"/>
    </row>
    <row r="247" spans="3:42" ht="12.9" customHeight="1" x14ac:dyDescent="0.5">
      <c r="C247" s="1294" t="str">
        <f>C254</f>
        <v>ROW</v>
      </c>
      <c r="D247" s="1315"/>
      <c r="E247" s="1293"/>
      <c r="F247" s="1293"/>
      <c r="G247" s="1293"/>
      <c r="H247" s="1302">
        <f t="shared" si="90"/>
        <v>0.15664335664335671</v>
      </c>
      <c r="I247" s="1302">
        <f t="shared" si="90"/>
        <v>-6.3868613138686081E-2</v>
      </c>
      <c r="J247" s="1302">
        <f t="shared" si="90"/>
        <v>0.12117780294450742</v>
      </c>
      <c r="K247" s="1302">
        <f t="shared" si="90"/>
        <v>0.25474525474525467</v>
      </c>
      <c r="L247" s="1300">
        <f t="shared" si="90"/>
        <v>0.47158403869407506</v>
      </c>
      <c r="M247" s="1300">
        <f t="shared" si="90"/>
        <v>0.8564002599090319</v>
      </c>
      <c r="N247" s="1300">
        <f t="shared" si="90"/>
        <v>0.4964646464646465</v>
      </c>
      <c r="O247" s="1300">
        <f t="shared" si="90"/>
        <v>0.28184713375796178</v>
      </c>
      <c r="P247" s="1300">
        <f t="shared" si="90"/>
        <v>0.21158586688578462</v>
      </c>
      <c r="Q247" s="1300">
        <f t="shared" si="90"/>
        <v>0.1092054602730137</v>
      </c>
      <c r="R247" s="1300">
        <f t="shared" si="91"/>
        <v>2.8349645629429654E-2</v>
      </c>
      <c r="S247" s="1300">
        <f t="shared" si="91"/>
        <v>4.8757763975155299E-2</v>
      </c>
      <c r="T247" s="1300">
        <f t="shared" si="91"/>
        <v>9.4947439810105116E-2</v>
      </c>
      <c r="U247" s="1300">
        <f t="shared" si="91"/>
        <v>0.15620069422530758</v>
      </c>
      <c r="V247" s="1300">
        <f t="shared" si="91"/>
        <v>0.35772891368559234</v>
      </c>
      <c r="W247" s="1300">
        <f t="shared" si="91"/>
        <v>0.31684927450399769</v>
      </c>
      <c r="X247" s="1300">
        <f t="shared" si="91"/>
        <v>0.39950449055435122</v>
      </c>
      <c r="Y247" s="1300">
        <f t="shared" si="91"/>
        <v>0.33187772925764203</v>
      </c>
      <c r="Z247" s="1300">
        <f t="shared" si="91"/>
        <v>0.2298767222625091</v>
      </c>
      <c r="AA247" s="1314">
        <f t="shared" si="91"/>
        <v>0.26714639082527536</v>
      </c>
      <c r="AB247" s="1309"/>
      <c r="AC247" s="1203"/>
    </row>
    <row r="248" spans="3:42" s="1197" customFormat="1" ht="12.9" customHeight="1" x14ac:dyDescent="0.5">
      <c r="C248" s="1290" t="str">
        <f>C255</f>
        <v>Total</v>
      </c>
      <c r="D248" s="1252"/>
      <c r="E248" s="1291"/>
      <c r="F248" s="1291"/>
      <c r="G248" s="1291"/>
      <c r="H248" s="1299">
        <f t="shared" si="90"/>
        <v>0.16952789699570814</v>
      </c>
      <c r="I248" s="1299">
        <f t="shared" si="90"/>
        <v>0.10208132820019244</v>
      </c>
      <c r="J248" s="1299">
        <f t="shared" si="90"/>
        <v>0.22079042742909749</v>
      </c>
      <c r="K248" s="1299">
        <f t="shared" si="90"/>
        <v>0.31110146604938271</v>
      </c>
      <c r="L248" s="1297">
        <f t="shared" si="90"/>
        <v>0.45865825688073403</v>
      </c>
      <c r="M248" s="1297">
        <f t="shared" si="90"/>
        <v>0.55995851754816872</v>
      </c>
      <c r="N248" s="1297">
        <f t="shared" si="90"/>
        <v>0.33245370152207721</v>
      </c>
      <c r="O248" s="1297">
        <f t="shared" si="90"/>
        <v>0.200537021370508</v>
      </c>
      <c r="P248" s="1297">
        <f t="shared" si="90"/>
        <v>6.1283855497464623E-2</v>
      </c>
      <c r="Q248" s="1297">
        <f t="shared" si="90"/>
        <v>-1.4975507347795625E-2</v>
      </c>
      <c r="R248" s="1297">
        <f t="shared" si="91"/>
        <v>-3.674494270759654E-2</v>
      </c>
      <c r="S248" s="1297">
        <f t="shared" si="91"/>
        <v>-4.2433898097368195E-2</v>
      </c>
      <c r="T248" s="1297">
        <f t="shared" si="91"/>
        <v>4.0854878139121364E-2</v>
      </c>
      <c r="U248" s="1297">
        <f t="shared" si="91"/>
        <v>0.11885478829212848</v>
      </c>
      <c r="V248" s="1297">
        <f t="shared" si="91"/>
        <v>0.23519477181774784</v>
      </c>
      <c r="W248" s="1297">
        <f t="shared" si="91"/>
        <v>0.23843348051449409</v>
      </c>
      <c r="X248" s="1297">
        <f t="shared" si="91"/>
        <v>0.26810433792391719</v>
      </c>
      <c r="Y248" s="1297">
        <f t="shared" si="91"/>
        <v>0.21687091243888501</v>
      </c>
      <c r="Z248" s="1297">
        <f t="shared" si="91"/>
        <v>0.18553636714918409</v>
      </c>
      <c r="AA248" s="1297">
        <f t="shared" si="91"/>
        <v>0.20867565752079775</v>
      </c>
      <c r="AB248" s="1310"/>
      <c r="AC248" s="1199"/>
      <c r="AD248" s="1295"/>
      <c r="AE248" s="1295"/>
    </row>
    <row r="249" spans="3:42" ht="12.9" customHeight="1" x14ac:dyDescent="0.5">
      <c r="D249" s="1178"/>
      <c r="L249" s="1203"/>
      <c r="M249" s="1203"/>
      <c r="N249" s="1203"/>
      <c r="O249" s="1203"/>
      <c r="P249" s="1203"/>
      <c r="Q249" s="1203"/>
      <c r="R249" s="1203"/>
      <c r="S249" s="1203"/>
      <c r="T249" s="1203"/>
      <c r="U249" s="1203"/>
      <c r="V249" s="1203"/>
      <c r="W249" s="1203"/>
      <c r="X249" s="1203"/>
      <c r="Y249" s="1203"/>
      <c r="Z249" s="1203"/>
      <c r="AA249" s="1203"/>
      <c r="AB249" s="1309"/>
      <c r="AC249" s="1203"/>
    </row>
    <row r="250" spans="3:42" ht="12.9" customHeight="1" x14ac:dyDescent="0.5">
      <c r="C250" s="1308" t="s">
        <v>1236</v>
      </c>
      <c r="D250" s="1313"/>
      <c r="E250" s="1307"/>
      <c r="F250" s="1307"/>
      <c r="G250" s="1307"/>
      <c r="H250" s="1307"/>
      <c r="I250" s="1307"/>
      <c r="J250" s="1307"/>
      <c r="K250" s="1307"/>
      <c r="L250" s="1305"/>
      <c r="M250" s="1305"/>
      <c r="N250" s="1305"/>
      <c r="O250" s="1305"/>
      <c r="P250" s="1305"/>
      <c r="Q250" s="1305"/>
      <c r="R250" s="1305"/>
      <c r="S250" s="1305"/>
      <c r="T250" s="1305"/>
      <c r="U250" s="1305"/>
      <c r="V250" s="1305"/>
      <c r="W250" s="1305"/>
      <c r="X250" s="1305"/>
      <c r="Y250" s="1305"/>
      <c r="Z250" s="1305"/>
      <c r="AA250" s="1305"/>
      <c r="AB250" s="1306"/>
      <c r="AC250" s="1305"/>
    </row>
    <row r="251" spans="3:42" x14ac:dyDescent="0.5">
      <c r="C251" s="1288" t="str">
        <f>C237</f>
        <v>US &amp; Canada</v>
      </c>
      <c r="D251" s="1178"/>
      <c r="H251" s="1180">
        <f t="shared" ref="H251:Q255" si="92">H237-D237</f>
        <v>1176</v>
      </c>
      <c r="I251" s="1180">
        <f t="shared" si="92"/>
        <v>1107</v>
      </c>
      <c r="J251" s="1180">
        <f t="shared" si="92"/>
        <v>1671</v>
      </c>
      <c r="K251" s="1180">
        <f t="shared" si="92"/>
        <v>3129</v>
      </c>
      <c r="L251" s="1203">
        <f t="shared" si="92"/>
        <v>3518</v>
      </c>
      <c r="M251" s="1203">
        <f t="shared" si="92"/>
        <v>4307</v>
      </c>
      <c r="N251" s="1203">
        <f t="shared" si="92"/>
        <v>3106</v>
      </c>
      <c r="O251" s="1203">
        <f t="shared" si="92"/>
        <v>1912</v>
      </c>
      <c r="P251" s="1203">
        <f t="shared" si="92"/>
        <v>127</v>
      </c>
      <c r="Q251" s="1203">
        <f t="shared" si="92"/>
        <v>-578</v>
      </c>
      <c r="R251" s="1203">
        <f t="shared" ref="R251:AA255" si="93">R237-N237</f>
        <v>-328</v>
      </c>
      <c r="S251" s="1203">
        <f t="shared" si="93"/>
        <v>-57</v>
      </c>
      <c r="T251" s="1203">
        <f t="shared" si="93"/>
        <v>686</v>
      </c>
      <c r="U251" s="1203">
        <f t="shared" si="93"/>
        <v>1343</v>
      </c>
      <c r="V251" s="1203">
        <f t="shared" si="93"/>
        <v>2190</v>
      </c>
      <c r="W251" s="1203">
        <f t="shared" si="93"/>
        <v>2779</v>
      </c>
      <c r="X251" s="1203">
        <f t="shared" si="93"/>
        <v>2741</v>
      </c>
      <c r="Y251" s="1203">
        <f t="shared" si="93"/>
        <v>2462</v>
      </c>
      <c r="Z251" s="1203">
        <f t="shared" si="93"/>
        <v>2433</v>
      </c>
      <c r="AA251" s="1203">
        <f t="shared" si="93"/>
        <v>3198</v>
      </c>
      <c r="AB251" s="1309">
        <f>SUM(T251:AA251)</f>
        <v>17832</v>
      </c>
      <c r="AC251" s="1203">
        <f>SUM(X251:AA251)</f>
        <v>10834</v>
      </c>
    </row>
    <row r="252" spans="3:42" x14ac:dyDescent="0.5">
      <c r="C252" s="1288" t="str">
        <f>C238</f>
        <v>EU</v>
      </c>
      <c r="H252" s="1180">
        <f t="shared" si="92"/>
        <v>562</v>
      </c>
      <c r="I252" s="1180">
        <f t="shared" si="92"/>
        <v>368</v>
      </c>
      <c r="J252" s="1180">
        <f t="shared" si="92"/>
        <v>994</v>
      </c>
      <c r="K252" s="1180">
        <f t="shared" si="92"/>
        <v>1751</v>
      </c>
      <c r="L252" s="1203">
        <f t="shared" si="92"/>
        <v>2202</v>
      </c>
      <c r="M252" s="1203">
        <f t="shared" si="92"/>
        <v>2794</v>
      </c>
      <c r="N252" s="1203">
        <f t="shared" si="92"/>
        <v>1770</v>
      </c>
      <c r="O252" s="1203">
        <f t="shared" si="92"/>
        <v>1352</v>
      </c>
      <c r="P252" s="1203">
        <f t="shared" si="92"/>
        <v>-9</v>
      </c>
      <c r="Q252" s="1203">
        <f t="shared" si="92"/>
        <v>-845</v>
      </c>
      <c r="R252" s="1203">
        <f t="shared" si="93"/>
        <v>-1114</v>
      </c>
      <c r="S252" s="1203">
        <f t="shared" si="93"/>
        <v>-1270</v>
      </c>
      <c r="T252" s="1203">
        <f t="shared" si="93"/>
        <v>-95</v>
      </c>
      <c r="U252" s="1203">
        <f t="shared" si="93"/>
        <v>908</v>
      </c>
      <c r="V252" s="1203">
        <f t="shared" si="93"/>
        <v>2014</v>
      </c>
      <c r="W252" s="1203">
        <f t="shared" si="93"/>
        <v>2255</v>
      </c>
      <c r="X252" s="1203">
        <f t="shared" si="93"/>
        <v>2058</v>
      </c>
      <c r="Y252" s="1203">
        <f t="shared" si="93"/>
        <v>1867</v>
      </c>
      <c r="Z252" s="1203">
        <f t="shared" si="93"/>
        <v>1637</v>
      </c>
      <c r="AA252" s="1203">
        <f t="shared" si="93"/>
        <v>1995</v>
      </c>
      <c r="AB252" s="1309">
        <f>SUM(T252:AA252)</f>
        <v>12639</v>
      </c>
      <c r="AC252" s="1203">
        <f>SUM(X252:AA252)</f>
        <v>7557</v>
      </c>
    </row>
    <row r="253" spans="3:42" x14ac:dyDescent="0.5">
      <c r="C253" s="1288" t="str">
        <f>C239</f>
        <v>APAC</v>
      </c>
      <c r="H253" s="1180">
        <f t="shared" si="92"/>
        <v>566</v>
      </c>
      <c r="I253" s="1180">
        <f t="shared" si="92"/>
        <v>327</v>
      </c>
      <c r="J253" s="1180">
        <f t="shared" si="92"/>
        <v>959</v>
      </c>
      <c r="K253" s="1180">
        <f t="shared" si="92"/>
        <v>1061</v>
      </c>
      <c r="L253" s="1203">
        <f t="shared" si="92"/>
        <v>1499</v>
      </c>
      <c r="M253" s="1203">
        <f t="shared" si="92"/>
        <v>1840</v>
      </c>
      <c r="N253" s="1203">
        <f t="shared" si="92"/>
        <v>1196</v>
      </c>
      <c r="O253" s="1203">
        <f t="shared" si="92"/>
        <v>1480</v>
      </c>
      <c r="P253" s="1203">
        <f t="shared" si="92"/>
        <v>926</v>
      </c>
      <c r="Q253" s="1203">
        <f t="shared" si="92"/>
        <v>683</v>
      </c>
      <c r="R253" s="1203">
        <f t="shared" si="93"/>
        <v>319</v>
      </c>
      <c r="S253" s="1203">
        <f t="shared" si="93"/>
        <v>-215</v>
      </c>
      <c r="T253" s="1203">
        <f t="shared" si="93"/>
        <v>232</v>
      </c>
      <c r="U253" s="1203">
        <f t="shared" si="93"/>
        <v>600</v>
      </c>
      <c r="V253" s="1203">
        <f t="shared" si="93"/>
        <v>1112</v>
      </c>
      <c r="W253" s="1203">
        <f t="shared" si="93"/>
        <v>1348</v>
      </c>
      <c r="X253" s="1203">
        <f t="shared" si="93"/>
        <v>1445</v>
      </c>
      <c r="Y253" s="1203">
        <f t="shared" si="93"/>
        <v>1286</v>
      </c>
      <c r="Z253" s="1203">
        <f t="shared" si="93"/>
        <v>1221</v>
      </c>
      <c r="AA253" s="1203">
        <f t="shared" si="93"/>
        <v>1696</v>
      </c>
      <c r="AB253" s="1309">
        <f>SUM(T253:AA253)</f>
        <v>8940</v>
      </c>
      <c r="AC253" s="1203">
        <f>SUM(X253:AA253)</f>
        <v>5648</v>
      </c>
    </row>
    <row r="254" spans="3:42" x14ac:dyDescent="0.5">
      <c r="C254" s="1294" t="str">
        <f>C240</f>
        <v>ROW</v>
      </c>
      <c r="D254" s="1293"/>
      <c r="E254" s="1293"/>
      <c r="F254" s="1293"/>
      <c r="G254" s="1293"/>
      <c r="H254" s="1312">
        <f t="shared" si="92"/>
        <v>224</v>
      </c>
      <c r="I254" s="1312">
        <f t="shared" si="92"/>
        <v>-105</v>
      </c>
      <c r="J254" s="1312">
        <f t="shared" si="92"/>
        <v>214</v>
      </c>
      <c r="K254" s="1312">
        <f t="shared" si="92"/>
        <v>510</v>
      </c>
      <c r="L254" s="1292">
        <f t="shared" si="92"/>
        <v>780</v>
      </c>
      <c r="M254" s="1292">
        <f t="shared" si="92"/>
        <v>1318</v>
      </c>
      <c r="N254" s="1292">
        <f t="shared" si="92"/>
        <v>983</v>
      </c>
      <c r="O254" s="1292">
        <f t="shared" si="92"/>
        <v>708</v>
      </c>
      <c r="P254" s="1292">
        <f t="shared" si="92"/>
        <v>515</v>
      </c>
      <c r="Q254" s="1292">
        <f t="shared" si="92"/>
        <v>312</v>
      </c>
      <c r="R254" s="1292">
        <f t="shared" si="93"/>
        <v>84</v>
      </c>
      <c r="S254" s="1292">
        <f t="shared" si="93"/>
        <v>157</v>
      </c>
      <c r="T254" s="1292">
        <f t="shared" si="93"/>
        <v>280</v>
      </c>
      <c r="U254" s="1292">
        <f t="shared" si="93"/>
        <v>495</v>
      </c>
      <c r="V254" s="1292">
        <f t="shared" si="93"/>
        <v>1090</v>
      </c>
      <c r="W254" s="1292">
        <f t="shared" si="93"/>
        <v>1070</v>
      </c>
      <c r="X254" s="1292">
        <f t="shared" si="93"/>
        <v>1290</v>
      </c>
      <c r="Y254" s="1292">
        <f t="shared" si="93"/>
        <v>1216</v>
      </c>
      <c r="Z254" s="1292">
        <f t="shared" si="93"/>
        <v>951</v>
      </c>
      <c r="AA254" s="1292">
        <f t="shared" si="93"/>
        <v>1188</v>
      </c>
      <c r="AB254" s="1311">
        <f>SUM(T254:AA254)</f>
        <v>7580</v>
      </c>
      <c r="AC254" s="1292">
        <f>SUM(X254:AA254)</f>
        <v>4645</v>
      </c>
    </row>
    <row r="255" spans="3:42" s="1197" customFormat="1" x14ac:dyDescent="0.5">
      <c r="C255" s="1290" t="str">
        <f>C241</f>
        <v>Total</v>
      </c>
      <c r="D255" s="1291"/>
      <c r="E255" s="1291"/>
      <c r="F255" s="1291"/>
      <c r="G255" s="1291"/>
      <c r="H255" s="1295">
        <f t="shared" si="92"/>
        <v>2528</v>
      </c>
      <c r="I255" s="1295">
        <f t="shared" si="92"/>
        <v>1697</v>
      </c>
      <c r="J255" s="1295">
        <f t="shared" si="92"/>
        <v>3838</v>
      </c>
      <c r="K255" s="1295">
        <f t="shared" si="92"/>
        <v>6451</v>
      </c>
      <c r="L255" s="1199">
        <f t="shared" si="92"/>
        <v>7999</v>
      </c>
      <c r="M255" s="1199">
        <f t="shared" si="92"/>
        <v>10259</v>
      </c>
      <c r="N255" s="1199">
        <f t="shared" si="92"/>
        <v>7055</v>
      </c>
      <c r="O255" s="1199">
        <f t="shared" si="92"/>
        <v>5452</v>
      </c>
      <c r="P255" s="1199">
        <f t="shared" si="92"/>
        <v>1559</v>
      </c>
      <c r="Q255" s="1199">
        <f t="shared" si="92"/>
        <v>-428</v>
      </c>
      <c r="R255" s="1199">
        <f t="shared" si="93"/>
        <v>-1039</v>
      </c>
      <c r="S255" s="1199">
        <f t="shared" si="93"/>
        <v>-1385</v>
      </c>
      <c r="T255" s="1199">
        <f t="shared" si="93"/>
        <v>1103</v>
      </c>
      <c r="U255" s="1199">
        <f t="shared" si="93"/>
        <v>3346</v>
      </c>
      <c r="V255" s="1199">
        <f t="shared" si="93"/>
        <v>6406</v>
      </c>
      <c r="W255" s="1199">
        <f t="shared" si="93"/>
        <v>7452</v>
      </c>
      <c r="X255" s="1199">
        <f t="shared" si="93"/>
        <v>7534</v>
      </c>
      <c r="Y255" s="1199">
        <f t="shared" si="93"/>
        <v>6831</v>
      </c>
      <c r="Z255" s="1199">
        <f t="shared" si="93"/>
        <v>6242</v>
      </c>
      <c r="AA255" s="1199">
        <f t="shared" si="93"/>
        <v>8077</v>
      </c>
      <c r="AB255" s="1310">
        <f>SUM(T255:AA255)</f>
        <v>46991</v>
      </c>
      <c r="AC255" s="1199">
        <f>SUM(X255:AA255)</f>
        <v>28684</v>
      </c>
      <c r="AD255" s="1295"/>
      <c r="AE255" s="1295"/>
      <c r="AP255" s="1197" t="s">
        <v>1235</v>
      </c>
    </row>
    <row r="256" spans="3:42" x14ac:dyDescent="0.5">
      <c r="L256" s="1203"/>
      <c r="M256" s="1203"/>
      <c r="N256" s="1203"/>
      <c r="O256" s="1203"/>
      <c r="P256" s="1203"/>
      <c r="Q256" s="1203"/>
      <c r="R256" s="1203"/>
      <c r="S256" s="1203"/>
      <c r="T256" s="1203"/>
      <c r="U256" s="1203"/>
      <c r="V256" s="1203"/>
      <c r="W256" s="1203"/>
      <c r="X256" s="1203"/>
      <c r="Y256" s="1203"/>
      <c r="Z256" s="1203"/>
      <c r="AA256" s="1203"/>
      <c r="AB256" s="1309"/>
      <c r="AC256" s="1203"/>
    </row>
    <row r="257" spans="3:31" s="1197" customFormat="1" x14ac:dyDescent="0.5">
      <c r="C257" s="1308" t="s">
        <v>1234</v>
      </c>
      <c r="D257" s="1307"/>
      <c r="E257" s="1307"/>
      <c r="F257" s="1307"/>
      <c r="G257" s="1307"/>
      <c r="H257" s="1307"/>
      <c r="I257" s="1307"/>
      <c r="J257" s="1307"/>
      <c r="K257" s="1307"/>
      <c r="L257" s="1305"/>
      <c r="M257" s="1305"/>
      <c r="N257" s="1305"/>
      <c r="O257" s="1305"/>
      <c r="P257" s="1305"/>
      <c r="Q257" s="1305"/>
      <c r="R257" s="1305"/>
      <c r="S257" s="1305"/>
      <c r="T257" s="1305"/>
      <c r="U257" s="1305"/>
      <c r="V257" s="1305"/>
      <c r="W257" s="1305"/>
      <c r="X257" s="1305"/>
      <c r="Y257" s="1305"/>
      <c r="Z257" s="1305"/>
      <c r="AA257" s="1305"/>
      <c r="AB257" s="1306"/>
      <c r="AC257" s="1305"/>
      <c r="AD257" s="1295"/>
      <c r="AE257" s="1295"/>
    </row>
    <row r="258" spans="3:31" x14ac:dyDescent="0.5">
      <c r="C258" s="1288" t="str">
        <f>C251</f>
        <v>US &amp; Canada</v>
      </c>
      <c r="H258" s="1304">
        <f t="shared" ref="H258:AC258" si="94">H251/H$255</f>
        <v>0.4651898734177215</v>
      </c>
      <c r="I258" s="1304">
        <f t="shared" si="94"/>
        <v>0.652327637006482</v>
      </c>
      <c r="J258" s="1304">
        <f t="shared" si="94"/>
        <v>0.43538301198540907</v>
      </c>
      <c r="K258" s="1304">
        <f t="shared" si="94"/>
        <v>0.48504107890249576</v>
      </c>
      <c r="L258" s="1289">
        <f t="shared" si="94"/>
        <v>0.43980497562195275</v>
      </c>
      <c r="M258" s="1289">
        <f t="shared" si="94"/>
        <v>0.4198264938103129</v>
      </c>
      <c r="N258" s="1289">
        <f t="shared" si="94"/>
        <v>0.44025513819985823</v>
      </c>
      <c r="O258" s="1289">
        <f t="shared" si="94"/>
        <v>0.35069699192956716</v>
      </c>
      <c r="P258" s="1289">
        <f t="shared" si="94"/>
        <v>8.14624759461193E-2</v>
      </c>
      <c r="Q258" s="1289">
        <f t="shared" si="94"/>
        <v>1.3504672897196262</v>
      </c>
      <c r="R258" s="1289">
        <f t="shared" si="94"/>
        <v>0.31568816169393649</v>
      </c>
      <c r="S258" s="1289">
        <f t="shared" si="94"/>
        <v>4.1155234657039713E-2</v>
      </c>
      <c r="T258" s="1289">
        <f t="shared" si="94"/>
        <v>0.62194016319129641</v>
      </c>
      <c r="U258" s="1289">
        <f t="shared" si="94"/>
        <v>0.40137477585176329</v>
      </c>
      <c r="V258" s="1289">
        <f t="shared" si="94"/>
        <v>0.34186699968779272</v>
      </c>
      <c r="W258" s="1289">
        <f t="shared" si="94"/>
        <v>0.3729200214707461</v>
      </c>
      <c r="X258" s="1289">
        <f t="shared" si="94"/>
        <v>0.36381736129546061</v>
      </c>
      <c r="Y258" s="1289">
        <f t="shared" si="94"/>
        <v>0.36041575172009954</v>
      </c>
      <c r="Z258" s="1289">
        <f t="shared" si="94"/>
        <v>0.38977891701377765</v>
      </c>
      <c r="AA258" s="1289">
        <f t="shared" si="94"/>
        <v>0.39593908629441626</v>
      </c>
      <c r="AB258" s="1303">
        <f t="shared" si="94"/>
        <v>0.37947692111255349</v>
      </c>
      <c r="AC258" s="1289">
        <f t="shared" si="94"/>
        <v>0.3777018546925115</v>
      </c>
    </row>
    <row r="259" spans="3:31" x14ac:dyDescent="0.5">
      <c r="C259" s="1288" t="str">
        <f>C252</f>
        <v>EU</v>
      </c>
      <c r="H259" s="1304">
        <f t="shared" ref="H259:AC259" si="95">H252/H$255</f>
        <v>0.22231012658227847</v>
      </c>
      <c r="I259" s="1304">
        <f t="shared" si="95"/>
        <v>0.2168532704773129</v>
      </c>
      <c r="J259" s="1304">
        <f t="shared" si="95"/>
        <v>0.25898905680041689</v>
      </c>
      <c r="K259" s="1304">
        <f t="shared" si="95"/>
        <v>0.27143078592466285</v>
      </c>
      <c r="L259" s="1289">
        <f t="shared" si="95"/>
        <v>0.27528441055131891</v>
      </c>
      <c r="M259" s="1289">
        <f t="shared" si="95"/>
        <v>0.27234623257627449</v>
      </c>
      <c r="N259" s="1289">
        <f t="shared" si="95"/>
        <v>0.2508858965272856</v>
      </c>
      <c r="O259" s="1289">
        <f t="shared" si="95"/>
        <v>0.24798239178283199</v>
      </c>
      <c r="P259" s="1289">
        <f t="shared" si="95"/>
        <v>-5.7729313662604233E-3</v>
      </c>
      <c r="Q259" s="1289">
        <f t="shared" si="95"/>
        <v>1.9742990654205608</v>
      </c>
      <c r="R259" s="1289">
        <f t="shared" si="95"/>
        <v>1.0721847930702599</v>
      </c>
      <c r="S259" s="1289">
        <f t="shared" si="95"/>
        <v>0.9169675090252708</v>
      </c>
      <c r="T259" s="1289">
        <f t="shared" si="95"/>
        <v>-8.6128739800543974E-2</v>
      </c>
      <c r="U259" s="1289">
        <f t="shared" si="95"/>
        <v>0.27136879856545126</v>
      </c>
      <c r="V259" s="1289">
        <f t="shared" si="95"/>
        <v>0.31439275679050888</v>
      </c>
      <c r="W259" s="1289">
        <f t="shared" si="95"/>
        <v>0.30260332796564682</v>
      </c>
      <c r="X259" s="1289">
        <f t="shared" si="95"/>
        <v>0.27316166710910539</v>
      </c>
      <c r="Y259" s="1289">
        <f t="shared" si="95"/>
        <v>0.27331283853022981</v>
      </c>
      <c r="Z259" s="1289">
        <f t="shared" si="95"/>
        <v>0.26225568727971804</v>
      </c>
      <c r="AA259" s="1289">
        <f t="shared" si="95"/>
        <v>0.24699764764145105</v>
      </c>
      <c r="AB259" s="1303">
        <f t="shared" si="95"/>
        <v>0.26896639782085929</v>
      </c>
      <c r="AC259" s="1289">
        <f t="shared" si="95"/>
        <v>0.26345697950076696</v>
      </c>
    </row>
    <row r="260" spans="3:31" x14ac:dyDescent="0.5">
      <c r="C260" s="1288" t="str">
        <f>C253</f>
        <v>APAC</v>
      </c>
      <c r="H260" s="1304">
        <f t="shared" ref="H260:AC260" si="96">H253/H$255</f>
        <v>0.22389240506329114</v>
      </c>
      <c r="I260" s="1304">
        <f t="shared" si="96"/>
        <v>0.19269298762522097</v>
      </c>
      <c r="J260" s="1304">
        <f t="shared" si="96"/>
        <v>0.24986972381448672</v>
      </c>
      <c r="K260" s="1304">
        <f t="shared" si="96"/>
        <v>0.1644706247093474</v>
      </c>
      <c r="L260" s="1289">
        <f t="shared" si="96"/>
        <v>0.1873984248031004</v>
      </c>
      <c r="M260" s="1289">
        <f t="shared" si="96"/>
        <v>0.17935471293498392</v>
      </c>
      <c r="N260" s="1289">
        <f t="shared" si="96"/>
        <v>0.16952515946137492</v>
      </c>
      <c r="O260" s="1289">
        <f t="shared" si="96"/>
        <v>0.27146001467351433</v>
      </c>
      <c r="P260" s="1289">
        <f t="shared" si="96"/>
        <v>0.59397049390635026</v>
      </c>
      <c r="Q260" s="1289">
        <f t="shared" si="96"/>
        <v>-1.5957943925233644</v>
      </c>
      <c r="R260" s="1289">
        <f t="shared" si="96"/>
        <v>-0.30702598652550528</v>
      </c>
      <c r="S260" s="1289">
        <f t="shared" si="96"/>
        <v>0.1552346570397112</v>
      </c>
      <c r="T260" s="1289">
        <f t="shared" si="96"/>
        <v>0.21033544877606528</v>
      </c>
      <c r="U260" s="1289">
        <f t="shared" si="96"/>
        <v>0.17931858936043035</v>
      </c>
      <c r="V260" s="1289">
        <f t="shared" si="96"/>
        <v>0.17358726194192944</v>
      </c>
      <c r="W260" s="1289">
        <f t="shared" si="96"/>
        <v>0.18089103596349973</v>
      </c>
      <c r="X260" s="1289">
        <f t="shared" si="96"/>
        <v>0.19179718608972657</v>
      </c>
      <c r="Y260" s="1289">
        <f t="shared" si="96"/>
        <v>0.18825940565071</v>
      </c>
      <c r="Z260" s="1289">
        <f t="shared" si="96"/>
        <v>0.1956103812880487</v>
      </c>
      <c r="AA260" s="1289">
        <f t="shared" si="96"/>
        <v>0.20997895258140398</v>
      </c>
      <c r="AB260" s="1303">
        <f t="shared" si="96"/>
        <v>0.19024919665467854</v>
      </c>
      <c r="AC260" s="1289">
        <f t="shared" si="96"/>
        <v>0.19690419746199972</v>
      </c>
    </row>
    <row r="261" spans="3:31" x14ac:dyDescent="0.5">
      <c r="C261" s="1294" t="str">
        <f>C254</f>
        <v>ROW</v>
      </c>
      <c r="D261" s="1293"/>
      <c r="E261" s="1293"/>
      <c r="F261" s="1293"/>
      <c r="G261" s="1293"/>
      <c r="H261" s="1302">
        <f t="shared" ref="H261:AC261" si="97">H254/H$255</f>
        <v>8.8607594936708861E-2</v>
      </c>
      <c r="I261" s="1302">
        <f t="shared" si="97"/>
        <v>-6.1873895109015913E-2</v>
      </c>
      <c r="J261" s="1302">
        <f t="shared" si="97"/>
        <v>5.5758207399687336E-2</v>
      </c>
      <c r="K261" s="1302">
        <f t="shared" si="97"/>
        <v>7.9057510463494032E-2</v>
      </c>
      <c r="L261" s="1300">
        <f t="shared" si="97"/>
        <v>9.751218902362796E-2</v>
      </c>
      <c r="M261" s="1300">
        <f t="shared" si="97"/>
        <v>0.12847256067842869</v>
      </c>
      <c r="N261" s="1300">
        <f t="shared" si="97"/>
        <v>0.13933380581148122</v>
      </c>
      <c r="O261" s="1300">
        <f t="shared" si="97"/>
        <v>0.12986060161408658</v>
      </c>
      <c r="P261" s="1300">
        <f t="shared" si="97"/>
        <v>0.33033996151379091</v>
      </c>
      <c r="Q261" s="1300">
        <f t="shared" si="97"/>
        <v>-0.7289719626168224</v>
      </c>
      <c r="R261" s="1300">
        <f t="shared" si="97"/>
        <v>-8.0846968238691044E-2</v>
      </c>
      <c r="S261" s="1300">
        <f t="shared" si="97"/>
        <v>-0.11335740072202166</v>
      </c>
      <c r="T261" s="1300">
        <f t="shared" si="97"/>
        <v>0.25385312783318226</v>
      </c>
      <c r="U261" s="1300">
        <f t="shared" si="97"/>
        <v>0.14793783622235504</v>
      </c>
      <c r="V261" s="1300">
        <f t="shared" si="97"/>
        <v>0.17015298157976896</v>
      </c>
      <c r="W261" s="1300">
        <f t="shared" si="97"/>
        <v>0.14358561460010735</v>
      </c>
      <c r="X261" s="1300">
        <f t="shared" si="97"/>
        <v>0.17122378550570747</v>
      </c>
      <c r="Y261" s="1300">
        <f t="shared" si="97"/>
        <v>0.17801200409896062</v>
      </c>
      <c r="Z261" s="1300">
        <f t="shared" si="97"/>
        <v>0.15235501441845561</v>
      </c>
      <c r="AA261" s="1300">
        <f t="shared" si="97"/>
        <v>0.14708431348272874</v>
      </c>
      <c r="AB261" s="1301">
        <f t="shared" si="97"/>
        <v>0.16130748441190867</v>
      </c>
      <c r="AC261" s="1300">
        <f t="shared" si="97"/>
        <v>0.16193696834472179</v>
      </c>
    </row>
    <row r="262" spans="3:31" s="1197" customFormat="1" x14ac:dyDescent="0.5">
      <c r="C262" s="1290" t="str">
        <f>C255</f>
        <v>Total</v>
      </c>
      <c r="D262" s="1291"/>
      <c r="E262" s="1291"/>
      <c r="F262" s="1291"/>
      <c r="G262" s="1291"/>
      <c r="H262" s="1299">
        <f t="shared" ref="H262:AC262" si="98">H255/H$255</f>
        <v>1</v>
      </c>
      <c r="I262" s="1299">
        <f t="shared" si="98"/>
        <v>1</v>
      </c>
      <c r="J262" s="1299">
        <f t="shared" si="98"/>
        <v>1</v>
      </c>
      <c r="K262" s="1299">
        <f t="shared" si="98"/>
        <v>1</v>
      </c>
      <c r="L262" s="1297">
        <f t="shared" si="98"/>
        <v>1</v>
      </c>
      <c r="M262" s="1297">
        <f t="shared" si="98"/>
        <v>1</v>
      </c>
      <c r="N262" s="1297">
        <f t="shared" si="98"/>
        <v>1</v>
      </c>
      <c r="O262" s="1297">
        <f t="shared" si="98"/>
        <v>1</v>
      </c>
      <c r="P262" s="1297">
        <f t="shared" si="98"/>
        <v>1</v>
      </c>
      <c r="Q262" s="1297">
        <f t="shared" si="98"/>
        <v>1</v>
      </c>
      <c r="R262" s="1297">
        <f t="shared" si="98"/>
        <v>1</v>
      </c>
      <c r="S262" s="1297">
        <f t="shared" si="98"/>
        <v>1</v>
      </c>
      <c r="T262" s="1297">
        <f t="shared" si="98"/>
        <v>1</v>
      </c>
      <c r="U262" s="1297">
        <f t="shared" si="98"/>
        <v>1</v>
      </c>
      <c r="V262" s="1297">
        <f t="shared" si="98"/>
        <v>1</v>
      </c>
      <c r="W262" s="1297">
        <f t="shared" si="98"/>
        <v>1</v>
      </c>
      <c r="X262" s="1297">
        <f t="shared" si="98"/>
        <v>1</v>
      </c>
      <c r="Y262" s="1297">
        <f t="shared" si="98"/>
        <v>1</v>
      </c>
      <c r="Z262" s="1297">
        <f t="shared" si="98"/>
        <v>1</v>
      </c>
      <c r="AA262" s="1297">
        <f t="shared" si="98"/>
        <v>1</v>
      </c>
      <c r="AB262" s="1298">
        <f t="shared" si="98"/>
        <v>1</v>
      </c>
      <c r="AC262" s="1297">
        <f t="shared" si="98"/>
        <v>1</v>
      </c>
      <c r="AD262" s="1295"/>
      <c r="AE262" s="1295"/>
    </row>
    <row r="263" spans="3:31" x14ac:dyDescent="0.5">
      <c r="L263" s="1203"/>
      <c r="M263" s="1203"/>
      <c r="N263" s="1203"/>
      <c r="O263" s="1203"/>
      <c r="P263" s="1203"/>
      <c r="Q263" s="1203"/>
      <c r="R263" s="1203"/>
      <c r="S263" s="1203"/>
      <c r="T263" s="1203"/>
      <c r="U263" s="1203"/>
      <c r="V263" s="1203"/>
      <c r="W263" s="1203"/>
      <c r="X263" s="1203"/>
      <c r="Y263" s="1203"/>
      <c r="Z263" s="1203"/>
      <c r="AA263" s="1203"/>
      <c r="AB263" s="1203"/>
      <c r="AC263" s="1203"/>
    </row>
    <row r="264" spans="3:31" x14ac:dyDescent="0.5">
      <c r="L264" s="1203"/>
      <c r="M264" s="1203"/>
      <c r="N264" s="1203"/>
      <c r="O264" s="1203"/>
      <c r="P264" s="1203"/>
      <c r="Q264" s="1203"/>
      <c r="R264" s="1203"/>
      <c r="S264" s="1203"/>
      <c r="T264" s="1203"/>
      <c r="U264" s="1203"/>
      <c r="V264" s="1203"/>
      <c r="W264" s="1203"/>
      <c r="X264" s="1203"/>
      <c r="Y264" s="1203"/>
      <c r="Z264" s="1203"/>
      <c r="AA264" s="1203"/>
      <c r="AB264" s="1203"/>
      <c r="AC264" s="1203"/>
    </row>
    <row r="265" spans="3:31" s="1197" customFormat="1" ht="14.7" x14ac:dyDescent="0.8">
      <c r="C265" s="1204" t="s">
        <v>1233</v>
      </c>
      <c r="D265" s="1291"/>
      <c r="E265" s="1291"/>
      <c r="F265" s="1291"/>
      <c r="G265" s="1291"/>
      <c r="H265" s="1291"/>
      <c r="I265" s="1291"/>
      <c r="J265" s="1291"/>
      <c r="K265" s="1291"/>
      <c r="L265" s="1199"/>
      <c r="M265" s="1199"/>
      <c r="N265" s="1199"/>
      <c r="O265" s="1199"/>
      <c r="P265" s="1199"/>
      <c r="Q265" s="1199"/>
      <c r="R265" s="1199"/>
      <c r="S265" s="1199"/>
      <c r="T265" s="1296" t="str">
        <f>T243</f>
        <v>Q1 '23</v>
      </c>
      <c r="U265" s="1296" t="str">
        <f>U243</f>
        <v>Q2 '23</v>
      </c>
      <c r="V265" s="1296" t="str">
        <f>V243</f>
        <v>Q3 '23</v>
      </c>
      <c r="W265" s="1296" t="str">
        <f>W243</f>
        <v>Q4 '23</v>
      </c>
      <c r="X265" s="1199"/>
      <c r="Y265" s="1199"/>
      <c r="Z265" s="1199"/>
      <c r="AA265" s="1199"/>
      <c r="AB265" s="1199"/>
      <c r="AC265" s="1199"/>
      <c r="AD265" s="1295"/>
      <c r="AE265" s="1295"/>
    </row>
    <row r="266" spans="3:31" x14ac:dyDescent="0.5">
      <c r="C266" s="1288" t="str">
        <f>C258</f>
        <v>US &amp; Canada</v>
      </c>
      <c r="L266" s="1203"/>
      <c r="M266" s="1203"/>
      <c r="N266" s="1203"/>
      <c r="O266" s="1203"/>
      <c r="P266" s="1203"/>
      <c r="Q266" s="1203"/>
      <c r="R266" s="1203"/>
      <c r="S266" s="1203"/>
      <c r="T266" s="1196">
        <f>[1]Historicals!AQ242</f>
        <v>200</v>
      </c>
      <c r="U266" s="1196">
        <f>[1]Historicals!AR242</f>
        <v>202</v>
      </c>
      <c r="V266" s="1196">
        <f>[1]Historicals!AS242</f>
        <v>203</v>
      </c>
      <c r="W266" s="1196">
        <f>[1]Historicals!AT242</f>
        <v>205</v>
      </c>
      <c r="X266" s="1203"/>
      <c r="Y266" s="1203"/>
      <c r="Z266" s="1203"/>
      <c r="AA266" s="1203"/>
      <c r="AB266" s="1203"/>
      <c r="AC266" s="1203"/>
    </row>
    <row r="267" spans="3:31" x14ac:dyDescent="0.5">
      <c r="C267" s="1288" t="str">
        <f>C259</f>
        <v>EU</v>
      </c>
      <c r="L267" s="1203"/>
      <c r="M267" s="1203"/>
      <c r="N267" s="1203"/>
      <c r="O267" s="1203"/>
      <c r="P267" s="1203"/>
      <c r="Q267" s="1203"/>
      <c r="R267" s="1203"/>
      <c r="S267" s="1203"/>
      <c r="T267" s="1196">
        <f>[1]Historicals!AQ243</f>
        <v>307</v>
      </c>
      <c r="U267" s="1196">
        <f>[1]Historicals!AR243</f>
        <v>307</v>
      </c>
      <c r="V267" s="1196">
        <f>[1]Historicals!AS243</f>
        <v>307</v>
      </c>
      <c r="W267" s="1196">
        <f>[1]Historicals!AT243</f>
        <v>308</v>
      </c>
      <c r="X267" s="1203"/>
      <c r="Y267" s="1203"/>
      <c r="Z267" s="1203"/>
      <c r="AA267" s="1203"/>
      <c r="AB267" s="1203"/>
      <c r="AC267" s="1203"/>
    </row>
    <row r="268" spans="3:31" x14ac:dyDescent="0.5">
      <c r="C268" s="1288" t="str">
        <f>C260</f>
        <v>APAC</v>
      </c>
      <c r="L268" s="1203"/>
      <c r="M268" s="1203"/>
      <c r="N268" s="1203"/>
      <c r="O268" s="1203"/>
      <c r="P268" s="1203"/>
      <c r="Q268" s="1203"/>
      <c r="R268" s="1203"/>
      <c r="S268" s="1203"/>
      <c r="T268" s="1196">
        <f>[1]Historicals!AQ244</f>
        <v>873</v>
      </c>
      <c r="U268" s="1196">
        <f>[1]Historicals!AR244</f>
        <v>891</v>
      </c>
      <c r="V268" s="1196">
        <f>[1]Historicals!AS244</f>
        <v>899</v>
      </c>
      <c r="W268" s="1196">
        <f>[1]Historicals!AT244</f>
        <v>914</v>
      </c>
      <c r="X268" s="1203"/>
      <c r="Y268" s="1203"/>
      <c r="Z268" s="1203"/>
      <c r="AA268" s="1203"/>
      <c r="AB268" s="1203"/>
      <c r="AC268" s="1203"/>
    </row>
    <row r="269" spans="3:31" x14ac:dyDescent="0.5">
      <c r="C269" s="1294" t="str">
        <f>C261</f>
        <v>ROW</v>
      </c>
      <c r="D269" s="1293"/>
      <c r="E269" s="1293"/>
      <c r="F269" s="1293"/>
      <c r="G269" s="1293"/>
      <c r="H269" s="1293"/>
      <c r="I269" s="1293"/>
      <c r="J269" s="1293"/>
      <c r="K269" s="1293"/>
      <c r="L269" s="1292"/>
      <c r="M269" s="1292"/>
      <c r="N269" s="1292"/>
      <c r="O269" s="1292"/>
      <c r="P269" s="1292"/>
      <c r="Q269" s="1292"/>
      <c r="R269" s="1292"/>
      <c r="S269" s="1292"/>
      <c r="T269" s="1200">
        <f>[1]Historicals!AQ245</f>
        <v>657</v>
      </c>
      <c r="U269" s="1200">
        <f>[1]Historicals!AR245</f>
        <v>665</v>
      </c>
      <c r="V269" s="1200">
        <f>[1]Historicals!AS245</f>
        <v>676</v>
      </c>
      <c r="W269" s="1200">
        <f>[1]Historicals!AT245</f>
        <v>683</v>
      </c>
      <c r="X269" s="1203"/>
      <c r="Y269" s="1203"/>
      <c r="Z269" s="1203"/>
      <c r="AA269" s="1203"/>
      <c r="AB269" s="1203"/>
      <c r="AC269" s="1203"/>
    </row>
    <row r="270" spans="3:31" x14ac:dyDescent="0.5">
      <c r="C270" s="1290" t="s">
        <v>1232</v>
      </c>
      <c r="D270" s="1291"/>
      <c r="E270" s="1291"/>
      <c r="F270" s="1291"/>
      <c r="G270" s="1291"/>
      <c r="H270" s="1291"/>
      <c r="I270" s="1291"/>
      <c r="J270" s="1291"/>
      <c r="K270" s="1291"/>
      <c r="L270" s="1199"/>
      <c r="M270" s="1199"/>
      <c r="N270" s="1199"/>
      <c r="O270" s="1199"/>
      <c r="P270" s="1199"/>
      <c r="Q270" s="1199"/>
      <c r="R270" s="1199"/>
      <c r="S270" s="1199"/>
      <c r="T270" s="1199">
        <f>SUM(T266:T269)</f>
        <v>2037</v>
      </c>
      <c r="U270" s="1199">
        <f>SUM(U266:U269)</f>
        <v>2065</v>
      </c>
      <c r="V270" s="1199">
        <f>SUM(V266:V269)</f>
        <v>2085</v>
      </c>
      <c r="W270" s="1199">
        <f>SUM(W266:W269)</f>
        <v>2110</v>
      </c>
      <c r="X270" s="1203"/>
      <c r="Y270" s="1203"/>
      <c r="Z270" s="1203"/>
      <c r="AA270" s="1203"/>
      <c r="AB270" s="1203"/>
      <c r="AC270" s="1203"/>
    </row>
    <row r="271" spans="3:31" x14ac:dyDescent="0.5">
      <c r="L271" s="1203"/>
      <c r="M271" s="1203"/>
      <c r="N271" s="1203"/>
      <c r="O271" s="1203"/>
      <c r="P271" s="1203"/>
      <c r="Q271" s="1203"/>
      <c r="R271" s="1203"/>
      <c r="S271" s="1203"/>
      <c r="T271" s="1203"/>
      <c r="U271" s="1203"/>
      <c r="V271" s="1203"/>
      <c r="W271" s="1203"/>
      <c r="X271" s="1203"/>
      <c r="Y271" s="1203"/>
      <c r="Z271" s="1203"/>
      <c r="AA271" s="1203"/>
      <c r="AB271" s="1203"/>
      <c r="AC271" s="1203"/>
    </row>
    <row r="272" spans="3:31" x14ac:dyDescent="0.5">
      <c r="C272" s="1290" t="s">
        <v>1231</v>
      </c>
      <c r="L272" s="1203"/>
      <c r="M272" s="1203"/>
      <c r="N272" s="1203"/>
      <c r="O272" s="1203"/>
      <c r="P272" s="1203"/>
      <c r="Q272" s="1203"/>
      <c r="R272" s="1203"/>
      <c r="S272" s="1203"/>
      <c r="T272" s="1203"/>
      <c r="U272" s="1203"/>
      <c r="V272" s="1203"/>
      <c r="W272" s="1203"/>
      <c r="X272" s="1203"/>
      <c r="Y272" s="1203"/>
      <c r="Z272" s="1203"/>
      <c r="AA272" s="1203"/>
      <c r="AB272" s="1203"/>
      <c r="AC272" s="1203"/>
    </row>
    <row r="273" spans="3:42" x14ac:dyDescent="0.5">
      <c r="C273" s="1288" t="str">
        <f>C266</f>
        <v>US &amp; Canada</v>
      </c>
      <c r="L273" s="1203"/>
      <c r="M273" s="1203"/>
      <c r="N273" s="1203"/>
      <c r="O273" s="1203"/>
      <c r="P273" s="1203"/>
      <c r="Q273" s="1203"/>
      <c r="R273" s="1203"/>
      <c r="S273" s="1203"/>
      <c r="T273" s="1289">
        <f t="shared" ref="T273:W276" si="99">T266/T$270</f>
        <v>9.8183603338242512E-2</v>
      </c>
      <c r="U273" s="1289">
        <f t="shared" si="99"/>
        <v>9.782082324455206E-2</v>
      </c>
      <c r="V273" s="1289">
        <f t="shared" si="99"/>
        <v>9.7362110311750599E-2</v>
      </c>
      <c r="W273" s="1289">
        <f t="shared" si="99"/>
        <v>9.7156398104265407E-2</v>
      </c>
      <c r="X273" s="1289"/>
      <c r="Y273" s="1203"/>
      <c r="Z273" s="1203"/>
      <c r="AA273" s="1203"/>
      <c r="AB273" s="1203"/>
      <c r="AC273" s="1203"/>
    </row>
    <row r="274" spans="3:42" x14ac:dyDescent="0.5">
      <c r="C274" s="1288" t="str">
        <f>C267</f>
        <v>EU</v>
      </c>
      <c r="L274" s="1203"/>
      <c r="M274" s="1203"/>
      <c r="N274" s="1203"/>
      <c r="O274" s="1203"/>
      <c r="P274" s="1203"/>
      <c r="Q274" s="1203"/>
      <c r="R274" s="1203"/>
      <c r="S274" s="1203"/>
      <c r="T274" s="1289">
        <f t="shared" si="99"/>
        <v>0.15071183112420225</v>
      </c>
      <c r="U274" s="1289">
        <f t="shared" si="99"/>
        <v>0.14866828087167069</v>
      </c>
      <c r="V274" s="1289">
        <f t="shared" si="99"/>
        <v>0.147242206235012</v>
      </c>
      <c r="W274" s="1289">
        <f t="shared" si="99"/>
        <v>0.14597156398104266</v>
      </c>
      <c r="X274" s="1289"/>
      <c r="Y274" s="1203"/>
      <c r="Z274" s="1203"/>
      <c r="AA274" s="1203"/>
      <c r="AB274" s="1203"/>
      <c r="AC274" s="1203"/>
      <c r="AP274" s="1197" t="s">
        <v>1230</v>
      </c>
    </row>
    <row r="275" spans="3:42" x14ac:dyDescent="0.5">
      <c r="C275" s="1288" t="str">
        <f>C268</f>
        <v>APAC</v>
      </c>
      <c r="L275" s="1203"/>
      <c r="M275" s="1203"/>
      <c r="N275" s="1203"/>
      <c r="O275" s="1203"/>
      <c r="P275" s="1203"/>
      <c r="Q275" s="1203"/>
      <c r="R275" s="1203"/>
      <c r="S275" s="1203"/>
      <c r="T275" s="1289">
        <f t="shared" si="99"/>
        <v>0.42857142857142855</v>
      </c>
      <c r="U275" s="1289">
        <f t="shared" si="99"/>
        <v>0.43147699757869251</v>
      </c>
      <c r="V275" s="1289">
        <f t="shared" si="99"/>
        <v>0.43117505995203836</v>
      </c>
      <c r="W275" s="1289">
        <f t="shared" si="99"/>
        <v>0.43317535545023694</v>
      </c>
      <c r="X275" s="1289"/>
      <c r="Y275" s="1203"/>
      <c r="Z275" s="1203"/>
      <c r="AA275" s="1203"/>
      <c r="AB275" s="1203"/>
      <c r="AC275" s="1203"/>
    </row>
    <row r="276" spans="3:42" x14ac:dyDescent="0.5">
      <c r="C276" s="1288" t="str">
        <f>C269</f>
        <v>ROW</v>
      </c>
      <c r="L276" s="1203"/>
      <c r="M276" s="1203"/>
      <c r="N276" s="1203"/>
      <c r="O276" s="1203"/>
      <c r="P276" s="1203"/>
      <c r="Q276" s="1203"/>
      <c r="R276" s="1203"/>
      <c r="S276" s="1203"/>
      <c r="T276" s="1289">
        <f t="shared" si="99"/>
        <v>0.32253313696612668</v>
      </c>
      <c r="U276" s="1289">
        <f t="shared" si="99"/>
        <v>0.32203389830508472</v>
      </c>
      <c r="V276" s="1289">
        <f t="shared" si="99"/>
        <v>0.32422062350119907</v>
      </c>
      <c r="W276" s="1289">
        <f t="shared" si="99"/>
        <v>0.32369668246445499</v>
      </c>
      <c r="X276" s="1289"/>
      <c r="Y276" s="1203"/>
      <c r="Z276" s="1203"/>
      <c r="AA276" s="1203"/>
      <c r="AB276" s="1203"/>
      <c r="AC276" s="1203"/>
    </row>
    <row r="277" spans="3:42" x14ac:dyDescent="0.5">
      <c r="L277" s="1203"/>
      <c r="M277" s="1203"/>
      <c r="N277" s="1203"/>
      <c r="O277" s="1203"/>
      <c r="P277" s="1203"/>
      <c r="Q277" s="1203"/>
      <c r="R277" s="1203"/>
      <c r="S277" s="1203"/>
      <c r="T277" s="1203"/>
      <c r="U277" s="1203"/>
      <c r="V277" s="1203"/>
      <c r="W277" s="1203"/>
      <c r="X277" s="1203"/>
      <c r="Y277" s="1203"/>
      <c r="Z277" s="1203"/>
      <c r="AA277" s="1203"/>
      <c r="AB277" s="1203"/>
      <c r="AC277" s="1203"/>
    </row>
    <row r="278" spans="3:42" x14ac:dyDescent="0.5">
      <c r="L278" s="1203"/>
      <c r="M278" s="1203"/>
      <c r="N278" s="1203"/>
      <c r="O278" s="1203"/>
      <c r="P278" s="1203"/>
      <c r="Q278" s="1203"/>
      <c r="R278" s="1203"/>
      <c r="S278" s="1203"/>
      <c r="T278" s="1203"/>
      <c r="U278" s="1203"/>
      <c r="V278" s="1203"/>
      <c r="W278" s="1203"/>
      <c r="X278" s="1203"/>
      <c r="Y278" s="1203"/>
      <c r="Z278" s="1203"/>
      <c r="AA278" s="1203"/>
      <c r="AB278" s="1203"/>
      <c r="AC278" s="1203"/>
    </row>
    <row r="279" spans="3:42" x14ac:dyDescent="0.5">
      <c r="L279" s="1203"/>
      <c r="M279" s="1203"/>
      <c r="N279" s="1203"/>
      <c r="O279" s="1203"/>
      <c r="P279" s="1203"/>
      <c r="Q279" s="1203"/>
      <c r="R279" s="1203"/>
      <c r="S279" s="1203"/>
      <c r="T279" s="1203"/>
      <c r="U279" s="1203"/>
      <c r="V279" s="1203"/>
      <c r="W279" s="1203"/>
      <c r="X279" s="1203"/>
      <c r="Y279" s="1203"/>
      <c r="Z279" s="1203"/>
      <c r="AA279" s="1203"/>
      <c r="AB279" s="1203"/>
      <c r="AC279" s="1203"/>
    </row>
    <row r="280" spans="3:42" x14ac:dyDescent="0.5">
      <c r="L280" s="1203"/>
      <c r="M280" s="1203"/>
      <c r="N280" s="1203"/>
      <c r="O280" s="1203"/>
      <c r="P280" s="1203"/>
      <c r="Q280" s="1203"/>
      <c r="R280" s="1203"/>
      <c r="S280" s="1203"/>
      <c r="T280" s="1203"/>
      <c r="U280" s="1203"/>
      <c r="V280" s="1203"/>
      <c r="W280" s="1203"/>
      <c r="X280" s="1203"/>
      <c r="Y280" s="1203"/>
      <c r="Z280" s="1203"/>
      <c r="AA280" s="1203"/>
      <c r="AB280" s="1203"/>
      <c r="AC280" s="1203"/>
    </row>
    <row r="281" spans="3:42" x14ac:dyDescent="0.5">
      <c r="L281" s="1203"/>
      <c r="M281" s="1203"/>
      <c r="N281" s="1203"/>
      <c r="O281" s="1203"/>
      <c r="P281" s="1203"/>
      <c r="Q281" s="1203"/>
      <c r="R281" s="1203"/>
      <c r="S281" s="1203"/>
      <c r="T281" s="1203"/>
      <c r="U281" s="1203"/>
      <c r="V281" s="1203"/>
      <c r="W281" s="1203"/>
      <c r="X281" s="1203"/>
      <c r="Y281" s="1203"/>
      <c r="Z281" s="1203"/>
      <c r="AA281" s="1203"/>
      <c r="AB281" s="1203"/>
      <c r="AC281" s="1203"/>
    </row>
    <row r="282" spans="3:42" x14ac:dyDescent="0.5">
      <c r="L282" s="1203"/>
      <c r="M282" s="1203"/>
      <c r="N282" s="1203"/>
      <c r="O282" s="1203"/>
      <c r="P282" s="1203"/>
      <c r="Q282" s="1203"/>
      <c r="R282" s="1203"/>
      <c r="S282" s="1203"/>
      <c r="T282" s="1203"/>
      <c r="U282" s="1203"/>
      <c r="V282" s="1203"/>
      <c r="W282" s="1203"/>
      <c r="X282" s="1203"/>
      <c r="Y282" s="1203"/>
      <c r="Z282" s="1203"/>
      <c r="AA282" s="1203"/>
      <c r="AB282" s="1203"/>
      <c r="AC282" s="1203"/>
    </row>
    <row r="283" spans="3:42" x14ac:dyDescent="0.5">
      <c r="L283" s="1203"/>
      <c r="M283" s="1203"/>
      <c r="N283" s="1203"/>
      <c r="O283" s="1203"/>
      <c r="P283" s="1203"/>
      <c r="Q283" s="1203"/>
      <c r="R283" s="1203"/>
      <c r="S283" s="1203"/>
      <c r="T283" s="1203"/>
      <c r="U283" s="1203"/>
      <c r="V283" s="1203"/>
      <c r="W283" s="1203"/>
      <c r="X283" s="1203"/>
      <c r="Y283" s="1203"/>
      <c r="Z283" s="1203"/>
      <c r="AA283" s="1203"/>
      <c r="AB283" s="1203"/>
      <c r="AC283" s="1203"/>
    </row>
    <row r="284" spans="3:42" x14ac:dyDescent="0.5">
      <c r="L284" s="1203"/>
      <c r="M284" s="1203"/>
      <c r="N284" s="1203"/>
      <c r="O284" s="1203"/>
      <c r="P284" s="1203"/>
      <c r="Q284" s="1203"/>
      <c r="R284" s="1203"/>
      <c r="S284" s="1203"/>
      <c r="T284" s="1203"/>
      <c r="U284" s="1203"/>
      <c r="V284" s="1203"/>
      <c r="W284" s="1203"/>
      <c r="X284" s="1203"/>
      <c r="Y284" s="1203"/>
      <c r="Z284" s="1203"/>
      <c r="AA284" s="1203"/>
      <c r="AB284" s="1203"/>
      <c r="AC284" s="1203"/>
    </row>
    <row r="285" spans="3:42" x14ac:dyDescent="0.5">
      <c r="L285" s="1203"/>
      <c r="M285" s="1203"/>
      <c r="N285" s="1203"/>
      <c r="O285" s="1203"/>
      <c r="P285" s="1203"/>
      <c r="Q285" s="1203"/>
      <c r="R285" s="1203"/>
      <c r="S285" s="1203"/>
      <c r="T285" s="1203"/>
      <c r="U285" s="1203"/>
      <c r="V285" s="1203"/>
      <c r="W285" s="1203"/>
      <c r="X285" s="1203"/>
      <c r="Y285" s="1203"/>
      <c r="Z285" s="1203"/>
      <c r="AA285" s="1203"/>
      <c r="AB285" s="1203"/>
      <c r="AC285" s="1203"/>
    </row>
    <row r="286" spans="3:42" x14ac:dyDescent="0.5">
      <c r="L286" s="1203"/>
      <c r="M286" s="1203"/>
      <c r="N286" s="1203"/>
      <c r="O286" s="1203"/>
      <c r="P286" s="1203"/>
      <c r="Q286" s="1203"/>
      <c r="R286" s="1203"/>
      <c r="S286" s="1203"/>
      <c r="T286" s="1203"/>
      <c r="U286" s="1203"/>
      <c r="V286" s="1203"/>
      <c r="W286" s="1203"/>
      <c r="X286" s="1203"/>
      <c r="Y286" s="1203"/>
      <c r="Z286" s="1203"/>
      <c r="AA286" s="1203"/>
      <c r="AB286" s="1203"/>
      <c r="AC286" s="1203"/>
    </row>
    <row r="287" spans="3:42" x14ac:dyDescent="0.5">
      <c r="L287" s="1203"/>
      <c r="M287" s="1203"/>
      <c r="N287" s="1203"/>
      <c r="O287" s="1203"/>
      <c r="P287" s="1203"/>
      <c r="Q287" s="1203"/>
      <c r="R287" s="1203"/>
      <c r="S287" s="1203"/>
      <c r="T287" s="1203"/>
      <c r="U287" s="1203"/>
      <c r="V287" s="1203"/>
      <c r="W287" s="1203"/>
      <c r="X287" s="1203"/>
      <c r="Y287" s="1203"/>
      <c r="Z287" s="1203"/>
      <c r="AA287" s="1203"/>
      <c r="AB287" s="1203"/>
      <c r="AC287" s="1203"/>
    </row>
    <row r="288" spans="3:42" x14ac:dyDescent="0.5">
      <c r="L288" s="1203"/>
      <c r="M288" s="1203"/>
      <c r="N288" s="1203"/>
      <c r="O288" s="1203"/>
      <c r="P288" s="1203"/>
      <c r="Q288" s="1203"/>
      <c r="R288" s="1203"/>
      <c r="S288" s="1203"/>
      <c r="T288" s="1203"/>
      <c r="U288" s="1203"/>
      <c r="V288" s="1203"/>
      <c r="W288" s="1203"/>
      <c r="X288" s="1203"/>
      <c r="Y288" s="1203"/>
      <c r="Z288" s="1203"/>
      <c r="AA288" s="1203"/>
      <c r="AB288" s="1203"/>
      <c r="AC288" s="1203"/>
    </row>
    <row r="289" spans="3:29" s="1180" customFormat="1" x14ac:dyDescent="0.5">
      <c r="C289" s="1288"/>
      <c r="D289" s="1287"/>
      <c r="E289" s="1287"/>
      <c r="F289" s="1287"/>
      <c r="G289" s="1287"/>
      <c r="H289" s="1287"/>
      <c r="I289" s="1287"/>
      <c r="J289" s="1287"/>
      <c r="K289" s="1287"/>
      <c r="L289" s="1203"/>
      <c r="M289" s="1203"/>
      <c r="N289" s="1203"/>
      <c r="O289" s="1203"/>
      <c r="P289" s="1203"/>
      <c r="Q289" s="1203"/>
      <c r="R289" s="1203"/>
      <c r="S289" s="1203"/>
      <c r="T289" s="1203"/>
      <c r="U289" s="1203"/>
      <c r="V289" s="1203"/>
      <c r="W289" s="1203"/>
      <c r="X289" s="1203"/>
      <c r="Y289" s="1203"/>
      <c r="Z289" s="1203"/>
      <c r="AA289" s="1203"/>
      <c r="AB289" s="1203"/>
      <c r="AC289" s="1203"/>
    </row>
  </sheetData>
  <pageMargins left="0.7" right="0.7" top="0.75" bottom="0.75" header="0.3" footer="0.3"/>
  <pageSetup scale="18" orientation="portrait"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C1FB3-F2DD-4D33-B14E-8E1AD61F95FD}">
  <sheetPr codeName="Sheet2">
    <pageSetUpPr fitToPage="1"/>
  </sheetPr>
  <dimension ref="A1:CC1125"/>
  <sheetViews>
    <sheetView zoomScale="70" zoomScaleNormal="70" workbookViewId="0">
      <pane xSplit="2" ySplit="5" topLeftCell="AO827" activePane="bottomRight" state="frozenSplit"/>
      <selection pane="topRight" activeCell="C1" sqref="C1"/>
      <selection pane="bottomLeft" activeCell="A6" sqref="A6"/>
      <selection pane="bottomRight" activeCell="AY853" sqref="AY853"/>
    </sheetView>
  </sheetViews>
  <sheetFormatPr defaultColWidth="9.26171875" defaultRowHeight="14.4" outlineLevelRow="3" outlineLevelCol="2" x14ac:dyDescent="0.55000000000000004"/>
  <cols>
    <col min="1" max="1" width="50.734375" customWidth="1"/>
    <col min="2" max="2" width="10.68359375" customWidth="1"/>
    <col min="3" max="46" width="10.5234375" customWidth="1" outlineLevel="1"/>
    <col min="47" max="58" width="10.5234375" customWidth="1"/>
    <col min="59" max="59" width="10.5234375" customWidth="1" outlineLevel="1"/>
    <col min="60" max="72" width="10.5234375" customWidth="1" outlineLevel="2"/>
    <col min="73" max="80" width="10.5234375" customWidth="1"/>
    <col min="81" max="81" width="9.68359375" customWidth="1"/>
    <col min="82" max="100" width="9.26171875" customWidth="1"/>
  </cols>
  <sheetData>
    <row r="1" spans="1:81" ht="28.2" x14ac:dyDescent="1.05">
      <c r="A1" s="364" t="s">
        <v>592</v>
      </c>
      <c r="B1" s="600"/>
      <c r="C1" s="600"/>
      <c r="D1" s="600"/>
      <c r="E1" s="600"/>
      <c r="F1" s="600"/>
      <c r="G1" s="600"/>
      <c r="H1" s="600"/>
      <c r="I1" s="600"/>
      <c r="J1" s="600"/>
      <c r="K1" s="600"/>
      <c r="L1" s="600"/>
      <c r="M1" s="600"/>
      <c r="N1" s="600"/>
      <c r="O1" s="600"/>
      <c r="P1" s="600"/>
      <c r="Q1" s="600"/>
      <c r="R1" s="600"/>
      <c r="S1" s="600"/>
      <c r="T1" s="600"/>
      <c r="U1" s="600"/>
      <c r="V1" s="600"/>
      <c r="W1" s="600"/>
      <c r="X1" s="600"/>
      <c r="Y1" s="600"/>
      <c r="Z1" s="600"/>
      <c r="AA1" s="600"/>
      <c r="AB1" s="600"/>
      <c r="AC1" s="600"/>
      <c r="AD1" s="600"/>
      <c r="AE1" s="600"/>
      <c r="AF1" s="600"/>
      <c r="AG1" s="600"/>
      <c r="AH1" s="600"/>
      <c r="AI1" s="600"/>
      <c r="AJ1" s="600"/>
      <c r="AK1" s="600"/>
      <c r="AL1" s="600"/>
      <c r="AM1" s="600"/>
      <c r="AN1" s="600"/>
      <c r="AO1" s="600"/>
      <c r="AP1" s="600"/>
      <c r="AQ1" s="600"/>
      <c r="AR1" s="600"/>
      <c r="AS1" s="600"/>
      <c r="AT1" s="600"/>
      <c r="AU1" s="600"/>
      <c r="AV1" s="600"/>
      <c r="AW1" s="600"/>
      <c r="AX1" s="600"/>
      <c r="AY1" s="604"/>
      <c r="AZ1" s="600"/>
      <c r="BA1" s="600"/>
      <c r="BB1" s="600"/>
      <c r="BC1" s="600"/>
      <c r="BD1" s="600"/>
      <c r="BE1" s="600"/>
      <c r="BF1" s="600"/>
      <c r="BG1" s="600"/>
      <c r="BH1" s="600"/>
      <c r="BI1" s="600"/>
      <c r="BJ1" s="600"/>
      <c r="BK1" s="600"/>
      <c r="BL1" s="600"/>
      <c r="BM1" s="600"/>
      <c r="BN1" s="600"/>
      <c r="BO1" s="600"/>
      <c r="BP1" s="600"/>
      <c r="BQ1" s="600"/>
      <c r="BR1" s="600"/>
      <c r="BS1" s="600"/>
      <c r="BT1" s="600"/>
      <c r="BU1" s="600"/>
      <c r="BV1" s="600"/>
      <c r="BW1" s="604"/>
      <c r="BX1" s="600"/>
      <c r="BY1" s="600"/>
      <c r="BZ1" s="600"/>
      <c r="CA1" s="600"/>
      <c r="CB1" s="600"/>
      <c r="CC1" s="358"/>
    </row>
    <row r="2" spans="1:81" x14ac:dyDescent="0.55000000000000004">
      <c r="A2" s="219" t="str">
        <f>CHOOSE(MO.DataSourceIndex,MO.Ticker.Bloomberg,MO.Ticker.CapIQ,MO.Ticker.FactSet,MO.Ticker.Thomson)</f>
        <v>META US</v>
      </c>
      <c r="B2" s="226"/>
      <c r="C2" s="126"/>
      <c r="D2" s="126"/>
      <c r="E2" s="126"/>
      <c r="F2" s="126"/>
      <c r="G2" s="126"/>
      <c r="H2" s="126"/>
      <c r="I2" s="126"/>
      <c r="J2" s="126"/>
      <c r="K2" s="126"/>
      <c r="L2" s="126"/>
      <c r="M2" s="126"/>
      <c r="N2" s="126"/>
      <c r="O2" s="143"/>
      <c r="P2" s="143"/>
      <c r="Q2" s="143"/>
      <c r="R2" s="143"/>
      <c r="S2" s="126"/>
      <c r="T2" s="126"/>
      <c r="U2" s="126"/>
      <c r="V2" s="143"/>
      <c r="W2" s="126"/>
      <c r="X2" s="126"/>
      <c r="Y2" s="126"/>
      <c r="Z2" s="143"/>
      <c r="AA2" s="126"/>
      <c r="AB2" s="126"/>
      <c r="AC2" s="126"/>
      <c r="AD2" s="143"/>
      <c r="AE2" s="126"/>
      <c r="AF2" s="126"/>
      <c r="AG2" s="126"/>
      <c r="AH2" s="143"/>
      <c r="AI2" s="126"/>
      <c r="AJ2" s="126"/>
      <c r="AK2" s="126"/>
      <c r="AL2" s="143"/>
      <c r="AM2" s="126"/>
      <c r="AN2" s="600"/>
      <c r="AO2" s="126"/>
      <c r="AP2" s="143"/>
      <c r="AQ2" s="126"/>
      <c r="AR2" s="600"/>
      <c r="AS2" s="126"/>
      <c r="AT2" s="143"/>
      <c r="AU2" s="126"/>
      <c r="AV2" s="600"/>
      <c r="AW2" s="126"/>
      <c r="AX2" s="143"/>
      <c r="AY2" s="276" t="s">
        <v>1094</v>
      </c>
      <c r="AZ2" s="126"/>
      <c r="BA2" s="126"/>
      <c r="BB2" s="126"/>
      <c r="BC2" s="126"/>
      <c r="BD2" s="126"/>
      <c r="BE2" s="126"/>
      <c r="BF2" s="126"/>
      <c r="BG2" s="126"/>
      <c r="BH2" s="560">
        <f>EOMONTH(BH4,-12)</f>
        <v>39813</v>
      </c>
      <c r="BI2" s="126"/>
      <c r="BJ2" s="126"/>
      <c r="BK2" s="126"/>
      <c r="BL2" s="126"/>
      <c r="BM2" s="126"/>
      <c r="BN2" s="126"/>
      <c r="BO2" s="143"/>
      <c r="BP2" s="143"/>
      <c r="BQ2" s="143"/>
      <c r="BR2" s="143"/>
      <c r="BS2" s="143"/>
      <c r="BT2" s="143"/>
      <c r="BU2" s="143"/>
      <c r="BV2" s="143"/>
      <c r="BW2" s="745"/>
      <c r="BX2" s="126"/>
      <c r="BY2" s="126"/>
      <c r="BZ2" s="126"/>
      <c r="CA2" s="126"/>
      <c r="CB2" s="126"/>
      <c r="CC2" s="122"/>
    </row>
    <row r="3" spans="1:81" x14ac:dyDescent="0.55000000000000004">
      <c r="A3" s="220" t="str">
        <f ca="1">HP.TradeCurrency</f>
        <v>USD</v>
      </c>
      <c r="B3" s="221">
        <f ca="1">IF(MO.RealTime="OFF",MO.LastPriceHardcoded,MO.LastPriceFormula)</f>
        <v>554.44000000000005</v>
      </c>
      <c r="C3" s="561">
        <f>C4-BK4</f>
        <v>90</v>
      </c>
      <c r="D3" s="561">
        <f>D4-C4</f>
        <v>91</v>
      </c>
      <c r="E3" s="561">
        <f>E4-D4</f>
        <v>92</v>
      </c>
      <c r="F3" s="561">
        <f>F4-E4</f>
        <v>92</v>
      </c>
      <c r="G3" s="561">
        <f>G4-BL4</f>
        <v>90</v>
      </c>
      <c r="H3" s="561">
        <f>H4-G4</f>
        <v>91</v>
      </c>
      <c r="I3" s="561">
        <f>I4-H4</f>
        <v>92</v>
      </c>
      <c r="J3" s="561">
        <f>J4-I4</f>
        <v>92</v>
      </c>
      <c r="K3" s="561">
        <f>K4-BM4</f>
        <v>90</v>
      </c>
      <c r="L3" s="561">
        <f>L4-K4</f>
        <v>91</v>
      </c>
      <c r="M3" s="561">
        <f>M4-L4</f>
        <v>92</v>
      </c>
      <c r="N3" s="561">
        <f>N4-M4</f>
        <v>92</v>
      </c>
      <c r="O3" s="561">
        <f>O4-BN4</f>
        <v>91</v>
      </c>
      <c r="P3" s="561">
        <f>P4-O4</f>
        <v>91</v>
      </c>
      <c r="Q3" s="561">
        <f>Q4-P4</f>
        <v>92</v>
      </c>
      <c r="R3" s="561">
        <f>R4-Q4</f>
        <v>92</v>
      </c>
      <c r="S3" s="561">
        <f>S4-BO4</f>
        <v>90</v>
      </c>
      <c r="T3" s="561">
        <f>T4-S4</f>
        <v>91</v>
      </c>
      <c r="U3" s="561">
        <f>U4-T4</f>
        <v>92</v>
      </c>
      <c r="V3" s="40">
        <f>V4-U4</f>
        <v>92</v>
      </c>
      <c r="W3" s="561">
        <f>W4-BP4</f>
        <v>90</v>
      </c>
      <c r="X3" s="561">
        <f>X4-W4</f>
        <v>91</v>
      </c>
      <c r="Y3" s="561">
        <f>Y4-X4</f>
        <v>92</v>
      </c>
      <c r="Z3" s="40">
        <f>Z4-Y4</f>
        <v>92</v>
      </c>
      <c r="AA3" s="561">
        <f>AA4-BQ4</f>
        <v>90</v>
      </c>
      <c r="AB3" s="561">
        <f>AB4-AA4</f>
        <v>91</v>
      </c>
      <c r="AC3" s="561">
        <f>AC4-AB4</f>
        <v>92</v>
      </c>
      <c r="AD3" s="40">
        <f>AD4-AC4</f>
        <v>92</v>
      </c>
      <c r="AE3" s="561">
        <f>AE4-BR4</f>
        <v>91</v>
      </c>
      <c r="AF3" s="561">
        <f>AF4-AE4</f>
        <v>91</v>
      </c>
      <c r="AG3" s="561">
        <f>AG4-AF4</f>
        <v>92</v>
      </c>
      <c r="AH3" s="40">
        <f>AH4-AG4</f>
        <v>92</v>
      </c>
      <c r="AI3" s="561">
        <f>AI4-BS4</f>
        <v>90</v>
      </c>
      <c r="AJ3" s="561">
        <f>AJ4-AI4</f>
        <v>91</v>
      </c>
      <c r="AK3" s="561">
        <f>AK4-AJ4</f>
        <v>92</v>
      </c>
      <c r="AL3" s="40">
        <f>AL4-AK4</f>
        <v>92</v>
      </c>
      <c r="AM3" s="561">
        <f>AM4-BT4</f>
        <v>90</v>
      </c>
      <c r="AN3" s="561">
        <f>AN4-AM4</f>
        <v>91</v>
      </c>
      <c r="AO3" s="561">
        <f>AO4-AN4</f>
        <v>92</v>
      </c>
      <c r="AP3" s="40">
        <f>AP4-AO4</f>
        <v>92</v>
      </c>
      <c r="AQ3" s="561">
        <f>AQ4-BU4</f>
        <v>90</v>
      </c>
      <c r="AR3" s="561">
        <f>AR4-AQ4</f>
        <v>91</v>
      </c>
      <c r="AS3" s="561">
        <f>AS4-AR4</f>
        <v>92</v>
      </c>
      <c r="AT3" s="40">
        <f>AT4-AS4</f>
        <v>92</v>
      </c>
      <c r="AU3" s="561">
        <f>AU4-BV4</f>
        <v>91</v>
      </c>
      <c r="AV3" s="561">
        <f>AV4-AU4</f>
        <v>91</v>
      </c>
      <c r="AW3" s="561">
        <f>AW4-AV4</f>
        <v>92</v>
      </c>
      <c r="AX3" s="40">
        <f>AX4-AW4</f>
        <v>92</v>
      </c>
      <c r="AY3" s="1161">
        <f>AY4-BW4</f>
        <v>90</v>
      </c>
      <c r="AZ3" s="40">
        <f>AZ4-AY4</f>
        <v>91</v>
      </c>
      <c r="BA3" s="40">
        <f>BA4-AZ4</f>
        <v>92</v>
      </c>
      <c r="BB3" s="40">
        <f>BB4-BA4</f>
        <v>92</v>
      </c>
      <c r="BC3" s="40">
        <f>BC4-BX4</f>
        <v>90</v>
      </c>
      <c r="BD3" s="40">
        <f>BD4-BC4</f>
        <v>91</v>
      </c>
      <c r="BE3" s="40">
        <f>BE4-BD4</f>
        <v>92</v>
      </c>
      <c r="BF3" s="40">
        <f>BF4-BE4</f>
        <v>92</v>
      </c>
      <c r="BG3" s="40"/>
      <c r="BH3" s="803">
        <f>BH4-BH2</f>
        <v>365</v>
      </c>
      <c r="BI3" s="803">
        <f t="shared" ref="BI3:CB3" si="0">BI4-BH4</f>
        <v>365</v>
      </c>
      <c r="BJ3" s="803">
        <f t="shared" si="0"/>
        <v>365</v>
      </c>
      <c r="BK3" s="803">
        <f t="shared" si="0"/>
        <v>366</v>
      </c>
      <c r="BL3" s="803">
        <f t="shared" si="0"/>
        <v>365</v>
      </c>
      <c r="BM3" s="803">
        <f t="shared" si="0"/>
        <v>365</v>
      </c>
      <c r="BN3" s="803">
        <f t="shared" si="0"/>
        <v>365</v>
      </c>
      <c r="BO3" s="803">
        <f t="shared" si="0"/>
        <v>366</v>
      </c>
      <c r="BP3" s="804">
        <f t="shared" si="0"/>
        <v>365</v>
      </c>
      <c r="BQ3" s="804">
        <f t="shared" si="0"/>
        <v>365</v>
      </c>
      <c r="BR3" s="804">
        <f t="shared" si="0"/>
        <v>365</v>
      </c>
      <c r="BS3" s="804">
        <f t="shared" si="0"/>
        <v>366</v>
      </c>
      <c r="BT3" s="804">
        <f t="shared" si="0"/>
        <v>365</v>
      </c>
      <c r="BU3" s="804">
        <f t="shared" si="0"/>
        <v>365</v>
      </c>
      <c r="BV3" s="804">
        <f t="shared" si="0"/>
        <v>365</v>
      </c>
      <c r="BW3" s="805">
        <f t="shared" si="0"/>
        <v>366</v>
      </c>
      <c r="BX3" s="804">
        <f t="shared" si="0"/>
        <v>365</v>
      </c>
      <c r="BY3" s="804">
        <f t="shared" si="0"/>
        <v>365</v>
      </c>
      <c r="BZ3" s="804">
        <f t="shared" si="0"/>
        <v>365</v>
      </c>
      <c r="CA3" s="804">
        <f t="shared" si="0"/>
        <v>366</v>
      </c>
      <c r="CB3" s="804">
        <f t="shared" si="0"/>
        <v>365</v>
      </c>
      <c r="CC3" s="222"/>
    </row>
    <row r="4" spans="1:81" x14ac:dyDescent="0.55000000000000004">
      <c r="A4" s="223" t="str">
        <f>FP.DataSourceName</f>
        <v>Bloomberg</v>
      </c>
      <c r="B4" s="140" t="str">
        <f ca="1">IF(AND(MO.RealTimeStockPriceToggle,MO.LastPriceFormula&lt;&gt;"N/A"),"ON","OFF")</f>
        <v>OFF</v>
      </c>
      <c r="C4" s="41">
        <f>EOMONTH(BK4,3)</f>
        <v>41364</v>
      </c>
      <c r="D4" s="41">
        <f>EOMONTH(C4,3)</f>
        <v>41455</v>
      </c>
      <c r="E4" s="41">
        <f>EOMONTH(D4,3)</f>
        <v>41547</v>
      </c>
      <c r="F4" s="41">
        <f>EOMONTH(E4,3)</f>
        <v>41639</v>
      </c>
      <c r="G4" s="41">
        <f>EOMONTH(BL4,3)</f>
        <v>41729</v>
      </c>
      <c r="H4" s="41">
        <f>EOMONTH(G4,3)</f>
        <v>41820</v>
      </c>
      <c r="I4" s="41">
        <f>EOMONTH(H4,3)</f>
        <v>41912</v>
      </c>
      <c r="J4" s="41">
        <f>EOMONTH(I4,3)</f>
        <v>42004</v>
      </c>
      <c r="K4" s="41">
        <f>EOMONTH(BM4,3)</f>
        <v>42094</v>
      </c>
      <c r="L4" s="41">
        <f>EOMONTH(K4,3)</f>
        <v>42185</v>
      </c>
      <c r="M4" s="41">
        <f>EOMONTH(L4,3)</f>
        <v>42277</v>
      </c>
      <c r="N4" s="41">
        <f>EOMONTH(M4,3)</f>
        <v>42369</v>
      </c>
      <c r="O4" s="562">
        <f>EOMONTH(BN4,3)</f>
        <v>42460</v>
      </c>
      <c r="P4" s="562">
        <f>EOMONTH(O4,3)</f>
        <v>42551</v>
      </c>
      <c r="Q4" s="562">
        <f>EOMONTH(P4,3)</f>
        <v>42643</v>
      </c>
      <c r="R4" s="41">
        <f>EOMONTH(Q4,3)</f>
        <v>42735</v>
      </c>
      <c r="S4" s="562">
        <f>EOMONTH(BO4,3)</f>
        <v>42825</v>
      </c>
      <c r="T4" s="562">
        <f>EOMONTH(S4,3)</f>
        <v>42916</v>
      </c>
      <c r="U4" s="562">
        <f>EOMONTH(T4,3)</f>
        <v>43008</v>
      </c>
      <c r="V4" s="41">
        <f>EOMONTH(U4,3)</f>
        <v>43100</v>
      </c>
      <c r="W4" s="562">
        <f>EOMONTH(BP4,3)</f>
        <v>43190</v>
      </c>
      <c r="X4" s="562">
        <f>EOMONTH(W4,3)</f>
        <v>43281</v>
      </c>
      <c r="Y4" s="562">
        <f>EOMONTH(X4,3)</f>
        <v>43373</v>
      </c>
      <c r="Z4" s="41">
        <f>EOMONTH(Y4,3)</f>
        <v>43465</v>
      </c>
      <c r="AA4" s="562">
        <f>EOMONTH(BQ4,3)</f>
        <v>43555</v>
      </c>
      <c r="AB4" s="562">
        <f>EOMONTH(AA4,3)</f>
        <v>43646</v>
      </c>
      <c r="AC4" s="562">
        <f>EOMONTH(AB4,3)</f>
        <v>43738</v>
      </c>
      <c r="AD4" s="41">
        <f>EOMONTH(AC4,3)</f>
        <v>43830</v>
      </c>
      <c r="AE4" s="562">
        <f>EOMONTH(BR4,3)</f>
        <v>43921</v>
      </c>
      <c r="AF4" s="562">
        <f>EOMONTH(AE4,3)</f>
        <v>44012</v>
      </c>
      <c r="AG4" s="562">
        <f>EOMONTH(AF4,3)</f>
        <v>44104</v>
      </c>
      <c r="AH4" s="41">
        <f>EOMONTH(AG4,3)</f>
        <v>44196</v>
      </c>
      <c r="AI4" s="562">
        <f>EOMONTH(BS4,3)</f>
        <v>44286</v>
      </c>
      <c r="AJ4" s="562">
        <f>EOMONTH(AI4,3)</f>
        <v>44377</v>
      </c>
      <c r="AK4" s="562">
        <f>EOMONTH(AJ4,3)</f>
        <v>44469</v>
      </c>
      <c r="AL4" s="41">
        <f>EOMONTH(AK4,3)</f>
        <v>44561</v>
      </c>
      <c r="AM4" s="562">
        <f>EOMONTH(BT4,3)</f>
        <v>44651</v>
      </c>
      <c r="AN4" s="562">
        <f>EOMONTH(AM4,3)</f>
        <v>44742</v>
      </c>
      <c r="AO4" s="562">
        <f>EOMONTH(AN4,3)</f>
        <v>44834</v>
      </c>
      <c r="AP4" s="41">
        <f>EOMONTH(AO4,3)</f>
        <v>44926</v>
      </c>
      <c r="AQ4" s="562">
        <f>EOMONTH(BU4,3)</f>
        <v>45016</v>
      </c>
      <c r="AR4" s="562">
        <f>EOMONTH(AQ4,3)</f>
        <v>45107</v>
      </c>
      <c r="AS4" s="562">
        <f>EOMONTH(AR4,3)</f>
        <v>45199</v>
      </c>
      <c r="AT4" s="41">
        <f>EOMONTH(AS4,3)</f>
        <v>45291</v>
      </c>
      <c r="AU4" s="562">
        <f>EOMONTH(BV4,3)</f>
        <v>45382</v>
      </c>
      <c r="AV4" s="562">
        <f>EOMONTH(AU4,3)</f>
        <v>45473</v>
      </c>
      <c r="AW4" s="562">
        <f>EOMONTH(AV4,3)</f>
        <v>45565</v>
      </c>
      <c r="AX4" s="41">
        <f>EOMONTH(AW4,3)</f>
        <v>45657</v>
      </c>
      <c r="AY4" s="1162">
        <f>EOMONTH(BW4,3)</f>
        <v>45747</v>
      </c>
      <c r="AZ4" s="41">
        <f>EOMONTH(AY4,3)</f>
        <v>45838</v>
      </c>
      <c r="BA4" s="41">
        <f>EOMONTH(AZ4,3)</f>
        <v>45930</v>
      </c>
      <c r="BB4" s="41">
        <f>EOMONTH(BA4,3)</f>
        <v>46022</v>
      </c>
      <c r="BC4" s="41">
        <f>EOMONTH(BX4,3)</f>
        <v>46112</v>
      </c>
      <c r="BD4" s="41">
        <f>EOMONTH(BC4,3)</f>
        <v>46203</v>
      </c>
      <c r="BE4" s="41">
        <f>EOMONTH(BD4,3)</f>
        <v>46295</v>
      </c>
      <c r="BF4" s="41">
        <f>EOMONTH(BE4,3)</f>
        <v>46387</v>
      </c>
      <c r="BG4" s="41"/>
      <c r="BH4" s="806">
        <v>40178</v>
      </c>
      <c r="BI4" s="807">
        <f>EOMONTH(BH4,12)</f>
        <v>40543</v>
      </c>
      <c r="BJ4" s="807">
        <f>EOMONTH(BI4,12)</f>
        <v>40908</v>
      </c>
      <c r="BK4" s="807">
        <f>EOMONTH(BJ4,12)</f>
        <v>41274</v>
      </c>
      <c r="BL4" s="807">
        <f>F4</f>
        <v>41639</v>
      </c>
      <c r="BM4" s="807">
        <f>J4</f>
        <v>42004</v>
      </c>
      <c r="BN4" s="807">
        <f>N4</f>
        <v>42369</v>
      </c>
      <c r="BO4" s="807">
        <f>R4</f>
        <v>42735</v>
      </c>
      <c r="BP4" s="807">
        <f>V4</f>
        <v>43100</v>
      </c>
      <c r="BQ4" s="807">
        <f>Z4</f>
        <v>43465</v>
      </c>
      <c r="BR4" s="807">
        <f>AD4</f>
        <v>43830</v>
      </c>
      <c r="BS4" s="807">
        <f>AH4</f>
        <v>44196</v>
      </c>
      <c r="BT4" s="807">
        <f>AL4</f>
        <v>44561</v>
      </c>
      <c r="BU4" s="807">
        <f>AP4</f>
        <v>44926</v>
      </c>
      <c r="BV4" s="807">
        <f>AT4</f>
        <v>45291</v>
      </c>
      <c r="BW4" s="808">
        <f>AX4</f>
        <v>45657</v>
      </c>
      <c r="BX4" s="807">
        <f>BB4</f>
        <v>46022</v>
      </c>
      <c r="BY4" s="807">
        <f>BF4</f>
        <v>46387</v>
      </c>
      <c r="BZ4" s="807">
        <f>EOMONTH(BY4,12)</f>
        <v>46752</v>
      </c>
      <c r="CA4" s="807">
        <f>EOMONTH(BZ4,12)</f>
        <v>47118</v>
      </c>
      <c r="CB4" s="807">
        <f>EOMONTH(CA4,12)</f>
        <v>47483</v>
      </c>
      <c r="CC4" s="115"/>
    </row>
    <row r="5" spans="1:81" x14ac:dyDescent="0.55000000000000004">
      <c r="A5" s="43" t="str">
        <f>MO.ReportCurrency</f>
        <v>USD</v>
      </c>
      <c r="B5" s="227"/>
      <c r="C5" s="32" t="s">
        <v>1096</v>
      </c>
      <c r="D5" s="32" t="s">
        <v>1097</v>
      </c>
      <c r="E5" s="32" t="s">
        <v>1098</v>
      </c>
      <c r="F5" s="32" t="s">
        <v>1099</v>
      </c>
      <c r="G5" s="32" t="s">
        <v>1100</v>
      </c>
      <c r="H5" s="32" t="s">
        <v>1101</v>
      </c>
      <c r="I5" s="32" t="s">
        <v>1102</v>
      </c>
      <c r="J5" s="32" t="s">
        <v>1103</v>
      </c>
      <c r="K5" s="32" t="s">
        <v>1104</v>
      </c>
      <c r="L5" s="32" t="s">
        <v>1105</v>
      </c>
      <c r="M5" s="32" t="s">
        <v>1106</v>
      </c>
      <c r="N5" s="32" t="s">
        <v>1107</v>
      </c>
      <c r="O5" s="563" t="s">
        <v>392</v>
      </c>
      <c r="P5" s="563" t="s">
        <v>341</v>
      </c>
      <c r="Q5" s="563" t="s">
        <v>339</v>
      </c>
      <c r="R5" s="32" t="s">
        <v>1108</v>
      </c>
      <c r="S5" s="563" t="s">
        <v>335</v>
      </c>
      <c r="T5" s="563" t="s">
        <v>333</v>
      </c>
      <c r="U5" s="563" t="s">
        <v>331</v>
      </c>
      <c r="V5" s="32" t="s">
        <v>1109</v>
      </c>
      <c r="W5" s="563" t="s">
        <v>327</v>
      </c>
      <c r="X5" s="563" t="s">
        <v>325</v>
      </c>
      <c r="Y5" s="563" t="s">
        <v>323</v>
      </c>
      <c r="Z5" s="32" t="s">
        <v>1110</v>
      </c>
      <c r="AA5" s="563" t="s">
        <v>349</v>
      </c>
      <c r="AB5" s="563" t="s">
        <v>354</v>
      </c>
      <c r="AC5" s="563" t="s">
        <v>371</v>
      </c>
      <c r="AD5" s="32" t="s">
        <v>379</v>
      </c>
      <c r="AE5" s="563" t="s">
        <v>401</v>
      </c>
      <c r="AF5" s="563" t="s">
        <v>421</v>
      </c>
      <c r="AG5" s="563" t="s">
        <v>423</v>
      </c>
      <c r="AH5" s="32" t="s">
        <v>446</v>
      </c>
      <c r="AI5" s="563" t="s">
        <v>449</v>
      </c>
      <c r="AJ5" s="563" t="s">
        <v>451</v>
      </c>
      <c r="AK5" s="563" t="s">
        <v>491</v>
      </c>
      <c r="AL5" s="32" t="s">
        <v>495</v>
      </c>
      <c r="AM5" s="563" t="s">
        <v>536</v>
      </c>
      <c r="AN5" s="563" t="s">
        <v>570</v>
      </c>
      <c r="AO5" s="563" t="s">
        <v>600</v>
      </c>
      <c r="AP5" s="32" t="s">
        <v>608</v>
      </c>
      <c r="AQ5" s="563" t="s">
        <v>617</v>
      </c>
      <c r="AR5" s="563" t="s">
        <v>697</v>
      </c>
      <c r="AS5" s="563" t="s">
        <v>841</v>
      </c>
      <c r="AT5" s="32" t="s">
        <v>868</v>
      </c>
      <c r="AU5" s="563" t="s">
        <v>875</v>
      </c>
      <c r="AV5" s="563" t="s">
        <v>1010</v>
      </c>
      <c r="AW5" s="563" t="s">
        <v>1053</v>
      </c>
      <c r="AX5" s="32" t="s">
        <v>1058</v>
      </c>
      <c r="AY5" s="622" t="s">
        <v>1082</v>
      </c>
      <c r="AZ5" s="32" t="s">
        <v>1095</v>
      </c>
      <c r="BA5" s="32" t="s">
        <v>1111</v>
      </c>
      <c r="BB5" s="32" t="s">
        <v>1112</v>
      </c>
      <c r="BC5" s="32" t="str">
        <f>CONCATENATE("Q1","-",RIGHT(BX5,4)+1)</f>
        <v>Q1-2026</v>
      </c>
      <c r="BD5" s="32" t="str">
        <f>CONCATENATE("Q2","-",RIGHT(BC5,4))</f>
        <v>Q2-2026</v>
      </c>
      <c r="BE5" s="32" t="str">
        <f>CONCATENATE("Q3","-",RIGHT(BD5,4))</f>
        <v>Q3-2026</v>
      </c>
      <c r="BF5" s="32" t="str">
        <f>CONCATENATE("Q4","-",RIGHT(BE5,4))</f>
        <v>Q4-2026</v>
      </c>
      <c r="BG5" s="32"/>
      <c r="BH5" s="809" t="s">
        <v>11</v>
      </c>
      <c r="BI5" s="810" t="s">
        <v>1117</v>
      </c>
      <c r="BJ5" s="810" t="s">
        <v>1118</v>
      </c>
      <c r="BK5" s="810" t="s">
        <v>1119</v>
      </c>
      <c r="BL5" s="810" t="s">
        <v>1120</v>
      </c>
      <c r="BM5" s="810" t="s">
        <v>1121</v>
      </c>
      <c r="BN5" s="810" t="s">
        <v>1122</v>
      </c>
      <c r="BO5" s="810" t="s">
        <v>337</v>
      </c>
      <c r="BP5" s="810" t="s">
        <v>329</v>
      </c>
      <c r="BQ5" s="810" t="s">
        <v>391</v>
      </c>
      <c r="BR5" s="810" t="s">
        <v>373</v>
      </c>
      <c r="BS5" s="810" t="s">
        <v>382</v>
      </c>
      <c r="BT5" s="810" t="s">
        <v>445</v>
      </c>
      <c r="BU5" s="810" t="s">
        <v>493</v>
      </c>
      <c r="BV5" s="810" t="s">
        <v>609</v>
      </c>
      <c r="BW5" s="811" t="s">
        <v>869</v>
      </c>
      <c r="BX5" s="810" t="s">
        <v>1084</v>
      </c>
      <c r="BY5" s="810" t="str">
        <f>CONCATENATE("FY",RIGHT(BX5,4)+1)</f>
        <v>FY2026</v>
      </c>
      <c r="BZ5" s="810" t="s">
        <v>1124</v>
      </c>
      <c r="CA5" s="810" t="s">
        <v>1125</v>
      </c>
      <c r="CB5" s="810" t="str">
        <f>CONCATENATE("FY",RIGHT(CA5,4)+1)</f>
        <v>FY2029</v>
      </c>
      <c r="CC5" s="122"/>
    </row>
    <row r="6" spans="1:81" x14ac:dyDescent="0.55000000000000004">
      <c r="A6" s="598" t="s">
        <v>459</v>
      </c>
      <c r="B6" s="598"/>
      <c r="C6" s="598"/>
      <c r="D6" s="598"/>
      <c r="E6" s="598"/>
      <c r="F6" s="598"/>
      <c r="G6" s="598"/>
      <c r="H6" s="598"/>
      <c r="I6" s="598"/>
      <c r="J6" s="598"/>
      <c r="K6" s="598"/>
      <c r="L6" s="598"/>
      <c r="M6" s="598"/>
      <c r="N6" s="598"/>
      <c r="O6" s="598"/>
      <c r="P6" s="598"/>
      <c r="Q6" s="598"/>
      <c r="R6" s="598"/>
      <c r="S6" s="598"/>
      <c r="T6" s="598"/>
      <c r="U6" s="598"/>
      <c r="V6" s="598"/>
      <c r="W6" s="598"/>
      <c r="X6" s="598"/>
      <c r="Y6" s="598"/>
      <c r="Z6" s="598"/>
      <c r="AA6" s="598"/>
      <c r="AB6" s="598"/>
      <c r="AC6" s="598"/>
      <c r="AD6" s="598"/>
      <c r="AE6" s="598"/>
      <c r="AF6" s="598"/>
      <c r="AG6" s="598"/>
      <c r="AH6" s="598"/>
      <c r="AI6" s="598"/>
      <c r="AJ6" s="598"/>
      <c r="AK6" s="598"/>
      <c r="AL6" s="598"/>
      <c r="AM6" s="598"/>
      <c r="AN6" s="598"/>
      <c r="AO6" s="598"/>
      <c r="AP6" s="598"/>
      <c r="AQ6" s="598"/>
      <c r="AR6" s="598"/>
      <c r="AS6" s="598"/>
      <c r="AT6" s="598"/>
      <c r="AU6" s="598"/>
      <c r="AV6" s="598"/>
      <c r="AW6" s="598"/>
      <c r="AX6" s="598"/>
      <c r="AY6" s="599"/>
      <c r="AZ6" s="598"/>
      <c r="BA6" s="598"/>
      <c r="BB6" s="598"/>
      <c r="BC6" s="598"/>
      <c r="BD6" s="598"/>
      <c r="BE6" s="598"/>
      <c r="BF6" s="598"/>
      <c r="BG6" s="598"/>
      <c r="BH6" s="598"/>
      <c r="BI6" s="598"/>
      <c r="BJ6" s="598"/>
      <c r="BK6" s="598"/>
      <c r="BL6" s="598"/>
      <c r="BM6" s="598"/>
      <c r="BN6" s="598"/>
      <c r="BO6" s="598"/>
      <c r="BP6" s="598"/>
      <c r="BQ6" s="598"/>
      <c r="BR6" s="598"/>
      <c r="BS6" s="598"/>
      <c r="BT6" s="598"/>
      <c r="BU6" s="598"/>
      <c r="BV6" s="598"/>
      <c r="BW6" s="599"/>
      <c r="BX6" s="598"/>
      <c r="BY6" s="598"/>
      <c r="BZ6" s="598"/>
      <c r="CA6" s="598"/>
      <c r="CB6" s="598"/>
      <c r="CC6" s="217"/>
    </row>
    <row r="7" spans="1:81" s="703" customFormat="1" outlineLevel="1" x14ac:dyDescent="0.55000000000000004">
      <c r="A7" s="19" t="s">
        <v>485</v>
      </c>
      <c r="B7" s="232"/>
      <c r="C7" s="6">
        <f t="shared" ref="C7:AT7" si="1">C231</f>
        <v>1110</v>
      </c>
      <c r="D7" s="6">
        <f t="shared" si="1"/>
        <v>1155</v>
      </c>
      <c r="E7" s="6">
        <f t="shared" si="1"/>
        <v>1188</v>
      </c>
      <c r="F7" s="6">
        <f t="shared" si="1"/>
        <v>1227</v>
      </c>
      <c r="G7" s="6">
        <f t="shared" si="1"/>
        <v>1276</v>
      </c>
      <c r="H7" s="6">
        <f t="shared" si="1"/>
        <v>1317</v>
      </c>
      <c r="I7" s="6">
        <f t="shared" si="1"/>
        <v>1351</v>
      </c>
      <c r="J7" s="6">
        <f t="shared" si="1"/>
        <v>1394</v>
      </c>
      <c r="K7" s="6">
        <f t="shared" si="1"/>
        <v>1441</v>
      </c>
      <c r="L7" s="6">
        <f t="shared" si="1"/>
        <v>1491</v>
      </c>
      <c r="M7" s="6">
        <f t="shared" si="1"/>
        <v>1546</v>
      </c>
      <c r="N7" s="6">
        <f t="shared" si="1"/>
        <v>1591</v>
      </c>
      <c r="O7" s="6">
        <f t="shared" si="1"/>
        <v>1654</v>
      </c>
      <c r="P7" s="6">
        <f t="shared" si="1"/>
        <v>1712</v>
      </c>
      <c r="Q7" s="6">
        <f t="shared" si="1"/>
        <v>1787</v>
      </c>
      <c r="R7" s="35">
        <f t="shared" si="1"/>
        <v>1859</v>
      </c>
      <c r="S7" s="6">
        <f t="shared" si="1"/>
        <v>1936</v>
      </c>
      <c r="T7" s="6">
        <f t="shared" si="1"/>
        <v>2006</v>
      </c>
      <c r="U7" s="6">
        <f t="shared" si="1"/>
        <v>2072</v>
      </c>
      <c r="V7" s="35">
        <f t="shared" si="1"/>
        <v>2129</v>
      </c>
      <c r="W7" s="6">
        <f t="shared" si="1"/>
        <v>2196</v>
      </c>
      <c r="X7" s="6">
        <f t="shared" si="1"/>
        <v>2234</v>
      </c>
      <c r="Y7" s="6">
        <f t="shared" si="1"/>
        <v>2270</v>
      </c>
      <c r="Z7" s="35">
        <f t="shared" si="1"/>
        <v>2320</v>
      </c>
      <c r="AA7" s="6">
        <f t="shared" si="1"/>
        <v>2376</v>
      </c>
      <c r="AB7" s="6">
        <f t="shared" si="1"/>
        <v>2414</v>
      </c>
      <c r="AC7" s="6">
        <f t="shared" si="1"/>
        <v>2449</v>
      </c>
      <c r="AD7" s="35">
        <f t="shared" si="1"/>
        <v>2497</v>
      </c>
      <c r="AE7" s="6">
        <f t="shared" si="1"/>
        <v>2603</v>
      </c>
      <c r="AF7" s="6">
        <f t="shared" si="1"/>
        <v>2700</v>
      </c>
      <c r="AG7" s="6">
        <f t="shared" si="1"/>
        <v>2740</v>
      </c>
      <c r="AH7" s="35">
        <f t="shared" si="1"/>
        <v>2797</v>
      </c>
      <c r="AI7" s="6">
        <f t="shared" si="1"/>
        <v>2852</v>
      </c>
      <c r="AJ7" s="6">
        <f t="shared" si="1"/>
        <v>2895</v>
      </c>
      <c r="AK7" s="6">
        <f t="shared" si="1"/>
        <v>2911</v>
      </c>
      <c r="AL7" s="35">
        <f t="shared" si="1"/>
        <v>2912</v>
      </c>
      <c r="AM7" s="6">
        <f t="shared" si="1"/>
        <v>2935</v>
      </c>
      <c r="AN7" s="6">
        <f t="shared" si="1"/>
        <v>2935</v>
      </c>
      <c r="AO7" s="6">
        <f t="shared" si="1"/>
        <v>2957</v>
      </c>
      <c r="AP7" s="35">
        <f t="shared" si="1"/>
        <v>2964</v>
      </c>
      <c r="AQ7" s="6">
        <f t="shared" si="1"/>
        <v>2990</v>
      </c>
      <c r="AR7" s="6">
        <f t="shared" si="1"/>
        <v>3030</v>
      </c>
      <c r="AS7" s="6">
        <f t="shared" si="1"/>
        <v>3049</v>
      </c>
      <c r="AT7" s="35">
        <f t="shared" si="1"/>
        <v>3065</v>
      </c>
      <c r="AU7" s="35"/>
      <c r="AV7" s="35"/>
      <c r="AW7" s="35"/>
      <c r="AX7" s="35"/>
      <c r="AY7" s="272"/>
      <c r="AZ7" s="35"/>
      <c r="BA7" s="35"/>
      <c r="BB7" s="35"/>
      <c r="BC7" s="35"/>
      <c r="BD7" s="35"/>
      <c r="BE7" s="35"/>
      <c r="BF7" s="35"/>
      <c r="BG7" s="35"/>
      <c r="BH7" s="812"/>
      <c r="BI7" s="813">
        <f t="shared" ref="BI7:BV7" si="2">BI231</f>
        <v>518</v>
      </c>
      <c r="BJ7" s="813">
        <f t="shared" si="2"/>
        <v>766</v>
      </c>
      <c r="BK7" s="813">
        <f t="shared" si="2"/>
        <v>979.75</v>
      </c>
      <c r="BL7" s="813">
        <f t="shared" si="2"/>
        <v>1170</v>
      </c>
      <c r="BM7" s="813">
        <f t="shared" si="2"/>
        <v>1334.5</v>
      </c>
      <c r="BN7" s="813">
        <f t="shared" si="2"/>
        <v>1517.25</v>
      </c>
      <c r="BO7" s="813">
        <f t="shared" si="2"/>
        <v>1753</v>
      </c>
      <c r="BP7" s="813">
        <f t="shared" si="2"/>
        <v>2035.75</v>
      </c>
      <c r="BQ7" s="813">
        <f t="shared" si="2"/>
        <v>2255</v>
      </c>
      <c r="BR7" s="813">
        <f t="shared" si="2"/>
        <v>2434</v>
      </c>
      <c r="BS7" s="813">
        <f t="shared" si="2"/>
        <v>2710</v>
      </c>
      <c r="BT7" s="813">
        <f t="shared" si="2"/>
        <v>2892.5</v>
      </c>
      <c r="BU7" s="813">
        <f t="shared" si="2"/>
        <v>2947.75</v>
      </c>
      <c r="BV7" s="813">
        <f t="shared" si="2"/>
        <v>3033.5</v>
      </c>
      <c r="BW7" s="814"/>
      <c r="BX7" s="812"/>
      <c r="BY7" s="812"/>
      <c r="BZ7" s="812"/>
      <c r="CA7" s="812"/>
      <c r="CB7" s="812"/>
      <c r="CC7" s="6"/>
    </row>
    <row r="8" spans="1:81" s="704" customFormat="1" outlineLevel="1" x14ac:dyDescent="0.55000000000000004">
      <c r="A8" s="48" t="s">
        <v>483</v>
      </c>
      <c r="B8" s="298"/>
      <c r="C8" s="54"/>
      <c r="D8" s="83">
        <f t="shared" ref="D8:AT8" si="3">D7/C7-1</f>
        <v>4.0540540540540571E-2</v>
      </c>
      <c r="E8" s="83">
        <f t="shared" si="3"/>
        <v>2.857142857142847E-2</v>
      </c>
      <c r="F8" s="83">
        <f t="shared" si="3"/>
        <v>3.2828282828282873E-2</v>
      </c>
      <c r="G8" s="83">
        <f t="shared" si="3"/>
        <v>3.9934800325998276E-2</v>
      </c>
      <c r="H8" s="83">
        <f t="shared" si="3"/>
        <v>3.2131661442006187E-2</v>
      </c>
      <c r="I8" s="83">
        <f t="shared" si="3"/>
        <v>2.5816249050873097E-2</v>
      </c>
      <c r="J8" s="83">
        <f t="shared" si="3"/>
        <v>3.1828275351591495E-2</v>
      </c>
      <c r="K8" s="83">
        <f t="shared" si="3"/>
        <v>3.3715925394548041E-2</v>
      </c>
      <c r="L8" s="83">
        <f t="shared" si="3"/>
        <v>3.4698126301179633E-2</v>
      </c>
      <c r="M8" s="83">
        <f t="shared" si="3"/>
        <v>3.6887994634473564E-2</v>
      </c>
      <c r="N8" s="83">
        <f t="shared" si="3"/>
        <v>2.9107373868046515E-2</v>
      </c>
      <c r="O8" s="83">
        <f t="shared" si="3"/>
        <v>3.9597737272155875E-2</v>
      </c>
      <c r="P8" s="83">
        <f t="shared" si="3"/>
        <v>3.5066505441354368E-2</v>
      </c>
      <c r="Q8" s="83">
        <f t="shared" si="3"/>
        <v>4.3808411214953269E-2</v>
      </c>
      <c r="R8" s="54">
        <f t="shared" si="3"/>
        <v>4.0290990486849365E-2</v>
      </c>
      <c r="S8" s="83">
        <f t="shared" si="3"/>
        <v>4.1420118343195256E-2</v>
      </c>
      <c r="T8" s="83">
        <f t="shared" si="3"/>
        <v>3.6157024793388448E-2</v>
      </c>
      <c r="U8" s="83">
        <f t="shared" si="3"/>
        <v>3.2901296111665035E-2</v>
      </c>
      <c r="V8" s="54">
        <f t="shared" si="3"/>
        <v>2.7509652509652538E-2</v>
      </c>
      <c r="W8" s="83">
        <f t="shared" si="3"/>
        <v>3.1470173790511868E-2</v>
      </c>
      <c r="X8" s="83">
        <f t="shared" si="3"/>
        <v>1.7304189435336959E-2</v>
      </c>
      <c r="Y8" s="83">
        <f t="shared" si="3"/>
        <v>1.6114592658907689E-2</v>
      </c>
      <c r="Z8" s="54">
        <f t="shared" si="3"/>
        <v>2.2026431718061623E-2</v>
      </c>
      <c r="AA8" s="83">
        <f t="shared" si="3"/>
        <v>2.4137931034482696E-2</v>
      </c>
      <c r="AB8" s="83">
        <f t="shared" si="3"/>
        <v>1.5993265993266004E-2</v>
      </c>
      <c r="AC8" s="83">
        <f t="shared" si="3"/>
        <v>1.4498757249378658E-2</v>
      </c>
      <c r="AD8" s="54">
        <f t="shared" si="3"/>
        <v>1.959983666802767E-2</v>
      </c>
      <c r="AE8" s="83">
        <f t="shared" si="3"/>
        <v>4.2450941129355213E-2</v>
      </c>
      <c r="AF8" s="83">
        <f t="shared" si="3"/>
        <v>3.7264694583173164E-2</v>
      </c>
      <c r="AG8" s="83">
        <f t="shared" si="3"/>
        <v>1.4814814814814836E-2</v>
      </c>
      <c r="AH8" s="54">
        <f t="shared" si="3"/>
        <v>2.0802919708029277E-2</v>
      </c>
      <c r="AI8" s="83">
        <f t="shared" si="3"/>
        <v>1.9663925634608503E-2</v>
      </c>
      <c r="AJ8" s="83">
        <f t="shared" si="3"/>
        <v>1.5077138849929783E-2</v>
      </c>
      <c r="AK8" s="83">
        <f t="shared" si="3"/>
        <v>5.5267702936097063E-3</v>
      </c>
      <c r="AL8" s="54">
        <f t="shared" si="3"/>
        <v>3.435245620062588E-4</v>
      </c>
      <c r="AM8" s="83">
        <f t="shared" si="3"/>
        <v>7.8983516483517313E-3</v>
      </c>
      <c r="AN8" s="83">
        <f t="shared" si="3"/>
        <v>0</v>
      </c>
      <c r="AO8" s="83">
        <f t="shared" si="3"/>
        <v>7.4957410562179749E-3</v>
      </c>
      <c r="AP8" s="54">
        <f t="shared" si="3"/>
        <v>2.367264119039536E-3</v>
      </c>
      <c r="AQ8" s="83">
        <f t="shared" si="3"/>
        <v>8.7719298245614308E-3</v>
      </c>
      <c r="AR8" s="83">
        <f t="shared" si="3"/>
        <v>1.3377926421404673E-2</v>
      </c>
      <c r="AS8" s="83">
        <f t="shared" si="3"/>
        <v>6.2706270627062022E-3</v>
      </c>
      <c r="AT8" s="54">
        <f t="shared" si="3"/>
        <v>5.2476221712036697E-3</v>
      </c>
      <c r="AU8" s="54"/>
      <c r="AV8" s="54"/>
      <c r="AW8" s="54"/>
      <c r="AX8" s="54"/>
      <c r="AY8" s="623"/>
      <c r="AZ8" s="54"/>
      <c r="BA8" s="54"/>
      <c r="BB8" s="54"/>
      <c r="BC8" s="54"/>
      <c r="BD8" s="54"/>
      <c r="BE8" s="54"/>
      <c r="BF8" s="54"/>
      <c r="BG8" s="54"/>
      <c r="BH8" s="815"/>
      <c r="BI8" s="815"/>
      <c r="BJ8" s="815"/>
      <c r="BK8" s="815"/>
      <c r="BL8" s="815"/>
      <c r="BM8" s="815"/>
      <c r="BN8" s="815"/>
      <c r="BO8" s="815"/>
      <c r="BP8" s="815"/>
      <c r="BQ8" s="815"/>
      <c r="BR8" s="815"/>
      <c r="BS8" s="815"/>
      <c r="BT8" s="815"/>
      <c r="BU8" s="815"/>
      <c r="BV8" s="815"/>
      <c r="BW8" s="816"/>
      <c r="BX8" s="815"/>
      <c r="BY8" s="815"/>
      <c r="BZ8" s="815"/>
      <c r="CA8" s="815"/>
      <c r="CB8" s="815"/>
      <c r="CC8" s="83"/>
    </row>
    <row r="9" spans="1:81" s="705" customFormat="1" outlineLevel="1" x14ac:dyDescent="0.55000000000000004">
      <c r="A9" s="48" t="s">
        <v>480</v>
      </c>
      <c r="B9" s="286"/>
      <c r="C9" s="224"/>
      <c r="D9" s="224"/>
      <c r="E9" s="224"/>
      <c r="F9" s="224"/>
      <c r="G9" s="564">
        <f t="shared" ref="G9:AT9" si="4">G7/C7-1</f>
        <v>0.14954954954954958</v>
      </c>
      <c r="H9" s="564">
        <f t="shared" si="4"/>
        <v>0.14025974025974031</v>
      </c>
      <c r="I9" s="564">
        <f t="shared" si="4"/>
        <v>0.13720538720538711</v>
      </c>
      <c r="J9" s="564">
        <f t="shared" si="4"/>
        <v>0.13610431947840262</v>
      </c>
      <c r="K9" s="564">
        <f t="shared" si="4"/>
        <v>0.1293103448275863</v>
      </c>
      <c r="L9" s="564">
        <f t="shared" si="4"/>
        <v>0.13211845102505704</v>
      </c>
      <c r="M9" s="564">
        <f t="shared" si="4"/>
        <v>0.14433752775721698</v>
      </c>
      <c r="N9" s="564">
        <f t="shared" si="4"/>
        <v>0.14131994261119085</v>
      </c>
      <c r="O9" s="564">
        <f t="shared" si="4"/>
        <v>0.14781401804302563</v>
      </c>
      <c r="P9" s="564">
        <f t="shared" si="4"/>
        <v>0.14822266934942996</v>
      </c>
      <c r="Q9" s="564">
        <f t="shared" si="4"/>
        <v>0.1558861578266495</v>
      </c>
      <c r="R9" s="564">
        <f t="shared" si="4"/>
        <v>0.16844751728472662</v>
      </c>
      <c r="S9" s="564">
        <f t="shared" si="4"/>
        <v>0.17049576783555009</v>
      </c>
      <c r="T9" s="564">
        <f t="shared" si="4"/>
        <v>0.17172897196261672</v>
      </c>
      <c r="U9" s="564">
        <f t="shared" si="4"/>
        <v>0.15948517067711254</v>
      </c>
      <c r="V9" s="564">
        <f t="shared" si="4"/>
        <v>0.14523937600860681</v>
      </c>
      <c r="W9" s="564">
        <f t="shared" si="4"/>
        <v>0.13429752066115697</v>
      </c>
      <c r="X9" s="564">
        <f t="shared" si="4"/>
        <v>0.11365902293120644</v>
      </c>
      <c r="Y9" s="564">
        <f t="shared" si="4"/>
        <v>9.5559845559845646E-2</v>
      </c>
      <c r="Z9" s="564">
        <f t="shared" si="4"/>
        <v>8.9713480507280341E-2</v>
      </c>
      <c r="AA9" s="564">
        <f t="shared" si="4"/>
        <v>8.1967213114754189E-2</v>
      </c>
      <c r="AB9" s="564">
        <f t="shared" si="4"/>
        <v>8.0572963294538891E-2</v>
      </c>
      <c r="AC9" s="564">
        <f t="shared" si="4"/>
        <v>7.8854625550660806E-2</v>
      </c>
      <c r="AD9" s="564">
        <f t="shared" si="4"/>
        <v>7.629310344827589E-2</v>
      </c>
      <c r="AE9" s="564">
        <f t="shared" si="4"/>
        <v>9.553872053872059E-2</v>
      </c>
      <c r="AF9" s="564">
        <f t="shared" si="4"/>
        <v>0.11847555923777953</v>
      </c>
      <c r="AG9" s="564">
        <f t="shared" si="4"/>
        <v>0.11882400979991825</v>
      </c>
      <c r="AH9" s="564">
        <f t="shared" si="4"/>
        <v>0.12014417300760916</v>
      </c>
      <c r="AI9" s="564">
        <f t="shared" si="4"/>
        <v>9.565885516711492E-2</v>
      </c>
      <c r="AJ9" s="83">
        <f t="shared" si="4"/>
        <v>7.2222222222222188E-2</v>
      </c>
      <c r="AK9" s="564">
        <f t="shared" si="4"/>
        <v>6.2408759124087609E-2</v>
      </c>
      <c r="AL9" s="564">
        <f t="shared" si="4"/>
        <v>4.1115480872363275E-2</v>
      </c>
      <c r="AM9" s="564">
        <f t="shared" si="4"/>
        <v>2.910238429172507E-2</v>
      </c>
      <c r="AN9" s="83">
        <f t="shared" si="4"/>
        <v>1.3816925734024155E-2</v>
      </c>
      <c r="AO9" s="564">
        <f t="shared" si="4"/>
        <v>1.5802129852284352E-2</v>
      </c>
      <c r="AP9" s="564">
        <f t="shared" si="4"/>
        <v>1.7857142857142794E-2</v>
      </c>
      <c r="AQ9" s="564">
        <f t="shared" si="4"/>
        <v>1.8739352640545048E-2</v>
      </c>
      <c r="AR9" s="83">
        <f t="shared" si="4"/>
        <v>3.236797274275971E-2</v>
      </c>
      <c r="AS9" s="564">
        <f t="shared" si="4"/>
        <v>3.1112614135948569E-2</v>
      </c>
      <c r="AT9" s="564">
        <f t="shared" si="4"/>
        <v>3.4075573549257721E-2</v>
      </c>
      <c r="AU9" s="224"/>
      <c r="AV9" s="54"/>
      <c r="AW9" s="224"/>
      <c r="AX9" s="224"/>
      <c r="AY9" s="624"/>
      <c r="AZ9" s="224"/>
      <c r="BA9" s="224"/>
      <c r="BB9" s="224"/>
      <c r="BC9" s="224"/>
      <c r="BD9" s="224"/>
      <c r="BE9" s="224"/>
      <c r="BF9" s="224"/>
      <c r="BG9" s="224"/>
      <c r="BH9" s="817"/>
      <c r="BI9" s="817"/>
      <c r="BJ9" s="818">
        <f t="shared" ref="BJ9:BV9" si="5">BJ7/BI7-1</f>
        <v>0.4787644787644787</v>
      </c>
      <c r="BK9" s="818">
        <f t="shared" si="5"/>
        <v>0.27904699738903394</v>
      </c>
      <c r="BL9" s="818">
        <f t="shared" si="5"/>
        <v>0.19418218933401388</v>
      </c>
      <c r="BM9" s="818">
        <f t="shared" si="5"/>
        <v>0.14059829059829054</v>
      </c>
      <c r="BN9" s="818">
        <f t="shared" si="5"/>
        <v>0.13694267515923575</v>
      </c>
      <c r="BO9" s="818">
        <f t="shared" si="5"/>
        <v>0.15537979897841492</v>
      </c>
      <c r="BP9" s="818">
        <f t="shared" si="5"/>
        <v>0.16129492298916137</v>
      </c>
      <c r="BQ9" s="818">
        <f t="shared" si="5"/>
        <v>0.10769986491465056</v>
      </c>
      <c r="BR9" s="818">
        <f t="shared" si="5"/>
        <v>7.9379157427937885E-2</v>
      </c>
      <c r="BS9" s="818">
        <f t="shared" si="5"/>
        <v>0.11339359079704181</v>
      </c>
      <c r="BT9" s="818">
        <f t="shared" si="5"/>
        <v>6.7343173431734238E-2</v>
      </c>
      <c r="BU9" s="818">
        <f t="shared" si="5"/>
        <v>1.9101123595505642E-2</v>
      </c>
      <c r="BV9" s="818">
        <f t="shared" si="5"/>
        <v>2.9089983886014803E-2</v>
      </c>
      <c r="BW9" s="819"/>
      <c r="BX9" s="817"/>
      <c r="BY9" s="817"/>
      <c r="BZ9" s="817"/>
      <c r="CA9" s="817"/>
      <c r="CB9" s="817"/>
      <c r="CC9" s="83"/>
    </row>
    <row r="10" spans="1:81" s="703" customFormat="1" outlineLevel="1" x14ac:dyDescent="0.55000000000000004">
      <c r="A10" s="19" t="s">
        <v>484</v>
      </c>
      <c r="B10" s="232"/>
      <c r="C10" s="6">
        <f t="shared" ref="C10:AT10" si="6">+C219</f>
        <v>665</v>
      </c>
      <c r="D10" s="6">
        <f t="shared" si="6"/>
        <v>700</v>
      </c>
      <c r="E10" s="6">
        <f t="shared" si="6"/>
        <v>729</v>
      </c>
      <c r="F10" s="6">
        <f t="shared" si="6"/>
        <v>758</v>
      </c>
      <c r="G10" s="6">
        <f t="shared" si="6"/>
        <v>802</v>
      </c>
      <c r="H10" s="6">
        <f t="shared" si="6"/>
        <v>830</v>
      </c>
      <c r="I10" s="6">
        <f t="shared" si="6"/>
        <v>865</v>
      </c>
      <c r="J10" s="6">
        <f t="shared" si="6"/>
        <v>890</v>
      </c>
      <c r="K10" s="6">
        <f t="shared" si="6"/>
        <v>936</v>
      </c>
      <c r="L10" s="6">
        <f t="shared" si="6"/>
        <v>969</v>
      </c>
      <c r="M10" s="6">
        <f t="shared" si="6"/>
        <v>1008</v>
      </c>
      <c r="N10" s="6">
        <f t="shared" si="6"/>
        <v>1037</v>
      </c>
      <c r="O10" s="6">
        <f t="shared" si="6"/>
        <v>1091</v>
      </c>
      <c r="P10" s="6">
        <f t="shared" si="6"/>
        <v>1128</v>
      </c>
      <c r="Q10" s="6">
        <f t="shared" si="6"/>
        <v>1179</v>
      </c>
      <c r="R10" s="35">
        <f t="shared" si="6"/>
        <v>1226</v>
      </c>
      <c r="S10" s="6">
        <f t="shared" si="6"/>
        <v>1284</v>
      </c>
      <c r="T10" s="6">
        <f t="shared" si="6"/>
        <v>1326</v>
      </c>
      <c r="U10" s="6">
        <f t="shared" si="6"/>
        <v>1368</v>
      </c>
      <c r="V10" s="35">
        <f t="shared" si="6"/>
        <v>1401</v>
      </c>
      <c r="W10" s="6">
        <f t="shared" si="6"/>
        <v>1449</v>
      </c>
      <c r="X10" s="6">
        <f t="shared" si="6"/>
        <v>1471</v>
      </c>
      <c r="Y10" s="6">
        <f t="shared" si="6"/>
        <v>1494</v>
      </c>
      <c r="Z10" s="35">
        <f t="shared" si="6"/>
        <v>1523</v>
      </c>
      <c r="AA10" s="6">
        <f t="shared" si="6"/>
        <v>1562</v>
      </c>
      <c r="AB10" s="6">
        <f t="shared" si="6"/>
        <v>1587</v>
      </c>
      <c r="AC10" s="6">
        <f t="shared" si="6"/>
        <v>1623</v>
      </c>
      <c r="AD10" s="35">
        <f t="shared" si="6"/>
        <v>1657</v>
      </c>
      <c r="AE10" s="6">
        <f t="shared" si="6"/>
        <v>1734</v>
      </c>
      <c r="AF10" s="6">
        <f t="shared" si="6"/>
        <v>1785</v>
      </c>
      <c r="AG10" s="6">
        <f t="shared" si="6"/>
        <v>1821</v>
      </c>
      <c r="AH10" s="35">
        <f t="shared" si="6"/>
        <v>1845</v>
      </c>
      <c r="AI10" s="6">
        <f t="shared" si="6"/>
        <v>1877</v>
      </c>
      <c r="AJ10" s="6">
        <f t="shared" si="6"/>
        <v>1908</v>
      </c>
      <c r="AK10" s="6">
        <f t="shared" si="6"/>
        <v>1931</v>
      </c>
      <c r="AL10" s="35">
        <f t="shared" si="6"/>
        <v>1929</v>
      </c>
      <c r="AM10" s="6">
        <f t="shared" si="6"/>
        <v>1959</v>
      </c>
      <c r="AN10" s="6">
        <f t="shared" si="6"/>
        <v>1967</v>
      </c>
      <c r="AO10" s="6">
        <f t="shared" si="6"/>
        <v>1983</v>
      </c>
      <c r="AP10" s="35">
        <f t="shared" si="6"/>
        <v>2000</v>
      </c>
      <c r="AQ10" s="6">
        <f t="shared" si="6"/>
        <v>2037</v>
      </c>
      <c r="AR10" s="6">
        <f t="shared" si="6"/>
        <v>2065</v>
      </c>
      <c r="AS10" s="6">
        <f t="shared" si="6"/>
        <v>2085</v>
      </c>
      <c r="AT10" s="35">
        <f t="shared" si="6"/>
        <v>2110</v>
      </c>
      <c r="AU10" s="35"/>
      <c r="AV10" s="35"/>
      <c r="AW10" s="35"/>
      <c r="AX10" s="35"/>
      <c r="AY10" s="272"/>
      <c r="AZ10" s="35"/>
      <c r="BA10" s="35"/>
      <c r="BB10" s="35"/>
      <c r="BC10" s="35"/>
      <c r="BD10" s="35"/>
      <c r="BE10" s="35"/>
      <c r="BF10" s="35"/>
      <c r="BG10" s="35"/>
      <c r="BH10" s="812"/>
      <c r="BI10" s="813">
        <f t="shared" ref="BI10:BV10" si="7">+BI219</f>
        <v>278.5</v>
      </c>
      <c r="BJ10" s="813">
        <f t="shared" si="7"/>
        <v>431.75</v>
      </c>
      <c r="BK10" s="813">
        <f t="shared" si="7"/>
        <v>570.25</v>
      </c>
      <c r="BL10" s="813">
        <f t="shared" si="7"/>
        <v>713</v>
      </c>
      <c r="BM10" s="813">
        <f t="shared" si="7"/>
        <v>846.75</v>
      </c>
      <c r="BN10" s="813">
        <f t="shared" si="7"/>
        <v>987.5</v>
      </c>
      <c r="BO10" s="813">
        <f t="shared" si="7"/>
        <v>1156</v>
      </c>
      <c r="BP10" s="813">
        <f t="shared" si="7"/>
        <v>1344.75</v>
      </c>
      <c r="BQ10" s="813">
        <f t="shared" si="7"/>
        <v>1484.25</v>
      </c>
      <c r="BR10" s="813">
        <f t="shared" si="7"/>
        <v>1607.25</v>
      </c>
      <c r="BS10" s="813">
        <f t="shared" si="7"/>
        <v>1796.25</v>
      </c>
      <c r="BT10" s="813">
        <f t="shared" si="7"/>
        <v>1911.25</v>
      </c>
      <c r="BU10" s="813">
        <f t="shared" si="7"/>
        <v>1977.25</v>
      </c>
      <c r="BV10" s="813">
        <f t="shared" si="7"/>
        <v>2074.25</v>
      </c>
      <c r="BW10" s="814"/>
      <c r="BX10" s="812"/>
      <c r="BY10" s="812"/>
      <c r="BZ10" s="812"/>
      <c r="CA10" s="812"/>
      <c r="CB10" s="812"/>
      <c r="CC10" s="6"/>
    </row>
    <row r="11" spans="1:81" s="704" customFormat="1" outlineLevel="1" x14ac:dyDescent="0.55000000000000004">
      <c r="A11" s="48" t="s">
        <v>481</v>
      </c>
      <c r="B11" s="298"/>
      <c r="C11" s="54"/>
      <c r="D11" s="83">
        <f t="shared" ref="D11:AT11" si="8">D10/C10-1</f>
        <v>5.2631578947368363E-2</v>
      </c>
      <c r="E11" s="83">
        <f t="shared" si="8"/>
        <v>4.142857142857137E-2</v>
      </c>
      <c r="F11" s="83">
        <f t="shared" si="8"/>
        <v>3.9780521262002821E-2</v>
      </c>
      <c r="G11" s="83">
        <f t="shared" si="8"/>
        <v>5.8047493403693862E-2</v>
      </c>
      <c r="H11" s="83">
        <f t="shared" si="8"/>
        <v>3.4912718204488824E-2</v>
      </c>
      <c r="I11" s="83">
        <f t="shared" si="8"/>
        <v>4.2168674698795261E-2</v>
      </c>
      <c r="J11" s="83">
        <f t="shared" si="8"/>
        <v>2.8901734104046284E-2</v>
      </c>
      <c r="K11" s="83">
        <f t="shared" si="8"/>
        <v>5.1685393258426915E-2</v>
      </c>
      <c r="L11" s="83">
        <f t="shared" si="8"/>
        <v>3.5256410256410353E-2</v>
      </c>
      <c r="M11" s="83">
        <f t="shared" si="8"/>
        <v>4.0247678018575872E-2</v>
      </c>
      <c r="N11" s="83">
        <f t="shared" si="8"/>
        <v>2.8769841269841168E-2</v>
      </c>
      <c r="O11" s="83">
        <f t="shared" si="8"/>
        <v>5.2073288331726086E-2</v>
      </c>
      <c r="P11" s="83">
        <f t="shared" si="8"/>
        <v>3.3913840513290605E-2</v>
      </c>
      <c r="Q11" s="83">
        <f t="shared" si="8"/>
        <v>4.5212765957446832E-2</v>
      </c>
      <c r="R11" s="54">
        <f t="shared" si="8"/>
        <v>3.9864291772688798E-2</v>
      </c>
      <c r="S11" s="83">
        <f t="shared" si="8"/>
        <v>4.7308319738988525E-2</v>
      </c>
      <c r="T11" s="83">
        <f t="shared" si="8"/>
        <v>3.2710280373831724E-2</v>
      </c>
      <c r="U11" s="83">
        <f t="shared" si="8"/>
        <v>3.167420814479649E-2</v>
      </c>
      <c r="V11" s="54">
        <f t="shared" si="8"/>
        <v>2.4122807017543879E-2</v>
      </c>
      <c r="W11" s="83">
        <f t="shared" si="8"/>
        <v>3.426124197002145E-2</v>
      </c>
      <c r="X11" s="83">
        <f t="shared" si="8"/>
        <v>1.5182884748102143E-2</v>
      </c>
      <c r="Y11" s="83">
        <f t="shared" si="8"/>
        <v>1.5635622025832685E-2</v>
      </c>
      <c r="Z11" s="54">
        <f t="shared" si="8"/>
        <v>1.9410977242302563E-2</v>
      </c>
      <c r="AA11" s="83">
        <f t="shared" si="8"/>
        <v>2.5607353906762942E-2</v>
      </c>
      <c r="AB11" s="83">
        <f t="shared" si="8"/>
        <v>1.6005121638924535E-2</v>
      </c>
      <c r="AC11" s="83">
        <f t="shared" si="8"/>
        <v>2.2684310018903586E-2</v>
      </c>
      <c r="AD11" s="54">
        <f t="shared" si="8"/>
        <v>2.0948860135551417E-2</v>
      </c>
      <c r="AE11" s="83">
        <f t="shared" si="8"/>
        <v>4.6469523234761612E-2</v>
      </c>
      <c r="AF11" s="83">
        <f t="shared" si="8"/>
        <v>2.9411764705882248E-2</v>
      </c>
      <c r="AG11" s="83">
        <f t="shared" si="8"/>
        <v>2.0168067226890685E-2</v>
      </c>
      <c r="AH11" s="54">
        <f t="shared" si="8"/>
        <v>1.3179571663920919E-2</v>
      </c>
      <c r="AI11" s="83">
        <f t="shared" si="8"/>
        <v>1.7344173441734334E-2</v>
      </c>
      <c r="AJ11" s="83">
        <f t="shared" si="8"/>
        <v>1.6515716568993088E-2</v>
      </c>
      <c r="AK11" s="83">
        <f t="shared" si="8"/>
        <v>1.2054507337526221E-2</v>
      </c>
      <c r="AL11" s="54">
        <f t="shared" si="8"/>
        <v>-1.0357327809424888E-3</v>
      </c>
      <c r="AM11" s="83">
        <f t="shared" si="8"/>
        <v>1.5552099533437058E-2</v>
      </c>
      <c r="AN11" s="83">
        <f t="shared" si="8"/>
        <v>4.0837161817253165E-3</v>
      </c>
      <c r="AO11" s="83">
        <f t="shared" si="8"/>
        <v>8.1342145399085908E-3</v>
      </c>
      <c r="AP11" s="54">
        <f t="shared" si="8"/>
        <v>8.5728693898134978E-3</v>
      </c>
      <c r="AQ11" s="83">
        <f t="shared" si="8"/>
        <v>1.8499999999999961E-2</v>
      </c>
      <c r="AR11" s="83">
        <f t="shared" si="8"/>
        <v>1.3745704467353903E-2</v>
      </c>
      <c r="AS11" s="83">
        <f t="shared" si="8"/>
        <v>9.6852300242131761E-3</v>
      </c>
      <c r="AT11" s="54">
        <f t="shared" si="8"/>
        <v>1.1990407673860837E-2</v>
      </c>
      <c r="AU11" s="54"/>
      <c r="AV11" s="54"/>
      <c r="AW11" s="54"/>
      <c r="AX11" s="54"/>
      <c r="AY11" s="623"/>
      <c r="AZ11" s="54"/>
      <c r="BA11" s="54"/>
      <c r="BB11" s="54"/>
      <c r="BC11" s="54"/>
      <c r="BD11" s="54"/>
      <c r="BE11" s="54"/>
      <c r="BF11" s="54"/>
      <c r="BG11" s="54"/>
      <c r="BH11" s="815"/>
      <c r="BI11" s="815"/>
      <c r="BJ11" s="815"/>
      <c r="BK11" s="815"/>
      <c r="BL11" s="815"/>
      <c r="BM11" s="815"/>
      <c r="BN11" s="815"/>
      <c r="BO11" s="815"/>
      <c r="BP11" s="815"/>
      <c r="BQ11" s="815"/>
      <c r="BR11" s="815"/>
      <c r="BS11" s="815"/>
      <c r="BT11" s="815"/>
      <c r="BU11" s="815"/>
      <c r="BV11" s="815"/>
      <c r="BW11" s="816"/>
      <c r="BX11" s="815"/>
      <c r="BY11" s="815"/>
      <c r="BZ11" s="815"/>
      <c r="CA11" s="815"/>
      <c r="CB11" s="815"/>
      <c r="CC11" s="83"/>
    </row>
    <row r="12" spans="1:81" s="705" customFormat="1" outlineLevel="1" x14ac:dyDescent="0.55000000000000004">
      <c r="A12" s="48" t="s">
        <v>482</v>
      </c>
      <c r="B12" s="286"/>
      <c r="C12" s="224"/>
      <c r="D12" s="224"/>
      <c r="E12" s="224"/>
      <c r="F12" s="224"/>
      <c r="G12" s="564">
        <f t="shared" ref="G12:AT12" si="9">G10/C10-1</f>
        <v>0.20601503759398487</v>
      </c>
      <c r="H12" s="564">
        <f t="shared" si="9"/>
        <v>0.18571428571428572</v>
      </c>
      <c r="I12" s="564">
        <f t="shared" si="9"/>
        <v>0.18655692729766793</v>
      </c>
      <c r="J12" s="564">
        <f t="shared" si="9"/>
        <v>0.17414248021108181</v>
      </c>
      <c r="K12" s="564">
        <f t="shared" si="9"/>
        <v>0.16708229426433907</v>
      </c>
      <c r="L12" s="564">
        <f t="shared" si="9"/>
        <v>0.16746987951807224</v>
      </c>
      <c r="M12" s="564">
        <f t="shared" si="9"/>
        <v>0.16531791907514459</v>
      </c>
      <c r="N12" s="564">
        <f t="shared" si="9"/>
        <v>0.16516853932584263</v>
      </c>
      <c r="O12" s="564">
        <f t="shared" si="9"/>
        <v>0.16559829059829068</v>
      </c>
      <c r="P12" s="564">
        <f t="shared" si="9"/>
        <v>0.16408668730650144</v>
      </c>
      <c r="Q12" s="564">
        <f t="shared" si="9"/>
        <v>0.16964285714285721</v>
      </c>
      <c r="R12" s="564">
        <f t="shared" si="9"/>
        <v>0.18225650916104152</v>
      </c>
      <c r="S12" s="564">
        <f t="shared" si="9"/>
        <v>0.17690192483959666</v>
      </c>
      <c r="T12" s="564">
        <f t="shared" si="9"/>
        <v>0.17553191489361697</v>
      </c>
      <c r="U12" s="564">
        <f t="shared" si="9"/>
        <v>0.16030534351145032</v>
      </c>
      <c r="V12" s="564">
        <f t="shared" si="9"/>
        <v>0.14274061990212061</v>
      </c>
      <c r="W12" s="564">
        <f t="shared" si="9"/>
        <v>0.12850467289719636</v>
      </c>
      <c r="X12" s="564">
        <f t="shared" si="9"/>
        <v>0.1093514328808447</v>
      </c>
      <c r="Y12" s="564">
        <f t="shared" si="9"/>
        <v>9.210526315789469E-2</v>
      </c>
      <c r="Z12" s="564">
        <f t="shared" si="9"/>
        <v>8.7080656673804491E-2</v>
      </c>
      <c r="AA12" s="564">
        <f t="shared" si="9"/>
        <v>7.7984817115251959E-2</v>
      </c>
      <c r="AB12" s="564">
        <f t="shared" si="9"/>
        <v>7.8857919782460817E-2</v>
      </c>
      <c r="AC12" s="564">
        <f t="shared" si="9"/>
        <v>8.6345381526104381E-2</v>
      </c>
      <c r="AD12" s="564">
        <f t="shared" si="9"/>
        <v>8.7984241628365156E-2</v>
      </c>
      <c r="AE12" s="564">
        <f t="shared" si="9"/>
        <v>0.11011523687580027</v>
      </c>
      <c r="AF12" s="564">
        <f t="shared" si="9"/>
        <v>0.12476370510396984</v>
      </c>
      <c r="AG12" s="564">
        <f t="shared" si="9"/>
        <v>0.12199630314232901</v>
      </c>
      <c r="AH12" s="564">
        <f t="shared" si="9"/>
        <v>0.11345805672902842</v>
      </c>
      <c r="AI12" s="564">
        <f t="shared" si="9"/>
        <v>8.2468281430219115E-2</v>
      </c>
      <c r="AJ12" s="83">
        <f t="shared" si="9"/>
        <v>6.8907563025210061E-2</v>
      </c>
      <c r="AK12" s="564">
        <f t="shared" si="9"/>
        <v>6.0406370126304232E-2</v>
      </c>
      <c r="AL12" s="564">
        <f t="shared" si="9"/>
        <v>4.5528455284552738E-2</v>
      </c>
      <c r="AM12" s="564">
        <f t="shared" si="9"/>
        <v>4.3686734150239825E-2</v>
      </c>
      <c r="AN12" s="83">
        <f t="shared" si="9"/>
        <v>3.0922431865828104E-2</v>
      </c>
      <c r="AO12" s="564">
        <f t="shared" si="9"/>
        <v>2.6929052304505374E-2</v>
      </c>
      <c r="AP12" s="564">
        <f t="shared" si="9"/>
        <v>3.680663556246766E-2</v>
      </c>
      <c r="AQ12" s="564">
        <f t="shared" si="9"/>
        <v>3.9816232771822335E-2</v>
      </c>
      <c r="AR12" s="83">
        <f t="shared" si="9"/>
        <v>4.9822064056939563E-2</v>
      </c>
      <c r="AS12" s="564">
        <f t="shared" si="9"/>
        <v>5.1437216338880543E-2</v>
      </c>
      <c r="AT12" s="564">
        <f t="shared" si="9"/>
        <v>5.4999999999999938E-2</v>
      </c>
      <c r="AU12" s="224"/>
      <c r="AV12" s="54"/>
      <c r="AW12" s="224"/>
      <c r="AX12" s="224"/>
      <c r="AY12" s="624"/>
      <c r="AZ12" s="224"/>
      <c r="BA12" s="224"/>
      <c r="BB12" s="224"/>
      <c r="BC12" s="224"/>
      <c r="BD12" s="224"/>
      <c r="BE12" s="224"/>
      <c r="BF12" s="224"/>
      <c r="BG12" s="224"/>
      <c r="BH12" s="817"/>
      <c r="BI12" s="817"/>
      <c r="BJ12" s="818">
        <f t="shared" ref="BJ12:BV12" si="10">BJ10/BI10-1</f>
        <v>0.5502692998204668</v>
      </c>
      <c r="BK12" s="818">
        <f t="shared" si="10"/>
        <v>0.32078749276201513</v>
      </c>
      <c r="BL12" s="818">
        <f t="shared" si="10"/>
        <v>0.25032880315651029</v>
      </c>
      <c r="BM12" s="818">
        <f t="shared" si="10"/>
        <v>0.18758765778401121</v>
      </c>
      <c r="BN12" s="818">
        <f t="shared" si="10"/>
        <v>0.1662237968703868</v>
      </c>
      <c r="BO12" s="818">
        <f t="shared" si="10"/>
        <v>0.170632911392405</v>
      </c>
      <c r="BP12" s="818">
        <f t="shared" si="10"/>
        <v>0.16327854671280284</v>
      </c>
      <c r="BQ12" s="818">
        <f t="shared" si="10"/>
        <v>0.10373675404350258</v>
      </c>
      <c r="BR12" s="818">
        <f t="shared" si="10"/>
        <v>8.2870136432541708E-2</v>
      </c>
      <c r="BS12" s="818">
        <f t="shared" si="10"/>
        <v>0.11759216052263177</v>
      </c>
      <c r="BT12" s="818">
        <f t="shared" si="10"/>
        <v>6.4022268615170574E-2</v>
      </c>
      <c r="BU12" s="818">
        <f t="shared" si="10"/>
        <v>3.4532374100719521E-2</v>
      </c>
      <c r="BV12" s="818">
        <f t="shared" si="10"/>
        <v>4.9058035149829315E-2</v>
      </c>
      <c r="BW12" s="819"/>
      <c r="BX12" s="817"/>
      <c r="BY12" s="817"/>
      <c r="BZ12" s="817"/>
      <c r="CA12" s="817"/>
      <c r="CB12" s="817"/>
      <c r="CC12" s="83"/>
    </row>
    <row r="13" spans="1:81" s="705" customFormat="1" outlineLevel="1" x14ac:dyDescent="0.55000000000000004">
      <c r="A13" s="79"/>
      <c r="B13" s="286"/>
      <c r="C13" s="224"/>
      <c r="D13" s="224"/>
      <c r="E13" s="224"/>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54"/>
      <c r="AK13" s="224"/>
      <c r="AL13" s="224"/>
      <c r="AM13" s="224"/>
      <c r="AN13" s="54"/>
      <c r="AO13" s="224"/>
      <c r="AP13" s="224"/>
      <c r="AQ13" s="224"/>
      <c r="AR13" s="54"/>
      <c r="AS13" s="224"/>
      <c r="AT13" s="224"/>
      <c r="AU13" s="224"/>
      <c r="AV13" s="54"/>
      <c r="AW13" s="224"/>
      <c r="AX13" s="224"/>
      <c r="AY13" s="624"/>
      <c r="AZ13" s="224"/>
      <c r="BA13" s="224"/>
      <c r="BB13" s="224"/>
      <c r="BC13" s="224"/>
      <c r="BD13" s="224"/>
      <c r="BE13" s="224"/>
      <c r="BF13" s="224"/>
      <c r="BG13" s="224"/>
      <c r="BH13" s="817"/>
      <c r="BI13" s="817"/>
      <c r="BJ13" s="817"/>
      <c r="BK13" s="817"/>
      <c r="BL13" s="817"/>
      <c r="BM13" s="817"/>
      <c r="BN13" s="817"/>
      <c r="BO13" s="817"/>
      <c r="BP13" s="817"/>
      <c r="BQ13" s="817"/>
      <c r="BR13" s="817"/>
      <c r="BS13" s="817"/>
      <c r="BT13" s="817"/>
      <c r="BU13" s="817"/>
      <c r="BV13" s="817"/>
      <c r="BW13" s="819"/>
      <c r="BX13" s="817"/>
      <c r="BY13" s="817"/>
      <c r="BZ13" s="817"/>
      <c r="CA13" s="817"/>
      <c r="CB13" s="817"/>
      <c r="CC13" s="83"/>
    </row>
    <row r="14" spans="1:81" s="706" customFormat="1" x14ac:dyDescent="0.55000000000000004">
      <c r="A14" s="74" t="str">
        <f>'Supplemental Data'!A30</f>
        <v>Family daily active people, mm active members</v>
      </c>
      <c r="B14" s="294"/>
      <c r="C14" s="295"/>
      <c r="D14" s="295"/>
      <c r="E14" s="295"/>
      <c r="F14" s="295"/>
      <c r="G14" s="295"/>
      <c r="H14" s="295"/>
      <c r="I14" s="295"/>
      <c r="J14" s="295"/>
      <c r="K14" s="295"/>
      <c r="L14" s="295"/>
      <c r="M14" s="295"/>
      <c r="N14" s="295"/>
      <c r="O14" s="295"/>
      <c r="P14" s="295"/>
      <c r="Q14" s="295"/>
      <c r="R14" s="295"/>
      <c r="S14" s="295"/>
      <c r="T14" s="295"/>
      <c r="U14" s="295"/>
      <c r="V14" s="295"/>
      <c r="W14" s="295"/>
      <c r="X14" s="295"/>
      <c r="Y14" s="295"/>
      <c r="Z14" s="295"/>
      <c r="AA14" s="531">
        <f t="shared" ref="AA14:BF14" si="11">AA53</f>
        <v>2100</v>
      </c>
      <c r="AB14" s="531">
        <f t="shared" si="11"/>
        <v>2140</v>
      </c>
      <c r="AC14" s="531">
        <f t="shared" si="11"/>
        <v>2200</v>
      </c>
      <c r="AD14" s="531">
        <f t="shared" si="11"/>
        <v>2260</v>
      </c>
      <c r="AE14" s="531">
        <f t="shared" si="11"/>
        <v>2360</v>
      </c>
      <c r="AF14" s="531">
        <f t="shared" si="11"/>
        <v>2470</v>
      </c>
      <c r="AG14" s="531">
        <f t="shared" si="11"/>
        <v>2540</v>
      </c>
      <c r="AH14" s="531">
        <f t="shared" si="11"/>
        <v>2600</v>
      </c>
      <c r="AI14" s="531">
        <f t="shared" si="11"/>
        <v>2720</v>
      </c>
      <c r="AJ14" s="531">
        <f t="shared" si="11"/>
        <v>2760</v>
      </c>
      <c r="AK14" s="531">
        <f t="shared" si="11"/>
        <v>2810</v>
      </c>
      <c r="AL14" s="531">
        <f t="shared" si="11"/>
        <v>2820</v>
      </c>
      <c r="AM14" s="531">
        <f t="shared" si="11"/>
        <v>2870</v>
      </c>
      <c r="AN14" s="295">
        <f t="shared" si="11"/>
        <v>2880</v>
      </c>
      <c r="AO14" s="531">
        <f t="shared" si="11"/>
        <v>2930</v>
      </c>
      <c r="AP14" s="531">
        <f t="shared" si="11"/>
        <v>2960</v>
      </c>
      <c r="AQ14" s="531">
        <f t="shared" si="11"/>
        <v>3020</v>
      </c>
      <c r="AR14" s="295">
        <f t="shared" si="11"/>
        <v>3070</v>
      </c>
      <c r="AS14" s="531">
        <f t="shared" si="11"/>
        <v>3140</v>
      </c>
      <c r="AT14" s="531">
        <f t="shared" si="11"/>
        <v>3190</v>
      </c>
      <c r="AU14" s="295">
        <f t="shared" si="11"/>
        <v>3240</v>
      </c>
      <c r="AV14" s="295">
        <f t="shared" si="11"/>
        <v>3270</v>
      </c>
      <c r="AW14" s="531">
        <f t="shared" si="11"/>
        <v>3290</v>
      </c>
      <c r="AX14" s="531">
        <f t="shared" si="11"/>
        <v>3350</v>
      </c>
      <c r="AY14" s="625">
        <f t="shared" si="11"/>
        <v>3430</v>
      </c>
      <c r="AZ14" s="295">
        <f t="shared" si="11"/>
        <v>3470</v>
      </c>
      <c r="BA14" s="295">
        <f t="shared" si="11"/>
        <v>3520</v>
      </c>
      <c r="BB14" s="295">
        <f t="shared" si="11"/>
        <v>3580</v>
      </c>
      <c r="BC14" s="295">
        <f t="shared" si="11"/>
        <v>3620</v>
      </c>
      <c r="BD14" s="295">
        <f t="shared" si="11"/>
        <v>3660</v>
      </c>
      <c r="BE14" s="295">
        <f t="shared" si="11"/>
        <v>3710</v>
      </c>
      <c r="BF14" s="295">
        <f t="shared" si="11"/>
        <v>3770</v>
      </c>
      <c r="BG14" s="295"/>
      <c r="BH14" s="820"/>
      <c r="BI14" s="820"/>
      <c r="BJ14" s="820"/>
      <c r="BK14" s="820"/>
      <c r="BL14" s="820"/>
      <c r="BM14" s="820"/>
      <c r="BN14" s="820"/>
      <c r="BO14" s="820"/>
      <c r="BP14" s="820"/>
      <c r="BQ14" s="821">
        <f t="shared" ref="BQ14:CB14" si="12">BQ53</f>
        <v>2030</v>
      </c>
      <c r="BR14" s="821">
        <f t="shared" si="12"/>
        <v>2260</v>
      </c>
      <c r="BS14" s="821">
        <f t="shared" si="12"/>
        <v>2600</v>
      </c>
      <c r="BT14" s="821">
        <f t="shared" si="12"/>
        <v>2820</v>
      </c>
      <c r="BU14" s="821">
        <f t="shared" si="12"/>
        <v>2960</v>
      </c>
      <c r="BV14" s="821">
        <f t="shared" si="12"/>
        <v>3190</v>
      </c>
      <c r="BW14" s="822">
        <f t="shared" si="12"/>
        <v>3350</v>
      </c>
      <c r="BX14" s="820">
        <f t="shared" si="12"/>
        <v>3580</v>
      </c>
      <c r="BY14" s="820">
        <f t="shared" si="12"/>
        <v>3770</v>
      </c>
      <c r="BZ14" s="820">
        <f t="shared" si="12"/>
        <v>3900</v>
      </c>
      <c r="CA14" s="820">
        <f t="shared" si="12"/>
        <v>4010</v>
      </c>
      <c r="CB14" s="820">
        <f t="shared" si="12"/>
        <v>4120</v>
      </c>
      <c r="CC14" s="531"/>
    </row>
    <row r="15" spans="1:81" s="707" customFormat="1" x14ac:dyDescent="0.55000000000000004">
      <c r="A15" s="550" t="s">
        <v>1026</v>
      </c>
      <c r="B15" s="529"/>
      <c r="C15" s="530"/>
      <c r="D15" s="530"/>
      <c r="E15" s="530"/>
      <c r="F15" s="530"/>
      <c r="G15" s="530"/>
      <c r="H15" s="530"/>
      <c r="I15" s="530"/>
      <c r="J15" s="530"/>
      <c r="K15" s="530"/>
      <c r="L15" s="530"/>
      <c r="M15" s="530"/>
      <c r="N15" s="530"/>
      <c r="O15" s="530"/>
      <c r="P15" s="530"/>
      <c r="Q15" s="530"/>
      <c r="R15" s="530"/>
      <c r="S15" s="530"/>
      <c r="T15" s="530"/>
      <c r="U15" s="530"/>
      <c r="V15" s="530"/>
      <c r="W15" s="530"/>
      <c r="X15" s="530"/>
      <c r="Y15" s="530"/>
      <c r="Z15" s="530"/>
      <c r="AA15" s="530"/>
      <c r="AB15" s="530"/>
      <c r="AC15" s="530"/>
      <c r="AD15" s="530"/>
      <c r="AE15" s="530"/>
      <c r="AF15" s="530"/>
      <c r="AG15" s="530"/>
      <c r="AH15" s="532">
        <f t="shared" ref="AH15:BF15" si="13">AH57</f>
        <v>10.64396887159533</v>
      </c>
      <c r="AI15" s="532">
        <f t="shared" si="13"/>
        <v>9.6379699248120296</v>
      </c>
      <c r="AJ15" s="532">
        <f t="shared" si="13"/>
        <v>10.500729927007299</v>
      </c>
      <c r="AK15" s="532">
        <f t="shared" si="13"/>
        <v>10.216157989228007</v>
      </c>
      <c r="AL15" s="532">
        <f t="shared" si="13"/>
        <v>11.649733570159858</v>
      </c>
      <c r="AM15" s="532">
        <f t="shared" si="13"/>
        <v>9.57</v>
      </c>
      <c r="AN15" s="530">
        <f t="shared" si="13"/>
        <v>9.8699999999999992</v>
      </c>
      <c r="AO15" s="532">
        <f t="shared" si="13"/>
        <v>9.44</v>
      </c>
      <c r="AP15" s="532">
        <f t="shared" si="13"/>
        <v>10.68</v>
      </c>
      <c r="AQ15" s="532">
        <f t="shared" si="13"/>
        <v>9.4700000000000006</v>
      </c>
      <c r="AR15" s="530">
        <f t="shared" si="13"/>
        <v>10.42</v>
      </c>
      <c r="AS15" s="532">
        <f t="shared" si="13"/>
        <v>10.93</v>
      </c>
      <c r="AT15" s="532">
        <f t="shared" si="13"/>
        <v>12.33</v>
      </c>
      <c r="AU15" s="530">
        <f t="shared" si="13"/>
        <v>11.2</v>
      </c>
      <c r="AV15" s="530">
        <f t="shared" si="13"/>
        <v>11.89</v>
      </c>
      <c r="AW15" s="532">
        <f t="shared" si="13"/>
        <v>12.29</v>
      </c>
      <c r="AX15" s="532">
        <f t="shared" si="13"/>
        <v>14.25</v>
      </c>
      <c r="AY15" s="626">
        <f t="shared" si="13"/>
        <v>12.36</v>
      </c>
      <c r="AZ15" s="530">
        <f t="shared" si="13"/>
        <v>12.484500000000001</v>
      </c>
      <c r="BA15" s="530">
        <f t="shared" si="13"/>
        <v>13.0274</v>
      </c>
      <c r="BB15" s="530">
        <f t="shared" si="13"/>
        <v>15.504000000000001</v>
      </c>
      <c r="BC15" s="530">
        <f t="shared" si="13"/>
        <v>13.225200000000001</v>
      </c>
      <c r="BD15" s="530">
        <f t="shared" si="13"/>
        <v>13.108725000000002</v>
      </c>
      <c r="BE15" s="530">
        <f t="shared" si="13"/>
        <v>13.809044</v>
      </c>
      <c r="BF15" s="530">
        <f t="shared" si="13"/>
        <v>16.868352000000002</v>
      </c>
      <c r="BG15" s="530"/>
      <c r="BH15" s="823"/>
      <c r="BI15" s="823"/>
      <c r="BJ15" s="823"/>
      <c r="BK15" s="823"/>
      <c r="BL15" s="823"/>
      <c r="BM15" s="823"/>
      <c r="BN15" s="823"/>
      <c r="BO15" s="823"/>
      <c r="BP15" s="823"/>
      <c r="BQ15" s="823"/>
      <c r="BR15" s="824">
        <f t="shared" ref="BR15:CB15" si="14">BR57</f>
        <v>32.725407925407929</v>
      </c>
      <c r="BS15" s="824">
        <f t="shared" si="14"/>
        <v>34.907818930041152</v>
      </c>
      <c r="BT15" s="824">
        <f t="shared" si="14"/>
        <v>42.677121771217713</v>
      </c>
      <c r="BU15" s="824">
        <f t="shared" si="14"/>
        <v>39.602076124567475</v>
      </c>
      <c r="BV15" s="824">
        <f t="shared" si="14"/>
        <v>43.253983739837402</v>
      </c>
      <c r="BW15" s="825">
        <f t="shared" si="14"/>
        <v>49.649847094801224</v>
      </c>
      <c r="BX15" s="823">
        <f t="shared" si="14"/>
        <v>53.547904184704187</v>
      </c>
      <c r="BY15" s="823">
        <f t="shared" si="14"/>
        <v>56.952501393197281</v>
      </c>
      <c r="BZ15" s="823">
        <f t="shared" si="14"/>
        <v>60.711366485148304</v>
      </c>
      <c r="CA15" s="823">
        <f t="shared" si="14"/>
        <v>61.925593814851268</v>
      </c>
      <c r="CB15" s="823">
        <f t="shared" si="14"/>
        <v>63.164105691148293</v>
      </c>
      <c r="CC15" s="532"/>
    </row>
    <row r="16" spans="1:81" s="707" customFormat="1" x14ac:dyDescent="0.55000000000000004">
      <c r="A16" s="317"/>
      <c r="B16" s="529"/>
      <c r="C16" s="530"/>
      <c r="D16" s="530"/>
      <c r="E16" s="530"/>
      <c r="F16" s="530"/>
      <c r="G16" s="530"/>
      <c r="H16" s="530"/>
      <c r="I16" s="530"/>
      <c r="J16" s="530"/>
      <c r="K16" s="530"/>
      <c r="L16" s="530"/>
      <c r="M16" s="530"/>
      <c r="N16" s="530"/>
      <c r="O16" s="530"/>
      <c r="P16" s="530"/>
      <c r="Q16" s="530"/>
      <c r="R16" s="530"/>
      <c r="S16" s="530"/>
      <c r="T16" s="530"/>
      <c r="U16" s="530"/>
      <c r="V16" s="530"/>
      <c r="W16" s="530"/>
      <c r="X16" s="530"/>
      <c r="Y16" s="530"/>
      <c r="Z16" s="530"/>
      <c r="AA16" s="530"/>
      <c r="AB16" s="530"/>
      <c r="AC16" s="530"/>
      <c r="AD16" s="530"/>
      <c r="AE16" s="530"/>
      <c r="AF16" s="530"/>
      <c r="AG16" s="530"/>
      <c r="AH16" s="530"/>
      <c r="AI16" s="530"/>
      <c r="AJ16" s="530"/>
      <c r="AK16" s="530"/>
      <c r="AL16" s="530"/>
      <c r="AM16" s="530"/>
      <c r="AN16" s="530"/>
      <c r="AO16" s="530"/>
      <c r="AP16" s="530"/>
      <c r="AQ16" s="530"/>
      <c r="AR16" s="530"/>
      <c r="AS16" s="530"/>
      <c r="AT16" s="530"/>
      <c r="AU16" s="530"/>
      <c r="AV16" s="530"/>
      <c r="AW16" s="530"/>
      <c r="AX16" s="530"/>
      <c r="AY16" s="626"/>
      <c r="AZ16" s="530"/>
      <c r="BA16" s="530"/>
      <c r="BB16" s="530"/>
      <c r="BC16" s="530"/>
      <c r="BD16" s="530"/>
      <c r="BE16" s="530"/>
      <c r="BF16" s="530"/>
      <c r="BG16" s="530"/>
      <c r="BH16" s="823"/>
      <c r="BI16" s="823"/>
      <c r="BJ16" s="823"/>
      <c r="BK16" s="823"/>
      <c r="BL16" s="823"/>
      <c r="BM16" s="823"/>
      <c r="BN16" s="823"/>
      <c r="BO16" s="823"/>
      <c r="BP16" s="823"/>
      <c r="BQ16" s="823"/>
      <c r="BR16" s="823"/>
      <c r="BS16" s="823"/>
      <c r="BT16" s="823"/>
      <c r="BU16" s="823"/>
      <c r="BV16" s="823"/>
      <c r="BW16" s="826"/>
      <c r="BX16" s="823"/>
      <c r="BY16" s="823"/>
      <c r="BZ16" s="823"/>
      <c r="CA16" s="823"/>
      <c r="CB16" s="823"/>
      <c r="CC16" s="532"/>
    </row>
    <row r="17" spans="1:81" s="708" customFormat="1" x14ac:dyDescent="0.55000000000000004">
      <c r="A17" s="19" t="s">
        <v>539</v>
      </c>
      <c r="B17" s="331"/>
      <c r="C17" s="212"/>
      <c r="D17" s="212"/>
      <c r="E17" s="212"/>
      <c r="F17" s="212"/>
      <c r="G17" s="212"/>
      <c r="H17" s="212"/>
      <c r="I17" s="212"/>
      <c r="J17" s="212"/>
      <c r="K17" s="212"/>
      <c r="L17" s="212"/>
      <c r="M17" s="212"/>
      <c r="N17" s="212"/>
      <c r="O17" s="212"/>
      <c r="P17" s="212"/>
      <c r="Q17" s="212"/>
      <c r="R17" s="212"/>
      <c r="S17" s="212"/>
      <c r="T17" s="212"/>
      <c r="U17" s="212"/>
      <c r="V17" s="212"/>
      <c r="W17" s="212"/>
      <c r="X17" s="212"/>
      <c r="Y17" s="212"/>
      <c r="Z17" s="212"/>
      <c r="AA17" s="212"/>
      <c r="AB17" s="212"/>
      <c r="AC17" s="212"/>
      <c r="AD17" s="212"/>
      <c r="AE17" s="212"/>
      <c r="AF17" s="212"/>
      <c r="AG17" s="212"/>
      <c r="AH17" s="565">
        <f t="shared" ref="AH17:BF17" si="15">AH47</f>
        <v>27355</v>
      </c>
      <c r="AI17" s="565">
        <f t="shared" si="15"/>
        <v>25637</v>
      </c>
      <c r="AJ17" s="565">
        <f t="shared" si="15"/>
        <v>28772</v>
      </c>
      <c r="AK17" s="565">
        <f t="shared" si="15"/>
        <v>28452</v>
      </c>
      <c r="AL17" s="565">
        <f t="shared" si="15"/>
        <v>32794</v>
      </c>
      <c r="AM17" s="565">
        <f t="shared" si="15"/>
        <v>27213</v>
      </c>
      <c r="AN17" s="565">
        <f t="shared" si="15"/>
        <v>28370</v>
      </c>
      <c r="AO17" s="565">
        <f t="shared" si="15"/>
        <v>27429</v>
      </c>
      <c r="AP17" s="565">
        <f t="shared" si="15"/>
        <v>31438</v>
      </c>
      <c r="AQ17" s="565">
        <f t="shared" si="15"/>
        <v>28306</v>
      </c>
      <c r="AR17" s="565">
        <f t="shared" si="15"/>
        <v>31723</v>
      </c>
      <c r="AS17" s="565">
        <f t="shared" si="15"/>
        <v>33936</v>
      </c>
      <c r="AT17" s="565">
        <f t="shared" si="15"/>
        <v>39040</v>
      </c>
      <c r="AU17" s="565">
        <f t="shared" si="15"/>
        <v>36015</v>
      </c>
      <c r="AV17" s="565">
        <f t="shared" si="15"/>
        <v>38718</v>
      </c>
      <c r="AW17" s="565">
        <f t="shared" si="15"/>
        <v>40319</v>
      </c>
      <c r="AX17" s="565">
        <f t="shared" si="15"/>
        <v>47302</v>
      </c>
      <c r="AY17" s="629">
        <f t="shared" si="15"/>
        <v>41902</v>
      </c>
      <c r="AZ17" s="212">
        <f t="shared" si="15"/>
        <v>43071.525000000001</v>
      </c>
      <c r="BA17" s="212">
        <f t="shared" si="15"/>
        <v>45530.762999999999</v>
      </c>
      <c r="BB17" s="212">
        <f t="shared" si="15"/>
        <v>55039.200000000004</v>
      </c>
      <c r="BC17" s="212">
        <f t="shared" si="15"/>
        <v>47610.720000000001</v>
      </c>
      <c r="BD17" s="212">
        <f t="shared" si="15"/>
        <v>47715.759000000005</v>
      </c>
      <c r="BE17" s="212">
        <f t="shared" si="15"/>
        <v>50886.327140000001</v>
      </c>
      <c r="BF17" s="212">
        <f t="shared" si="15"/>
        <v>63087.636480000008</v>
      </c>
      <c r="BG17" s="212"/>
      <c r="BH17" s="827"/>
      <c r="BI17" s="827"/>
      <c r="BJ17" s="827"/>
      <c r="BK17" s="827"/>
      <c r="BL17" s="827"/>
      <c r="BM17" s="827"/>
      <c r="BN17" s="827"/>
      <c r="BO17" s="827"/>
      <c r="BP17" s="827"/>
      <c r="BQ17" s="827"/>
      <c r="BR17" s="828">
        <f t="shared" ref="BR17:CB17" si="16">BR47</f>
        <v>70196</v>
      </c>
      <c r="BS17" s="828">
        <f t="shared" si="16"/>
        <v>84826</v>
      </c>
      <c r="BT17" s="828">
        <f t="shared" si="16"/>
        <v>115655</v>
      </c>
      <c r="BU17" s="828">
        <f t="shared" si="16"/>
        <v>114450</v>
      </c>
      <c r="BV17" s="828">
        <f t="shared" si="16"/>
        <v>133006</v>
      </c>
      <c r="BW17" s="829">
        <f t="shared" si="16"/>
        <v>162355</v>
      </c>
      <c r="BX17" s="827">
        <f t="shared" si="16"/>
        <v>185543.48800000001</v>
      </c>
      <c r="BY17" s="827">
        <f t="shared" si="16"/>
        <v>209300.44262000002</v>
      </c>
      <c r="BZ17" s="827">
        <f t="shared" si="16"/>
        <v>232828.09047054374</v>
      </c>
      <c r="CA17" s="827">
        <f t="shared" si="16"/>
        <v>244915.72353773678</v>
      </c>
      <c r="CB17" s="827">
        <f t="shared" si="16"/>
        <v>256762.08963451782</v>
      </c>
      <c r="CC17" s="6"/>
    </row>
    <row r="18" spans="1:81" s="704" customFormat="1" x14ac:dyDescent="0.55000000000000004">
      <c r="A18" s="48" t="s">
        <v>566</v>
      </c>
      <c r="B18" s="286"/>
      <c r="C18" s="224"/>
      <c r="D18" s="224"/>
      <c r="E18" s="224"/>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564">
        <f t="shared" ref="AI18:BF18" si="17">AI17/AH17-1</f>
        <v>-6.280387497715223E-2</v>
      </c>
      <c r="AJ18" s="564">
        <f t="shared" si="17"/>
        <v>0.12228419861918316</v>
      </c>
      <c r="AK18" s="564">
        <f t="shared" si="17"/>
        <v>-1.1121924092868052E-2</v>
      </c>
      <c r="AL18" s="564">
        <f t="shared" si="17"/>
        <v>0.15260790102628996</v>
      </c>
      <c r="AM18" s="564">
        <f t="shared" si="17"/>
        <v>-0.17018357016527419</v>
      </c>
      <c r="AN18" s="564">
        <f t="shared" si="17"/>
        <v>4.2516444346452076E-2</v>
      </c>
      <c r="AO18" s="564">
        <f t="shared" si="17"/>
        <v>-3.3168840324286242E-2</v>
      </c>
      <c r="AP18" s="564">
        <f t="shared" si="17"/>
        <v>0.14615917459623029</v>
      </c>
      <c r="AQ18" s="564">
        <f t="shared" si="17"/>
        <v>-9.9624658057128279E-2</v>
      </c>
      <c r="AR18" s="564">
        <f t="shared" si="17"/>
        <v>0.12071645587507951</v>
      </c>
      <c r="AS18" s="564">
        <f t="shared" si="17"/>
        <v>6.9760110960501942E-2</v>
      </c>
      <c r="AT18" s="564">
        <f t="shared" si="17"/>
        <v>0.1504007543611503</v>
      </c>
      <c r="AU18" s="564">
        <f t="shared" si="17"/>
        <v>-7.7484631147541005E-2</v>
      </c>
      <c r="AV18" s="564">
        <f t="shared" si="17"/>
        <v>7.5052061640982881E-2</v>
      </c>
      <c r="AW18" s="564">
        <f t="shared" si="17"/>
        <v>4.1350276357249749E-2</v>
      </c>
      <c r="AX18" s="564">
        <f t="shared" si="17"/>
        <v>0.17319377960762905</v>
      </c>
      <c r="AY18" s="624">
        <f t="shared" si="17"/>
        <v>-0.11416007779797899</v>
      </c>
      <c r="AZ18" s="224">
        <f t="shared" si="17"/>
        <v>2.7910958904109551E-2</v>
      </c>
      <c r="BA18" s="224">
        <f t="shared" si="17"/>
        <v>5.7096608490179834E-2</v>
      </c>
      <c r="BB18" s="224">
        <f t="shared" si="17"/>
        <v>0.20883544165512902</v>
      </c>
      <c r="BC18" s="224">
        <f t="shared" si="17"/>
        <v>-0.13496707800985486</v>
      </c>
      <c r="BD18" s="224">
        <f t="shared" si="17"/>
        <v>2.2062048210991225E-3</v>
      </c>
      <c r="BE18" s="224">
        <f t="shared" si="17"/>
        <v>6.6446981174500319E-2</v>
      </c>
      <c r="BF18" s="224">
        <f t="shared" si="17"/>
        <v>0.2397757909788103</v>
      </c>
      <c r="BG18" s="224"/>
      <c r="BH18" s="817"/>
      <c r="BI18" s="817"/>
      <c r="BJ18" s="817"/>
      <c r="BK18" s="817"/>
      <c r="BL18" s="817"/>
      <c r="BM18" s="817"/>
      <c r="BN18" s="817"/>
      <c r="BO18" s="817"/>
      <c r="BP18" s="817"/>
      <c r="BQ18" s="817"/>
      <c r="BR18" s="817"/>
      <c r="BS18" s="817"/>
      <c r="BT18" s="817"/>
      <c r="BU18" s="817"/>
      <c r="BV18" s="817"/>
      <c r="BW18" s="819"/>
      <c r="BX18" s="817"/>
      <c r="BY18" s="817"/>
      <c r="BZ18" s="817"/>
      <c r="CA18" s="817"/>
      <c r="CB18" s="817"/>
      <c r="CC18" s="83"/>
    </row>
    <row r="19" spans="1:81" s="704" customFormat="1" x14ac:dyDescent="0.55000000000000004">
      <c r="A19" s="48" t="s">
        <v>567</v>
      </c>
      <c r="B19" s="286"/>
      <c r="C19" s="224"/>
      <c r="D19" s="224"/>
      <c r="E19" s="224"/>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564">
        <f t="shared" ref="AL19:BF19" si="18">AL17/AH17-1</f>
        <v>0.19883019557667692</v>
      </c>
      <c r="AM19" s="224">
        <f t="shared" si="18"/>
        <v>6.1473651363264104E-2</v>
      </c>
      <c r="AN19" s="224">
        <f t="shared" si="18"/>
        <v>-1.3971917141665458E-2</v>
      </c>
      <c r="AO19" s="224">
        <f t="shared" si="18"/>
        <v>-3.5955293125263577E-2</v>
      </c>
      <c r="AP19" s="564">
        <f t="shared" si="18"/>
        <v>-4.1349027261084359E-2</v>
      </c>
      <c r="AQ19" s="224">
        <f t="shared" si="18"/>
        <v>4.016462720023517E-2</v>
      </c>
      <c r="AR19" s="224">
        <f t="shared" si="18"/>
        <v>0.11818822700035247</v>
      </c>
      <c r="AS19" s="224">
        <f t="shared" si="18"/>
        <v>0.2372306682708083</v>
      </c>
      <c r="AT19" s="564">
        <f t="shared" si="18"/>
        <v>0.2418092753991985</v>
      </c>
      <c r="AU19" s="224">
        <f t="shared" si="18"/>
        <v>0.27234508584752359</v>
      </c>
      <c r="AV19" s="224">
        <f t="shared" si="18"/>
        <v>0.2205024745452826</v>
      </c>
      <c r="AW19" s="224">
        <f t="shared" si="18"/>
        <v>0.1880893446487506</v>
      </c>
      <c r="AX19" s="564">
        <f t="shared" si="18"/>
        <v>0.21162909836065569</v>
      </c>
      <c r="AY19" s="624">
        <f t="shared" si="18"/>
        <v>0.16345966958211866</v>
      </c>
      <c r="AZ19" s="224">
        <f t="shared" si="18"/>
        <v>0.11244188749418882</v>
      </c>
      <c r="BA19" s="224">
        <f t="shared" si="18"/>
        <v>0.12926320097224631</v>
      </c>
      <c r="BB19" s="224">
        <f t="shared" si="18"/>
        <v>0.16357025072935616</v>
      </c>
      <c r="BC19" s="224">
        <f t="shared" si="18"/>
        <v>0.13623979762302518</v>
      </c>
      <c r="BD19" s="224">
        <f t="shared" si="18"/>
        <v>0.10782608695652174</v>
      </c>
      <c r="BE19" s="224">
        <f t="shared" si="18"/>
        <v>0.1176251788268956</v>
      </c>
      <c r="BF19" s="224">
        <f t="shared" si="18"/>
        <v>0.14623098591549311</v>
      </c>
      <c r="BG19" s="224"/>
      <c r="BH19" s="817"/>
      <c r="BI19" s="817"/>
      <c r="BJ19" s="817"/>
      <c r="BK19" s="817"/>
      <c r="BL19" s="817"/>
      <c r="BM19" s="817"/>
      <c r="BN19" s="817"/>
      <c r="BO19" s="817"/>
      <c r="BP19" s="817"/>
      <c r="BQ19" s="817"/>
      <c r="BR19" s="817"/>
      <c r="BS19" s="818">
        <f t="shared" ref="BS19:CB19" si="19">BS17/BR17-1</f>
        <v>0.20841643398484244</v>
      </c>
      <c r="BT19" s="818">
        <f t="shared" si="19"/>
        <v>0.36343809680994044</v>
      </c>
      <c r="BU19" s="818">
        <f t="shared" si="19"/>
        <v>-1.0418918334702321E-2</v>
      </c>
      <c r="BV19" s="818">
        <f t="shared" si="19"/>
        <v>0.16213193534294446</v>
      </c>
      <c r="BW19" s="830">
        <f t="shared" si="19"/>
        <v>0.22065921838112557</v>
      </c>
      <c r="BX19" s="817">
        <f t="shared" si="19"/>
        <v>0.14282583228111245</v>
      </c>
      <c r="BY19" s="817">
        <f t="shared" si="19"/>
        <v>0.1280398189991987</v>
      </c>
      <c r="BZ19" s="817">
        <f t="shared" si="19"/>
        <v>0.11241088435374147</v>
      </c>
      <c r="CA19" s="817">
        <f t="shared" si="19"/>
        <v>5.1916558018253012E-2</v>
      </c>
      <c r="CB19" s="817">
        <f t="shared" si="19"/>
        <v>4.8369152970922924E-2</v>
      </c>
      <c r="CC19" s="83"/>
    </row>
    <row r="20" spans="1:81" s="709" customFormat="1" x14ac:dyDescent="0.55000000000000004">
      <c r="A20" s="338"/>
      <c r="B20" s="96"/>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408"/>
      <c r="AZ20" s="61"/>
      <c r="BA20" s="61"/>
      <c r="BB20" s="61"/>
      <c r="BC20" s="61"/>
      <c r="BD20" s="61"/>
      <c r="BE20" s="61"/>
      <c r="BF20" s="61"/>
      <c r="BG20" s="61"/>
      <c r="BH20" s="831"/>
      <c r="BI20" s="831"/>
      <c r="BJ20" s="831"/>
      <c r="BK20" s="831"/>
      <c r="BL20" s="831"/>
      <c r="BM20" s="831"/>
      <c r="BN20" s="831"/>
      <c r="BO20" s="831"/>
      <c r="BP20" s="831"/>
      <c r="BQ20" s="831"/>
      <c r="BR20" s="831"/>
      <c r="BS20" s="831"/>
      <c r="BT20" s="831"/>
      <c r="BU20" s="831"/>
      <c r="BV20" s="831"/>
      <c r="BW20" s="832"/>
      <c r="BX20" s="831"/>
      <c r="BY20" s="831"/>
      <c r="BZ20" s="831"/>
      <c r="CA20" s="831"/>
      <c r="CB20" s="831"/>
      <c r="CC20" s="24"/>
    </row>
    <row r="21" spans="1:81" s="708" customFormat="1" x14ac:dyDescent="0.55000000000000004">
      <c r="A21" s="19" t="s">
        <v>540</v>
      </c>
      <c r="B21" s="331"/>
      <c r="C21" s="212"/>
      <c r="D21" s="212"/>
      <c r="E21" s="212"/>
      <c r="F21" s="212"/>
      <c r="G21" s="212"/>
      <c r="H21" s="212"/>
      <c r="I21" s="212"/>
      <c r="J21" s="212"/>
      <c r="K21" s="212"/>
      <c r="L21" s="212"/>
      <c r="M21" s="212"/>
      <c r="N21" s="212"/>
      <c r="O21" s="212"/>
      <c r="P21" s="212"/>
      <c r="Q21" s="212"/>
      <c r="R21" s="212"/>
      <c r="S21" s="212"/>
      <c r="T21" s="212"/>
      <c r="U21" s="212"/>
      <c r="V21" s="212"/>
      <c r="W21" s="212"/>
      <c r="X21" s="212"/>
      <c r="Y21" s="212"/>
      <c r="Z21" s="212"/>
      <c r="AA21" s="212"/>
      <c r="AB21" s="212"/>
      <c r="AC21" s="212"/>
      <c r="AD21" s="212"/>
      <c r="AE21" s="212"/>
      <c r="AF21" s="212"/>
      <c r="AG21" s="212"/>
      <c r="AH21" s="565">
        <f t="shared" ref="AH21:AY21" si="20">AH84</f>
        <v>717</v>
      </c>
      <c r="AI21" s="565">
        <f t="shared" si="20"/>
        <v>534</v>
      </c>
      <c r="AJ21" s="565">
        <f t="shared" si="20"/>
        <v>305</v>
      </c>
      <c r="AK21" s="565">
        <f t="shared" si="20"/>
        <v>558</v>
      </c>
      <c r="AL21" s="565">
        <f t="shared" si="20"/>
        <v>877</v>
      </c>
      <c r="AM21" s="565">
        <f t="shared" si="20"/>
        <v>695</v>
      </c>
      <c r="AN21" s="565">
        <f t="shared" si="20"/>
        <v>452</v>
      </c>
      <c r="AO21" s="565">
        <f t="shared" si="20"/>
        <v>285</v>
      </c>
      <c r="AP21" s="565">
        <f t="shared" si="20"/>
        <v>727</v>
      </c>
      <c r="AQ21" s="565">
        <f t="shared" si="20"/>
        <v>339</v>
      </c>
      <c r="AR21" s="565">
        <f t="shared" si="20"/>
        <v>276</v>
      </c>
      <c r="AS21" s="565">
        <f t="shared" si="20"/>
        <v>210</v>
      </c>
      <c r="AT21" s="565">
        <f t="shared" si="20"/>
        <v>1071</v>
      </c>
      <c r="AU21" s="565">
        <f t="shared" si="20"/>
        <v>440</v>
      </c>
      <c r="AV21" s="565">
        <f t="shared" si="20"/>
        <v>353</v>
      </c>
      <c r="AW21" s="565">
        <f t="shared" si="20"/>
        <v>270</v>
      </c>
      <c r="AX21" s="565">
        <f t="shared" si="20"/>
        <v>1083</v>
      </c>
      <c r="AY21" s="629">
        <f t="shared" si="20"/>
        <v>412</v>
      </c>
      <c r="AZ21" s="212">
        <f t="shared" ref="AZ21:BF21" si="21">AZ67</f>
        <v>405.95</v>
      </c>
      <c r="BA21" s="212">
        <f t="shared" si="21"/>
        <v>324</v>
      </c>
      <c r="BB21" s="212">
        <f t="shared" si="21"/>
        <v>1245.4499999999998</v>
      </c>
      <c r="BC21" s="212">
        <f t="shared" si="21"/>
        <v>288.39999999999998</v>
      </c>
      <c r="BD21" s="212">
        <f t="shared" si="21"/>
        <v>466.84249999999997</v>
      </c>
      <c r="BE21" s="212">
        <f t="shared" si="21"/>
        <v>388.8</v>
      </c>
      <c r="BF21" s="212">
        <f t="shared" si="21"/>
        <v>1432.2674999999997</v>
      </c>
      <c r="BG21" s="212"/>
      <c r="BH21" s="827"/>
      <c r="BI21" s="827"/>
      <c r="BJ21" s="827"/>
      <c r="BK21" s="827"/>
      <c r="BL21" s="827"/>
      <c r="BM21" s="827"/>
      <c r="BN21" s="827"/>
      <c r="BO21" s="827"/>
      <c r="BP21" s="827"/>
      <c r="BQ21" s="827"/>
      <c r="BR21" s="828">
        <f t="shared" ref="BR21:BW21" si="22">BR84</f>
        <v>501</v>
      </c>
      <c r="BS21" s="828">
        <f t="shared" si="22"/>
        <v>1139</v>
      </c>
      <c r="BT21" s="828">
        <f t="shared" si="22"/>
        <v>2274</v>
      </c>
      <c r="BU21" s="828">
        <f t="shared" si="22"/>
        <v>2159</v>
      </c>
      <c r="BV21" s="828">
        <f t="shared" si="22"/>
        <v>1896</v>
      </c>
      <c r="BW21" s="829">
        <f t="shared" si="22"/>
        <v>2146</v>
      </c>
      <c r="BX21" s="827">
        <f>BX67</f>
        <v>2387.3999999999996</v>
      </c>
      <c r="BY21" s="827">
        <f>BY67</f>
        <v>2576.3099999999995</v>
      </c>
      <c r="BZ21" s="827">
        <f>BZ67</f>
        <v>2962.7564999999991</v>
      </c>
      <c r="CA21" s="827">
        <f>CA67</f>
        <v>3407.1699749999984</v>
      </c>
      <c r="CB21" s="827">
        <f>CB67</f>
        <v>3918.245471249998</v>
      </c>
      <c r="CC21" s="6"/>
    </row>
    <row r="22" spans="1:81" s="704" customFormat="1" x14ac:dyDescent="0.55000000000000004">
      <c r="A22" s="48" t="s">
        <v>544</v>
      </c>
      <c r="B22" s="286"/>
      <c r="C22" s="224"/>
      <c r="D22" s="224"/>
      <c r="E22" s="224"/>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c r="AD22" s="224"/>
      <c r="AE22" s="224"/>
      <c r="AF22" s="224"/>
      <c r="AG22" s="224"/>
      <c r="AH22" s="224"/>
      <c r="AI22" s="564">
        <f t="shared" ref="AI22:BF22" si="23">AI21/AH21-1</f>
        <v>-0.25523012552301261</v>
      </c>
      <c r="AJ22" s="564">
        <f t="shared" si="23"/>
        <v>-0.42883895131086147</v>
      </c>
      <c r="AK22" s="564">
        <f t="shared" si="23"/>
        <v>0.82950819672131137</v>
      </c>
      <c r="AL22" s="564">
        <f t="shared" si="23"/>
        <v>0.57168458781362008</v>
      </c>
      <c r="AM22" s="564">
        <f t="shared" si="23"/>
        <v>-0.20752565564424175</v>
      </c>
      <c r="AN22" s="564">
        <f t="shared" si="23"/>
        <v>-0.34964028776978417</v>
      </c>
      <c r="AO22" s="564">
        <f t="shared" si="23"/>
        <v>-0.36946902654867253</v>
      </c>
      <c r="AP22" s="564">
        <f t="shared" si="23"/>
        <v>1.5508771929824561</v>
      </c>
      <c r="AQ22" s="564">
        <f t="shared" si="23"/>
        <v>-0.53370013755158185</v>
      </c>
      <c r="AR22" s="564">
        <f t="shared" si="23"/>
        <v>-0.18584070796460173</v>
      </c>
      <c r="AS22" s="564">
        <f t="shared" si="23"/>
        <v>-0.23913043478260865</v>
      </c>
      <c r="AT22" s="564">
        <f t="shared" si="23"/>
        <v>4.0999999999999996</v>
      </c>
      <c r="AU22" s="564">
        <f t="shared" si="23"/>
        <v>-0.58916900093370683</v>
      </c>
      <c r="AV22" s="564">
        <f t="shared" si="23"/>
        <v>-0.19772727272727275</v>
      </c>
      <c r="AW22" s="564">
        <f t="shared" si="23"/>
        <v>-0.23512747875354112</v>
      </c>
      <c r="AX22" s="564">
        <f t="shared" si="23"/>
        <v>3.0111111111111111</v>
      </c>
      <c r="AY22" s="624">
        <f t="shared" si="23"/>
        <v>-0.61957525392428447</v>
      </c>
      <c r="AZ22" s="224">
        <f t="shared" si="23"/>
        <v>-1.468446601941753E-2</v>
      </c>
      <c r="BA22" s="224">
        <f t="shared" si="23"/>
        <v>-0.20187215174282547</v>
      </c>
      <c r="BB22" s="224">
        <f t="shared" si="23"/>
        <v>2.8439814814814808</v>
      </c>
      <c r="BC22" s="224">
        <f t="shared" si="23"/>
        <v>-0.76843711108434698</v>
      </c>
      <c r="BD22" s="224">
        <f t="shared" si="23"/>
        <v>0.61873266296809981</v>
      </c>
      <c r="BE22" s="224">
        <f t="shared" si="23"/>
        <v>-0.16717094094903517</v>
      </c>
      <c r="BF22" s="224">
        <f t="shared" si="23"/>
        <v>2.6838155864197524</v>
      </c>
      <c r="BG22" s="224"/>
      <c r="BH22" s="817"/>
      <c r="BI22" s="817"/>
      <c r="BJ22" s="817"/>
      <c r="BK22" s="817"/>
      <c r="BL22" s="817"/>
      <c r="BM22" s="817"/>
      <c r="BN22" s="817"/>
      <c r="BO22" s="817"/>
      <c r="BP22" s="817"/>
      <c r="BQ22" s="817"/>
      <c r="BR22" s="817"/>
      <c r="BS22" s="817"/>
      <c r="BT22" s="817"/>
      <c r="BU22" s="817"/>
      <c r="BV22" s="817"/>
      <c r="BW22" s="819"/>
      <c r="BX22" s="817"/>
      <c r="BY22" s="817"/>
      <c r="BZ22" s="817"/>
      <c r="CA22" s="817"/>
      <c r="CB22" s="817"/>
      <c r="CC22" s="83"/>
    </row>
    <row r="23" spans="1:81" s="704" customFormat="1" x14ac:dyDescent="0.55000000000000004">
      <c r="A23" s="79" t="s">
        <v>543</v>
      </c>
      <c r="B23" s="286"/>
      <c r="C23" s="224"/>
      <c r="D23" s="224"/>
      <c r="E23" s="224"/>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224"/>
      <c r="AJ23" s="224"/>
      <c r="AK23" s="224"/>
      <c r="AL23" s="224">
        <f t="shared" ref="AL23:BF23" si="24">AL21/AH21-1</f>
        <v>0.22315202231520215</v>
      </c>
      <c r="AM23" s="224">
        <f t="shared" si="24"/>
        <v>0.30149812734082393</v>
      </c>
      <c r="AN23" s="224">
        <f t="shared" si="24"/>
        <v>0.4819672131147541</v>
      </c>
      <c r="AO23" s="224">
        <f t="shared" si="24"/>
        <v>-0.489247311827957</v>
      </c>
      <c r="AP23" s="224">
        <f t="shared" si="24"/>
        <v>-0.17103762827822122</v>
      </c>
      <c r="AQ23" s="224">
        <f t="shared" si="24"/>
        <v>-0.51223021582733819</v>
      </c>
      <c r="AR23" s="224">
        <f t="shared" si="24"/>
        <v>-0.38938053097345138</v>
      </c>
      <c r="AS23" s="224">
        <f t="shared" si="24"/>
        <v>-0.26315789473684215</v>
      </c>
      <c r="AT23" s="224">
        <f t="shared" si="24"/>
        <v>0.47317744154057761</v>
      </c>
      <c r="AU23" s="224">
        <f t="shared" si="24"/>
        <v>0.29793510324483785</v>
      </c>
      <c r="AV23" s="224">
        <f t="shared" si="24"/>
        <v>0.27898550724637672</v>
      </c>
      <c r="AW23" s="224">
        <f t="shared" si="24"/>
        <v>0.28571428571428581</v>
      </c>
      <c r="AX23" s="224">
        <f t="shared" si="24"/>
        <v>1.1204481792717047E-2</v>
      </c>
      <c r="AY23" s="624">
        <f t="shared" si="24"/>
        <v>-6.3636363636363602E-2</v>
      </c>
      <c r="AZ23" s="224">
        <f t="shared" si="24"/>
        <v>0.14999999999999991</v>
      </c>
      <c r="BA23" s="224">
        <f t="shared" si="24"/>
        <v>0.19999999999999996</v>
      </c>
      <c r="BB23" s="224">
        <f t="shared" si="24"/>
        <v>0.14999999999999991</v>
      </c>
      <c r="BC23" s="224">
        <f t="shared" si="24"/>
        <v>-0.30000000000000004</v>
      </c>
      <c r="BD23" s="224">
        <f t="shared" si="24"/>
        <v>0.14999999999999991</v>
      </c>
      <c r="BE23" s="224">
        <f t="shared" si="24"/>
        <v>0.19999999999999996</v>
      </c>
      <c r="BF23" s="224">
        <f t="shared" si="24"/>
        <v>0.14999999999999991</v>
      </c>
      <c r="BG23" s="224"/>
      <c r="BH23" s="817"/>
      <c r="BI23" s="817"/>
      <c r="BJ23" s="817"/>
      <c r="BK23" s="817"/>
      <c r="BL23" s="817"/>
      <c r="BM23" s="817"/>
      <c r="BN23" s="817"/>
      <c r="BO23" s="817"/>
      <c r="BP23" s="817"/>
      <c r="BQ23" s="817"/>
      <c r="BR23" s="817"/>
      <c r="BS23" s="817">
        <f t="shared" ref="BS23:CB23" si="25">BS21/BR21-1</f>
        <v>1.2734530938123751</v>
      </c>
      <c r="BT23" s="817">
        <f t="shared" si="25"/>
        <v>0.99648814749780512</v>
      </c>
      <c r="BU23" s="817">
        <f t="shared" si="25"/>
        <v>-5.0571679859278795E-2</v>
      </c>
      <c r="BV23" s="817">
        <f t="shared" si="25"/>
        <v>-0.12181565539601669</v>
      </c>
      <c r="BW23" s="819">
        <f t="shared" si="25"/>
        <v>0.1318565400843883</v>
      </c>
      <c r="BX23" s="817">
        <f t="shared" si="25"/>
        <v>0.11248835041938476</v>
      </c>
      <c r="BY23" s="817">
        <f t="shared" si="25"/>
        <v>7.9127921588338701E-2</v>
      </c>
      <c r="BZ23" s="817">
        <f t="shared" si="25"/>
        <v>0.14999999999999991</v>
      </c>
      <c r="CA23" s="817">
        <f t="shared" si="25"/>
        <v>0.14999999999999991</v>
      </c>
      <c r="CB23" s="817">
        <f t="shared" si="25"/>
        <v>0.14999999999999991</v>
      </c>
      <c r="CC23" s="83"/>
    </row>
    <row r="24" spans="1:81" s="704" customFormat="1" x14ac:dyDescent="0.55000000000000004">
      <c r="A24" s="344"/>
      <c r="B24" s="286"/>
      <c r="C24" s="224"/>
      <c r="D24" s="224"/>
      <c r="E24" s="224"/>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624"/>
      <c r="AZ24" s="224"/>
      <c r="BA24" s="224"/>
      <c r="BB24" s="224"/>
      <c r="BC24" s="224"/>
      <c r="BD24" s="224"/>
      <c r="BE24" s="224"/>
      <c r="BF24" s="224"/>
      <c r="BG24" s="224"/>
      <c r="BH24" s="817"/>
      <c r="BI24" s="817"/>
      <c r="BJ24" s="817"/>
      <c r="BK24" s="817"/>
      <c r="BL24" s="817"/>
      <c r="BM24" s="817"/>
      <c r="BN24" s="817"/>
      <c r="BO24" s="817"/>
      <c r="BP24" s="817"/>
      <c r="BQ24" s="817"/>
      <c r="BR24" s="817"/>
      <c r="BS24" s="817"/>
      <c r="BT24" s="817"/>
      <c r="BU24" s="817"/>
      <c r="BV24" s="817"/>
      <c r="BW24" s="819"/>
      <c r="BX24" s="817"/>
      <c r="BY24" s="817"/>
      <c r="BZ24" s="817"/>
      <c r="CA24" s="817"/>
      <c r="CB24" s="817"/>
      <c r="CC24" s="83"/>
    </row>
    <row r="25" spans="1:81" s="706" customFormat="1" x14ac:dyDescent="0.55000000000000004">
      <c r="A25" s="20" t="s">
        <v>20</v>
      </c>
      <c r="B25" s="231"/>
      <c r="C25" s="5">
        <f t="shared" ref="C25:AG25" si="26">C378</f>
        <v>1458</v>
      </c>
      <c r="D25" s="5">
        <f t="shared" si="26"/>
        <v>1813</v>
      </c>
      <c r="E25" s="5">
        <f t="shared" si="26"/>
        <v>2016</v>
      </c>
      <c r="F25" s="5">
        <f t="shared" si="26"/>
        <v>2585</v>
      </c>
      <c r="G25" s="5">
        <f t="shared" si="26"/>
        <v>2502</v>
      </c>
      <c r="H25" s="5">
        <f t="shared" si="26"/>
        <v>2910</v>
      </c>
      <c r="I25" s="5">
        <f t="shared" si="26"/>
        <v>3203</v>
      </c>
      <c r="J25" s="5">
        <f t="shared" si="26"/>
        <v>3851</v>
      </c>
      <c r="K25" s="5">
        <f t="shared" si="26"/>
        <v>3543</v>
      </c>
      <c r="L25" s="5">
        <f t="shared" si="26"/>
        <v>4042</v>
      </c>
      <c r="M25" s="5">
        <f t="shared" si="26"/>
        <v>4501</v>
      </c>
      <c r="N25" s="5">
        <f t="shared" si="26"/>
        <v>5841</v>
      </c>
      <c r="O25" s="5">
        <f t="shared" si="26"/>
        <v>5382</v>
      </c>
      <c r="P25" s="5">
        <f t="shared" si="26"/>
        <v>6436</v>
      </c>
      <c r="Q25" s="5">
        <f t="shared" si="26"/>
        <v>7011</v>
      </c>
      <c r="R25" s="33">
        <f t="shared" si="26"/>
        <v>8809</v>
      </c>
      <c r="S25" s="5">
        <f t="shared" si="26"/>
        <v>8032</v>
      </c>
      <c r="T25" s="5">
        <f t="shared" si="26"/>
        <v>9321</v>
      </c>
      <c r="U25" s="5">
        <f t="shared" si="26"/>
        <v>10328</v>
      </c>
      <c r="V25" s="33">
        <f t="shared" si="26"/>
        <v>12972</v>
      </c>
      <c r="W25" s="5">
        <f t="shared" si="26"/>
        <v>11966</v>
      </c>
      <c r="X25" s="5">
        <f t="shared" si="26"/>
        <v>13231</v>
      </c>
      <c r="Y25" s="5">
        <f t="shared" si="26"/>
        <v>13727</v>
      </c>
      <c r="Z25" s="33">
        <f t="shared" si="26"/>
        <v>16914</v>
      </c>
      <c r="AA25" s="5">
        <f t="shared" si="26"/>
        <v>15077</v>
      </c>
      <c r="AB25" s="5">
        <f t="shared" si="26"/>
        <v>16886</v>
      </c>
      <c r="AC25" s="5">
        <f t="shared" si="26"/>
        <v>17652</v>
      </c>
      <c r="AD25" s="33">
        <f t="shared" si="26"/>
        <v>21082</v>
      </c>
      <c r="AE25" s="5">
        <f t="shared" si="26"/>
        <v>17737</v>
      </c>
      <c r="AF25" s="5">
        <f t="shared" si="26"/>
        <v>18687</v>
      </c>
      <c r="AG25" s="5">
        <f t="shared" si="26"/>
        <v>21470</v>
      </c>
      <c r="AH25" s="33">
        <f t="shared" ref="AH25:BF25" si="27">AH17+AH21</f>
        <v>28072</v>
      </c>
      <c r="AI25" s="5">
        <f t="shared" si="27"/>
        <v>26171</v>
      </c>
      <c r="AJ25" s="5">
        <f t="shared" si="27"/>
        <v>29077</v>
      </c>
      <c r="AK25" s="5">
        <f t="shared" si="27"/>
        <v>29010</v>
      </c>
      <c r="AL25" s="33">
        <f t="shared" si="27"/>
        <v>33671</v>
      </c>
      <c r="AM25" s="5">
        <f t="shared" si="27"/>
        <v>27908</v>
      </c>
      <c r="AN25" s="5">
        <f t="shared" si="27"/>
        <v>28822</v>
      </c>
      <c r="AO25" s="5">
        <f t="shared" si="27"/>
        <v>27714</v>
      </c>
      <c r="AP25" s="33">
        <f t="shared" si="27"/>
        <v>32165</v>
      </c>
      <c r="AQ25" s="5">
        <f t="shared" si="27"/>
        <v>28645</v>
      </c>
      <c r="AR25" s="5">
        <f t="shared" si="27"/>
        <v>31999</v>
      </c>
      <c r="AS25" s="5">
        <f t="shared" si="27"/>
        <v>34146</v>
      </c>
      <c r="AT25" s="33">
        <f t="shared" si="27"/>
        <v>40111</v>
      </c>
      <c r="AU25" s="5">
        <f t="shared" si="27"/>
        <v>36455</v>
      </c>
      <c r="AV25" s="5">
        <f t="shared" si="27"/>
        <v>39071</v>
      </c>
      <c r="AW25" s="5">
        <f t="shared" si="27"/>
        <v>40589</v>
      </c>
      <c r="AX25" s="33">
        <f t="shared" si="27"/>
        <v>48385</v>
      </c>
      <c r="AY25" s="409">
        <f t="shared" si="27"/>
        <v>42314</v>
      </c>
      <c r="AZ25" s="33">
        <f t="shared" si="27"/>
        <v>43477.474999999999</v>
      </c>
      <c r="BA25" s="33">
        <f t="shared" si="27"/>
        <v>45854.762999999999</v>
      </c>
      <c r="BB25" s="33">
        <f t="shared" si="27"/>
        <v>56284.65</v>
      </c>
      <c r="BC25" s="33">
        <f t="shared" si="27"/>
        <v>47899.12</v>
      </c>
      <c r="BD25" s="33">
        <f t="shared" si="27"/>
        <v>48182.601500000004</v>
      </c>
      <c r="BE25" s="33">
        <f t="shared" si="27"/>
        <v>51275.127140000004</v>
      </c>
      <c r="BF25" s="33">
        <f t="shared" si="27"/>
        <v>64519.90398000001</v>
      </c>
      <c r="BG25" s="33"/>
      <c r="BH25" s="833">
        <f t="shared" ref="BH25:BQ25" si="28">BH378</f>
        <v>777</v>
      </c>
      <c r="BI25" s="833">
        <f t="shared" si="28"/>
        <v>1974</v>
      </c>
      <c r="BJ25" s="834">
        <f t="shared" si="28"/>
        <v>3711</v>
      </c>
      <c r="BK25" s="834">
        <f t="shared" si="28"/>
        <v>5089</v>
      </c>
      <c r="BL25" s="834">
        <f t="shared" si="28"/>
        <v>7872</v>
      </c>
      <c r="BM25" s="834">
        <f t="shared" si="28"/>
        <v>12466</v>
      </c>
      <c r="BN25" s="834">
        <f t="shared" si="28"/>
        <v>17928</v>
      </c>
      <c r="BO25" s="833">
        <f t="shared" si="28"/>
        <v>27638</v>
      </c>
      <c r="BP25" s="833">
        <f t="shared" si="28"/>
        <v>40653</v>
      </c>
      <c r="BQ25" s="833">
        <f t="shared" si="28"/>
        <v>55838</v>
      </c>
      <c r="BR25" s="833">
        <f t="shared" ref="BR25:CB25" si="29">BR17+BR21</f>
        <v>70697</v>
      </c>
      <c r="BS25" s="833">
        <f t="shared" si="29"/>
        <v>85965</v>
      </c>
      <c r="BT25" s="833">
        <f t="shared" si="29"/>
        <v>117929</v>
      </c>
      <c r="BU25" s="833">
        <f t="shared" si="29"/>
        <v>116609</v>
      </c>
      <c r="BV25" s="833">
        <f t="shared" si="29"/>
        <v>134902</v>
      </c>
      <c r="BW25" s="835">
        <f t="shared" si="29"/>
        <v>164501</v>
      </c>
      <c r="BX25" s="833">
        <f t="shared" si="29"/>
        <v>187930.88800000001</v>
      </c>
      <c r="BY25" s="833">
        <f t="shared" si="29"/>
        <v>211876.75262000001</v>
      </c>
      <c r="BZ25" s="833">
        <f t="shared" si="29"/>
        <v>235790.84697054373</v>
      </c>
      <c r="CA25" s="833">
        <f t="shared" si="29"/>
        <v>248322.89351273677</v>
      </c>
      <c r="CB25" s="833">
        <f t="shared" si="29"/>
        <v>260680.33510576782</v>
      </c>
      <c r="CC25" s="6"/>
    </row>
    <row r="26" spans="1:81" x14ac:dyDescent="0.55000000000000004">
      <c r="A26" s="44" t="str">
        <f>A379</f>
        <v>Consensus Estimates - Net Revenue</v>
      </c>
      <c r="B26" s="76"/>
      <c r="C26" s="45"/>
      <c r="D26" s="45"/>
      <c r="E26" s="45"/>
      <c r="F26" s="45"/>
      <c r="G26" s="45"/>
      <c r="H26" s="45"/>
      <c r="I26" s="45"/>
      <c r="J26" s="45"/>
      <c r="K26" s="45"/>
      <c r="L26" s="45"/>
      <c r="M26" s="45"/>
      <c r="N26" s="45"/>
      <c r="O26" s="45"/>
      <c r="P26" s="566"/>
      <c r="Q26" s="566"/>
      <c r="R26" s="566"/>
      <c r="S26" s="45"/>
      <c r="T26" s="566"/>
      <c r="U26" s="45"/>
      <c r="V26" s="566"/>
      <c r="W26" s="45"/>
      <c r="X26" s="566"/>
      <c r="Y26" s="45"/>
      <c r="Z26" s="566"/>
      <c r="AA26" s="45"/>
      <c r="AB26" s="566"/>
      <c r="AC26" s="45"/>
      <c r="AD26" s="566"/>
      <c r="AE26" s="45"/>
      <c r="AF26" s="566"/>
      <c r="AG26" s="45"/>
      <c r="AH26" s="566"/>
      <c r="AI26" s="45"/>
      <c r="AJ26" s="566"/>
      <c r="AK26" s="45"/>
      <c r="AL26" s="566"/>
      <c r="AM26" s="45"/>
      <c r="AN26" s="566"/>
      <c r="AO26" s="45"/>
      <c r="AP26" s="566"/>
      <c r="AQ26" s="45"/>
      <c r="AR26" s="566"/>
      <c r="AS26" s="45"/>
      <c r="AT26" s="566"/>
      <c r="AU26" s="45"/>
      <c r="AV26" s="566"/>
      <c r="AW26" s="45"/>
      <c r="AX26" s="566"/>
      <c r="AY26" s="627"/>
      <c r="AZ26" s="342" t="str">
        <f t="shared" ref="AZ26:BF26" ca="1" si="30">AZ379</f>
        <v>N/A</v>
      </c>
      <c r="BA26" s="342" t="str">
        <f t="shared" ca="1" si="30"/>
        <v>N/A</v>
      </c>
      <c r="BB26" s="342" t="str">
        <f t="shared" ca="1" si="30"/>
        <v>N/A</v>
      </c>
      <c r="BC26" s="342" t="str">
        <f t="shared" ca="1" si="30"/>
        <v>N/A</v>
      </c>
      <c r="BD26" s="342" t="str">
        <f t="shared" ca="1" si="30"/>
        <v>N/A</v>
      </c>
      <c r="BE26" s="342" t="str">
        <f t="shared" ca="1" si="30"/>
        <v>N/A</v>
      </c>
      <c r="BF26" s="342" t="str">
        <f t="shared" ca="1" si="30"/>
        <v>N/A</v>
      </c>
      <c r="BG26" s="342"/>
      <c r="BH26" s="836"/>
      <c r="BI26" s="836"/>
      <c r="BJ26" s="836"/>
      <c r="BK26" s="836"/>
      <c r="BL26" s="836"/>
      <c r="BM26" s="836"/>
      <c r="BN26" s="836"/>
      <c r="BO26" s="837"/>
      <c r="BP26" s="837"/>
      <c r="BQ26" s="837"/>
      <c r="BR26" s="837"/>
      <c r="BS26" s="837"/>
      <c r="BT26" s="837"/>
      <c r="BU26" s="837"/>
      <c r="BV26" s="837"/>
      <c r="BW26" s="838"/>
      <c r="BX26" s="837" t="str">
        <f ca="1">BX379</f>
        <v>N/A</v>
      </c>
      <c r="BY26" s="837" t="str">
        <f ca="1">BY379</f>
        <v>N/A</v>
      </c>
      <c r="BZ26" s="837" t="str">
        <f ca="1">BZ379</f>
        <v>N/A</v>
      </c>
      <c r="CA26" s="837" t="str">
        <f ca="1">CA379</f>
        <v>N/A</v>
      </c>
      <c r="CB26" s="837" t="str">
        <f ca="1">CB379</f>
        <v>N/A</v>
      </c>
      <c r="CC26" s="45"/>
    </row>
    <row r="27" spans="1:81" s="710" customFormat="1" collapsed="1" x14ac:dyDescent="0.55000000000000004">
      <c r="A27" s="48" t="s">
        <v>489</v>
      </c>
      <c r="B27" s="286"/>
      <c r="C27" s="224"/>
      <c r="D27" s="564">
        <f t="shared" ref="D27:AI27" si="31">D25/C25-1</f>
        <v>0.24348422496570654</v>
      </c>
      <c r="E27" s="564">
        <f t="shared" si="31"/>
        <v>0.11196911196911197</v>
      </c>
      <c r="F27" s="564">
        <f t="shared" si="31"/>
        <v>0.28224206349206349</v>
      </c>
      <c r="G27" s="564">
        <f t="shared" si="31"/>
        <v>-3.2108317214700199E-2</v>
      </c>
      <c r="H27" s="564">
        <f t="shared" si="31"/>
        <v>0.16306954436450849</v>
      </c>
      <c r="I27" s="564">
        <f t="shared" si="31"/>
        <v>0.10068728522336778</v>
      </c>
      <c r="J27" s="564">
        <f t="shared" si="31"/>
        <v>0.20231033406181709</v>
      </c>
      <c r="K27" s="564">
        <f t="shared" si="31"/>
        <v>-7.9979226175019513E-2</v>
      </c>
      <c r="L27" s="564">
        <f t="shared" si="31"/>
        <v>0.14084109511713239</v>
      </c>
      <c r="M27" s="564">
        <f t="shared" si="31"/>
        <v>0.11355764473033148</v>
      </c>
      <c r="N27" s="564">
        <f t="shared" si="31"/>
        <v>0.29771161964007997</v>
      </c>
      <c r="O27" s="564">
        <f t="shared" si="31"/>
        <v>-7.8582434514637867E-2</v>
      </c>
      <c r="P27" s="564">
        <f t="shared" si="31"/>
        <v>0.19583797844667417</v>
      </c>
      <c r="Q27" s="564">
        <f t="shared" si="31"/>
        <v>8.9341205717837102E-2</v>
      </c>
      <c r="R27" s="564">
        <f t="shared" si="31"/>
        <v>0.25645414348880324</v>
      </c>
      <c r="S27" s="564">
        <f t="shared" si="31"/>
        <v>-8.8205244636167524E-2</v>
      </c>
      <c r="T27" s="564">
        <f t="shared" si="31"/>
        <v>0.16048306772908361</v>
      </c>
      <c r="U27" s="564">
        <f t="shared" si="31"/>
        <v>0.10803561849586951</v>
      </c>
      <c r="V27" s="564">
        <f t="shared" si="31"/>
        <v>0.25600309837335389</v>
      </c>
      <c r="W27" s="564">
        <f t="shared" si="31"/>
        <v>-7.755164970706141E-2</v>
      </c>
      <c r="X27" s="564">
        <f t="shared" si="31"/>
        <v>0.10571619588835035</v>
      </c>
      <c r="Y27" s="564">
        <f t="shared" si="31"/>
        <v>3.7487718237472656E-2</v>
      </c>
      <c r="Z27" s="564">
        <f t="shared" si="31"/>
        <v>0.23217017556640207</v>
      </c>
      <c r="AA27" s="564">
        <f t="shared" si="31"/>
        <v>-0.10860825351779591</v>
      </c>
      <c r="AB27" s="564">
        <f t="shared" si="31"/>
        <v>0.11998408171386887</v>
      </c>
      <c r="AC27" s="564">
        <f t="shared" si="31"/>
        <v>4.536302262229075E-2</v>
      </c>
      <c r="AD27" s="564">
        <f t="shared" si="31"/>
        <v>0.19431225923408113</v>
      </c>
      <c r="AE27" s="564">
        <f t="shared" si="31"/>
        <v>-0.15866616070581541</v>
      </c>
      <c r="AF27" s="564">
        <f t="shared" si="31"/>
        <v>5.3560354062130111E-2</v>
      </c>
      <c r="AG27" s="564">
        <f t="shared" si="31"/>
        <v>0.14892706159362112</v>
      </c>
      <c r="AH27" s="564">
        <f t="shared" si="31"/>
        <v>0.3074988355845365</v>
      </c>
      <c r="AI27" s="564">
        <f t="shared" si="31"/>
        <v>-6.7718723282986559E-2</v>
      </c>
      <c r="AJ27" s="564">
        <f t="shared" ref="AJ27:BF27" si="32">AJ25/AI25-1</f>
        <v>0.11103893622712158</v>
      </c>
      <c r="AK27" s="564">
        <f t="shared" si="32"/>
        <v>-2.3042267083949186E-3</v>
      </c>
      <c r="AL27" s="564">
        <f t="shared" si="32"/>
        <v>0.16066873491899347</v>
      </c>
      <c r="AM27" s="564">
        <f t="shared" si="32"/>
        <v>-0.1711561878174096</v>
      </c>
      <c r="AN27" s="564">
        <f t="shared" si="32"/>
        <v>3.2750465816253405E-2</v>
      </c>
      <c r="AO27" s="564">
        <f t="shared" si="32"/>
        <v>-3.8442856151550853E-2</v>
      </c>
      <c r="AP27" s="564">
        <f t="shared" si="32"/>
        <v>0.1606047485025619</v>
      </c>
      <c r="AQ27" s="564">
        <f t="shared" si="32"/>
        <v>-0.10943572205813767</v>
      </c>
      <c r="AR27" s="564">
        <f t="shared" si="32"/>
        <v>0.1170884971199162</v>
      </c>
      <c r="AS27" s="564">
        <f t="shared" si="32"/>
        <v>6.7095846745210741E-2</v>
      </c>
      <c r="AT27" s="564">
        <f t="shared" si="32"/>
        <v>0.17469103262461205</v>
      </c>
      <c r="AU27" s="564">
        <f t="shared" si="32"/>
        <v>-9.1147066889382011E-2</v>
      </c>
      <c r="AV27" s="564">
        <f t="shared" si="32"/>
        <v>7.1759703744342263E-2</v>
      </c>
      <c r="AW27" s="564">
        <f t="shared" si="32"/>
        <v>3.8852345729569304E-2</v>
      </c>
      <c r="AX27" s="564">
        <f t="shared" si="32"/>
        <v>0.19207174357584567</v>
      </c>
      <c r="AY27" s="624">
        <f t="shared" si="32"/>
        <v>-0.12547277048672112</v>
      </c>
      <c r="AZ27" s="224">
        <f t="shared" si="32"/>
        <v>2.7496218745568735E-2</v>
      </c>
      <c r="BA27" s="224">
        <f t="shared" si="32"/>
        <v>5.467861231591753E-2</v>
      </c>
      <c r="BB27" s="224">
        <f t="shared" si="32"/>
        <v>0.22745482295917663</v>
      </c>
      <c r="BC27" s="224">
        <f t="shared" si="32"/>
        <v>-0.14898431455112537</v>
      </c>
      <c r="BD27" s="224">
        <f t="shared" si="32"/>
        <v>5.9183028832263673E-3</v>
      </c>
      <c r="BE27" s="224">
        <f t="shared" si="32"/>
        <v>6.4183450949613086E-2</v>
      </c>
      <c r="BF27" s="224">
        <f t="shared" si="32"/>
        <v>0.25830802532847708</v>
      </c>
      <c r="BG27" s="224"/>
      <c r="BH27" s="817"/>
      <c r="BI27" s="817"/>
      <c r="BJ27" s="817"/>
      <c r="BK27" s="817"/>
      <c r="BL27" s="817"/>
      <c r="BM27" s="817"/>
      <c r="BN27" s="817"/>
      <c r="BO27" s="817"/>
      <c r="BP27" s="817"/>
      <c r="BQ27" s="817"/>
      <c r="BR27" s="817"/>
      <c r="BS27" s="817"/>
      <c r="BT27" s="817"/>
      <c r="BU27" s="817"/>
      <c r="BV27" s="817"/>
      <c r="BW27" s="819"/>
      <c r="BX27" s="817"/>
      <c r="BY27" s="817"/>
      <c r="BZ27" s="817"/>
      <c r="CA27" s="817"/>
      <c r="CB27" s="817"/>
      <c r="CC27" s="314"/>
    </row>
    <row r="28" spans="1:81" s="705" customFormat="1" x14ac:dyDescent="0.55000000000000004">
      <c r="A28" s="48" t="s">
        <v>490</v>
      </c>
      <c r="B28" s="286"/>
      <c r="C28" s="224"/>
      <c r="D28" s="224"/>
      <c r="E28" s="224"/>
      <c r="F28" s="224"/>
      <c r="G28" s="564">
        <f t="shared" ref="G28:AL28" si="33">G25/C25-1</f>
        <v>0.71604938271604945</v>
      </c>
      <c r="H28" s="564">
        <f t="shared" si="33"/>
        <v>0.60507446221731942</v>
      </c>
      <c r="I28" s="564">
        <f t="shared" si="33"/>
        <v>0.58878968253968256</v>
      </c>
      <c r="J28" s="564">
        <f t="shared" si="33"/>
        <v>0.48974854932301737</v>
      </c>
      <c r="K28" s="564">
        <f t="shared" si="33"/>
        <v>0.4160671462829737</v>
      </c>
      <c r="L28" s="564">
        <f t="shared" si="33"/>
        <v>0.38900343642611679</v>
      </c>
      <c r="M28" s="564">
        <f t="shared" si="33"/>
        <v>0.40524508273493609</v>
      </c>
      <c r="N28" s="564">
        <f t="shared" si="33"/>
        <v>0.516748896390548</v>
      </c>
      <c r="O28" s="564">
        <f t="shared" si="33"/>
        <v>0.51905165114309915</v>
      </c>
      <c r="P28" s="564">
        <f t="shared" si="33"/>
        <v>0.5922810489856507</v>
      </c>
      <c r="Q28" s="564">
        <f t="shared" si="33"/>
        <v>0.55765385469895579</v>
      </c>
      <c r="R28" s="564">
        <f t="shared" si="33"/>
        <v>0.5081321691491183</v>
      </c>
      <c r="S28" s="564">
        <f t="shared" si="33"/>
        <v>0.49238201412114457</v>
      </c>
      <c r="T28" s="564">
        <f t="shared" si="33"/>
        <v>0.44825978868862637</v>
      </c>
      <c r="U28" s="564">
        <f t="shared" si="33"/>
        <v>0.47311367850520614</v>
      </c>
      <c r="V28" s="564">
        <f t="shared" si="33"/>
        <v>0.47258485639686687</v>
      </c>
      <c r="W28" s="564">
        <f t="shared" si="33"/>
        <v>0.48979083665338652</v>
      </c>
      <c r="X28" s="564">
        <f t="shared" si="33"/>
        <v>0.41948288810213485</v>
      </c>
      <c r="Y28" s="564">
        <f t="shared" si="33"/>
        <v>0.32910534469403574</v>
      </c>
      <c r="Z28" s="564">
        <f t="shared" si="33"/>
        <v>0.30388529139685483</v>
      </c>
      <c r="AA28" s="564">
        <f t="shared" si="33"/>
        <v>0.25998662878154777</v>
      </c>
      <c r="AB28" s="564">
        <f t="shared" si="33"/>
        <v>0.2762451817700855</v>
      </c>
      <c r="AC28" s="564">
        <f t="shared" si="33"/>
        <v>0.2859328331026445</v>
      </c>
      <c r="AD28" s="564">
        <f t="shared" si="33"/>
        <v>0.2464230814709707</v>
      </c>
      <c r="AE28" s="564">
        <f t="shared" si="33"/>
        <v>0.17642767128739134</v>
      </c>
      <c r="AF28" s="564">
        <f t="shared" si="33"/>
        <v>0.10665640175293145</v>
      </c>
      <c r="AG28" s="564">
        <f t="shared" si="33"/>
        <v>0.21629277135735325</v>
      </c>
      <c r="AH28" s="564">
        <f t="shared" si="33"/>
        <v>0.33156247035385644</v>
      </c>
      <c r="AI28" s="564">
        <f t="shared" si="33"/>
        <v>0.47550318543158365</v>
      </c>
      <c r="AJ28" s="54">
        <f t="shared" si="33"/>
        <v>0.5560014983678494</v>
      </c>
      <c r="AK28" s="564">
        <f t="shared" si="33"/>
        <v>0.35118770377270603</v>
      </c>
      <c r="AL28" s="564">
        <f t="shared" si="33"/>
        <v>0.19945141065830718</v>
      </c>
      <c r="AM28" s="564">
        <f t="shared" ref="AM28:BF28" si="34">AM25/AI25-1</f>
        <v>6.6371174200450911E-2</v>
      </c>
      <c r="AN28" s="54">
        <f t="shared" si="34"/>
        <v>-8.7698180692643568E-3</v>
      </c>
      <c r="AO28" s="564">
        <f t="shared" si="34"/>
        <v>-4.4674250258531556E-2</v>
      </c>
      <c r="AP28" s="564">
        <f t="shared" si="34"/>
        <v>-4.4726916337501144E-2</v>
      </c>
      <c r="AQ28" s="564">
        <f t="shared" si="34"/>
        <v>2.6408198366060009E-2</v>
      </c>
      <c r="AR28" s="54">
        <f t="shared" si="34"/>
        <v>0.11022829782804799</v>
      </c>
      <c r="AS28" s="564">
        <f t="shared" si="34"/>
        <v>0.23208486685429741</v>
      </c>
      <c r="AT28" s="564">
        <f t="shared" si="34"/>
        <v>0.24703870666873939</v>
      </c>
      <c r="AU28" s="564">
        <f t="shared" si="34"/>
        <v>0.27264793157619138</v>
      </c>
      <c r="AV28" s="54">
        <f t="shared" si="34"/>
        <v>0.2210069064658271</v>
      </c>
      <c r="AW28" s="564">
        <f t="shared" si="34"/>
        <v>0.18868974404029748</v>
      </c>
      <c r="AX28" s="564">
        <f t="shared" si="34"/>
        <v>0.20627757971628724</v>
      </c>
      <c r="AY28" s="624">
        <f t="shared" si="34"/>
        <v>0.16071869428062002</v>
      </c>
      <c r="AZ28" s="224">
        <f t="shared" si="34"/>
        <v>0.1127812188067876</v>
      </c>
      <c r="BA28" s="224">
        <f t="shared" si="34"/>
        <v>0.12973374559609741</v>
      </c>
      <c r="BB28" s="224">
        <f t="shared" si="34"/>
        <v>0.16326650821535593</v>
      </c>
      <c r="BC28" s="224">
        <f t="shared" si="34"/>
        <v>0.13199224842841617</v>
      </c>
      <c r="BD28" s="224">
        <f t="shared" si="34"/>
        <v>0.10821986557407048</v>
      </c>
      <c r="BE28" s="224">
        <f t="shared" si="34"/>
        <v>0.11820722178849796</v>
      </c>
      <c r="BF28" s="224">
        <f t="shared" si="34"/>
        <v>0.14631438553850851</v>
      </c>
      <c r="BG28" s="224"/>
      <c r="BH28" s="817"/>
      <c r="BI28" s="818">
        <f>BI121/BH121-1</f>
        <v>1.5405405405405403</v>
      </c>
      <c r="BJ28" s="818">
        <f>BJ121/BI121-1</f>
        <v>0.87892603850050666</v>
      </c>
      <c r="BK28" s="818">
        <f>BK121/BJ121-1</f>
        <v>0.37206794284173639</v>
      </c>
      <c r="BL28" s="818">
        <f t="shared" ref="BL28:CB28" si="35">BL25/BK25-1</f>
        <v>0.5468657889565729</v>
      </c>
      <c r="BM28" s="818">
        <f t="shared" si="35"/>
        <v>0.58358739837398366</v>
      </c>
      <c r="BN28" s="818">
        <f t="shared" si="35"/>
        <v>0.43815177282207607</v>
      </c>
      <c r="BO28" s="818">
        <f t="shared" si="35"/>
        <v>0.54161088799643009</v>
      </c>
      <c r="BP28" s="818">
        <f t="shared" si="35"/>
        <v>0.47090961719371882</v>
      </c>
      <c r="BQ28" s="818">
        <f t="shared" si="35"/>
        <v>0.37352716896661997</v>
      </c>
      <c r="BR28" s="818">
        <f t="shared" si="35"/>
        <v>0.26610910132884413</v>
      </c>
      <c r="BS28" s="818">
        <f t="shared" si="35"/>
        <v>0.21596390228722573</v>
      </c>
      <c r="BT28" s="818">
        <f t="shared" si="35"/>
        <v>0.37182574303495608</v>
      </c>
      <c r="BU28" s="818">
        <f t="shared" si="35"/>
        <v>-1.1193175554782941E-2</v>
      </c>
      <c r="BV28" s="818">
        <f t="shared" si="35"/>
        <v>0.15687468377226454</v>
      </c>
      <c r="BW28" s="830">
        <f t="shared" si="35"/>
        <v>0.21941112807816054</v>
      </c>
      <c r="BX28" s="817">
        <f t="shared" si="35"/>
        <v>0.14243006425492855</v>
      </c>
      <c r="BY28" s="817">
        <f t="shared" si="35"/>
        <v>0.12741846151442648</v>
      </c>
      <c r="BZ28" s="817">
        <f t="shared" si="35"/>
        <v>0.11286794825213087</v>
      </c>
      <c r="CA28" s="817">
        <f t="shared" si="35"/>
        <v>5.3148994980957154E-2</v>
      </c>
      <c r="CB28" s="817">
        <f t="shared" si="35"/>
        <v>4.9763601809823532E-2</v>
      </c>
      <c r="CC28" s="83"/>
    </row>
    <row r="29" spans="1:81" s="705" customFormat="1" x14ac:dyDescent="0.55000000000000004">
      <c r="A29" s="48" t="str">
        <f>'Supplemental Data'!A20</f>
        <v>Y/Y Total constant currency revenue growth, %</v>
      </c>
      <c r="B29" s="286"/>
      <c r="C29" s="749">
        <f>'Supplemental Data'!C20</f>
        <v>0.38185255198487722</v>
      </c>
      <c r="D29" s="749">
        <f>'Supplemental Data'!D20</f>
        <v>0.54222972972972983</v>
      </c>
      <c r="E29" s="749">
        <f>'Supplemental Data'!E20</f>
        <v>0.59904912836767044</v>
      </c>
      <c r="F29" s="749">
        <f>'Supplemental Data'!F20</f>
        <v>0.63217665615141949</v>
      </c>
      <c r="G29" s="749">
        <f>'Supplemental Data'!G20</f>
        <v>0.72222222222222232</v>
      </c>
      <c r="H29" s="749">
        <f>'Supplemental Data'!H20</f>
        <v>0.58852730281301713</v>
      </c>
      <c r="I29" s="749">
        <f>'Supplemental Data'!I20</f>
        <v>0.57837301587301582</v>
      </c>
      <c r="J29" s="749">
        <f>'Supplemental Data'!J20</f>
        <v>0.5295938104448743</v>
      </c>
      <c r="K29" s="749">
        <f>'Supplemental Data'!K20</f>
        <v>0.49120703437250191</v>
      </c>
      <c r="L29" s="749">
        <f>'Supplemental Data'!L20</f>
        <v>0.50309278350515463</v>
      </c>
      <c r="M29" s="749">
        <f>'Supplemental Data'!M20</f>
        <v>0.51201998126756165</v>
      </c>
      <c r="N29" s="749">
        <f>'Supplemental Data'!N20</f>
        <v>0.60062321474941571</v>
      </c>
      <c r="O29" s="749">
        <f>'Supplemental Data'!O20</f>
        <v>0.57606548123059564</v>
      </c>
      <c r="P29" s="749">
        <f>'Supplemental Data'!P20</f>
        <v>0.59252845126175169</v>
      </c>
      <c r="Q29" s="749">
        <f>'Supplemental Data'!Q20</f>
        <v>0.5645412130637637</v>
      </c>
      <c r="R29" s="749">
        <f>'Supplemental Data'!R20</f>
        <v>0.51403628894214304</v>
      </c>
      <c r="S29" s="749">
        <f>'Supplemental Data'!S20</f>
        <v>0.49646971386101812</v>
      </c>
      <c r="T29" s="749">
        <f>'Supplemental Data'!T20</f>
        <v>0.47016780609073949</v>
      </c>
      <c r="U29" s="749">
        <f>'Supplemental Data'!U20</f>
        <v>0.45485665382969609</v>
      </c>
      <c r="V29" s="749">
        <f>'Supplemental Data'!V20</f>
        <v>0.43523668974912022</v>
      </c>
      <c r="W29" s="749">
        <f>'Supplemental Data'!W20</f>
        <v>0.42305776892430269</v>
      </c>
      <c r="X29" s="749">
        <f>'Supplemental Data'!X20</f>
        <v>0.37946572256195688</v>
      </c>
      <c r="Y29" s="749">
        <f>'Supplemental Data'!Y20</f>
        <v>0.34450038729666921</v>
      </c>
      <c r="Z29" s="749">
        <f>'Supplemental Data'!Z20</f>
        <v>0.33078939253777362</v>
      </c>
      <c r="AA29" s="749">
        <f>'Supplemental Data'!AA20</f>
        <v>0.30202239679090748</v>
      </c>
      <c r="AB29" s="749">
        <f>'Supplemental Data'!AB20</f>
        <v>0.31962814602070888</v>
      </c>
      <c r="AC29" s="749">
        <f>'Supplemental Data'!AC20</f>
        <v>0.30756902455015656</v>
      </c>
      <c r="AD29" s="749">
        <f>'Supplemental Data'!AD20</f>
        <v>0.26386425446375794</v>
      </c>
      <c r="AE29" s="749">
        <f>'Supplemental Data'!AE20</f>
        <v>0.19466737414605029</v>
      </c>
      <c r="AF29" s="749">
        <f>'Supplemental Data'!AF20</f>
        <v>0.1242449366338978</v>
      </c>
      <c r="AG29" s="749">
        <f>'Supplemental Data'!AG20</f>
        <v>0.20983457965103103</v>
      </c>
      <c r="AH29" s="749">
        <f>'Supplemental Data'!AH20</f>
        <v>0.31548240204914135</v>
      </c>
      <c r="AI29" s="749">
        <f>'Supplemental Data'!AI20</f>
        <v>0.4356993854654112</v>
      </c>
      <c r="AJ29" s="749">
        <f>'Supplemental Data'!AJ20</f>
        <v>0.50345159736715361</v>
      </c>
      <c r="AK29" s="749">
        <f>'Supplemental Data'!AK20</f>
        <v>0.339124359571495</v>
      </c>
      <c r="AL29" s="749">
        <f>'Supplemental Data'!AL20</f>
        <v>0.21038757480763759</v>
      </c>
      <c r="AM29" s="749">
        <f>'Supplemental Data'!AM20</f>
        <v>0.10049291200183408</v>
      </c>
      <c r="AN29" s="749">
        <f>'Supplemental Data'!AN20</f>
        <v>3.4666574956150997E-2</v>
      </c>
      <c r="AO29" s="749">
        <f>'Supplemental Data'!AO20</f>
        <v>1.6994139951740816E-2</v>
      </c>
      <c r="AP29" s="749">
        <f>'Supplemental Data'!AP20</f>
        <v>1.5027768703038236E-2</v>
      </c>
      <c r="AQ29" s="749">
        <f>'Supplemental Data'!AQ20</f>
        <v>5.5647126272036607E-2</v>
      </c>
      <c r="AR29" s="749">
        <f>'Supplemental Data'!AR20</f>
        <v>0.11973492471029079</v>
      </c>
      <c r="AS29" s="749">
        <f>'Supplemental Data'!AS20</f>
        <v>0.20873926535325116</v>
      </c>
      <c r="AT29" s="749">
        <f>'Supplemental Data'!AT20</f>
        <v>0.22166951655526201</v>
      </c>
      <c r="AU29" s="749">
        <f>'Supplemental Data'!AU20</f>
        <v>0.26894746028975391</v>
      </c>
      <c r="AV29" s="749">
        <f>'Supplemental Data'!AV20</f>
        <v>0.23260101878183703</v>
      </c>
      <c r="AW29" s="749">
        <f>'Supplemental Data'!AW20</f>
        <v>0.2046213319276049</v>
      </c>
      <c r="AX29" s="749">
        <f>'Supplemental Data'!AX20</f>
        <v>0.20789808282017397</v>
      </c>
      <c r="AY29" s="750">
        <f>'Supplemental Data'!AY20</f>
        <v>0.19465093951446999</v>
      </c>
      <c r="AZ29" s="224"/>
      <c r="BA29" s="224"/>
      <c r="BB29" s="224"/>
      <c r="BC29" s="224"/>
      <c r="BD29" s="224"/>
      <c r="BE29" s="224"/>
      <c r="BF29" s="224"/>
      <c r="BG29" s="224"/>
      <c r="BH29" s="817"/>
      <c r="BI29" s="817"/>
      <c r="BJ29" s="817"/>
      <c r="BK29" s="839">
        <f>'Supplemental Data'!BK20</f>
        <v>0.40447318781999453</v>
      </c>
      <c r="BL29" s="839">
        <f>'Supplemental Data'!BL20</f>
        <v>0.55118883867164481</v>
      </c>
      <c r="BM29" s="839">
        <f>'Supplemental Data'!BM20</f>
        <v>0.59133638211382111</v>
      </c>
      <c r="BN29" s="839">
        <f>'Supplemental Data'!BN20</f>
        <v>0.53321033210332103</v>
      </c>
      <c r="BO29" s="839">
        <f>'Supplemental Data'!BO20</f>
        <v>0.55667112896028548</v>
      </c>
      <c r="BP29" s="839">
        <f>'Supplemental Data'!BP20</f>
        <v>0.46030827122078288</v>
      </c>
      <c r="BQ29" s="839">
        <f>'Supplemental Data'!BQ20</f>
        <v>0.36366319828794924</v>
      </c>
      <c r="BR29" s="839">
        <f>'Supplemental Data'!BR20</f>
        <v>0.29599914037035702</v>
      </c>
      <c r="BS29" s="839">
        <f>'Supplemental Data'!BS20</f>
        <v>0.21766128690043418</v>
      </c>
      <c r="BT29" s="839">
        <f>'Supplemental Data'!BT20</f>
        <v>0.35274821148141688</v>
      </c>
      <c r="BU29" s="839">
        <f>'Supplemental Data'!BU20</f>
        <v>3.9311789296949895E-2</v>
      </c>
      <c r="BV29" s="839">
        <f>'Supplemental Data'!BV20</f>
        <v>0.15366738416417247</v>
      </c>
      <c r="BW29" s="840">
        <f>'Supplemental Data'!BW20</f>
        <v>0.22588990526456243</v>
      </c>
      <c r="BX29" s="817"/>
      <c r="BY29" s="817"/>
      <c r="BZ29" s="817"/>
      <c r="CA29" s="817"/>
      <c r="CB29" s="817"/>
      <c r="CC29" s="83"/>
    </row>
    <row r="30" spans="1:81" s="705" customFormat="1" x14ac:dyDescent="0.55000000000000004">
      <c r="A30" s="79"/>
      <c r="B30" s="286"/>
      <c r="C30" s="224"/>
      <c r="D30" s="224"/>
      <c r="E30" s="224"/>
      <c r="F30" s="224"/>
      <c r="G30" s="224"/>
      <c r="H30" s="224"/>
      <c r="I30" s="224"/>
      <c r="J30" s="224"/>
      <c r="K30" s="224"/>
      <c r="L30" s="224"/>
      <c r="M30" s="224"/>
      <c r="N30" s="224"/>
      <c r="O30" s="224"/>
      <c r="P30" s="224"/>
      <c r="Q30" s="224"/>
      <c r="R30" s="224"/>
      <c r="S30" s="224"/>
      <c r="T30" s="224"/>
      <c r="U30" s="224"/>
      <c r="V30" s="224"/>
      <c r="W30" s="224"/>
      <c r="X30" s="224"/>
      <c r="Y30" s="224"/>
      <c r="Z30" s="224"/>
      <c r="AA30" s="224"/>
      <c r="AB30" s="224"/>
      <c r="AC30" s="224"/>
      <c r="AD30" s="224"/>
      <c r="AE30" s="224"/>
      <c r="AF30" s="224"/>
      <c r="AG30" s="224"/>
      <c r="AH30" s="224"/>
      <c r="AI30" s="224"/>
      <c r="AJ30" s="54"/>
      <c r="AK30" s="224"/>
      <c r="AL30" s="224"/>
      <c r="AM30" s="224"/>
      <c r="AN30" s="54"/>
      <c r="AO30" s="224"/>
      <c r="AP30" s="224"/>
      <c r="AQ30" s="224"/>
      <c r="AR30" s="54"/>
      <c r="AS30" s="224"/>
      <c r="AT30" s="224"/>
      <c r="AU30" s="224"/>
      <c r="AV30" s="54"/>
      <c r="AW30" s="224"/>
      <c r="AX30" s="224"/>
      <c r="AY30" s="624"/>
      <c r="AZ30" s="224"/>
      <c r="BA30" s="224"/>
      <c r="BB30" s="224"/>
      <c r="BC30" s="224"/>
      <c r="BD30" s="224"/>
      <c r="BE30" s="224"/>
      <c r="BF30" s="224"/>
      <c r="BG30" s="224"/>
      <c r="BH30" s="817"/>
      <c r="BI30" s="817"/>
      <c r="BJ30" s="817"/>
      <c r="BK30" s="817"/>
      <c r="BL30" s="817"/>
      <c r="BM30" s="817"/>
      <c r="BN30" s="817"/>
      <c r="BO30" s="817"/>
      <c r="BP30" s="817"/>
      <c r="BQ30" s="817"/>
      <c r="BR30" s="817"/>
      <c r="BS30" s="817"/>
      <c r="BT30" s="817"/>
      <c r="BU30" s="817"/>
      <c r="BV30" s="817"/>
      <c r="BW30" s="819"/>
      <c r="BX30" s="817"/>
      <c r="BY30" s="817"/>
      <c r="BZ30" s="817"/>
      <c r="CA30" s="817"/>
      <c r="CB30" s="817"/>
      <c r="CC30" s="83"/>
    </row>
    <row r="31" spans="1:81" s="706" customFormat="1" x14ac:dyDescent="0.55000000000000004">
      <c r="A31" s="86" t="s">
        <v>545</v>
      </c>
      <c r="B31" s="313"/>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f t="shared" ref="AH31:BF31" si="36">AH93</f>
        <v>14874</v>
      </c>
      <c r="AI31" s="200">
        <f t="shared" si="36"/>
        <v>13205</v>
      </c>
      <c r="AJ31" s="37">
        <f t="shared" si="36"/>
        <v>14799</v>
      </c>
      <c r="AK31" s="200">
        <f t="shared" si="36"/>
        <v>13054</v>
      </c>
      <c r="AL31" s="200">
        <f t="shared" si="36"/>
        <v>15889</v>
      </c>
      <c r="AM31" s="200">
        <f t="shared" si="36"/>
        <v>11484</v>
      </c>
      <c r="AN31" s="37">
        <f t="shared" si="36"/>
        <v>11164</v>
      </c>
      <c r="AO31" s="200">
        <f t="shared" si="36"/>
        <v>9336</v>
      </c>
      <c r="AP31" s="200">
        <f t="shared" si="36"/>
        <v>10678</v>
      </c>
      <c r="AQ31" s="200">
        <f t="shared" si="36"/>
        <v>11219</v>
      </c>
      <c r="AR31" s="37">
        <f t="shared" si="36"/>
        <v>13131</v>
      </c>
      <c r="AS31" s="200">
        <f t="shared" si="36"/>
        <v>17490</v>
      </c>
      <c r="AT31" s="200">
        <f t="shared" si="36"/>
        <v>21030</v>
      </c>
      <c r="AU31" s="200">
        <f t="shared" si="36"/>
        <v>17664</v>
      </c>
      <c r="AV31" s="37">
        <f t="shared" si="36"/>
        <v>19335</v>
      </c>
      <c r="AW31" s="200">
        <f t="shared" si="36"/>
        <v>21778</v>
      </c>
      <c r="AX31" s="200">
        <f t="shared" si="36"/>
        <v>28332</v>
      </c>
      <c r="AY31" s="407">
        <f t="shared" si="36"/>
        <v>21765</v>
      </c>
      <c r="AZ31" s="200">
        <f t="shared" si="36"/>
        <v>17201.911394700142</v>
      </c>
      <c r="BA31" s="200">
        <f t="shared" si="36"/>
        <v>20040.01769077358</v>
      </c>
      <c r="BB31" s="200">
        <f t="shared" si="36"/>
        <v>27462.352343664119</v>
      </c>
      <c r="BC31" s="200">
        <f t="shared" si="36"/>
        <v>26396.634395265144</v>
      </c>
      <c r="BD31" s="200">
        <f t="shared" si="36"/>
        <v>23112.565703563465</v>
      </c>
      <c r="BE31" s="200">
        <f t="shared" si="36"/>
        <v>24432.681440944973</v>
      </c>
      <c r="BF31" s="200">
        <f t="shared" si="36"/>
        <v>31478.199202436772</v>
      </c>
      <c r="BG31" s="200"/>
      <c r="BH31" s="841"/>
      <c r="BI31" s="841"/>
      <c r="BJ31" s="841"/>
      <c r="BK31" s="841"/>
      <c r="BL31" s="841"/>
      <c r="BM31" s="841"/>
      <c r="BN31" s="841"/>
      <c r="BO31" s="841"/>
      <c r="BP31" s="841"/>
      <c r="BQ31" s="841"/>
      <c r="BR31" s="841">
        <f t="shared" ref="BR31:CB31" si="37">BR93</f>
        <v>28489</v>
      </c>
      <c r="BS31" s="841">
        <f t="shared" si="37"/>
        <v>39294</v>
      </c>
      <c r="BT31" s="841">
        <f t="shared" si="37"/>
        <v>56946</v>
      </c>
      <c r="BU31" s="841">
        <f t="shared" si="37"/>
        <v>42661</v>
      </c>
      <c r="BV31" s="841">
        <f t="shared" si="37"/>
        <v>62871</v>
      </c>
      <c r="BW31" s="842">
        <f t="shared" si="37"/>
        <v>87109</v>
      </c>
      <c r="BX31" s="841">
        <f t="shared" si="37"/>
        <v>86469.281429137845</v>
      </c>
      <c r="BY31" s="841">
        <f t="shared" si="37"/>
        <v>105420.08074221035</v>
      </c>
      <c r="BZ31" s="841">
        <f t="shared" si="37"/>
        <v>117503.2733375556</v>
      </c>
      <c r="CA31" s="841">
        <f t="shared" si="37"/>
        <v>133155.35206309118</v>
      </c>
      <c r="CB31" s="841">
        <f t="shared" si="37"/>
        <v>149609.68515167412</v>
      </c>
      <c r="CC31" s="117"/>
    </row>
    <row r="32" spans="1:81" s="706" customFormat="1" x14ac:dyDescent="0.55000000000000004">
      <c r="A32" s="315" t="s">
        <v>546</v>
      </c>
      <c r="B32" s="319"/>
      <c r="C32" s="320"/>
      <c r="D32" s="320"/>
      <c r="E32" s="320"/>
      <c r="F32" s="320"/>
      <c r="G32" s="320"/>
      <c r="H32" s="320"/>
      <c r="I32" s="320"/>
      <c r="J32" s="320"/>
      <c r="K32" s="320"/>
      <c r="L32" s="320"/>
      <c r="M32" s="320"/>
      <c r="N32" s="320"/>
      <c r="O32" s="320"/>
      <c r="P32" s="320"/>
      <c r="Q32" s="320"/>
      <c r="R32" s="320"/>
      <c r="S32" s="320"/>
      <c r="T32" s="320"/>
      <c r="U32" s="320"/>
      <c r="V32" s="320"/>
      <c r="W32" s="320"/>
      <c r="X32" s="320"/>
      <c r="Y32" s="320"/>
      <c r="Z32" s="320"/>
      <c r="AA32" s="320"/>
      <c r="AB32" s="320"/>
      <c r="AC32" s="320"/>
      <c r="AD32" s="320"/>
      <c r="AE32" s="320"/>
      <c r="AF32" s="320"/>
      <c r="AG32" s="320"/>
      <c r="AH32" s="320">
        <f t="shared" ref="AH32:BF32" si="38">AH94</f>
        <v>-2099</v>
      </c>
      <c r="AI32" s="320">
        <f t="shared" si="38"/>
        <v>-1827</v>
      </c>
      <c r="AJ32" s="82">
        <f t="shared" si="38"/>
        <v>-2432</v>
      </c>
      <c r="AK32" s="320">
        <f t="shared" si="38"/>
        <v>-2631</v>
      </c>
      <c r="AL32" s="320">
        <f t="shared" si="38"/>
        <v>-3304</v>
      </c>
      <c r="AM32" s="320">
        <f t="shared" si="38"/>
        <v>-2960</v>
      </c>
      <c r="AN32" s="82">
        <f t="shared" si="38"/>
        <v>-2806</v>
      </c>
      <c r="AO32" s="320">
        <f t="shared" si="38"/>
        <v>-3672</v>
      </c>
      <c r="AP32" s="320">
        <f t="shared" si="38"/>
        <v>-4279</v>
      </c>
      <c r="AQ32" s="320">
        <f t="shared" si="38"/>
        <v>-3992</v>
      </c>
      <c r="AR32" s="82">
        <f t="shared" si="38"/>
        <v>-3739</v>
      </c>
      <c r="AS32" s="320">
        <f t="shared" si="38"/>
        <v>-3742</v>
      </c>
      <c r="AT32" s="320">
        <f t="shared" si="38"/>
        <v>-4646</v>
      </c>
      <c r="AU32" s="320">
        <f t="shared" si="38"/>
        <v>-3846</v>
      </c>
      <c r="AV32" s="82">
        <f t="shared" si="38"/>
        <v>-4488</v>
      </c>
      <c r="AW32" s="320">
        <f t="shared" si="38"/>
        <v>-4428</v>
      </c>
      <c r="AX32" s="320">
        <f t="shared" si="38"/>
        <v>-4967</v>
      </c>
      <c r="AY32" s="628">
        <f t="shared" si="38"/>
        <v>-4210</v>
      </c>
      <c r="AZ32" s="320">
        <f t="shared" si="38"/>
        <v>-2029.75</v>
      </c>
      <c r="BA32" s="320">
        <f t="shared" si="38"/>
        <v>-1620</v>
      </c>
      <c r="BB32" s="320">
        <f t="shared" si="38"/>
        <v>-6227.2499999999991</v>
      </c>
      <c r="BC32" s="320">
        <f t="shared" si="38"/>
        <v>-1153.5999999999999</v>
      </c>
      <c r="BD32" s="320">
        <f t="shared" si="38"/>
        <v>-1400.5274999999999</v>
      </c>
      <c r="BE32" s="320">
        <f t="shared" si="38"/>
        <v>-1555.2</v>
      </c>
      <c r="BF32" s="320">
        <f t="shared" si="38"/>
        <v>-4296.8024999999989</v>
      </c>
      <c r="BG32" s="320"/>
      <c r="BH32" s="843"/>
      <c r="BI32" s="843"/>
      <c r="BJ32" s="843"/>
      <c r="BK32" s="843"/>
      <c r="BL32" s="843"/>
      <c r="BM32" s="843"/>
      <c r="BN32" s="843"/>
      <c r="BO32" s="843"/>
      <c r="BP32" s="843"/>
      <c r="BQ32" s="843"/>
      <c r="BR32" s="843">
        <f t="shared" ref="BR32:CB32" si="39">BR94</f>
        <v>-4503</v>
      </c>
      <c r="BS32" s="843">
        <f t="shared" si="39"/>
        <v>-6623</v>
      </c>
      <c r="BT32" s="843">
        <f t="shared" si="39"/>
        <v>-10193</v>
      </c>
      <c r="BU32" s="843">
        <f t="shared" si="39"/>
        <v>-13717</v>
      </c>
      <c r="BV32" s="843">
        <f t="shared" si="39"/>
        <v>-16120</v>
      </c>
      <c r="BW32" s="844">
        <f t="shared" si="39"/>
        <v>-17729</v>
      </c>
      <c r="BX32" s="843">
        <f t="shared" si="39"/>
        <v>-14087</v>
      </c>
      <c r="BY32" s="843">
        <f t="shared" si="39"/>
        <v>-8406.1299999999974</v>
      </c>
      <c r="BZ32" s="843">
        <f t="shared" si="39"/>
        <v>-592.55129999999986</v>
      </c>
      <c r="CA32" s="843">
        <f t="shared" si="39"/>
        <v>-681.43399499999975</v>
      </c>
      <c r="CB32" s="843">
        <f t="shared" si="39"/>
        <v>-783.64909424999962</v>
      </c>
      <c r="CC32" s="117"/>
    </row>
    <row r="33" spans="1:81" s="708" customFormat="1" x14ac:dyDescent="0.55000000000000004">
      <c r="A33" s="192" t="s">
        <v>547</v>
      </c>
      <c r="B33" s="331"/>
      <c r="C33" s="212">
        <f t="shared" ref="C33:AG33" si="40">C345</f>
        <v>373</v>
      </c>
      <c r="D33" s="212">
        <f t="shared" si="40"/>
        <v>562</v>
      </c>
      <c r="E33" s="212">
        <f t="shared" si="40"/>
        <v>736</v>
      </c>
      <c r="F33" s="212">
        <f t="shared" si="40"/>
        <v>1133</v>
      </c>
      <c r="G33" s="212">
        <f t="shared" si="40"/>
        <v>1075</v>
      </c>
      <c r="H33" s="212">
        <f t="shared" si="40"/>
        <v>1390</v>
      </c>
      <c r="I33" s="212">
        <f t="shared" si="40"/>
        <v>1397</v>
      </c>
      <c r="J33" s="212">
        <f t="shared" si="40"/>
        <v>1133</v>
      </c>
      <c r="K33" s="212">
        <f t="shared" si="40"/>
        <v>933</v>
      </c>
      <c r="L33" s="212">
        <f t="shared" si="40"/>
        <v>1273</v>
      </c>
      <c r="M33" s="212">
        <f t="shared" si="40"/>
        <v>1459</v>
      </c>
      <c r="N33" s="212">
        <f t="shared" si="40"/>
        <v>2560</v>
      </c>
      <c r="O33" s="212">
        <f t="shared" si="40"/>
        <v>2010</v>
      </c>
      <c r="P33" s="212">
        <f t="shared" si="40"/>
        <v>2734</v>
      </c>
      <c r="Q33" s="212">
        <f t="shared" si="40"/>
        <v>3117</v>
      </c>
      <c r="R33" s="212">
        <f t="shared" si="40"/>
        <v>4566</v>
      </c>
      <c r="S33" s="212">
        <f t="shared" si="40"/>
        <v>3327</v>
      </c>
      <c r="T33" s="212">
        <f t="shared" si="40"/>
        <v>4401</v>
      </c>
      <c r="U33" s="212">
        <f t="shared" si="40"/>
        <v>5122</v>
      </c>
      <c r="V33" s="212">
        <f t="shared" si="40"/>
        <v>7352</v>
      </c>
      <c r="W33" s="212">
        <f t="shared" si="40"/>
        <v>5449</v>
      </c>
      <c r="X33" s="212">
        <f t="shared" si="40"/>
        <v>5863</v>
      </c>
      <c r="Y33" s="212">
        <f t="shared" si="40"/>
        <v>5781</v>
      </c>
      <c r="Z33" s="212">
        <f t="shared" si="40"/>
        <v>7820</v>
      </c>
      <c r="AA33" s="212">
        <f t="shared" si="40"/>
        <v>3317</v>
      </c>
      <c r="AB33" s="212">
        <f t="shared" si="40"/>
        <v>4626</v>
      </c>
      <c r="AC33" s="212">
        <f t="shared" si="40"/>
        <v>7185</v>
      </c>
      <c r="AD33" s="212">
        <f t="shared" si="40"/>
        <v>8858</v>
      </c>
      <c r="AE33" s="212">
        <f t="shared" si="40"/>
        <v>5893</v>
      </c>
      <c r="AF33" s="212">
        <f t="shared" si="40"/>
        <v>5963</v>
      </c>
      <c r="AG33" s="212">
        <f t="shared" si="40"/>
        <v>8040</v>
      </c>
      <c r="AH33" s="212">
        <f t="shared" ref="AH33:AY33" si="41">SUM(AH31:AH32)</f>
        <v>12775</v>
      </c>
      <c r="AI33" s="212">
        <f t="shared" si="41"/>
        <v>11378</v>
      </c>
      <c r="AJ33" s="35">
        <f t="shared" si="41"/>
        <v>12367</v>
      </c>
      <c r="AK33" s="212">
        <f t="shared" si="41"/>
        <v>10423</v>
      </c>
      <c r="AL33" s="212">
        <f t="shared" si="41"/>
        <v>12585</v>
      </c>
      <c r="AM33" s="212">
        <f t="shared" si="41"/>
        <v>8524</v>
      </c>
      <c r="AN33" s="35">
        <f t="shared" si="41"/>
        <v>8358</v>
      </c>
      <c r="AO33" s="212">
        <f t="shared" si="41"/>
        <v>5664</v>
      </c>
      <c r="AP33" s="212">
        <f t="shared" si="41"/>
        <v>6399</v>
      </c>
      <c r="AQ33" s="212">
        <f t="shared" si="41"/>
        <v>7227</v>
      </c>
      <c r="AR33" s="35">
        <f t="shared" si="41"/>
        <v>9392</v>
      </c>
      <c r="AS33" s="212">
        <f t="shared" si="41"/>
        <v>13748</v>
      </c>
      <c r="AT33" s="212">
        <f t="shared" si="41"/>
        <v>16384</v>
      </c>
      <c r="AU33" s="212">
        <f t="shared" si="41"/>
        <v>13818</v>
      </c>
      <c r="AV33" s="35">
        <f t="shared" si="41"/>
        <v>14847</v>
      </c>
      <c r="AW33" s="212">
        <f t="shared" si="41"/>
        <v>17350</v>
      </c>
      <c r="AX33" s="212">
        <f t="shared" si="41"/>
        <v>23365</v>
      </c>
      <c r="AY33" s="629">
        <f t="shared" si="41"/>
        <v>17555</v>
      </c>
      <c r="AZ33" s="212">
        <f t="shared" ref="AZ33:BF33" si="42">AZ169</f>
        <v>15172.161394700142</v>
      </c>
      <c r="BA33" s="212">
        <f t="shared" si="42"/>
        <v>18420.01769077358</v>
      </c>
      <c r="BB33" s="212">
        <f t="shared" si="42"/>
        <v>21235.102343664119</v>
      </c>
      <c r="BC33" s="212">
        <f t="shared" si="42"/>
        <v>25243.034395265146</v>
      </c>
      <c r="BD33" s="212">
        <f t="shared" si="42"/>
        <v>21712.038203563465</v>
      </c>
      <c r="BE33" s="212">
        <f t="shared" si="42"/>
        <v>22877.481440944972</v>
      </c>
      <c r="BF33" s="212">
        <f t="shared" si="42"/>
        <v>27181.396702436774</v>
      </c>
      <c r="BG33" s="212"/>
      <c r="BH33" s="827"/>
      <c r="BI33" s="827"/>
      <c r="BJ33" s="827">
        <f t="shared" ref="BJ33:BQ33" si="43">BJ345</f>
        <v>1756</v>
      </c>
      <c r="BK33" s="827">
        <f t="shared" si="43"/>
        <v>538</v>
      </c>
      <c r="BL33" s="827">
        <f t="shared" si="43"/>
        <v>2804</v>
      </c>
      <c r="BM33" s="827">
        <f t="shared" si="43"/>
        <v>4994</v>
      </c>
      <c r="BN33" s="827">
        <f t="shared" si="43"/>
        <v>6225</v>
      </c>
      <c r="BO33" s="827">
        <f t="shared" si="43"/>
        <v>12427</v>
      </c>
      <c r="BP33" s="827">
        <f t="shared" si="43"/>
        <v>20203</v>
      </c>
      <c r="BQ33" s="827">
        <f t="shared" si="43"/>
        <v>24913</v>
      </c>
      <c r="BR33" s="827">
        <f t="shared" ref="BR33:BW33" si="44">SUM(BR31:BR32)</f>
        <v>23986</v>
      </c>
      <c r="BS33" s="827">
        <f t="shared" si="44"/>
        <v>32671</v>
      </c>
      <c r="BT33" s="827">
        <f t="shared" si="44"/>
        <v>46753</v>
      </c>
      <c r="BU33" s="827">
        <f t="shared" si="44"/>
        <v>28944</v>
      </c>
      <c r="BV33" s="827">
        <f t="shared" si="44"/>
        <v>46751</v>
      </c>
      <c r="BW33" s="845">
        <f t="shared" si="44"/>
        <v>69380</v>
      </c>
      <c r="BX33" s="827">
        <f>BX169</f>
        <v>72382.281429137831</v>
      </c>
      <c r="BY33" s="827">
        <f>BY169</f>
        <v>97013.950742210363</v>
      </c>
      <c r="BZ33" s="827">
        <f>BZ169</f>
        <v>116910.72203755559</v>
      </c>
      <c r="CA33" s="827">
        <f>CA169</f>
        <v>132473.91806809118</v>
      </c>
      <c r="CB33" s="827">
        <f>CB169</f>
        <v>148826.03605742412</v>
      </c>
      <c r="CC33" s="6"/>
    </row>
    <row r="34" spans="1:81" s="711" customFormat="1" x14ac:dyDescent="0.55000000000000004">
      <c r="A34" s="325" t="s">
        <v>555</v>
      </c>
      <c r="B34" s="341"/>
      <c r="C34" s="342"/>
      <c r="D34" s="342"/>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c r="AC34" s="342"/>
      <c r="AD34" s="342"/>
      <c r="AE34" s="342"/>
      <c r="AF34" s="342"/>
      <c r="AG34" s="342"/>
      <c r="AH34" s="342"/>
      <c r="AI34" s="342"/>
      <c r="AJ34" s="45"/>
      <c r="AK34" s="342"/>
      <c r="AL34" s="342"/>
      <c r="AM34" s="342"/>
      <c r="AN34" s="45"/>
      <c r="AO34" s="342"/>
      <c r="AP34" s="342"/>
      <c r="AQ34" s="342"/>
      <c r="AR34" s="45"/>
      <c r="AS34" s="342"/>
      <c r="AT34" s="342"/>
      <c r="AU34" s="342"/>
      <c r="AV34" s="45"/>
      <c r="AW34" s="342"/>
      <c r="AX34" s="342"/>
      <c r="AY34" s="630"/>
      <c r="AZ34" s="342" t="str">
        <f t="shared" ref="AZ34:BF34" ca="1" si="45">AZ390</f>
        <v>N/A</v>
      </c>
      <c r="BA34" s="342" t="str">
        <f t="shared" ca="1" si="45"/>
        <v>N/A</v>
      </c>
      <c r="BB34" s="342" t="str">
        <f t="shared" ca="1" si="45"/>
        <v>N/A</v>
      </c>
      <c r="BC34" s="342" t="str">
        <f t="shared" ca="1" si="45"/>
        <v>N/A</v>
      </c>
      <c r="BD34" s="342" t="str">
        <f t="shared" ca="1" si="45"/>
        <v>N/A</v>
      </c>
      <c r="BE34" s="342" t="str">
        <f t="shared" ca="1" si="45"/>
        <v>N/A</v>
      </c>
      <c r="BF34" s="342" t="str">
        <f t="shared" ca="1" si="45"/>
        <v>N/A</v>
      </c>
      <c r="BG34" s="342"/>
      <c r="BH34" s="837"/>
      <c r="BI34" s="837"/>
      <c r="BJ34" s="837"/>
      <c r="BK34" s="837"/>
      <c r="BL34" s="837"/>
      <c r="BM34" s="837"/>
      <c r="BN34" s="837"/>
      <c r="BO34" s="837"/>
      <c r="BP34" s="837"/>
      <c r="BQ34" s="837"/>
      <c r="BR34" s="837"/>
      <c r="BS34" s="837"/>
      <c r="BT34" s="837"/>
      <c r="BU34" s="837"/>
      <c r="BV34" s="837"/>
      <c r="BW34" s="838"/>
      <c r="BX34" s="837" t="str">
        <f ca="1">BX390</f>
        <v>N/A</v>
      </c>
      <c r="BY34" s="837" t="str">
        <f ca="1">BY390</f>
        <v>N/A</v>
      </c>
      <c r="BZ34" s="837" t="str">
        <f ca="1">BZ390</f>
        <v>N/A</v>
      </c>
      <c r="CA34" s="837" t="str">
        <f ca="1">CA390</f>
        <v>N/A</v>
      </c>
      <c r="CB34" s="837" t="str">
        <f ca="1">CB390</f>
        <v>N/A</v>
      </c>
      <c r="CC34" s="8"/>
    </row>
    <row r="35" spans="1:81" x14ac:dyDescent="0.55000000000000004">
      <c r="A35" s="262" t="s">
        <v>556</v>
      </c>
      <c r="B35" s="96"/>
      <c r="C35" s="61">
        <f t="shared" ref="C35:AH35" si="46">C33/C25</f>
        <v>0.25582990397805211</v>
      </c>
      <c r="D35" s="61">
        <f t="shared" si="46"/>
        <v>0.3099834528405957</v>
      </c>
      <c r="E35" s="61">
        <f t="shared" si="46"/>
        <v>0.36507936507936506</v>
      </c>
      <c r="F35" s="61">
        <f t="shared" si="46"/>
        <v>0.43829787234042555</v>
      </c>
      <c r="G35" s="61">
        <f t="shared" si="46"/>
        <v>0.42965627498001596</v>
      </c>
      <c r="H35" s="61">
        <f t="shared" si="46"/>
        <v>0.47766323024054985</v>
      </c>
      <c r="I35" s="61">
        <f t="shared" si="46"/>
        <v>0.43615360599438024</v>
      </c>
      <c r="J35" s="61">
        <f t="shared" si="46"/>
        <v>0.2942092962866788</v>
      </c>
      <c r="K35" s="61">
        <f t="shared" si="46"/>
        <v>0.26333615580016934</v>
      </c>
      <c r="L35" s="61">
        <f t="shared" si="46"/>
        <v>0.31494309747649679</v>
      </c>
      <c r="M35" s="61">
        <f t="shared" si="46"/>
        <v>0.32415018884692293</v>
      </c>
      <c r="N35" s="61">
        <f t="shared" si="46"/>
        <v>0.43828111624721794</v>
      </c>
      <c r="O35" s="61">
        <f t="shared" si="46"/>
        <v>0.37346711259754739</v>
      </c>
      <c r="P35" s="61">
        <f t="shared" si="46"/>
        <v>0.42479801118707272</v>
      </c>
      <c r="Q35" s="61">
        <f t="shared" si="46"/>
        <v>0.44458707744972187</v>
      </c>
      <c r="R35" s="61">
        <f t="shared" si="46"/>
        <v>0.5183335225337723</v>
      </c>
      <c r="S35" s="61">
        <f t="shared" si="46"/>
        <v>0.41421812749003983</v>
      </c>
      <c r="T35" s="61">
        <f t="shared" si="46"/>
        <v>0.47215963952365625</v>
      </c>
      <c r="U35" s="61">
        <f t="shared" si="46"/>
        <v>0.49593338497288925</v>
      </c>
      <c r="V35" s="61">
        <f t="shared" si="46"/>
        <v>0.56675917360468697</v>
      </c>
      <c r="W35" s="61">
        <f t="shared" si="46"/>
        <v>0.45537355841551064</v>
      </c>
      <c r="X35" s="61">
        <f t="shared" si="46"/>
        <v>0.44312599198851182</v>
      </c>
      <c r="Y35" s="61">
        <f t="shared" si="46"/>
        <v>0.42114081736723247</v>
      </c>
      <c r="Z35" s="61">
        <f t="shared" si="46"/>
        <v>0.46233889085964291</v>
      </c>
      <c r="AA35" s="61">
        <f t="shared" si="46"/>
        <v>0.22000397957153281</v>
      </c>
      <c r="AB35" s="61">
        <f t="shared" si="46"/>
        <v>0.27395475541869002</v>
      </c>
      <c r="AC35" s="61">
        <f t="shared" si="46"/>
        <v>0.40703602991162474</v>
      </c>
      <c r="AD35" s="61">
        <f t="shared" si="46"/>
        <v>0.42016886443411439</v>
      </c>
      <c r="AE35" s="61">
        <f t="shared" si="46"/>
        <v>0.33224333314540228</v>
      </c>
      <c r="AF35" s="61">
        <f t="shared" si="46"/>
        <v>0.31909883876491679</v>
      </c>
      <c r="AG35" s="61">
        <f t="shared" si="46"/>
        <v>0.37447601304145317</v>
      </c>
      <c r="AH35" s="61">
        <f t="shared" si="46"/>
        <v>0.45507979481333716</v>
      </c>
      <c r="AI35" s="61">
        <f t="shared" ref="AI35:BF35" si="47">AI33/AI25</f>
        <v>0.43475602766420846</v>
      </c>
      <c r="AJ35" s="55">
        <f t="shared" si="47"/>
        <v>0.42531898063761736</v>
      </c>
      <c r="AK35" s="61">
        <f t="shared" si="47"/>
        <v>0.35928990003447087</v>
      </c>
      <c r="AL35" s="61">
        <f t="shared" si="47"/>
        <v>0.37376377297971547</v>
      </c>
      <c r="AM35" s="61">
        <f t="shared" si="47"/>
        <v>0.30543213415508097</v>
      </c>
      <c r="AN35" s="55">
        <f t="shared" si="47"/>
        <v>0.28998681562695161</v>
      </c>
      <c r="AO35" s="61">
        <f t="shared" si="47"/>
        <v>0.20437324096124701</v>
      </c>
      <c r="AP35" s="61">
        <f t="shared" si="47"/>
        <v>0.19894295041193844</v>
      </c>
      <c r="AQ35" s="61">
        <f t="shared" si="47"/>
        <v>0.25229533950078548</v>
      </c>
      <c r="AR35" s="55">
        <f t="shared" si="47"/>
        <v>0.29350917216163003</v>
      </c>
      <c r="AS35" s="61">
        <f t="shared" si="47"/>
        <v>0.40262402624026239</v>
      </c>
      <c r="AT35" s="61">
        <f t="shared" si="47"/>
        <v>0.4084665054473835</v>
      </c>
      <c r="AU35" s="61">
        <f t="shared" si="47"/>
        <v>0.37904265532848719</v>
      </c>
      <c r="AV35" s="55">
        <f t="shared" si="47"/>
        <v>0.38000051188861306</v>
      </c>
      <c r="AW35" s="61">
        <f t="shared" si="47"/>
        <v>0.4274557146024785</v>
      </c>
      <c r="AX35" s="61">
        <f t="shared" si="47"/>
        <v>0.48289759222899659</v>
      </c>
      <c r="AY35" s="408">
        <f t="shared" si="47"/>
        <v>0.41487450961856598</v>
      </c>
      <c r="AZ35" s="61">
        <f t="shared" si="47"/>
        <v>0.34896601963890828</v>
      </c>
      <c r="BA35" s="61">
        <f t="shared" si="47"/>
        <v>0.40170347605489926</v>
      </c>
      <c r="BB35" s="61">
        <f t="shared" si="47"/>
        <v>0.37728052575016668</v>
      </c>
      <c r="BC35" s="61">
        <f t="shared" si="47"/>
        <v>0.52700413692913661</v>
      </c>
      <c r="BD35" s="61">
        <f t="shared" si="47"/>
        <v>0.45061988202449932</v>
      </c>
      <c r="BE35" s="61">
        <f t="shared" si="47"/>
        <v>0.44617113046801449</v>
      </c>
      <c r="BF35" s="61">
        <f t="shared" si="47"/>
        <v>0.4212869986735025</v>
      </c>
      <c r="BG35" s="61"/>
      <c r="BH35" s="831"/>
      <c r="BI35" s="831"/>
      <c r="BJ35" s="831">
        <f t="shared" ref="BJ35:CB35" si="48">BJ33/BJ25</f>
        <v>0.47318781999461063</v>
      </c>
      <c r="BK35" s="831">
        <f t="shared" si="48"/>
        <v>0.10571821575948123</v>
      </c>
      <c r="BL35" s="831">
        <f t="shared" si="48"/>
        <v>0.35619918699186992</v>
      </c>
      <c r="BM35" s="831">
        <f t="shared" si="48"/>
        <v>0.40060965827049577</v>
      </c>
      <c r="BN35" s="831">
        <f t="shared" si="48"/>
        <v>0.34722222222222221</v>
      </c>
      <c r="BO35" s="831">
        <f t="shared" si="48"/>
        <v>0.44963456111151312</v>
      </c>
      <c r="BP35" s="831">
        <f t="shared" si="48"/>
        <v>0.49696209381841439</v>
      </c>
      <c r="BQ35" s="831">
        <f t="shared" si="48"/>
        <v>0.44616569361366809</v>
      </c>
      <c r="BR35" s="831">
        <f t="shared" si="48"/>
        <v>0.33927889443682191</v>
      </c>
      <c r="BS35" s="831">
        <f t="shared" si="48"/>
        <v>0.3800500203571221</v>
      </c>
      <c r="BT35" s="831">
        <f t="shared" si="48"/>
        <v>0.39645040660058173</v>
      </c>
      <c r="BU35" s="831">
        <f t="shared" si="48"/>
        <v>0.24821411726367604</v>
      </c>
      <c r="BV35" s="831">
        <f t="shared" si="48"/>
        <v>0.34655527716416362</v>
      </c>
      <c r="BW35" s="832">
        <f t="shared" si="48"/>
        <v>0.42176035404040096</v>
      </c>
      <c r="BX35" s="831">
        <f t="shared" si="48"/>
        <v>0.38515372432624184</v>
      </c>
      <c r="BY35" s="831">
        <f t="shared" si="48"/>
        <v>0.45787916580071641</v>
      </c>
      <c r="BZ35" s="831">
        <f t="shared" si="48"/>
        <v>0.49582383514725958</v>
      </c>
      <c r="CA35" s="831">
        <f t="shared" si="48"/>
        <v>0.53347444608966932</v>
      </c>
      <c r="CB35" s="831">
        <f t="shared" si="48"/>
        <v>0.57091393563323367</v>
      </c>
      <c r="CC35" s="24"/>
    </row>
    <row r="36" spans="1:81" s="705" customFormat="1" x14ac:dyDescent="0.55000000000000004">
      <c r="A36" s="79"/>
      <c r="B36" s="286"/>
      <c r="C36" s="224"/>
      <c r="D36" s="224"/>
      <c r="E36" s="224"/>
      <c r="F36" s="224"/>
      <c r="G36" s="224"/>
      <c r="H36" s="224"/>
      <c r="I36" s="224"/>
      <c r="J36" s="224"/>
      <c r="K36" s="224"/>
      <c r="L36" s="224"/>
      <c r="M36" s="224"/>
      <c r="N36" s="224"/>
      <c r="O36" s="224"/>
      <c r="P36" s="224"/>
      <c r="Q36" s="224"/>
      <c r="R36" s="224"/>
      <c r="S36" s="224"/>
      <c r="T36" s="224"/>
      <c r="U36" s="224"/>
      <c r="V36" s="224"/>
      <c r="W36" s="224"/>
      <c r="X36" s="224"/>
      <c r="Y36" s="224"/>
      <c r="Z36" s="224"/>
      <c r="AA36" s="224"/>
      <c r="AB36" s="224"/>
      <c r="AC36" s="224"/>
      <c r="AD36" s="224"/>
      <c r="AE36" s="224"/>
      <c r="AF36" s="224"/>
      <c r="AG36" s="224"/>
      <c r="AH36" s="224"/>
      <c r="AI36" s="224"/>
      <c r="AJ36" s="54"/>
      <c r="AK36" s="224"/>
      <c r="AL36" s="224"/>
      <c r="AM36" s="224"/>
      <c r="AN36" s="54"/>
      <c r="AO36" s="224"/>
      <c r="AP36" s="224"/>
      <c r="AQ36" s="224"/>
      <c r="AR36" s="54"/>
      <c r="AS36" s="224"/>
      <c r="AT36" s="224"/>
      <c r="AU36" s="224"/>
      <c r="AV36" s="54"/>
      <c r="AW36" s="224"/>
      <c r="AX36" s="224"/>
      <c r="AY36" s="624"/>
      <c r="AZ36" s="224"/>
      <c r="BA36" s="224"/>
      <c r="BB36" s="224"/>
      <c r="BC36" s="224"/>
      <c r="BD36" s="224"/>
      <c r="BE36" s="224"/>
      <c r="BF36" s="224"/>
      <c r="BG36" s="224"/>
      <c r="BH36" s="817"/>
      <c r="BI36" s="817"/>
      <c r="BJ36" s="817"/>
      <c r="BK36" s="817"/>
      <c r="BL36" s="817"/>
      <c r="BM36" s="817"/>
      <c r="BN36" s="817"/>
      <c r="BO36" s="817"/>
      <c r="BP36" s="817"/>
      <c r="BQ36" s="817"/>
      <c r="BR36" s="817"/>
      <c r="BS36" s="817"/>
      <c r="BT36" s="817"/>
      <c r="BU36" s="817"/>
      <c r="BV36" s="817"/>
      <c r="BW36" s="819"/>
      <c r="BX36" s="817"/>
      <c r="BY36" s="817"/>
      <c r="BZ36" s="817"/>
      <c r="CA36" s="817"/>
      <c r="CB36" s="817"/>
      <c r="CC36" s="83"/>
    </row>
    <row r="37" spans="1:81" x14ac:dyDescent="0.55000000000000004">
      <c r="A37" s="598" t="s">
        <v>675</v>
      </c>
      <c r="B37" s="598"/>
      <c r="C37" s="598"/>
      <c r="D37" s="598"/>
      <c r="E37" s="598"/>
      <c r="F37" s="598"/>
      <c r="G37" s="598"/>
      <c r="H37" s="598"/>
      <c r="I37" s="598"/>
      <c r="J37" s="598"/>
      <c r="K37" s="598"/>
      <c r="L37" s="598"/>
      <c r="M37" s="598"/>
      <c r="N37" s="598"/>
      <c r="O37" s="598"/>
      <c r="P37" s="598"/>
      <c r="Q37" s="598"/>
      <c r="R37" s="598"/>
      <c r="S37" s="598"/>
      <c r="T37" s="598"/>
      <c r="U37" s="598"/>
      <c r="V37" s="598"/>
      <c r="W37" s="598"/>
      <c r="X37" s="598"/>
      <c r="Y37" s="598"/>
      <c r="Z37" s="598"/>
      <c r="AA37" s="598"/>
      <c r="AB37" s="598"/>
      <c r="AC37" s="598"/>
      <c r="AD37" s="598"/>
      <c r="AE37" s="598"/>
      <c r="AF37" s="598"/>
      <c r="AG37" s="598"/>
      <c r="AH37" s="598"/>
      <c r="AI37" s="598"/>
      <c r="AJ37" s="598"/>
      <c r="AK37" s="598"/>
      <c r="AL37" s="598"/>
      <c r="AM37" s="598"/>
      <c r="AN37" s="598"/>
      <c r="AO37" s="598"/>
      <c r="AP37" s="598"/>
      <c r="AQ37" s="598"/>
      <c r="AR37" s="598"/>
      <c r="AS37" s="598"/>
      <c r="AT37" s="598"/>
      <c r="AU37" s="598"/>
      <c r="AV37" s="598"/>
      <c r="AW37" s="598"/>
      <c r="AX37" s="598"/>
      <c r="AY37" s="599"/>
      <c r="AZ37" s="598"/>
      <c r="BA37" s="598"/>
      <c r="BB37" s="598"/>
      <c r="BC37" s="598"/>
      <c r="BD37" s="598"/>
      <c r="BE37" s="598"/>
      <c r="BF37" s="598"/>
      <c r="BG37" s="598"/>
      <c r="BH37" s="598"/>
      <c r="BI37" s="598"/>
      <c r="BJ37" s="598"/>
      <c r="BK37" s="598"/>
      <c r="BL37" s="598"/>
      <c r="BM37" s="598"/>
      <c r="BN37" s="598"/>
      <c r="BO37" s="598"/>
      <c r="BP37" s="598"/>
      <c r="BQ37" s="598"/>
      <c r="BR37" s="598"/>
      <c r="BS37" s="598"/>
      <c r="BT37" s="598"/>
      <c r="BU37" s="598"/>
      <c r="BV37" s="598"/>
      <c r="BW37" s="599"/>
      <c r="BX37" s="598"/>
      <c r="BY37" s="598"/>
      <c r="BZ37" s="598"/>
      <c r="CA37" s="598"/>
      <c r="CB37" s="598"/>
      <c r="CC37" s="217"/>
    </row>
    <row r="38" spans="1:81" outlineLevel="1" x14ac:dyDescent="0.55000000000000004">
      <c r="A38" s="86" t="str">
        <f>A81</f>
        <v>Advertising revenue, mm</v>
      </c>
      <c r="B38" s="229"/>
      <c r="C38" s="37">
        <f t="shared" ref="C38:AH38" si="49">C81</f>
        <v>1245</v>
      </c>
      <c r="D38" s="37">
        <f t="shared" si="49"/>
        <v>1599</v>
      </c>
      <c r="E38" s="37">
        <f t="shared" si="49"/>
        <v>1798</v>
      </c>
      <c r="F38" s="37">
        <f t="shared" si="49"/>
        <v>2344</v>
      </c>
      <c r="G38" s="37">
        <f t="shared" si="49"/>
        <v>2265</v>
      </c>
      <c r="H38" s="37">
        <f t="shared" si="49"/>
        <v>2676</v>
      </c>
      <c r="I38" s="37">
        <f t="shared" si="49"/>
        <v>2957</v>
      </c>
      <c r="J38" s="37">
        <f t="shared" si="49"/>
        <v>3594</v>
      </c>
      <c r="K38" s="37">
        <f t="shared" si="49"/>
        <v>3317</v>
      </c>
      <c r="L38" s="37">
        <f t="shared" si="49"/>
        <v>3827</v>
      </c>
      <c r="M38" s="37">
        <f t="shared" si="49"/>
        <v>4299</v>
      </c>
      <c r="N38" s="37">
        <f t="shared" si="49"/>
        <v>5637</v>
      </c>
      <c r="O38" s="37">
        <f t="shared" si="49"/>
        <v>5201</v>
      </c>
      <c r="P38" s="37">
        <f t="shared" si="49"/>
        <v>6239</v>
      </c>
      <c r="Q38" s="37">
        <f t="shared" si="49"/>
        <v>6816</v>
      </c>
      <c r="R38" s="37">
        <f t="shared" si="49"/>
        <v>8629</v>
      </c>
      <c r="S38" s="37">
        <f t="shared" si="49"/>
        <v>7857</v>
      </c>
      <c r="T38" s="37">
        <f t="shared" si="49"/>
        <v>9164</v>
      </c>
      <c r="U38" s="37">
        <f t="shared" si="49"/>
        <v>10142</v>
      </c>
      <c r="V38" s="37">
        <f t="shared" si="49"/>
        <v>12779</v>
      </c>
      <c r="W38" s="37">
        <f t="shared" si="49"/>
        <v>11795</v>
      </c>
      <c r="X38" s="37">
        <f t="shared" si="49"/>
        <v>13038</v>
      </c>
      <c r="Y38" s="37">
        <f t="shared" si="49"/>
        <v>13539</v>
      </c>
      <c r="Z38" s="37">
        <f t="shared" si="49"/>
        <v>16640</v>
      </c>
      <c r="AA38" s="37">
        <f t="shared" si="49"/>
        <v>14912</v>
      </c>
      <c r="AB38" s="37">
        <f t="shared" si="49"/>
        <v>16624</v>
      </c>
      <c r="AC38" s="37">
        <f t="shared" si="49"/>
        <v>17383</v>
      </c>
      <c r="AD38" s="37">
        <f t="shared" si="49"/>
        <v>20736</v>
      </c>
      <c r="AE38" s="37">
        <f t="shared" si="49"/>
        <v>17440</v>
      </c>
      <c r="AF38" s="37">
        <f t="shared" si="49"/>
        <v>18321</v>
      </c>
      <c r="AG38" s="37">
        <f t="shared" si="49"/>
        <v>21221</v>
      </c>
      <c r="AH38" s="37">
        <f t="shared" si="49"/>
        <v>27187</v>
      </c>
      <c r="AI38" s="37">
        <f t="shared" ref="AI38:AY38" si="50">AI81</f>
        <v>25439</v>
      </c>
      <c r="AJ38" s="37">
        <f t="shared" si="50"/>
        <v>28580</v>
      </c>
      <c r="AK38" s="37">
        <f t="shared" si="50"/>
        <v>28276</v>
      </c>
      <c r="AL38" s="37">
        <f t="shared" si="50"/>
        <v>32639</v>
      </c>
      <c r="AM38" s="37">
        <f t="shared" si="50"/>
        <v>26998</v>
      </c>
      <c r="AN38" s="37">
        <f t="shared" si="50"/>
        <v>28152</v>
      </c>
      <c r="AO38" s="37">
        <f t="shared" si="50"/>
        <v>27237</v>
      </c>
      <c r="AP38" s="37">
        <f t="shared" si="50"/>
        <v>31254</v>
      </c>
      <c r="AQ38" s="37">
        <f t="shared" si="50"/>
        <v>28101</v>
      </c>
      <c r="AR38" s="37">
        <f t="shared" si="50"/>
        <v>31498</v>
      </c>
      <c r="AS38" s="37">
        <f t="shared" si="50"/>
        <v>33643</v>
      </c>
      <c r="AT38" s="37">
        <f t="shared" si="50"/>
        <v>38706</v>
      </c>
      <c r="AU38" s="37">
        <f t="shared" si="50"/>
        <v>35635</v>
      </c>
      <c r="AV38" s="37">
        <f t="shared" si="50"/>
        <v>38329</v>
      </c>
      <c r="AW38" s="37">
        <f t="shared" si="50"/>
        <v>39885</v>
      </c>
      <c r="AX38" s="37">
        <f t="shared" si="50"/>
        <v>46783</v>
      </c>
      <c r="AY38" s="273">
        <f t="shared" si="50"/>
        <v>41392</v>
      </c>
      <c r="AZ38" s="37"/>
      <c r="BA38" s="37"/>
      <c r="BB38" s="37"/>
      <c r="BC38" s="37"/>
      <c r="BD38" s="37"/>
      <c r="BE38" s="37"/>
      <c r="BF38" s="37"/>
      <c r="BG38" s="37"/>
      <c r="BH38" s="158"/>
      <c r="BI38" s="158"/>
      <c r="BJ38" s="158">
        <f t="shared" ref="BJ38:BW38" si="51">BJ81</f>
        <v>3153</v>
      </c>
      <c r="BK38" s="158">
        <f t="shared" si="51"/>
        <v>4278</v>
      </c>
      <c r="BL38" s="158">
        <f t="shared" si="51"/>
        <v>6986</v>
      </c>
      <c r="BM38" s="158">
        <f t="shared" si="51"/>
        <v>11492</v>
      </c>
      <c r="BN38" s="158">
        <f t="shared" si="51"/>
        <v>17080</v>
      </c>
      <c r="BO38" s="158">
        <f t="shared" si="51"/>
        <v>26885</v>
      </c>
      <c r="BP38" s="158">
        <f t="shared" si="51"/>
        <v>39942</v>
      </c>
      <c r="BQ38" s="158">
        <f t="shared" si="51"/>
        <v>55012</v>
      </c>
      <c r="BR38" s="158">
        <f t="shared" si="51"/>
        <v>69655</v>
      </c>
      <c r="BS38" s="158">
        <f t="shared" si="51"/>
        <v>84169</v>
      </c>
      <c r="BT38" s="158">
        <f t="shared" si="51"/>
        <v>114934</v>
      </c>
      <c r="BU38" s="158">
        <f t="shared" si="51"/>
        <v>113642</v>
      </c>
      <c r="BV38" s="158">
        <f t="shared" si="51"/>
        <v>131948</v>
      </c>
      <c r="BW38" s="846">
        <f t="shared" si="51"/>
        <v>160633</v>
      </c>
      <c r="BX38" s="158"/>
      <c r="BY38" s="158"/>
      <c r="BZ38" s="158"/>
      <c r="CA38" s="158"/>
      <c r="CB38" s="158"/>
      <c r="CC38" s="117"/>
    </row>
    <row r="39" spans="1:81" s="704" customFormat="1" outlineLevel="1" x14ac:dyDescent="0.55000000000000004">
      <c r="A39" s="327" t="s">
        <v>472</v>
      </c>
      <c r="B39" s="298"/>
      <c r="C39" s="54"/>
      <c r="D39" s="54">
        <f t="shared" ref="D39:AY39" si="52">D38/C38-1</f>
        <v>0.28433734939759026</v>
      </c>
      <c r="E39" s="54">
        <f t="shared" si="52"/>
        <v>0.12445278298936846</v>
      </c>
      <c r="F39" s="54">
        <f t="shared" si="52"/>
        <v>0.30367074527252513</v>
      </c>
      <c r="G39" s="54">
        <f t="shared" si="52"/>
        <v>-3.3703071672354978E-2</v>
      </c>
      <c r="H39" s="54">
        <f t="shared" si="52"/>
        <v>0.18145695364238401</v>
      </c>
      <c r="I39" s="54">
        <f t="shared" si="52"/>
        <v>0.10500747384155451</v>
      </c>
      <c r="J39" s="54">
        <f t="shared" si="52"/>
        <v>0.21542103483260067</v>
      </c>
      <c r="K39" s="54">
        <f t="shared" si="52"/>
        <v>-7.7072899276572016E-2</v>
      </c>
      <c r="L39" s="54">
        <f t="shared" si="52"/>
        <v>0.15375339161893287</v>
      </c>
      <c r="M39" s="54">
        <f t="shared" si="52"/>
        <v>0.12333420433760134</v>
      </c>
      <c r="N39" s="54">
        <f t="shared" si="52"/>
        <v>0.31123517096999298</v>
      </c>
      <c r="O39" s="54">
        <f t="shared" si="52"/>
        <v>-7.7346106084796862E-2</v>
      </c>
      <c r="P39" s="54">
        <f t="shared" si="52"/>
        <v>0.19957700442222648</v>
      </c>
      <c r="Q39" s="54">
        <f t="shared" si="52"/>
        <v>9.2482769674627319E-2</v>
      </c>
      <c r="R39" s="54">
        <f t="shared" si="52"/>
        <v>0.26599178403755874</v>
      </c>
      <c r="S39" s="54">
        <f t="shared" si="52"/>
        <v>-8.9465755012168247E-2</v>
      </c>
      <c r="T39" s="54">
        <f t="shared" si="52"/>
        <v>0.16634847906325567</v>
      </c>
      <c r="U39" s="54">
        <f t="shared" si="52"/>
        <v>0.10672195547795726</v>
      </c>
      <c r="V39" s="54">
        <f t="shared" si="52"/>
        <v>0.26000788799053431</v>
      </c>
      <c r="W39" s="54">
        <f t="shared" si="52"/>
        <v>-7.7001330307535754E-2</v>
      </c>
      <c r="X39" s="54">
        <f t="shared" si="52"/>
        <v>0.10538363713437904</v>
      </c>
      <c r="Y39" s="54">
        <f t="shared" si="52"/>
        <v>3.8426138978370883E-2</v>
      </c>
      <c r="Z39" s="54">
        <f t="shared" si="52"/>
        <v>0.22904202673757301</v>
      </c>
      <c r="AA39" s="54">
        <f t="shared" si="52"/>
        <v>-0.10384615384615381</v>
      </c>
      <c r="AB39" s="54">
        <f t="shared" si="52"/>
        <v>0.11480686695278974</v>
      </c>
      <c r="AC39" s="54">
        <f t="shared" si="52"/>
        <v>4.5656881616939371E-2</v>
      </c>
      <c r="AD39" s="54">
        <f t="shared" si="52"/>
        <v>0.19288960478628536</v>
      </c>
      <c r="AE39" s="54">
        <f t="shared" si="52"/>
        <v>-0.15895061728395066</v>
      </c>
      <c r="AF39" s="54">
        <f t="shared" si="52"/>
        <v>5.0516055045871644E-2</v>
      </c>
      <c r="AG39" s="54">
        <f t="shared" si="52"/>
        <v>0.15828830304022712</v>
      </c>
      <c r="AH39" s="54">
        <f t="shared" si="52"/>
        <v>0.28113660996183021</v>
      </c>
      <c r="AI39" s="54">
        <f t="shared" si="52"/>
        <v>-6.4295435318350691E-2</v>
      </c>
      <c r="AJ39" s="54">
        <f t="shared" si="52"/>
        <v>0.1234718345846928</v>
      </c>
      <c r="AK39" s="54">
        <f t="shared" si="52"/>
        <v>-1.0636808957312782E-2</v>
      </c>
      <c r="AL39" s="54">
        <f t="shared" si="52"/>
        <v>0.15430046682699117</v>
      </c>
      <c r="AM39" s="54">
        <f t="shared" si="52"/>
        <v>-0.17283004994025553</v>
      </c>
      <c r="AN39" s="54">
        <f t="shared" si="52"/>
        <v>4.2743906956070887E-2</v>
      </c>
      <c r="AO39" s="54">
        <f t="shared" si="52"/>
        <v>-3.2502131287297509E-2</v>
      </c>
      <c r="AP39" s="54">
        <f t="shared" si="52"/>
        <v>0.14748320299592477</v>
      </c>
      <c r="AQ39" s="54">
        <f t="shared" si="52"/>
        <v>-0.10088308696486847</v>
      </c>
      <c r="AR39" s="54">
        <f t="shared" si="52"/>
        <v>0.1208853777445642</v>
      </c>
      <c r="AS39" s="54">
        <f t="shared" si="52"/>
        <v>6.8099561876944659E-2</v>
      </c>
      <c r="AT39" s="54">
        <f t="shared" si="52"/>
        <v>0.15049192997057337</v>
      </c>
      <c r="AU39" s="54">
        <f t="shared" si="52"/>
        <v>-7.9341704128558899E-2</v>
      </c>
      <c r="AV39" s="54">
        <f t="shared" si="52"/>
        <v>7.559983162621009E-2</v>
      </c>
      <c r="AW39" s="54">
        <f t="shared" si="52"/>
        <v>4.0595893448824638E-2</v>
      </c>
      <c r="AX39" s="54">
        <f t="shared" si="52"/>
        <v>0.17294722326689227</v>
      </c>
      <c r="AY39" s="623">
        <f t="shared" si="52"/>
        <v>-0.11523416625697369</v>
      </c>
      <c r="AZ39" s="54"/>
      <c r="BA39" s="54"/>
      <c r="BB39" s="54"/>
      <c r="BC39" s="54"/>
      <c r="BD39" s="54"/>
      <c r="BE39" s="54"/>
      <c r="BF39" s="54"/>
      <c r="BG39" s="54"/>
      <c r="BH39" s="815"/>
      <c r="BI39" s="815"/>
      <c r="BJ39" s="815"/>
      <c r="BK39" s="815"/>
      <c r="BL39" s="815"/>
      <c r="BM39" s="815"/>
      <c r="BN39" s="815"/>
      <c r="BO39" s="815"/>
      <c r="BP39" s="815"/>
      <c r="BQ39" s="815"/>
      <c r="BR39" s="815"/>
      <c r="BS39" s="815"/>
      <c r="BT39" s="815"/>
      <c r="BU39" s="815"/>
      <c r="BV39" s="815"/>
      <c r="BW39" s="816"/>
      <c r="BX39" s="815"/>
      <c r="BY39" s="815"/>
      <c r="BZ39" s="815"/>
      <c r="CA39" s="815"/>
      <c r="CB39" s="815"/>
      <c r="CC39" s="83"/>
    </row>
    <row r="40" spans="1:81" s="704" customFormat="1" outlineLevel="1" x14ac:dyDescent="0.55000000000000004">
      <c r="A40" s="327" t="s">
        <v>473</v>
      </c>
      <c r="B40" s="298"/>
      <c r="C40" s="54"/>
      <c r="D40" s="54"/>
      <c r="E40" s="54"/>
      <c r="F40" s="54"/>
      <c r="G40" s="54">
        <f t="shared" ref="G40:AY40" si="53">G38/C38-1</f>
        <v>0.81927710843373491</v>
      </c>
      <c r="H40" s="54">
        <f t="shared" si="53"/>
        <v>0.67354596622889296</v>
      </c>
      <c r="I40" s="54">
        <f t="shared" si="53"/>
        <v>0.64460511679644039</v>
      </c>
      <c r="J40" s="54">
        <f t="shared" si="53"/>
        <v>0.53327645051194539</v>
      </c>
      <c r="K40" s="54">
        <f t="shared" si="53"/>
        <v>0.46445916114790298</v>
      </c>
      <c r="L40" s="54">
        <f t="shared" si="53"/>
        <v>0.43011958146487284</v>
      </c>
      <c r="M40" s="54">
        <f t="shared" si="53"/>
        <v>0.45383834967872838</v>
      </c>
      <c r="N40" s="54">
        <f t="shared" si="53"/>
        <v>0.56844741235392315</v>
      </c>
      <c r="O40" s="54">
        <f t="shared" si="53"/>
        <v>0.56798311727464568</v>
      </c>
      <c r="P40" s="54">
        <f t="shared" si="53"/>
        <v>0.63025868826757248</v>
      </c>
      <c r="Q40" s="54">
        <f t="shared" si="53"/>
        <v>0.58548499651081642</v>
      </c>
      <c r="R40" s="54">
        <f t="shared" si="53"/>
        <v>0.53077878304062454</v>
      </c>
      <c r="S40" s="54">
        <f t="shared" si="53"/>
        <v>0.51067102480292248</v>
      </c>
      <c r="T40" s="54">
        <f t="shared" si="53"/>
        <v>0.4688251322327297</v>
      </c>
      <c r="U40" s="54">
        <f t="shared" si="53"/>
        <v>0.48796948356807501</v>
      </c>
      <c r="V40" s="54">
        <f t="shared" si="53"/>
        <v>0.4809363773322517</v>
      </c>
      <c r="W40" s="54">
        <f t="shared" si="53"/>
        <v>0.50120911289296166</v>
      </c>
      <c r="X40" s="54">
        <f t="shared" si="53"/>
        <v>0.42274116106503712</v>
      </c>
      <c r="Y40" s="54">
        <f t="shared" si="53"/>
        <v>0.33494379806744234</v>
      </c>
      <c r="Z40" s="54">
        <f t="shared" si="53"/>
        <v>0.30213631739572744</v>
      </c>
      <c r="AA40" s="54">
        <f t="shared" si="53"/>
        <v>0.26426451886392543</v>
      </c>
      <c r="AB40" s="54">
        <f t="shared" si="53"/>
        <v>0.27504218438410799</v>
      </c>
      <c r="AC40" s="54">
        <f t="shared" si="53"/>
        <v>0.28392052588817496</v>
      </c>
      <c r="AD40" s="54">
        <f t="shared" si="53"/>
        <v>0.24615384615384617</v>
      </c>
      <c r="AE40" s="54">
        <f t="shared" si="53"/>
        <v>0.16952789699570814</v>
      </c>
      <c r="AF40" s="54">
        <f t="shared" si="53"/>
        <v>0.10208132820019244</v>
      </c>
      <c r="AG40" s="54">
        <f t="shared" si="53"/>
        <v>0.22079042742909749</v>
      </c>
      <c r="AH40" s="54">
        <f t="shared" si="53"/>
        <v>0.31110146604938271</v>
      </c>
      <c r="AI40" s="54">
        <f t="shared" si="53"/>
        <v>0.45865825688073403</v>
      </c>
      <c r="AJ40" s="54">
        <f t="shared" si="53"/>
        <v>0.55995851754816872</v>
      </c>
      <c r="AK40" s="54">
        <f t="shared" si="53"/>
        <v>0.33245370152207721</v>
      </c>
      <c r="AL40" s="54">
        <f t="shared" si="53"/>
        <v>0.200537021370508</v>
      </c>
      <c r="AM40" s="54">
        <f t="shared" si="53"/>
        <v>6.1283855497464623E-2</v>
      </c>
      <c r="AN40" s="54">
        <f t="shared" si="53"/>
        <v>-1.4975507347795625E-2</v>
      </c>
      <c r="AO40" s="54">
        <f t="shared" si="53"/>
        <v>-3.674494270759654E-2</v>
      </c>
      <c r="AP40" s="54">
        <f t="shared" si="53"/>
        <v>-4.2433898097368195E-2</v>
      </c>
      <c r="AQ40" s="54">
        <f t="shared" si="53"/>
        <v>4.0854878139121364E-2</v>
      </c>
      <c r="AR40" s="54">
        <f t="shared" si="53"/>
        <v>0.11885478829212848</v>
      </c>
      <c r="AS40" s="54">
        <f t="shared" si="53"/>
        <v>0.23519477181774784</v>
      </c>
      <c r="AT40" s="54">
        <f t="shared" si="53"/>
        <v>0.23843348051449409</v>
      </c>
      <c r="AU40" s="54">
        <f t="shared" si="53"/>
        <v>0.26810433792391719</v>
      </c>
      <c r="AV40" s="54">
        <f t="shared" si="53"/>
        <v>0.21687091243888501</v>
      </c>
      <c r="AW40" s="54">
        <f t="shared" si="53"/>
        <v>0.18553636714918409</v>
      </c>
      <c r="AX40" s="54">
        <f t="shared" si="53"/>
        <v>0.20867565752079775</v>
      </c>
      <c r="AY40" s="623">
        <f t="shared" si="53"/>
        <v>0.1615546513259436</v>
      </c>
      <c r="AZ40" s="54"/>
      <c r="BA40" s="54"/>
      <c r="BB40" s="54"/>
      <c r="BC40" s="54"/>
      <c r="BD40" s="54"/>
      <c r="BE40" s="54"/>
      <c r="BF40" s="54"/>
      <c r="BG40" s="54"/>
      <c r="BH40" s="815"/>
      <c r="BI40" s="815"/>
      <c r="BJ40" s="815"/>
      <c r="BK40" s="815">
        <f t="shared" ref="BK40:BW40" si="54">BK38/BJ38-1</f>
        <v>0.3568030447193149</v>
      </c>
      <c r="BL40" s="815">
        <f t="shared" si="54"/>
        <v>0.63300607760635819</v>
      </c>
      <c r="BM40" s="815">
        <f t="shared" si="54"/>
        <v>0.64500429430289152</v>
      </c>
      <c r="BN40" s="815">
        <f t="shared" si="54"/>
        <v>0.48625130525583016</v>
      </c>
      <c r="BO40" s="815">
        <f t="shared" si="54"/>
        <v>0.57406323185011709</v>
      </c>
      <c r="BP40" s="815">
        <f t="shared" si="54"/>
        <v>0.48566114933978044</v>
      </c>
      <c r="BQ40" s="815">
        <f t="shared" si="54"/>
        <v>0.37729708076711233</v>
      </c>
      <c r="BR40" s="815">
        <f t="shared" si="54"/>
        <v>0.26617828837344581</v>
      </c>
      <c r="BS40" s="815">
        <f t="shared" si="54"/>
        <v>0.20836982269758098</v>
      </c>
      <c r="BT40" s="815">
        <f t="shared" si="54"/>
        <v>0.36551461939669005</v>
      </c>
      <c r="BU40" s="815">
        <f t="shared" si="54"/>
        <v>-1.124123409957023E-2</v>
      </c>
      <c r="BV40" s="815">
        <f t="shared" si="54"/>
        <v>0.16108481019341436</v>
      </c>
      <c r="BW40" s="816">
        <f t="shared" si="54"/>
        <v>0.21739624700639637</v>
      </c>
      <c r="BX40" s="815"/>
      <c r="BY40" s="815"/>
      <c r="BZ40" s="815"/>
      <c r="CA40" s="815"/>
      <c r="CB40" s="815"/>
      <c r="CC40" s="83"/>
    </row>
    <row r="41" spans="1:81" s="705" customFormat="1" outlineLevel="1" x14ac:dyDescent="0.55000000000000004">
      <c r="A41" s="288" t="s">
        <v>478</v>
      </c>
      <c r="B41" s="286"/>
      <c r="C41" s="749">
        <f>'Supplemental Data'!C10</f>
        <v>0.4311926605504588</v>
      </c>
      <c r="D41" s="749">
        <f>'Supplemental Data'!D10</f>
        <v>0.625</v>
      </c>
      <c r="E41" s="749">
        <f>'Supplemental Data'!E10</f>
        <v>0.65837937384898715</v>
      </c>
      <c r="F41" s="749">
        <f>'Supplemental Data'!F10</f>
        <v>0.76523702031602703</v>
      </c>
      <c r="G41" s="749">
        <f>'Supplemental Data'!G10</f>
        <v>0.82650602409638552</v>
      </c>
      <c r="H41" s="749">
        <f>'Supplemental Data'!H10</f>
        <v>0.65478424015009384</v>
      </c>
      <c r="I41" s="749">
        <f>'Supplemental Data'!I10</f>
        <v>0.63292547274749711</v>
      </c>
      <c r="J41" s="749">
        <f>'Supplemental Data'!J10</f>
        <v>0.57721843003412965</v>
      </c>
      <c r="K41" s="749">
        <f>'Supplemental Data'!K10</f>
        <v>0.54746136865342154</v>
      </c>
      <c r="L41" s="749">
        <f>'Supplemental Data'!L10</f>
        <v>0.55418535127055302</v>
      </c>
      <c r="M41" s="749">
        <f>'Supplemental Data'!M10</f>
        <v>0.56949611092323305</v>
      </c>
      <c r="N41" s="749">
        <f>'Supplemental Data'!N10</f>
        <v>0.65804117974401777</v>
      </c>
      <c r="O41" s="749">
        <f>'Supplemental Data'!O10</f>
        <v>0.62888151944528192</v>
      </c>
      <c r="P41" s="749">
        <f>'Supplemental Data'!P10</f>
        <v>0.63051998954794874</v>
      </c>
      <c r="Q41" s="749">
        <f>'Supplemental Data'!Q10</f>
        <v>0.59269597580832745</v>
      </c>
      <c r="R41" s="749">
        <f>'Supplemental Data'!R10</f>
        <v>0.536987759446514</v>
      </c>
      <c r="S41" s="749">
        <f>'Supplemental Data'!S10</f>
        <v>0.51490098058065747</v>
      </c>
      <c r="T41" s="749">
        <f>'Supplemental Data'!T10</f>
        <v>0.49142490783779458</v>
      </c>
      <c r="U41" s="749">
        <f>'Supplemental Data'!U10</f>
        <v>0.46919014084507049</v>
      </c>
      <c r="V41" s="749">
        <f>'Supplemental Data'!V10</f>
        <v>0.44304090856414424</v>
      </c>
      <c r="W41" s="749">
        <f>'Supplemental Data'!W10</f>
        <v>0.43311696576301384</v>
      </c>
      <c r="X41" s="749">
        <f>'Supplemental Data'!X10</f>
        <v>0.38225665648188567</v>
      </c>
      <c r="Y41" s="749">
        <f>'Supplemental Data'!Y10</f>
        <v>0.3506211792545848</v>
      </c>
      <c r="Z41" s="749">
        <f>'Supplemental Data'!Z10</f>
        <v>0.32936849518741695</v>
      </c>
      <c r="AA41" s="749">
        <f>'Supplemental Data'!AA10</f>
        <v>0.30690970750317925</v>
      </c>
      <c r="AB41" s="749">
        <f>'Supplemental Data'!AB10</f>
        <v>0.31891394385641969</v>
      </c>
      <c r="AC41" s="749">
        <f>'Supplemental Data'!AC10</f>
        <v>0.3057094320112268</v>
      </c>
      <c r="AD41" s="749">
        <f>'Supplemental Data'!AD10</f>
        <v>0.26382211538461542</v>
      </c>
      <c r="AE41" s="749">
        <f>'Supplemental Data'!AE10</f>
        <v>0.1879023605150214</v>
      </c>
      <c r="AF41" s="749">
        <f>'Supplemental Data'!AF10</f>
        <v>0.11982675649663133</v>
      </c>
      <c r="AG41" s="749">
        <f>'Supplemental Data'!AG10</f>
        <v>0.21451993326813557</v>
      </c>
      <c r="AH41" s="749">
        <f>'Supplemental Data'!AH10</f>
        <v>0.29509066358024683</v>
      </c>
      <c r="AI41" s="749">
        <f>'Supplemental Data'!AI10</f>
        <v>0.41880733944954129</v>
      </c>
      <c r="AJ41" s="749">
        <f>'Supplemental Data'!AJ10</f>
        <v>0.50674089842257519</v>
      </c>
      <c r="AK41" s="749">
        <f>'Supplemental Data'!AK10</f>
        <v>0.32039017953913573</v>
      </c>
      <c r="AL41" s="749">
        <f>'Supplemental Data'!AL10</f>
        <v>0.21179240077978445</v>
      </c>
      <c r="AM41" s="749">
        <f>'Supplemental Data'!AM10</f>
        <v>9.6190888006604025E-2</v>
      </c>
      <c r="AN41" s="749">
        <f>'Supplemental Data'!AN10</f>
        <v>2.8936319104268637E-2</v>
      </c>
      <c r="AO41" s="749">
        <f>'Supplemental Data'!AO10</f>
        <v>2.6064507002404813E-2</v>
      </c>
      <c r="AP41" s="749">
        <f>'Supplemental Data'!AP10</f>
        <v>1.8137810594687442E-2</v>
      </c>
      <c r="AQ41" s="749">
        <f>'Supplemental Data'!AQ10</f>
        <v>7.0708941403066827E-2</v>
      </c>
      <c r="AR41" s="749">
        <f>'Supplemental Data'!AR10</f>
        <v>0.12841005967604424</v>
      </c>
      <c r="AS41" s="749">
        <f>'Supplemental Data'!AS10</f>
        <v>0.21151374967874581</v>
      </c>
      <c r="AT41" s="749">
        <f>'Supplemental Data'!AT10</f>
        <v>0.2125487937543995</v>
      </c>
      <c r="AU41" s="749">
        <f>'Supplemental Data'!AU10</f>
        <v>0.26436781609195403</v>
      </c>
      <c r="AV41" s="749">
        <f>'Supplemental Data'!AV10</f>
        <v>0.22852244586957893</v>
      </c>
      <c r="AW41" s="749">
        <f>'Supplemental Data'!AW10</f>
        <v>0.20152780667598025</v>
      </c>
      <c r="AX41" s="749">
        <f>'Supplemental Data'!AX10</f>
        <v>0.21076835632718449</v>
      </c>
      <c r="AY41" s="750">
        <f>'Supplemental Data'!AY10</f>
        <v>0.19590290444787417</v>
      </c>
      <c r="AZ41" s="224"/>
      <c r="BA41" s="224"/>
      <c r="BB41" s="224"/>
      <c r="BC41" s="224"/>
      <c r="BD41" s="224"/>
      <c r="BE41" s="224"/>
      <c r="BF41" s="224"/>
      <c r="BG41" s="224"/>
      <c r="BH41" s="817"/>
      <c r="BI41" s="817"/>
      <c r="BJ41" s="817"/>
      <c r="BK41" s="839">
        <f>'Supplemental Data'!BK10</f>
        <v>4400</v>
      </c>
      <c r="BL41" s="839">
        <f>'Supplemental Data'!BL10</f>
        <v>0.63814866760168298</v>
      </c>
      <c r="BM41" s="839">
        <f>'Supplemental Data'!BM10</f>
        <v>0.65373604351560255</v>
      </c>
      <c r="BN41" s="839">
        <f>'Supplemental Data'!BN10</f>
        <v>0.58936651583710398</v>
      </c>
      <c r="BO41" s="839">
        <f>'Supplemental Data'!BO10</f>
        <v>0.58981264637002351</v>
      </c>
      <c r="BP41" s="839">
        <f>'Supplemental Data'!BP10</f>
        <v>0.4748000743909242</v>
      </c>
      <c r="BQ41" s="839">
        <f>'Supplemental Data'!BQ10</f>
        <v>0.36728255971158186</v>
      </c>
      <c r="BR41" s="839">
        <f>'Supplemental Data'!BR10</f>
        <v>0.29640266846018215</v>
      </c>
      <c r="BS41" s="839">
        <f>'Supplemental Data'!BS10</f>
        <v>0.21022180747972152</v>
      </c>
      <c r="BT41" s="839">
        <f>'Supplemental Data'!BT10</f>
        <v>0.34626762822416812</v>
      </c>
      <c r="BU41" s="839">
        <f>'Supplemental Data'!BU10</f>
        <v>4.0057772286703708E-2</v>
      </c>
      <c r="BV41" s="839">
        <f>'Supplemental Data'!BV10</f>
        <v>0.15774977561112968</v>
      </c>
      <c r="BW41" s="840">
        <f>'Supplemental Data'!BW10</f>
        <v>0.22406554097068532</v>
      </c>
      <c r="BX41" s="817"/>
      <c r="BY41" s="817"/>
      <c r="BZ41" s="817"/>
      <c r="CA41" s="817"/>
      <c r="CB41" s="817"/>
      <c r="CC41" s="83"/>
    </row>
    <row r="42" spans="1:81" s="705" customFormat="1" outlineLevel="1" x14ac:dyDescent="0.55000000000000004">
      <c r="A42" s="327"/>
      <c r="B42" s="286"/>
      <c r="C42" s="224"/>
      <c r="D42" s="224"/>
      <c r="E42" s="224"/>
      <c r="F42" s="224"/>
      <c r="G42" s="224"/>
      <c r="H42" s="224"/>
      <c r="I42" s="224"/>
      <c r="J42" s="224"/>
      <c r="K42" s="224"/>
      <c r="L42" s="224"/>
      <c r="M42" s="224"/>
      <c r="N42" s="224"/>
      <c r="O42" s="224"/>
      <c r="P42" s="224"/>
      <c r="Q42" s="224"/>
      <c r="R42" s="224"/>
      <c r="S42" s="224"/>
      <c r="T42" s="224"/>
      <c r="U42" s="224"/>
      <c r="V42" s="224"/>
      <c r="W42" s="224"/>
      <c r="X42" s="224"/>
      <c r="Y42" s="224"/>
      <c r="Z42" s="224"/>
      <c r="AA42" s="224"/>
      <c r="AB42" s="224"/>
      <c r="AC42" s="224"/>
      <c r="AD42" s="224"/>
      <c r="AE42" s="224"/>
      <c r="AF42" s="224"/>
      <c r="AG42" s="224"/>
      <c r="AH42" s="224"/>
      <c r="AI42" s="224"/>
      <c r="AJ42" s="224"/>
      <c r="AK42" s="224"/>
      <c r="AL42" s="224"/>
      <c r="AM42" s="224"/>
      <c r="AN42" s="224"/>
      <c r="AO42" s="224"/>
      <c r="AP42" s="224"/>
      <c r="AQ42" s="224"/>
      <c r="AR42" s="224"/>
      <c r="AS42" s="224"/>
      <c r="AT42" s="224"/>
      <c r="AU42" s="224"/>
      <c r="AV42" s="224"/>
      <c r="AW42" s="224"/>
      <c r="AX42" s="224"/>
      <c r="AY42" s="624"/>
      <c r="AZ42" s="224"/>
      <c r="BA42" s="224"/>
      <c r="BB42" s="224"/>
      <c r="BC42" s="224"/>
      <c r="BD42" s="224"/>
      <c r="BE42" s="224"/>
      <c r="BF42" s="224"/>
      <c r="BG42" s="224"/>
      <c r="BH42" s="817"/>
      <c r="BI42" s="817"/>
      <c r="BJ42" s="817"/>
      <c r="BK42" s="817"/>
      <c r="BL42" s="817"/>
      <c r="BM42" s="817"/>
      <c r="BN42" s="817"/>
      <c r="BO42" s="817"/>
      <c r="BP42" s="817"/>
      <c r="BQ42" s="817"/>
      <c r="BR42" s="817"/>
      <c r="BS42" s="817"/>
      <c r="BT42" s="817"/>
      <c r="BU42" s="817"/>
      <c r="BV42" s="817"/>
      <c r="BW42" s="819"/>
      <c r="BX42" s="817"/>
      <c r="BY42" s="817"/>
      <c r="BZ42" s="817"/>
      <c r="CA42" s="817"/>
      <c r="CB42" s="817"/>
      <c r="CC42" s="83"/>
    </row>
    <row r="43" spans="1:81" outlineLevel="1" x14ac:dyDescent="0.55000000000000004">
      <c r="A43" s="86" t="str">
        <f>A82</f>
        <v>Other revenue, mm</v>
      </c>
      <c r="B43" s="229"/>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f t="shared" ref="AH43:AY43" si="55">AH82</f>
        <v>168</v>
      </c>
      <c r="AI43" s="37">
        <f t="shared" si="55"/>
        <v>198</v>
      </c>
      <c r="AJ43" s="37">
        <f t="shared" si="55"/>
        <v>192</v>
      </c>
      <c r="AK43" s="37">
        <f t="shared" si="55"/>
        <v>176</v>
      </c>
      <c r="AL43" s="37">
        <f t="shared" si="55"/>
        <v>155</v>
      </c>
      <c r="AM43" s="37">
        <f t="shared" si="55"/>
        <v>215</v>
      </c>
      <c r="AN43" s="37">
        <f t="shared" si="55"/>
        <v>218</v>
      </c>
      <c r="AO43" s="37">
        <f t="shared" si="55"/>
        <v>192</v>
      </c>
      <c r="AP43" s="37">
        <f t="shared" si="55"/>
        <v>184</v>
      </c>
      <c r="AQ43" s="37">
        <f t="shared" si="55"/>
        <v>205</v>
      </c>
      <c r="AR43" s="37">
        <f t="shared" si="55"/>
        <v>225</v>
      </c>
      <c r="AS43" s="37">
        <f t="shared" si="55"/>
        <v>293</v>
      </c>
      <c r="AT43" s="37">
        <f t="shared" si="55"/>
        <v>334</v>
      </c>
      <c r="AU43" s="37">
        <f t="shared" si="55"/>
        <v>380</v>
      </c>
      <c r="AV43" s="37">
        <f t="shared" si="55"/>
        <v>389</v>
      </c>
      <c r="AW43" s="37">
        <f t="shared" si="55"/>
        <v>434</v>
      </c>
      <c r="AX43" s="37">
        <f t="shared" si="55"/>
        <v>519</v>
      </c>
      <c r="AY43" s="273">
        <f t="shared" si="55"/>
        <v>510</v>
      </c>
      <c r="AZ43" s="37"/>
      <c r="BA43" s="37"/>
      <c r="BB43" s="37"/>
      <c r="BC43" s="37"/>
      <c r="BD43" s="37"/>
      <c r="BE43" s="37"/>
      <c r="BF43" s="37"/>
      <c r="BG43" s="37"/>
      <c r="BH43" s="158"/>
      <c r="BI43" s="158"/>
      <c r="BJ43" s="158"/>
      <c r="BK43" s="158"/>
      <c r="BL43" s="158"/>
      <c r="BM43" s="158"/>
      <c r="BN43" s="158"/>
      <c r="BO43" s="158"/>
      <c r="BP43" s="158"/>
      <c r="BQ43" s="158"/>
      <c r="BR43" s="158">
        <f t="shared" ref="BR43:BW43" si="56">BR82</f>
        <v>541</v>
      </c>
      <c r="BS43" s="158">
        <f t="shared" si="56"/>
        <v>657</v>
      </c>
      <c r="BT43" s="158">
        <f t="shared" si="56"/>
        <v>721</v>
      </c>
      <c r="BU43" s="158">
        <f t="shared" si="56"/>
        <v>808</v>
      </c>
      <c r="BV43" s="158">
        <f t="shared" si="56"/>
        <v>1058</v>
      </c>
      <c r="BW43" s="846">
        <f t="shared" si="56"/>
        <v>1722</v>
      </c>
      <c r="BX43" s="158"/>
      <c r="BY43" s="158"/>
      <c r="BZ43" s="158"/>
      <c r="CA43" s="158"/>
      <c r="CB43" s="158"/>
      <c r="CC43" s="117"/>
    </row>
    <row r="44" spans="1:81" s="704" customFormat="1" outlineLevel="1" x14ac:dyDescent="0.55000000000000004">
      <c r="A44" s="327" t="s">
        <v>542</v>
      </c>
      <c r="B44" s="29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f t="shared" ref="AI44:AY44" si="57">AI43/AH43-1</f>
        <v>0.1785714285714286</v>
      </c>
      <c r="AJ44" s="54">
        <f t="shared" si="57"/>
        <v>-3.0303030303030276E-2</v>
      </c>
      <c r="AK44" s="54">
        <f t="shared" si="57"/>
        <v>-8.333333333333337E-2</v>
      </c>
      <c r="AL44" s="54">
        <f t="shared" si="57"/>
        <v>-0.11931818181818177</v>
      </c>
      <c r="AM44" s="54">
        <f t="shared" si="57"/>
        <v>0.38709677419354849</v>
      </c>
      <c r="AN44" s="54">
        <f t="shared" si="57"/>
        <v>1.3953488372093092E-2</v>
      </c>
      <c r="AO44" s="54">
        <f t="shared" si="57"/>
        <v>-0.11926605504587151</v>
      </c>
      <c r="AP44" s="54">
        <f t="shared" si="57"/>
        <v>-4.166666666666663E-2</v>
      </c>
      <c r="AQ44" s="54">
        <f t="shared" si="57"/>
        <v>0.11413043478260865</v>
      </c>
      <c r="AR44" s="54">
        <f t="shared" si="57"/>
        <v>9.7560975609756184E-2</v>
      </c>
      <c r="AS44" s="54">
        <f t="shared" si="57"/>
        <v>0.30222222222222217</v>
      </c>
      <c r="AT44" s="54">
        <f t="shared" si="57"/>
        <v>0.13993174061433455</v>
      </c>
      <c r="AU44" s="54">
        <f t="shared" si="57"/>
        <v>0.13772455089820368</v>
      </c>
      <c r="AV44" s="54">
        <f t="shared" si="57"/>
        <v>2.3684210526315752E-2</v>
      </c>
      <c r="AW44" s="54">
        <f t="shared" si="57"/>
        <v>0.11568123393316188</v>
      </c>
      <c r="AX44" s="54">
        <f t="shared" si="57"/>
        <v>0.19585253456221197</v>
      </c>
      <c r="AY44" s="623">
        <f t="shared" si="57"/>
        <v>-1.7341040462427793E-2</v>
      </c>
      <c r="AZ44" s="54"/>
      <c r="BA44" s="54"/>
      <c r="BB44" s="54"/>
      <c r="BC44" s="54"/>
      <c r="BD44" s="54"/>
      <c r="BE44" s="54"/>
      <c r="BF44" s="54"/>
      <c r="BG44" s="54"/>
      <c r="BH44" s="815"/>
      <c r="BI44" s="815"/>
      <c r="BJ44" s="815"/>
      <c r="BK44" s="815"/>
      <c r="BL44" s="815"/>
      <c r="BM44" s="815"/>
      <c r="BN44" s="815"/>
      <c r="BO44" s="815"/>
      <c r="BP44" s="815"/>
      <c r="BQ44" s="815"/>
      <c r="BR44" s="815"/>
      <c r="BS44" s="815"/>
      <c r="BT44" s="815"/>
      <c r="BU44" s="815"/>
      <c r="BV44" s="815"/>
      <c r="BW44" s="816"/>
      <c r="BX44" s="815"/>
      <c r="BY44" s="815"/>
      <c r="BZ44" s="815"/>
      <c r="CA44" s="815"/>
      <c r="CB44" s="815"/>
      <c r="CC44" s="83"/>
    </row>
    <row r="45" spans="1:81" s="704" customFormat="1" outlineLevel="1" x14ac:dyDescent="0.55000000000000004">
      <c r="A45" s="327" t="s">
        <v>541</v>
      </c>
      <c r="B45" s="298"/>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f t="shared" ref="AL45:AY45" si="58">AL43/AH43-1</f>
        <v>-7.7380952380952328E-2</v>
      </c>
      <c r="AM45" s="54">
        <f t="shared" si="58"/>
        <v>8.5858585858585856E-2</v>
      </c>
      <c r="AN45" s="54">
        <f t="shared" si="58"/>
        <v>0.13541666666666674</v>
      </c>
      <c r="AO45" s="54">
        <f t="shared" si="58"/>
        <v>9.0909090909090828E-2</v>
      </c>
      <c r="AP45" s="54">
        <f t="shared" si="58"/>
        <v>0.18709677419354831</v>
      </c>
      <c r="AQ45" s="54">
        <f t="shared" si="58"/>
        <v>-4.6511627906976716E-2</v>
      </c>
      <c r="AR45" s="54">
        <f t="shared" si="58"/>
        <v>3.2110091743119185E-2</v>
      </c>
      <c r="AS45" s="54">
        <f t="shared" si="58"/>
        <v>0.52604166666666674</v>
      </c>
      <c r="AT45" s="54">
        <f t="shared" si="58"/>
        <v>0.81521739130434789</v>
      </c>
      <c r="AU45" s="54">
        <f t="shared" si="58"/>
        <v>0.85365853658536595</v>
      </c>
      <c r="AV45" s="54">
        <f t="shared" si="58"/>
        <v>0.72888888888888892</v>
      </c>
      <c r="AW45" s="54">
        <f t="shared" si="58"/>
        <v>0.48122866894197958</v>
      </c>
      <c r="AX45" s="54">
        <f t="shared" si="58"/>
        <v>0.55389221556886237</v>
      </c>
      <c r="AY45" s="623">
        <f t="shared" si="58"/>
        <v>0.34210526315789469</v>
      </c>
      <c r="AZ45" s="54"/>
      <c r="BA45" s="54"/>
      <c r="BB45" s="54"/>
      <c r="BC45" s="54"/>
      <c r="BD45" s="54"/>
      <c r="BE45" s="54"/>
      <c r="BF45" s="54"/>
      <c r="BG45" s="54"/>
      <c r="BH45" s="815"/>
      <c r="BI45" s="815"/>
      <c r="BJ45" s="815"/>
      <c r="BK45" s="815"/>
      <c r="BL45" s="815"/>
      <c r="BM45" s="815"/>
      <c r="BN45" s="815"/>
      <c r="BO45" s="815"/>
      <c r="BP45" s="815"/>
      <c r="BQ45" s="815"/>
      <c r="BR45" s="815"/>
      <c r="BS45" s="815">
        <f>BS43/BR43-1</f>
        <v>0.21441774491682075</v>
      </c>
      <c r="BT45" s="815">
        <f>BT43/BS43-1</f>
        <v>9.7412480974124804E-2</v>
      </c>
      <c r="BU45" s="815">
        <f>BU43/BT43-1</f>
        <v>0.12066574202496527</v>
      </c>
      <c r="BV45" s="815">
        <f>BV43/BU43-1</f>
        <v>0.30940594059405946</v>
      </c>
      <c r="BW45" s="816">
        <f>BW43/BV43-1</f>
        <v>0.6275992438563327</v>
      </c>
      <c r="BX45" s="815"/>
      <c r="BY45" s="815"/>
      <c r="BZ45" s="815"/>
      <c r="CA45" s="815"/>
      <c r="CB45" s="815"/>
      <c r="CC45" s="83"/>
    </row>
    <row r="46" spans="1:81" s="704" customFormat="1" outlineLevel="1" x14ac:dyDescent="0.55000000000000004">
      <c r="A46" s="327"/>
      <c r="B46" s="29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623"/>
      <c r="AZ46" s="54"/>
      <c r="BA46" s="54"/>
      <c r="BB46" s="54"/>
      <c r="BC46" s="54"/>
      <c r="BD46" s="54"/>
      <c r="BE46" s="54"/>
      <c r="BF46" s="54"/>
      <c r="BG46" s="54"/>
      <c r="BH46" s="815"/>
      <c r="BI46" s="815"/>
      <c r="BJ46" s="815"/>
      <c r="BK46" s="815"/>
      <c r="BL46" s="815"/>
      <c r="BM46" s="815"/>
      <c r="BN46" s="815"/>
      <c r="BO46" s="815"/>
      <c r="BP46" s="815"/>
      <c r="BQ46" s="815"/>
      <c r="BR46" s="815"/>
      <c r="BS46" s="815"/>
      <c r="BT46" s="815"/>
      <c r="BU46" s="815"/>
      <c r="BV46" s="815"/>
      <c r="BW46" s="816"/>
      <c r="BX46" s="815"/>
      <c r="BY46" s="815"/>
      <c r="BZ46" s="815"/>
      <c r="CA46" s="815"/>
      <c r="CB46" s="815"/>
      <c r="CC46" s="83"/>
    </row>
    <row r="47" spans="1:81" s="703" customFormat="1" outlineLevel="1" x14ac:dyDescent="0.55000000000000004">
      <c r="A47" s="194" t="s">
        <v>539</v>
      </c>
      <c r="B47" s="231"/>
      <c r="C47" s="33"/>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f t="shared" ref="AH47:AY47" si="59">AH38+AH43</f>
        <v>27355</v>
      </c>
      <c r="AI47" s="33">
        <f t="shared" si="59"/>
        <v>25637</v>
      </c>
      <c r="AJ47" s="33">
        <f t="shared" si="59"/>
        <v>28772</v>
      </c>
      <c r="AK47" s="33">
        <f t="shared" si="59"/>
        <v>28452</v>
      </c>
      <c r="AL47" s="33">
        <f t="shared" si="59"/>
        <v>32794</v>
      </c>
      <c r="AM47" s="33">
        <f t="shared" si="59"/>
        <v>27213</v>
      </c>
      <c r="AN47" s="33">
        <f t="shared" si="59"/>
        <v>28370</v>
      </c>
      <c r="AO47" s="33">
        <f t="shared" si="59"/>
        <v>27429</v>
      </c>
      <c r="AP47" s="33">
        <f t="shared" si="59"/>
        <v>31438</v>
      </c>
      <c r="AQ47" s="33">
        <f t="shared" si="59"/>
        <v>28306</v>
      </c>
      <c r="AR47" s="33">
        <f t="shared" si="59"/>
        <v>31723</v>
      </c>
      <c r="AS47" s="33">
        <f t="shared" si="59"/>
        <v>33936</v>
      </c>
      <c r="AT47" s="33">
        <f t="shared" si="59"/>
        <v>39040</v>
      </c>
      <c r="AU47" s="33">
        <f t="shared" si="59"/>
        <v>36015</v>
      </c>
      <c r="AV47" s="33">
        <f t="shared" si="59"/>
        <v>38718</v>
      </c>
      <c r="AW47" s="33">
        <f t="shared" si="59"/>
        <v>40319</v>
      </c>
      <c r="AX47" s="33">
        <f t="shared" si="59"/>
        <v>47302</v>
      </c>
      <c r="AY47" s="409">
        <f t="shared" si="59"/>
        <v>41902</v>
      </c>
      <c r="AZ47" s="33">
        <f t="shared" ref="AZ47:BF47" si="60">AZ55*AZ57</f>
        <v>43071.525000000001</v>
      </c>
      <c r="BA47" s="33">
        <f t="shared" si="60"/>
        <v>45530.762999999999</v>
      </c>
      <c r="BB47" s="33">
        <f t="shared" si="60"/>
        <v>55039.200000000004</v>
      </c>
      <c r="BC47" s="33">
        <f t="shared" si="60"/>
        <v>47610.720000000001</v>
      </c>
      <c r="BD47" s="33">
        <f t="shared" si="60"/>
        <v>47715.759000000005</v>
      </c>
      <c r="BE47" s="33">
        <f t="shared" si="60"/>
        <v>50886.327140000001</v>
      </c>
      <c r="BF47" s="33">
        <f t="shared" si="60"/>
        <v>63087.636480000008</v>
      </c>
      <c r="BG47" s="33"/>
      <c r="BH47" s="833"/>
      <c r="BI47" s="833"/>
      <c r="BJ47" s="833"/>
      <c r="BK47" s="833"/>
      <c r="BL47" s="833"/>
      <c r="BM47" s="833"/>
      <c r="BN47" s="833"/>
      <c r="BO47" s="833"/>
      <c r="BP47" s="833"/>
      <c r="BQ47" s="833"/>
      <c r="BR47" s="833">
        <f t="shared" ref="BR47:BW47" si="61">BR38+BR43</f>
        <v>70196</v>
      </c>
      <c r="BS47" s="833">
        <f t="shared" si="61"/>
        <v>84826</v>
      </c>
      <c r="BT47" s="833">
        <f t="shared" si="61"/>
        <v>115655</v>
      </c>
      <c r="BU47" s="833">
        <f t="shared" si="61"/>
        <v>114450</v>
      </c>
      <c r="BV47" s="833">
        <f t="shared" si="61"/>
        <v>133006</v>
      </c>
      <c r="BW47" s="835">
        <f t="shared" si="61"/>
        <v>162355</v>
      </c>
      <c r="BX47" s="833">
        <f>SUM(AY47,AZ47,BA47,BB47)</f>
        <v>185543.48800000001</v>
      </c>
      <c r="BY47" s="833">
        <f>SUM(BC47,BD47,BE47,BF47)</f>
        <v>209300.44262000002</v>
      </c>
      <c r="BZ47" s="833">
        <f>BZ55*BZ57</f>
        <v>232828.09047054374</v>
      </c>
      <c r="CA47" s="833">
        <f>CA55*CA57</f>
        <v>244915.72353773678</v>
      </c>
      <c r="CB47" s="833">
        <f>CB55*CB57</f>
        <v>256762.08963451782</v>
      </c>
      <c r="CC47" s="6"/>
    </row>
    <row r="48" spans="1:81" s="704" customFormat="1" outlineLevel="1" x14ac:dyDescent="0.55000000000000004">
      <c r="A48" s="79" t="s">
        <v>566</v>
      </c>
      <c r="B48" s="29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f t="shared" ref="AI48:BF48" si="62">AI47/AH47-1</f>
        <v>-6.280387497715223E-2</v>
      </c>
      <c r="AJ48" s="54">
        <f t="shared" si="62"/>
        <v>0.12228419861918316</v>
      </c>
      <c r="AK48" s="54">
        <f t="shared" si="62"/>
        <v>-1.1121924092868052E-2</v>
      </c>
      <c r="AL48" s="54">
        <f t="shared" si="62"/>
        <v>0.15260790102628996</v>
      </c>
      <c r="AM48" s="54">
        <f t="shared" si="62"/>
        <v>-0.17018357016527419</v>
      </c>
      <c r="AN48" s="54">
        <f t="shared" si="62"/>
        <v>4.2516444346452076E-2</v>
      </c>
      <c r="AO48" s="54">
        <f t="shared" si="62"/>
        <v>-3.3168840324286242E-2</v>
      </c>
      <c r="AP48" s="54">
        <f t="shared" si="62"/>
        <v>0.14615917459623029</v>
      </c>
      <c r="AQ48" s="54">
        <f t="shared" si="62"/>
        <v>-9.9624658057128279E-2</v>
      </c>
      <c r="AR48" s="54">
        <f t="shared" si="62"/>
        <v>0.12071645587507951</v>
      </c>
      <c r="AS48" s="54">
        <f t="shared" si="62"/>
        <v>6.9760110960501942E-2</v>
      </c>
      <c r="AT48" s="54">
        <f t="shared" si="62"/>
        <v>0.1504007543611503</v>
      </c>
      <c r="AU48" s="54">
        <f t="shared" si="62"/>
        <v>-7.7484631147541005E-2</v>
      </c>
      <c r="AV48" s="54">
        <f t="shared" si="62"/>
        <v>7.5052061640982881E-2</v>
      </c>
      <c r="AW48" s="54">
        <f t="shared" si="62"/>
        <v>4.1350276357249749E-2</v>
      </c>
      <c r="AX48" s="54">
        <f t="shared" si="62"/>
        <v>0.17319377960762905</v>
      </c>
      <c r="AY48" s="623">
        <f t="shared" si="62"/>
        <v>-0.11416007779797899</v>
      </c>
      <c r="AZ48" s="54">
        <f t="shared" si="62"/>
        <v>2.7910958904109551E-2</v>
      </c>
      <c r="BA48" s="54">
        <f t="shared" si="62"/>
        <v>5.7096608490179834E-2</v>
      </c>
      <c r="BB48" s="54">
        <f t="shared" si="62"/>
        <v>0.20883544165512902</v>
      </c>
      <c r="BC48" s="54">
        <f t="shared" si="62"/>
        <v>-0.13496707800985486</v>
      </c>
      <c r="BD48" s="54">
        <f t="shared" si="62"/>
        <v>2.2062048210991225E-3</v>
      </c>
      <c r="BE48" s="54">
        <f t="shared" si="62"/>
        <v>6.6446981174500319E-2</v>
      </c>
      <c r="BF48" s="54">
        <f t="shared" si="62"/>
        <v>0.2397757909788103</v>
      </c>
      <c r="BG48" s="54"/>
      <c r="BH48" s="815"/>
      <c r="BI48" s="815"/>
      <c r="BJ48" s="815"/>
      <c r="BK48" s="815"/>
      <c r="BL48" s="815"/>
      <c r="BM48" s="815"/>
      <c r="BN48" s="815"/>
      <c r="BO48" s="815"/>
      <c r="BP48" s="815"/>
      <c r="BQ48" s="815"/>
      <c r="BR48" s="815"/>
      <c r="BS48" s="815"/>
      <c r="BT48" s="815"/>
      <c r="BU48" s="815"/>
      <c r="BV48" s="815"/>
      <c r="BW48" s="816"/>
      <c r="BX48" s="815"/>
      <c r="BY48" s="815"/>
      <c r="BZ48" s="815"/>
      <c r="CA48" s="815"/>
      <c r="CB48" s="815"/>
      <c r="CC48" s="83"/>
    </row>
    <row r="49" spans="1:81" s="704" customFormat="1" outlineLevel="1" x14ac:dyDescent="0.55000000000000004">
      <c r="A49" s="79" t="s">
        <v>567</v>
      </c>
      <c r="B49" s="29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f t="shared" ref="AL49:BF49" si="63">AL47/AH47-1</f>
        <v>0.19883019557667692</v>
      </c>
      <c r="AM49" s="54">
        <f t="shared" si="63"/>
        <v>6.1473651363264104E-2</v>
      </c>
      <c r="AN49" s="54">
        <f t="shared" si="63"/>
        <v>-1.3971917141665458E-2</v>
      </c>
      <c r="AO49" s="54">
        <f t="shared" si="63"/>
        <v>-3.5955293125263577E-2</v>
      </c>
      <c r="AP49" s="54">
        <f t="shared" si="63"/>
        <v>-4.1349027261084359E-2</v>
      </c>
      <c r="AQ49" s="54">
        <f t="shared" si="63"/>
        <v>4.016462720023517E-2</v>
      </c>
      <c r="AR49" s="54">
        <f t="shared" si="63"/>
        <v>0.11818822700035247</v>
      </c>
      <c r="AS49" s="54">
        <f t="shared" si="63"/>
        <v>0.2372306682708083</v>
      </c>
      <c r="AT49" s="54">
        <f t="shared" si="63"/>
        <v>0.2418092753991985</v>
      </c>
      <c r="AU49" s="54">
        <f t="shared" si="63"/>
        <v>0.27234508584752359</v>
      </c>
      <c r="AV49" s="54">
        <f t="shared" si="63"/>
        <v>0.2205024745452826</v>
      </c>
      <c r="AW49" s="54">
        <f t="shared" si="63"/>
        <v>0.1880893446487506</v>
      </c>
      <c r="AX49" s="54">
        <f t="shared" si="63"/>
        <v>0.21162909836065569</v>
      </c>
      <c r="AY49" s="623">
        <f t="shared" si="63"/>
        <v>0.16345966958211866</v>
      </c>
      <c r="AZ49" s="54">
        <f t="shared" si="63"/>
        <v>0.11244188749418882</v>
      </c>
      <c r="BA49" s="54">
        <f t="shared" si="63"/>
        <v>0.12926320097224631</v>
      </c>
      <c r="BB49" s="54">
        <f t="shared" si="63"/>
        <v>0.16357025072935616</v>
      </c>
      <c r="BC49" s="54">
        <f t="shared" si="63"/>
        <v>0.13623979762302518</v>
      </c>
      <c r="BD49" s="54">
        <f t="shared" si="63"/>
        <v>0.10782608695652174</v>
      </c>
      <c r="BE49" s="54">
        <f t="shared" si="63"/>
        <v>0.1176251788268956</v>
      </c>
      <c r="BF49" s="54">
        <f t="shared" si="63"/>
        <v>0.14623098591549311</v>
      </c>
      <c r="BG49" s="54"/>
      <c r="BH49" s="815"/>
      <c r="BI49" s="815"/>
      <c r="BJ49" s="815"/>
      <c r="BK49" s="815"/>
      <c r="BL49" s="815"/>
      <c r="BM49" s="815"/>
      <c r="BN49" s="815"/>
      <c r="BO49" s="815"/>
      <c r="BP49" s="815"/>
      <c r="BQ49" s="815"/>
      <c r="BR49" s="815"/>
      <c r="BS49" s="815">
        <f t="shared" ref="BS49:CB49" si="64">BS47/BR47-1</f>
        <v>0.20841643398484244</v>
      </c>
      <c r="BT49" s="815">
        <f t="shared" si="64"/>
        <v>0.36343809680994044</v>
      </c>
      <c r="BU49" s="815">
        <f t="shared" si="64"/>
        <v>-1.0418918334702321E-2</v>
      </c>
      <c r="BV49" s="815">
        <f t="shared" si="64"/>
        <v>0.16213193534294446</v>
      </c>
      <c r="BW49" s="816">
        <f t="shared" si="64"/>
        <v>0.22065921838112557</v>
      </c>
      <c r="BX49" s="815">
        <f t="shared" si="64"/>
        <v>0.14282583228111245</v>
      </c>
      <c r="BY49" s="815">
        <f t="shared" si="64"/>
        <v>0.1280398189991987</v>
      </c>
      <c r="BZ49" s="815">
        <f t="shared" si="64"/>
        <v>0.11241088435374147</v>
      </c>
      <c r="CA49" s="815">
        <f t="shared" si="64"/>
        <v>5.1916558018253012E-2</v>
      </c>
      <c r="CB49" s="815">
        <f t="shared" si="64"/>
        <v>4.8369152970922924E-2</v>
      </c>
      <c r="CC49" s="83"/>
    </row>
    <row r="50" spans="1:81" outlineLevel="1" x14ac:dyDescent="0.55000000000000004">
      <c r="A50" s="86"/>
      <c r="B50" s="229"/>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273"/>
      <c r="AZ50" s="37"/>
      <c r="BA50" s="37"/>
      <c r="BB50" s="37"/>
      <c r="BC50" s="37"/>
      <c r="BD50" s="37"/>
      <c r="BE50" s="37"/>
      <c r="BF50" s="37"/>
      <c r="BG50" s="37"/>
      <c r="BH50" s="158"/>
      <c r="BI50" s="158"/>
      <c r="BJ50" s="158"/>
      <c r="BK50" s="158"/>
      <c r="BL50" s="158"/>
      <c r="BM50" s="158"/>
      <c r="BN50" s="158"/>
      <c r="BO50" s="158"/>
      <c r="BP50" s="158"/>
      <c r="BQ50" s="158"/>
      <c r="BR50" s="158"/>
      <c r="BS50" s="158"/>
      <c r="BT50" s="158"/>
      <c r="BU50" s="158"/>
      <c r="BV50" s="158"/>
      <c r="BW50" s="846"/>
      <c r="BX50" s="158"/>
      <c r="BY50" s="158"/>
      <c r="BZ50" s="158"/>
      <c r="CA50" s="158"/>
      <c r="CB50" s="158"/>
      <c r="CC50" s="117"/>
    </row>
    <row r="51" spans="1:81" s="708" customFormat="1" outlineLevel="1" x14ac:dyDescent="0.55000000000000004">
      <c r="A51" s="192" t="s">
        <v>1027</v>
      </c>
      <c r="B51" s="331"/>
      <c r="C51" s="212"/>
      <c r="D51" s="212"/>
      <c r="E51" s="212"/>
      <c r="F51" s="212"/>
      <c r="G51" s="212"/>
      <c r="H51" s="212"/>
      <c r="I51" s="212"/>
      <c r="J51" s="212"/>
      <c r="K51" s="212"/>
      <c r="L51" s="212"/>
      <c r="M51" s="212"/>
      <c r="N51" s="212"/>
      <c r="O51" s="212"/>
      <c r="P51" s="212"/>
      <c r="Q51" s="212"/>
      <c r="R51" s="212"/>
      <c r="S51" s="212"/>
      <c r="T51" s="212"/>
      <c r="U51" s="212"/>
      <c r="V51" s="212"/>
      <c r="W51" s="212"/>
      <c r="X51" s="212"/>
      <c r="Y51" s="212"/>
      <c r="Z51" s="212"/>
      <c r="AA51" s="212">
        <f>BQ53</f>
        <v>2030</v>
      </c>
      <c r="AB51" s="212">
        <f>AA53</f>
        <v>2100</v>
      </c>
      <c r="AC51" s="212">
        <f>AB53</f>
        <v>2140</v>
      </c>
      <c r="AD51" s="212">
        <f>AC53</f>
        <v>2200</v>
      </c>
      <c r="AE51" s="212">
        <f>BR53</f>
        <v>2260</v>
      </c>
      <c r="AF51" s="212">
        <f>AE53</f>
        <v>2360</v>
      </c>
      <c r="AG51" s="212">
        <f>AF53</f>
        <v>2470</v>
      </c>
      <c r="AH51" s="212">
        <f>AG53</f>
        <v>2540</v>
      </c>
      <c r="AI51" s="212">
        <f>BS53</f>
        <v>2600</v>
      </c>
      <c r="AJ51" s="35">
        <f>AI53</f>
        <v>2720</v>
      </c>
      <c r="AK51" s="212">
        <f>AJ53</f>
        <v>2760</v>
      </c>
      <c r="AL51" s="212">
        <f>AK53</f>
        <v>2810</v>
      </c>
      <c r="AM51" s="212">
        <f>BT53</f>
        <v>2820</v>
      </c>
      <c r="AN51" s="35">
        <f>AM53</f>
        <v>2870</v>
      </c>
      <c r="AO51" s="212">
        <f>AN53</f>
        <v>2880</v>
      </c>
      <c r="AP51" s="212">
        <f>AO53</f>
        <v>2930</v>
      </c>
      <c r="AQ51" s="212">
        <f>BU53</f>
        <v>2960</v>
      </c>
      <c r="AR51" s="35">
        <f>AQ53</f>
        <v>3020</v>
      </c>
      <c r="AS51" s="212">
        <f>AR53</f>
        <v>3070</v>
      </c>
      <c r="AT51" s="212">
        <f>AS53</f>
        <v>3140</v>
      </c>
      <c r="AU51" s="212">
        <f>BV53</f>
        <v>3190</v>
      </c>
      <c r="AV51" s="35">
        <f>AU53</f>
        <v>3240</v>
      </c>
      <c r="AW51" s="212">
        <f>AV53</f>
        <v>3270</v>
      </c>
      <c r="AX51" s="212">
        <f>AW53</f>
        <v>3290</v>
      </c>
      <c r="AY51" s="629">
        <f>BW53</f>
        <v>3350</v>
      </c>
      <c r="AZ51" s="212">
        <f>AY53</f>
        <v>3430</v>
      </c>
      <c r="BA51" s="212">
        <f>AZ53</f>
        <v>3470</v>
      </c>
      <c r="BB51" s="212">
        <f>BA53</f>
        <v>3520</v>
      </c>
      <c r="BC51" s="212">
        <f>BX53</f>
        <v>3580</v>
      </c>
      <c r="BD51" s="212">
        <f>BC53</f>
        <v>3620</v>
      </c>
      <c r="BE51" s="212">
        <f>BD53</f>
        <v>3660</v>
      </c>
      <c r="BF51" s="212">
        <f>BE53</f>
        <v>3710</v>
      </c>
      <c r="BG51" s="212"/>
      <c r="BH51" s="827"/>
      <c r="BI51" s="827"/>
      <c r="BJ51" s="827"/>
      <c r="BK51" s="827"/>
      <c r="BL51" s="827"/>
      <c r="BM51" s="827"/>
      <c r="BN51" s="827"/>
      <c r="BO51" s="827"/>
      <c r="BP51" s="827"/>
      <c r="BQ51" s="827"/>
      <c r="BR51" s="827">
        <f t="shared" ref="BR51:CB51" si="65">BQ53</f>
        <v>2030</v>
      </c>
      <c r="BS51" s="827">
        <f t="shared" si="65"/>
        <v>2260</v>
      </c>
      <c r="BT51" s="827">
        <f t="shared" si="65"/>
        <v>2600</v>
      </c>
      <c r="BU51" s="827">
        <f t="shared" si="65"/>
        <v>2820</v>
      </c>
      <c r="BV51" s="827">
        <f t="shared" si="65"/>
        <v>2960</v>
      </c>
      <c r="BW51" s="845">
        <f t="shared" si="65"/>
        <v>3190</v>
      </c>
      <c r="BX51" s="827">
        <f t="shared" si="65"/>
        <v>3350</v>
      </c>
      <c r="BY51" s="827">
        <f t="shared" si="65"/>
        <v>3580</v>
      </c>
      <c r="BZ51" s="827">
        <f t="shared" si="65"/>
        <v>3770</v>
      </c>
      <c r="CA51" s="827">
        <f t="shared" si="65"/>
        <v>3900</v>
      </c>
      <c r="CB51" s="827">
        <f t="shared" si="65"/>
        <v>4010</v>
      </c>
      <c r="CC51" s="6"/>
    </row>
    <row r="52" spans="1:81" s="706" customFormat="1" outlineLevel="1" x14ac:dyDescent="0.55000000000000004">
      <c r="A52" s="86" t="s">
        <v>1029</v>
      </c>
      <c r="B52" s="313"/>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f t="shared" ref="AA52:AY52" si="66">AA53-AA51</f>
        <v>70</v>
      </c>
      <c r="AB52" s="200">
        <f t="shared" si="66"/>
        <v>40</v>
      </c>
      <c r="AC52" s="200">
        <f t="shared" si="66"/>
        <v>60</v>
      </c>
      <c r="AD52" s="200">
        <f t="shared" si="66"/>
        <v>60</v>
      </c>
      <c r="AE52" s="200">
        <f t="shared" si="66"/>
        <v>100</v>
      </c>
      <c r="AF52" s="200">
        <f t="shared" si="66"/>
        <v>110</v>
      </c>
      <c r="AG52" s="200">
        <f t="shared" si="66"/>
        <v>70</v>
      </c>
      <c r="AH52" s="200">
        <f t="shared" si="66"/>
        <v>60</v>
      </c>
      <c r="AI52" s="200">
        <f t="shared" si="66"/>
        <v>120</v>
      </c>
      <c r="AJ52" s="37">
        <f t="shared" si="66"/>
        <v>40</v>
      </c>
      <c r="AK52" s="200">
        <f t="shared" si="66"/>
        <v>50</v>
      </c>
      <c r="AL52" s="200">
        <f t="shared" si="66"/>
        <v>10</v>
      </c>
      <c r="AM52" s="200">
        <f t="shared" si="66"/>
        <v>50</v>
      </c>
      <c r="AN52" s="37">
        <f t="shared" si="66"/>
        <v>10</v>
      </c>
      <c r="AO52" s="200">
        <f t="shared" si="66"/>
        <v>50</v>
      </c>
      <c r="AP52" s="200">
        <f t="shared" si="66"/>
        <v>30</v>
      </c>
      <c r="AQ52" s="200">
        <f t="shared" si="66"/>
        <v>60</v>
      </c>
      <c r="AR52" s="37">
        <f t="shared" si="66"/>
        <v>50</v>
      </c>
      <c r="AS52" s="200">
        <f t="shared" si="66"/>
        <v>70</v>
      </c>
      <c r="AT52" s="200">
        <f t="shared" si="66"/>
        <v>50</v>
      </c>
      <c r="AU52" s="200">
        <f t="shared" si="66"/>
        <v>50</v>
      </c>
      <c r="AV52" s="37">
        <f t="shared" si="66"/>
        <v>30</v>
      </c>
      <c r="AW52" s="200">
        <f t="shared" si="66"/>
        <v>20</v>
      </c>
      <c r="AX52" s="200">
        <f t="shared" si="66"/>
        <v>60</v>
      </c>
      <c r="AY52" s="407">
        <f t="shared" si="66"/>
        <v>80</v>
      </c>
      <c r="AZ52" s="751">
        <v>40</v>
      </c>
      <c r="BA52" s="751">
        <v>50</v>
      </c>
      <c r="BB52" s="751">
        <v>60</v>
      </c>
      <c r="BC52" s="751">
        <v>40</v>
      </c>
      <c r="BD52" s="751">
        <v>40</v>
      </c>
      <c r="BE52" s="751">
        <v>50</v>
      </c>
      <c r="BF52" s="751">
        <v>60</v>
      </c>
      <c r="BG52" s="751"/>
      <c r="BH52" s="841"/>
      <c r="BI52" s="841"/>
      <c r="BJ52" s="841"/>
      <c r="BK52" s="841"/>
      <c r="BL52" s="841"/>
      <c r="BM52" s="841"/>
      <c r="BN52" s="841"/>
      <c r="BO52" s="841"/>
      <c r="BP52" s="841"/>
      <c r="BQ52" s="841"/>
      <c r="BR52" s="841">
        <f t="shared" ref="BR52:BW52" si="67">BR53-BR51</f>
        <v>230</v>
      </c>
      <c r="BS52" s="841">
        <f t="shared" si="67"/>
        <v>340</v>
      </c>
      <c r="BT52" s="841">
        <f t="shared" si="67"/>
        <v>220</v>
      </c>
      <c r="BU52" s="841">
        <f t="shared" si="67"/>
        <v>140</v>
      </c>
      <c r="BV52" s="841">
        <f t="shared" si="67"/>
        <v>230</v>
      </c>
      <c r="BW52" s="842">
        <f t="shared" si="67"/>
        <v>160</v>
      </c>
      <c r="BX52" s="841">
        <f>SUM(AY52,AZ52,BA52,BB52)</f>
        <v>230</v>
      </c>
      <c r="BY52" s="841">
        <f>SUM(BC52,BD52,BE52,BF52)</f>
        <v>190</v>
      </c>
      <c r="BZ52" s="847">
        <v>130</v>
      </c>
      <c r="CA52" s="847">
        <v>110</v>
      </c>
      <c r="CB52" s="847">
        <v>110</v>
      </c>
      <c r="CC52" s="117"/>
    </row>
    <row r="53" spans="1:81" s="708" customFormat="1" outlineLevel="1" x14ac:dyDescent="0.55000000000000004">
      <c r="A53" s="194" t="s">
        <v>1028</v>
      </c>
      <c r="B53" s="522"/>
      <c r="C53" s="523"/>
      <c r="D53" s="523"/>
      <c r="E53" s="523"/>
      <c r="F53" s="523"/>
      <c r="G53" s="523"/>
      <c r="H53" s="523"/>
      <c r="I53" s="523"/>
      <c r="J53" s="523"/>
      <c r="K53" s="523"/>
      <c r="L53" s="523"/>
      <c r="M53" s="523"/>
      <c r="N53" s="523"/>
      <c r="O53" s="523"/>
      <c r="P53" s="523"/>
      <c r="Q53" s="523"/>
      <c r="R53" s="523"/>
      <c r="S53" s="523"/>
      <c r="T53" s="523"/>
      <c r="U53" s="523"/>
      <c r="V53" s="523"/>
      <c r="W53" s="523"/>
      <c r="X53" s="523"/>
      <c r="Y53" s="523"/>
      <c r="Z53" s="523"/>
      <c r="AA53" s="752">
        <v>2100</v>
      </c>
      <c r="AB53" s="752">
        <v>2140</v>
      </c>
      <c r="AC53" s="752">
        <v>2200</v>
      </c>
      <c r="AD53" s="523">
        <f>BR53</f>
        <v>2260</v>
      </c>
      <c r="AE53" s="752">
        <v>2360</v>
      </c>
      <c r="AF53" s="752">
        <v>2470</v>
      </c>
      <c r="AG53" s="752">
        <v>2540</v>
      </c>
      <c r="AH53" s="523">
        <f>BS53</f>
        <v>2600</v>
      </c>
      <c r="AI53" s="752">
        <v>2720</v>
      </c>
      <c r="AJ53" s="753">
        <v>2760</v>
      </c>
      <c r="AK53" s="752">
        <v>2810</v>
      </c>
      <c r="AL53" s="523">
        <f>BT53</f>
        <v>2820</v>
      </c>
      <c r="AM53" s="752">
        <v>2870</v>
      </c>
      <c r="AN53" s="753">
        <v>2880</v>
      </c>
      <c r="AO53" s="752">
        <v>2930</v>
      </c>
      <c r="AP53" s="523">
        <f>BU53</f>
        <v>2960</v>
      </c>
      <c r="AQ53" s="752">
        <v>3020</v>
      </c>
      <c r="AR53" s="753">
        <v>3070</v>
      </c>
      <c r="AS53" s="752">
        <v>3140</v>
      </c>
      <c r="AT53" s="523">
        <f>BV53</f>
        <v>3190</v>
      </c>
      <c r="AU53" s="752">
        <v>3240</v>
      </c>
      <c r="AV53" s="753">
        <v>3270</v>
      </c>
      <c r="AW53" s="752">
        <v>3290</v>
      </c>
      <c r="AX53" s="523">
        <f>BW53</f>
        <v>3350</v>
      </c>
      <c r="AY53" s="754">
        <v>3430</v>
      </c>
      <c r="AZ53" s="523">
        <f t="shared" ref="AZ53:BF53" si="68">AZ51+AZ52</f>
        <v>3470</v>
      </c>
      <c r="BA53" s="523">
        <f t="shared" si="68"/>
        <v>3520</v>
      </c>
      <c r="BB53" s="523">
        <f t="shared" si="68"/>
        <v>3580</v>
      </c>
      <c r="BC53" s="523">
        <f t="shared" si="68"/>
        <v>3620</v>
      </c>
      <c r="BD53" s="523">
        <f t="shared" si="68"/>
        <v>3660</v>
      </c>
      <c r="BE53" s="523">
        <f t="shared" si="68"/>
        <v>3710</v>
      </c>
      <c r="BF53" s="523">
        <f t="shared" si="68"/>
        <v>3770</v>
      </c>
      <c r="BG53" s="523"/>
      <c r="BH53" s="848"/>
      <c r="BI53" s="848"/>
      <c r="BJ53" s="848"/>
      <c r="BK53" s="848"/>
      <c r="BL53" s="848"/>
      <c r="BM53" s="848"/>
      <c r="BN53" s="848"/>
      <c r="BO53" s="848"/>
      <c r="BP53" s="848"/>
      <c r="BQ53" s="849">
        <v>2030</v>
      </c>
      <c r="BR53" s="849">
        <v>2260</v>
      </c>
      <c r="BS53" s="849">
        <v>2600</v>
      </c>
      <c r="BT53" s="849">
        <v>2820</v>
      </c>
      <c r="BU53" s="849">
        <v>2960</v>
      </c>
      <c r="BV53" s="849">
        <v>3190</v>
      </c>
      <c r="BW53" s="850">
        <v>3350</v>
      </c>
      <c r="BX53" s="848">
        <f>BX51+BX52</f>
        <v>3580</v>
      </c>
      <c r="BY53" s="848">
        <f>BY51+BY52</f>
        <v>3770</v>
      </c>
      <c r="BZ53" s="848">
        <f>BZ51+BZ52</f>
        <v>3900</v>
      </c>
      <c r="CA53" s="848">
        <f>CA51+CA52</f>
        <v>4010</v>
      </c>
      <c r="CB53" s="848">
        <f>CB51+CB52</f>
        <v>4120</v>
      </c>
      <c r="CC53" s="6"/>
    </row>
    <row r="54" spans="1:81" s="708" customFormat="1" outlineLevel="1" x14ac:dyDescent="0.55000000000000004">
      <c r="A54" s="325" t="s">
        <v>1033</v>
      </c>
      <c r="B54" s="341"/>
      <c r="C54" s="224"/>
      <c r="D54" s="224"/>
      <c r="E54" s="224"/>
      <c r="F54" s="224"/>
      <c r="G54" s="224"/>
      <c r="H54" s="224"/>
      <c r="I54" s="224"/>
      <c r="J54" s="224"/>
      <c r="K54" s="224"/>
      <c r="L54" s="224"/>
      <c r="M54" s="224"/>
      <c r="N54" s="224"/>
      <c r="O54" s="224"/>
      <c r="P54" s="224"/>
      <c r="Q54" s="224"/>
      <c r="R54" s="224"/>
      <c r="S54" s="224"/>
      <c r="T54" s="224"/>
      <c r="U54" s="224"/>
      <c r="V54" s="224"/>
      <c r="W54" s="224"/>
      <c r="X54" s="224"/>
      <c r="Y54" s="224"/>
      <c r="Z54" s="224"/>
      <c r="AA54" s="224"/>
      <c r="AB54" s="224"/>
      <c r="AC54" s="224"/>
      <c r="AD54" s="224"/>
      <c r="AE54" s="224">
        <f t="shared" ref="AE54:BF54" si="69">AE53/AA53-1</f>
        <v>0.12380952380952381</v>
      </c>
      <c r="AF54" s="224">
        <f t="shared" si="69"/>
        <v>0.15420560747663559</v>
      </c>
      <c r="AG54" s="224">
        <f t="shared" si="69"/>
        <v>0.15454545454545454</v>
      </c>
      <c r="AH54" s="224">
        <f t="shared" si="69"/>
        <v>0.15044247787610621</v>
      </c>
      <c r="AI54" s="224">
        <f t="shared" si="69"/>
        <v>0.15254237288135597</v>
      </c>
      <c r="AJ54" s="54">
        <f t="shared" si="69"/>
        <v>0.1174089068825912</v>
      </c>
      <c r="AK54" s="224">
        <f t="shared" si="69"/>
        <v>0.10629921259842523</v>
      </c>
      <c r="AL54" s="224">
        <f t="shared" si="69"/>
        <v>8.4615384615384537E-2</v>
      </c>
      <c r="AM54" s="224">
        <f t="shared" si="69"/>
        <v>5.5147058823529438E-2</v>
      </c>
      <c r="AN54" s="54">
        <f t="shared" si="69"/>
        <v>4.3478260869565188E-2</v>
      </c>
      <c r="AO54" s="224">
        <f t="shared" si="69"/>
        <v>4.2704626334519658E-2</v>
      </c>
      <c r="AP54" s="224">
        <f t="shared" si="69"/>
        <v>4.9645390070921946E-2</v>
      </c>
      <c r="AQ54" s="224">
        <f t="shared" si="69"/>
        <v>5.2264808362369353E-2</v>
      </c>
      <c r="AR54" s="54">
        <f t="shared" si="69"/>
        <v>6.5972222222222321E-2</v>
      </c>
      <c r="AS54" s="224">
        <f t="shared" si="69"/>
        <v>7.1672354948805417E-2</v>
      </c>
      <c r="AT54" s="224">
        <f t="shared" si="69"/>
        <v>7.7702702702702631E-2</v>
      </c>
      <c r="AU54" s="224">
        <f t="shared" si="69"/>
        <v>7.2847682119205226E-2</v>
      </c>
      <c r="AV54" s="54">
        <f t="shared" si="69"/>
        <v>6.514657980456029E-2</v>
      </c>
      <c r="AW54" s="224">
        <f t="shared" si="69"/>
        <v>4.7770700636942776E-2</v>
      </c>
      <c r="AX54" s="224">
        <f t="shared" si="69"/>
        <v>5.0156739811912265E-2</v>
      </c>
      <c r="AY54" s="624">
        <f t="shared" si="69"/>
        <v>5.8641975308642014E-2</v>
      </c>
      <c r="AZ54" s="224">
        <f t="shared" si="69"/>
        <v>6.1162079510703293E-2</v>
      </c>
      <c r="BA54" s="224">
        <f t="shared" si="69"/>
        <v>6.990881458966558E-2</v>
      </c>
      <c r="BB54" s="224">
        <f t="shared" si="69"/>
        <v>6.8656716417910379E-2</v>
      </c>
      <c r="BC54" s="224">
        <f t="shared" si="69"/>
        <v>5.5393586005830997E-2</v>
      </c>
      <c r="BD54" s="224">
        <f t="shared" si="69"/>
        <v>5.4755043227665778E-2</v>
      </c>
      <c r="BE54" s="224">
        <f t="shared" si="69"/>
        <v>5.3977272727272707E-2</v>
      </c>
      <c r="BF54" s="224">
        <f t="shared" si="69"/>
        <v>5.307262569832405E-2</v>
      </c>
      <c r="BG54" s="224"/>
      <c r="BH54" s="817"/>
      <c r="BI54" s="817"/>
      <c r="BJ54" s="817"/>
      <c r="BK54" s="817"/>
      <c r="BL54" s="817"/>
      <c r="BM54" s="817"/>
      <c r="BN54" s="817"/>
      <c r="BO54" s="817"/>
      <c r="BP54" s="817"/>
      <c r="BQ54" s="817"/>
      <c r="BR54" s="817">
        <f t="shared" ref="BR54:CB54" si="70">BR53/BQ53-1</f>
        <v>0.11330049261083741</v>
      </c>
      <c r="BS54" s="817">
        <f t="shared" si="70"/>
        <v>0.15044247787610621</v>
      </c>
      <c r="BT54" s="817">
        <f t="shared" si="70"/>
        <v>8.4615384615384537E-2</v>
      </c>
      <c r="BU54" s="817">
        <f t="shared" si="70"/>
        <v>4.9645390070921946E-2</v>
      </c>
      <c r="BV54" s="817">
        <f t="shared" si="70"/>
        <v>7.7702702702702631E-2</v>
      </c>
      <c r="BW54" s="819">
        <f t="shared" si="70"/>
        <v>5.0156739811912265E-2</v>
      </c>
      <c r="BX54" s="817">
        <f t="shared" si="70"/>
        <v>6.8656716417910379E-2</v>
      </c>
      <c r="BY54" s="817">
        <f t="shared" si="70"/>
        <v>5.307262569832405E-2</v>
      </c>
      <c r="BZ54" s="817">
        <f t="shared" si="70"/>
        <v>3.4482758620689724E-2</v>
      </c>
      <c r="CA54" s="817">
        <f t="shared" si="70"/>
        <v>2.8205128205128105E-2</v>
      </c>
      <c r="CB54" s="817">
        <f t="shared" si="70"/>
        <v>2.7431421446383997E-2</v>
      </c>
      <c r="CC54" s="6"/>
    </row>
    <row r="55" spans="1:81" s="708" customFormat="1" outlineLevel="1" x14ac:dyDescent="0.55000000000000004">
      <c r="A55" s="192" t="s">
        <v>1030</v>
      </c>
      <c r="B55" s="331"/>
      <c r="C55" s="212"/>
      <c r="D55" s="212"/>
      <c r="E55" s="212"/>
      <c r="F55" s="212"/>
      <c r="G55" s="212"/>
      <c r="H55" s="212"/>
      <c r="I55" s="212"/>
      <c r="J55" s="212"/>
      <c r="K55" s="212"/>
      <c r="L55" s="212"/>
      <c r="M55" s="212"/>
      <c r="N55" s="212"/>
      <c r="O55" s="212"/>
      <c r="P55" s="212"/>
      <c r="Q55" s="212"/>
      <c r="R55" s="212"/>
      <c r="S55" s="212"/>
      <c r="T55" s="212"/>
      <c r="U55" s="212"/>
      <c r="V55" s="212"/>
      <c r="W55" s="212"/>
      <c r="X55" s="212"/>
      <c r="Y55" s="212"/>
      <c r="Z55" s="212"/>
      <c r="AA55" s="212">
        <f t="shared" ref="AA55:BF55" si="71">AVERAGE(AA51,AA53)</f>
        <v>2065</v>
      </c>
      <c r="AB55" s="212">
        <f t="shared" si="71"/>
        <v>2120</v>
      </c>
      <c r="AC55" s="212">
        <f t="shared" si="71"/>
        <v>2170</v>
      </c>
      <c r="AD55" s="212">
        <f t="shared" si="71"/>
        <v>2230</v>
      </c>
      <c r="AE55" s="212">
        <f t="shared" si="71"/>
        <v>2310</v>
      </c>
      <c r="AF55" s="212">
        <f t="shared" si="71"/>
        <v>2415</v>
      </c>
      <c r="AG55" s="212">
        <f t="shared" si="71"/>
        <v>2505</v>
      </c>
      <c r="AH55" s="212">
        <f t="shared" si="71"/>
        <v>2570</v>
      </c>
      <c r="AI55" s="212">
        <f t="shared" si="71"/>
        <v>2660</v>
      </c>
      <c r="AJ55" s="35">
        <f t="shared" si="71"/>
        <v>2740</v>
      </c>
      <c r="AK55" s="212">
        <f t="shared" si="71"/>
        <v>2785</v>
      </c>
      <c r="AL55" s="212">
        <f t="shared" si="71"/>
        <v>2815</v>
      </c>
      <c r="AM55" s="212">
        <f t="shared" si="71"/>
        <v>2845</v>
      </c>
      <c r="AN55" s="35">
        <f t="shared" si="71"/>
        <v>2875</v>
      </c>
      <c r="AO55" s="212">
        <f t="shared" si="71"/>
        <v>2905</v>
      </c>
      <c r="AP55" s="212">
        <f t="shared" si="71"/>
        <v>2945</v>
      </c>
      <c r="AQ55" s="212">
        <f t="shared" si="71"/>
        <v>2990</v>
      </c>
      <c r="AR55" s="35">
        <f t="shared" si="71"/>
        <v>3045</v>
      </c>
      <c r="AS55" s="212">
        <f t="shared" si="71"/>
        <v>3105</v>
      </c>
      <c r="AT55" s="212">
        <f t="shared" si="71"/>
        <v>3165</v>
      </c>
      <c r="AU55" s="212">
        <f t="shared" si="71"/>
        <v>3215</v>
      </c>
      <c r="AV55" s="35">
        <f t="shared" si="71"/>
        <v>3255</v>
      </c>
      <c r="AW55" s="212">
        <f t="shared" si="71"/>
        <v>3280</v>
      </c>
      <c r="AX55" s="212">
        <f t="shared" si="71"/>
        <v>3320</v>
      </c>
      <c r="AY55" s="629">
        <f t="shared" si="71"/>
        <v>3390</v>
      </c>
      <c r="AZ55" s="212">
        <f t="shared" si="71"/>
        <v>3450</v>
      </c>
      <c r="BA55" s="212">
        <f t="shared" si="71"/>
        <v>3495</v>
      </c>
      <c r="BB55" s="212">
        <f t="shared" si="71"/>
        <v>3550</v>
      </c>
      <c r="BC55" s="212">
        <f t="shared" si="71"/>
        <v>3600</v>
      </c>
      <c r="BD55" s="212">
        <f t="shared" si="71"/>
        <v>3640</v>
      </c>
      <c r="BE55" s="212">
        <f t="shared" si="71"/>
        <v>3685</v>
      </c>
      <c r="BF55" s="212">
        <f t="shared" si="71"/>
        <v>3740</v>
      </c>
      <c r="BG55" s="212"/>
      <c r="BH55" s="827"/>
      <c r="BI55" s="827"/>
      <c r="BJ55" s="827"/>
      <c r="BK55" s="827"/>
      <c r="BL55" s="827"/>
      <c r="BM55" s="827"/>
      <c r="BN55" s="827"/>
      <c r="BO55" s="827"/>
      <c r="BP55" s="827"/>
      <c r="BQ55" s="827"/>
      <c r="BR55" s="827">
        <f t="shared" ref="BR55:CB55" si="72">AVERAGE(BR51,BR53)</f>
        <v>2145</v>
      </c>
      <c r="BS55" s="827">
        <f t="shared" si="72"/>
        <v>2430</v>
      </c>
      <c r="BT55" s="827">
        <f t="shared" si="72"/>
        <v>2710</v>
      </c>
      <c r="BU55" s="827">
        <f t="shared" si="72"/>
        <v>2890</v>
      </c>
      <c r="BV55" s="827">
        <f t="shared" si="72"/>
        <v>3075</v>
      </c>
      <c r="BW55" s="845">
        <f t="shared" si="72"/>
        <v>3270</v>
      </c>
      <c r="BX55" s="827">
        <f t="shared" si="72"/>
        <v>3465</v>
      </c>
      <c r="BY55" s="827">
        <f t="shared" si="72"/>
        <v>3675</v>
      </c>
      <c r="BZ55" s="827">
        <f t="shared" si="72"/>
        <v>3835</v>
      </c>
      <c r="CA55" s="827">
        <f t="shared" si="72"/>
        <v>3955</v>
      </c>
      <c r="CB55" s="827">
        <f t="shared" si="72"/>
        <v>4065</v>
      </c>
      <c r="CC55" s="6"/>
    </row>
    <row r="56" spans="1:81" s="708" customFormat="1" outlineLevel="1" x14ac:dyDescent="0.55000000000000004">
      <c r="A56" s="192"/>
      <c r="B56" s="331"/>
      <c r="C56" s="212"/>
      <c r="D56" s="212"/>
      <c r="E56" s="212"/>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35"/>
      <c r="AK56" s="212"/>
      <c r="AL56" s="212"/>
      <c r="AM56" s="212"/>
      <c r="AN56" s="35"/>
      <c r="AO56" s="212"/>
      <c r="AP56" s="212"/>
      <c r="AQ56" s="212"/>
      <c r="AR56" s="35"/>
      <c r="AS56" s="212"/>
      <c r="AT56" s="212"/>
      <c r="AU56" s="212"/>
      <c r="AV56" s="35"/>
      <c r="AW56" s="212"/>
      <c r="AX56" s="212"/>
      <c r="AY56" s="629"/>
      <c r="AZ56" s="212"/>
      <c r="BA56" s="212"/>
      <c r="BB56" s="212"/>
      <c r="BC56" s="212"/>
      <c r="BD56" s="212"/>
      <c r="BE56" s="212"/>
      <c r="BF56" s="212"/>
      <c r="BG56" s="212"/>
      <c r="BH56" s="827"/>
      <c r="BI56" s="827"/>
      <c r="BJ56" s="827"/>
      <c r="BK56" s="827"/>
      <c r="BL56" s="827"/>
      <c r="BM56" s="827"/>
      <c r="BN56" s="827"/>
      <c r="BO56" s="827"/>
      <c r="BP56" s="827"/>
      <c r="BQ56" s="827"/>
      <c r="BR56" s="827"/>
      <c r="BS56" s="827"/>
      <c r="BT56" s="827"/>
      <c r="BU56" s="827"/>
      <c r="BV56" s="827"/>
      <c r="BW56" s="845"/>
      <c r="BX56" s="827"/>
      <c r="BY56" s="827"/>
      <c r="BZ56" s="827"/>
      <c r="CA56" s="827"/>
      <c r="CB56" s="827"/>
      <c r="CC56" s="6"/>
    </row>
    <row r="57" spans="1:81" s="712" customFormat="1" outlineLevel="1" x14ac:dyDescent="0.55000000000000004">
      <c r="A57" s="519" t="s">
        <v>1026</v>
      </c>
      <c r="B57" s="520"/>
      <c r="C57" s="521"/>
      <c r="D57" s="521"/>
      <c r="E57" s="521"/>
      <c r="F57" s="521"/>
      <c r="G57" s="521"/>
      <c r="H57" s="521"/>
      <c r="I57" s="521"/>
      <c r="J57" s="521"/>
      <c r="K57" s="521"/>
      <c r="L57" s="521"/>
      <c r="M57" s="521"/>
      <c r="N57" s="521"/>
      <c r="O57" s="521"/>
      <c r="P57" s="521"/>
      <c r="Q57" s="521"/>
      <c r="R57" s="521"/>
      <c r="S57" s="521"/>
      <c r="T57" s="521"/>
      <c r="U57" s="521"/>
      <c r="V57" s="521"/>
      <c r="W57" s="521"/>
      <c r="X57" s="521"/>
      <c r="Y57" s="521"/>
      <c r="Z57" s="521"/>
      <c r="AA57" s="521"/>
      <c r="AB57" s="521"/>
      <c r="AC57" s="521"/>
      <c r="AD57" s="521"/>
      <c r="AE57" s="521"/>
      <c r="AF57" s="521"/>
      <c r="AG57" s="521"/>
      <c r="AH57" s="521">
        <f>AH47/AH55</f>
        <v>10.64396887159533</v>
      </c>
      <c r="AI57" s="521">
        <f>AI47/AI55</f>
        <v>9.6379699248120296</v>
      </c>
      <c r="AJ57" s="367">
        <f>AJ47/AJ55</f>
        <v>10.500729927007299</v>
      </c>
      <c r="AK57" s="521">
        <f>AK47/AK55</f>
        <v>10.216157989228007</v>
      </c>
      <c r="AL57" s="521">
        <f>AL47/AL55</f>
        <v>11.649733570159858</v>
      </c>
      <c r="AM57" s="755">
        <v>9.57</v>
      </c>
      <c r="AN57" s="756">
        <v>9.8699999999999992</v>
      </c>
      <c r="AO57" s="755">
        <v>9.44</v>
      </c>
      <c r="AP57" s="755">
        <v>10.68</v>
      </c>
      <c r="AQ57" s="755">
        <v>9.4700000000000006</v>
      </c>
      <c r="AR57" s="756">
        <v>10.42</v>
      </c>
      <c r="AS57" s="755">
        <v>10.93</v>
      </c>
      <c r="AT57" s="755">
        <v>12.33</v>
      </c>
      <c r="AU57" s="755">
        <v>11.2</v>
      </c>
      <c r="AV57" s="756">
        <v>11.89</v>
      </c>
      <c r="AW57" s="755">
        <v>12.29</v>
      </c>
      <c r="AX57" s="755">
        <v>14.25</v>
      </c>
      <c r="AY57" s="757">
        <v>12.36</v>
      </c>
      <c r="AZ57" s="521">
        <f t="shared" ref="AZ57:BF57" si="73">AV57*(1+AZ58)</f>
        <v>12.484500000000001</v>
      </c>
      <c r="BA57" s="521">
        <f t="shared" si="73"/>
        <v>13.0274</v>
      </c>
      <c r="BB57" s="521">
        <f t="shared" si="73"/>
        <v>15.504000000000001</v>
      </c>
      <c r="BC57" s="521">
        <f t="shared" si="73"/>
        <v>13.225200000000001</v>
      </c>
      <c r="BD57" s="521">
        <f t="shared" si="73"/>
        <v>13.108725000000002</v>
      </c>
      <c r="BE57" s="521">
        <f t="shared" si="73"/>
        <v>13.809044</v>
      </c>
      <c r="BF57" s="521">
        <f t="shared" si="73"/>
        <v>16.868352000000002</v>
      </c>
      <c r="BG57" s="521"/>
      <c r="BH57" s="851"/>
      <c r="BI57" s="851"/>
      <c r="BJ57" s="851"/>
      <c r="BK57" s="851"/>
      <c r="BL57" s="851"/>
      <c r="BM57" s="851"/>
      <c r="BN57" s="851"/>
      <c r="BO57" s="851"/>
      <c r="BP57" s="851"/>
      <c r="BQ57" s="851"/>
      <c r="BR57" s="851">
        <f>BR47/BR55</f>
        <v>32.725407925407929</v>
      </c>
      <c r="BS57" s="851">
        <f>BS47/BS55</f>
        <v>34.907818930041152</v>
      </c>
      <c r="BT57" s="851">
        <f>BT47/BT55</f>
        <v>42.677121771217713</v>
      </c>
      <c r="BU57" s="851">
        <f>BU17/BU55</f>
        <v>39.602076124567475</v>
      </c>
      <c r="BV57" s="851">
        <f>BV17/BV55</f>
        <v>43.253983739837402</v>
      </c>
      <c r="BW57" s="852">
        <f>BW17/BW55</f>
        <v>49.649847094801224</v>
      </c>
      <c r="BX57" s="851">
        <f>BX17/BX55</f>
        <v>53.547904184704187</v>
      </c>
      <c r="BY57" s="851">
        <f>BY17/BY55</f>
        <v>56.952501393197281</v>
      </c>
      <c r="BZ57" s="851">
        <f>BY57*(1+BZ58)</f>
        <v>60.711366485148304</v>
      </c>
      <c r="CA57" s="851">
        <f>BZ57*(1+CA58)</f>
        <v>61.925593814851268</v>
      </c>
      <c r="CB57" s="851">
        <f>CA57*(1+CB58)</f>
        <v>63.164105691148293</v>
      </c>
      <c r="CC57" s="290"/>
    </row>
    <row r="58" spans="1:81" s="712" customFormat="1" outlineLevel="1" x14ac:dyDescent="0.55000000000000004">
      <c r="A58" s="524" t="s">
        <v>1032</v>
      </c>
      <c r="B58" s="525"/>
      <c r="C58" s="224"/>
      <c r="D58" s="224"/>
      <c r="E58" s="224"/>
      <c r="F58" s="224"/>
      <c r="G58" s="224"/>
      <c r="H58" s="224"/>
      <c r="I58" s="224"/>
      <c r="J58" s="224"/>
      <c r="K58" s="224"/>
      <c r="L58" s="224"/>
      <c r="M58" s="224"/>
      <c r="N58" s="224"/>
      <c r="O58" s="224"/>
      <c r="P58" s="224"/>
      <c r="Q58" s="224"/>
      <c r="R58" s="224"/>
      <c r="S58" s="224"/>
      <c r="T58" s="224"/>
      <c r="U58" s="224"/>
      <c r="V58" s="224"/>
      <c r="W58" s="224"/>
      <c r="X58" s="224"/>
      <c r="Y58" s="224"/>
      <c r="Z58" s="224"/>
      <c r="AA58" s="224"/>
      <c r="AB58" s="224"/>
      <c r="AC58" s="224"/>
      <c r="AD58" s="224"/>
      <c r="AE58" s="224"/>
      <c r="AF58" s="224"/>
      <c r="AG58" s="224"/>
      <c r="AH58" s="224"/>
      <c r="AI58" s="224"/>
      <c r="AJ58" s="54"/>
      <c r="AK58" s="224"/>
      <c r="AL58" s="224">
        <f t="shared" ref="AL58:AY58" si="74">AL57/AH57-1</f>
        <v>9.4491510704106663E-2</v>
      </c>
      <c r="AM58" s="224">
        <f t="shared" si="74"/>
        <v>-7.0523072122322672E-3</v>
      </c>
      <c r="AN58" s="54">
        <f t="shared" si="74"/>
        <v>-6.0065341304045616E-2</v>
      </c>
      <c r="AO58" s="224">
        <f t="shared" si="74"/>
        <v>-7.5973569520596085E-2</v>
      </c>
      <c r="AP58" s="224">
        <f t="shared" si="74"/>
        <v>-8.3240836738427859E-2</v>
      </c>
      <c r="AQ58" s="224">
        <f t="shared" si="74"/>
        <v>-1.0449320794148398E-2</v>
      </c>
      <c r="AR58" s="54">
        <f t="shared" si="74"/>
        <v>5.5724417426545214E-2</v>
      </c>
      <c r="AS58" s="224">
        <f t="shared" si="74"/>
        <v>0.15783898305084754</v>
      </c>
      <c r="AT58" s="224">
        <f t="shared" si="74"/>
        <v>0.15449438202247201</v>
      </c>
      <c r="AU58" s="224">
        <f t="shared" si="74"/>
        <v>0.18268215417106637</v>
      </c>
      <c r="AV58" s="54">
        <f t="shared" si="74"/>
        <v>0.14107485604606529</v>
      </c>
      <c r="AW58" s="224">
        <f t="shared" si="74"/>
        <v>0.12442817932296424</v>
      </c>
      <c r="AX58" s="224">
        <f t="shared" si="74"/>
        <v>0.15571776155717765</v>
      </c>
      <c r="AY58" s="624">
        <f t="shared" si="74"/>
        <v>0.10357142857142865</v>
      </c>
      <c r="AZ58" s="758">
        <v>0.05</v>
      </c>
      <c r="BA58" s="758">
        <v>0.06</v>
      </c>
      <c r="BB58" s="758">
        <v>8.7999999999999995E-2</v>
      </c>
      <c r="BC58" s="758">
        <v>7.0000000000000007E-2</v>
      </c>
      <c r="BD58" s="758">
        <v>0.05</v>
      </c>
      <c r="BE58" s="758">
        <v>0.06</v>
      </c>
      <c r="BF58" s="758">
        <v>8.7999999999999995E-2</v>
      </c>
      <c r="BG58" s="758"/>
      <c r="BH58" s="817"/>
      <c r="BI58" s="817"/>
      <c r="BJ58" s="817"/>
      <c r="BK58" s="817"/>
      <c r="BL58" s="817"/>
      <c r="BM58" s="817"/>
      <c r="BN58" s="817"/>
      <c r="BO58" s="817"/>
      <c r="BP58" s="817"/>
      <c r="BQ58" s="817"/>
      <c r="BR58" s="817"/>
      <c r="BS58" s="817">
        <f t="shared" ref="BS58:BY58" si="75">BS57/BR57-1</f>
        <v>6.6688580616249604E-2</v>
      </c>
      <c r="BT58" s="817">
        <f t="shared" si="75"/>
        <v>0.22256626392920853</v>
      </c>
      <c r="BU58" s="817">
        <f t="shared" si="75"/>
        <v>-7.2053726189288403E-2</v>
      </c>
      <c r="BV58" s="817">
        <f t="shared" si="75"/>
        <v>9.2215054680035768E-2</v>
      </c>
      <c r="BW58" s="819">
        <f t="shared" si="75"/>
        <v>0.14786761361527856</v>
      </c>
      <c r="BX58" s="817">
        <f t="shared" si="75"/>
        <v>7.851095860295465E-2</v>
      </c>
      <c r="BY58" s="817">
        <f t="shared" si="75"/>
        <v>6.3580400770673062E-2</v>
      </c>
      <c r="BZ58" s="853">
        <v>6.6000000000000003E-2</v>
      </c>
      <c r="CA58" s="853">
        <v>0.02</v>
      </c>
      <c r="CB58" s="853">
        <v>0.02</v>
      </c>
      <c r="CC58" s="290"/>
    </row>
    <row r="59" spans="1:81" s="712" customFormat="1" outlineLevel="1" x14ac:dyDescent="0.55000000000000004">
      <c r="A59" s="519"/>
      <c r="B59" s="520"/>
      <c r="C59" s="521"/>
      <c r="D59" s="521"/>
      <c r="E59" s="521"/>
      <c r="F59" s="521"/>
      <c r="G59" s="521"/>
      <c r="H59" s="521"/>
      <c r="I59" s="521"/>
      <c r="J59" s="521"/>
      <c r="K59" s="521"/>
      <c r="L59" s="521"/>
      <c r="M59" s="521"/>
      <c r="N59" s="521"/>
      <c r="O59" s="521"/>
      <c r="P59" s="521"/>
      <c r="Q59" s="521"/>
      <c r="R59" s="521"/>
      <c r="S59" s="521"/>
      <c r="T59" s="521"/>
      <c r="U59" s="521"/>
      <c r="V59" s="521"/>
      <c r="W59" s="521"/>
      <c r="X59" s="521"/>
      <c r="Y59" s="521"/>
      <c r="Z59" s="521"/>
      <c r="AA59" s="521"/>
      <c r="AB59" s="521"/>
      <c r="AC59" s="521"/>
      <c r="AD59" s="521"/>
      <c r="AE59" s="521"/>
      <c r="AF59" s="521"/>
      <c r="AG59" s="521"/>
      <c r="AH59" s="521"/>
      <c r="AI59" s="521"/>
      <c r="AJ59" s="367"/>
      <c r="AK59" s="521"/>
      <c r="AL59" s="521"/>
      <c r="AM59" s="521"/>
      <c r="AN59" s="367"/>
      <c r="AO59" s="521"/>
      <c r="AP59" s="521"/>
      <c r="AQ59" s="521"/>
      <c r="AR59" s="367"/>
      <c r="AS59" s="521"/>
      <c r="AT59" s="521"/>
      <c r="AU59" s="521"/>
      <c r="AV59" s="367"/>
      <c r="AW59" s="521"/>
      <c r="AX59" s="521"/>
      <c r="AY59" s="631"/>
      <c r="AZ59" s="521"/>
      <c r="BA59" s="521"/>
      <c r="BB59" s="521"/>
      <c r="BC59" s="521"/>
      <c r="BD59" s="521"/>
      <c r="BE59" s="521"/>
      <c r="BF59" s="521"/>
      <c r="BG59" s="521"/>
      <c r="BH59" s="851"/>
      <c r="BI59" s="851"/>
      <c r="BJ59" s="851"/>
      <c r="BK59" s="851"/>
      <c r="BL59" s="851"/>
      <c r="BM59" s="851"/>
      <c r="BN59" s="851"/>
      <c r="BO59" s="851"/>
      <c r="BP59" s="851"/>
      <c r="BQ59" s="851"/>
      <c r="BR59" s="851"/>
      <c r="BS59" s="851"/>
      <c r="BT59" s="851"/>
      <c r="BU59" s="851"/>
      <c r="BV59" s="851"/>
      <c r="BW59" s="852"/>
      <c r="BX59" s="851"/>
      <c r="BY59" s="851"/>
      <c r="BZ59" s="851"/>
      <c r="CA59" s="851"/>
      <c r="CB59" s="851"/>
      <c r="CC59" s="290"/>
    </row>
    <row r="60" spans="1:81" outlineLevel="1" x14ac:dyDescent="0.55000000000000004">
      <c r="A60" s="315" t="s">
        <v>677</v>
      </c>
      <c r="B60" s="230"/>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f t="shared" ref="AH60:BF60" si="76">AH47-AH61</f>
        <v>12481</v>
      </c>
      <c r="AI60" s="82">
        <f t="shared" si="76"/>
        <v>12432</v>
      </c>
      <c r="AJ60" s="82">
        <f t="shared" si="76"/>
        <v>13973</v>
      </c>
      <c r="AK60" s="82">
        <f t="shared" si="76"/>
        <v>15398</v>
      </c>
      <c r="AL60" s="82">
        <f t="shared" si="76"/>
        <v>16905</v>
      </c>
      <c r="AM60" s="82">
        <f t="shared" si="76"/>
        <v>15729</v>
      </c>
      <c r="AN60" s="82">
        <f t="shared" si="76"/>
        <v>17206</v>
      </c>
      <c r="AO60" s="82">
        <f t="shared" si="76"/>
        <v>18093</v>
      </c>
      <c r="AP60" s="82">
        <f t="shared" si="76"/>
        <v>20760</v>
      </c>
      <c r="AQ60" s="82">
        <f t="shared" si="76"/>
        <v>17087</v>
      </c>
      <c r="AR60" s="82">
        <f t="shared" si="76"/>
        <v>18592</v>
      </c>
      <c r="AS60" s="82">
        <f t="shared" si="76"/>
        <v>16446</v>
      </c>
      <c r="AT60" s="82">
        <f t="shared" si="76"/>
        <v>18010</v>
      </c>
      <c r="AU60" s="82">
        <f t="shared" si="76"/>
        <v>18351</v>
      </c>
      <c r="AV60" s="82">
        <f t="shared" si="76"/>
        <v>19383</v>
      </c>
      <c r="AW60" s="82">
        <f t="shared" si="76"/>
        <v>18541</v>
      </c>
      <c r="AX60" s="82">
        <f t="shared" si="76"/>
        <v>18970</v>
      </c>
      <c r="AY60" s="406">
        <f t="shared" si="76"/>
        <v>20137</v>
      </c>
      <c r="AZ60" s="82">
        <f t="shared" si="76"/>
        <v>25869.613605299859</v>
      </c>
      <c r="BA60" s="82">
        <f t="shared" si="76"/>
        <v>25490.745309226419</v>
      </c>
      <c r="BB60" s="82">
        <f t="shared" si="76"/>
        <v>27576.847656335885</v>
      </c>
      <c r="BC60" s="82">
        <f t="shared" si="76"/>
        <v>21214.085604734857</v>
      </c>
      <c r="BD60" s="82">
        <f t="shared" si="76"/>
        <v>24603.193296436541</v>
      </c>
      <c r="BE60" s="82">
        <f t="shared" si="76"/>
        <v>26453.645699055029</v>
      </c>
      <c r="BF60" s="82">
        <f t="shared" si="76"/>
        <v>31609.437277563236</v>
      </c>
      <c r="BG60" s="82"/>
      <c r="BH60" s="854"/>
      <c r="BI60" s="854"/>
      <c r="BJ60" s="854"/>
      <c r="BK60" s="854"/>
      <c r="BL60" s="854"/>
      <c r="BM60" s="854"/>
      <c r="BN60" s="854"/>
      <c r="BO60" s="854"/>
      <c r="BP60" s="854"/>
      <c r="BQ60" s="854"/>
      <c r="BR60" s="854">
        <f t="shared" ref="BR60:BW60" si="77">BR47-BR61</f>
        <v>41707</v>
      </c>
      <c r="BS60" s="854">
        <f t="shared" si="77"/>
        <v>45532</v>
      </c>
      <c r="BT60" s="854">
        <f t="shared" si="77"/>
        <v>58709</v>
      </c>
      <c r="BU60" s="854">
        <f t="shared" si="77"/>
        <v>71789</v>
      </c>
      <c r="BV60" s="854">
        <f t="shared" si="77"/>
        <v>70135</v>
      </c>
      <c r="BW60" s="855">
        <f t="shared" si="77"/>
        <v>75246</v>
      </c>
      <c r="BX60" s="854">
        <f>SUM(AY60,AZ60,BA60,BB60)</f>
        <v>99074.206570862167</v>
      </c>
      <c r="BY60" s="854">
        <f>SUM(BC60,BD60,BE60,BF60)</f>
        <v>103880.36187778966</v>
      </c>
      <c r="BZ60" s="854">
        <f>BZ47-BZ61</f>
        <v>115324.81713298814</v>
      </c>
      <c r="CA60" s="854">
        <f>CA47-CA61</f>
        <v>111760.3714746456</v>
      </c>
      <c r="CB60" s="854">
        <f>CB47-CB61</f>
        <v>107152.4044828437</v>
      </c>
      <c r="CC60" s="117"/>
    </row>
    <row r="61" spans="1:81" s="703" customFormat="1" outlineLevel="1" x14ac:dyDescent="0.55000000000000004">
      <c r="A61" s="192" t="s">
        <v>548</v>
      </c>
      <c r="B61" s="232"/>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f t="shared" ref="AH61:AY61" si="78">AH93</f>
        <v>14874</v>
      </c>
      <c r="AI61" s="35">
        <f t="shared" si="78"/>
        <v>13205</v>
      </c>
      <c r="AJ61" s="35">
        <f t="shared" si="78"/>
        <v>14799</v>
      </c>
      <c r="AK61" s="35">
        <f t="shared" si="78"/>
        <v>13054</v>
      </c>
      <c r="AL61" s="35">
        <f t="shared" si="78"/>
        <v>15889</v>
      </c>
      <c r="AM61" s="35">
        <f t="shared" si="78"/>
        <v>11484</v>
      </c>
      <c r="AN61" s="35">
        <f t="shared" si="78"/>
        <v>11164</v>
      </c>
      <c r="AO61" s="35">
        <f t="shared" si="78"/>
        <v>9336</v>
      </c>
      <c r="AP61" s="35">
        <f t="shared" si="78"/>
        <v>10678</v>
      </c>
      <c r="AQ61" s="35">
        <f t="shared" si="78"/>
        <v>11219</v>
      </c>
      <c r="AR61" s="35">
        <f t="shared" si="78"/>
        <v>13131</v>
      </c>
      <c r="AS61" s="35">
        <f t="shared" si="78"/>
        <v>17490</v>
      </c>
      <c r="AT61" s="35">
        <f t="shared" si="78"/>
        <v>21030</v>
      </c>
      <c r="AU61" s="35">
        <f t="shared" si="78"/>
        <v>17664</v>
      </c>
      <c r="AV61" s="35">
        <f t="shared" si="78"/>
        <v>19335</v>
      </c>
      <c r="AW61" s="35">
        <f t="shared" si="78"/>
        <v>21778</v>
      </c>
      <c r="AX61" s="35">
        <f t="shared" si="78"/>
        <v>28332</v>
      </c>
      <c r="AY61" s="272">
        <f t="shared" si="78"/>
        <v>21765</v>
      </c>
      <c r="AZ61" s="35">
        <f t="shared" ref="AZ61:BF61" si="79">AZ63*AZ47</f>
        <v>17201.911394700142</v>
      </c>
      <c r="BA61" s="35">
        <f t="shared" si="79"/>
        <v>20040.01769077358</v>
      </c>
      <c r="BB61" s="35">
        <f t="shared" si="79"/>
        <v>27462.352343664119</v>
      </c>
      <c r="BC61" s="35">
        <f t="shared" si="79"/>
        <v>26396.634395265144</v>
      </c>
      <c r="BD61" s="35">
        <f t="shared" si="79"/>
        <v>23112.565703563465</v>
      </c>
      <c r="BE61" s="35">
        <f t="shared" si="79"/>
        <v>24432.681440944973</v>
      </c>
      <c r="BF61" s="35">
        <f t="shared" si="79"/>
        <v>31478.199202436772</v>
      </c>
      <c r="BG61" s="35"/>
      <c r="BH61" s="812"/>
      <c r="BI61" s="812"/>
      <c r="BJ61" s="812"/>
      <c r="BK61" s="812"/>
      <c r="BL61" s="812"/>
      <c r="BM61" s="812"/>
      <c r="BN61" s="812"/>
      <c r="BO61" s="812"/>
      <c r="BP61" s="812"/>
      <c r="BQ61" s="812"/>
      <c r="BR61" s="812">
        <f t="shared" ref="BR61:BW61" si="80">BR93</f>
        <v>28489</v>
      </c>
      <c r="BS61" s="812">
        <f t="shared" si="80"/>
        <v>39294</v>
      </c>
      <c r="BT61" s="812">
        <f t="shared" si="80"/>
        <v>56946</v>
      </c>
      <c r="BU61" s="812">
        <f t="shared" si="80"/>
        <v>42661</v>
      </c>
      <c r="BV61" s="812">
        <f t="shared" si="80"/>
        <v>62871</v>
      </c>
      <c r="BW61" s="814">
        <f t="shared" si="80"/>
        <v>87109</v>
      </c>
      <c r="BX61" s="812">
        <f>BX47-BX60</f>
        <v>86469.281429137845</v>
      </c>
      <c r="BY61" s="812">
        <f>BY47-BY60</f>
        <v>105420.08074221035</v>
      </c>
      <c r="BZ61" s="812">
        <f>BZ63*BZ47</f>
        <v>117503.2733375556</v>
      </c>
      <c r="CA61" s="812">
        <f>CA63*CA47</f>
        <v>133155.35206309118</v>
      </c>
      <c r="CB61" s="812">
        <f>CB63*CB47</f>
        <v>149609.68515167412</v>
      </c>
      <c r="CC61" s="6"/>
    </row>
    <row r="62" spans="1:81" s="704" customFormat="1" outlineLevel="1" x14ac:dyDescent="0.55000000000000004">
      <c r="A62" s="79" t="s">
        <v>679</v>
      </c>
      <c r="B62" s="29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f t="shared" ref="AL62:BF62" si="81">AL61/AH61-1</f>
        <v>6.823988167271744E-2</v>
      </c>
      <c r="AM62" s="54">
        <f t="shared" si="81"/>
        <v>-0.13032942067398712</v>
      </c>
      <c r="AN62" s="54">
        <f t="shared" si="81"/>
        <v>-0.24562470437191697</v>
      </c>
      <c r="AO62" s="54">
        <f t="shared" si="81"/>
        <v>-0.28481691435575307</v>
      </c>
      <c r="AP62" s="54">
        <f t="shared" si="81"/>
        <v>-0.32796274151929006</v>
      </c>
      <c r="AQ62" s="54">
        <f t="shared" si="81"/>
        <v>-2.307558342041105E-2</v>
      </c>
      <c r="AR62" s="54">
        <f t="shared" si="81"/>
        <v>0.17619132927266223</v>
      </c>
      <c r="AS62" s="54">
        <f t="shared" si="81"/>
        <v>0.87339331619537286</v>
      </c>
      <c r="AT62" s="54">
        <f t="shared" si="81"/>
        <v>0.9694699381906724</v>
      </c>
      <c r="AU62" s="54">
        <f t="shared" si="81"/>
        <v>0.57447187806399858</v>
      </c>
      <c r="AV62" s="54">
        <f t="shared" si="81"/>
        <v>0.472469728124286</v>
      </c>
      <c r="AW62" s="54">
        <f t="shared" si="81"/>
        <v>0.24516866781017721</v>
      </c>
      <c r="AX62" s="54">
        <f t="shared" si="81"/>
        <v>0.34721825962910136</v>
      </c>
      <c r="AY62" s="623">
        <f t="shared" si="81"/>
        <v>0.23216711956521729</v>
      </c>
      <c r="AZ62" s="54">
        <f t="shared" si="81"/>
        <v>-0.11032265866562496</v>
      </c>
      <c r="BA62" s="54">
        <f t="shared" si="81"/>
        <v>-7.9804495785950058E-2</v>
      </c>
      <c r="BB62" s="54">
        <f t="shared" si="81"/>
        <v>-3.0694891159673943E-2</v>
      </c>
      <c r="BC62" s="54">
        <f t="shared" si="81"/>
        <v>0.21280194786423823</v>
      </c>
      <c r="BD62" s="54">
        <f t="shared" si="81"/>
        <v>0.34360450843180002</v>
      </c>
      <c r="BE62" s="54">
        <f t="shared" si="81"/>
        <v>0.21919460441363658</v>
      </c>
      <c r="BF62" s="54">
        <f t="shared" si="81"/>
        <v>0.14623098591549288</v>
      </c>
      <c r="BG62" s="54"/>
      <c r="BH62" s="815"/>
      <c r="BI62" s="815"/>
      <c r="BJ62" s="815"/>
      <c r="BK62" s="815"/>
      <c r="BL62" s="815"/>
      <c r="BM62" s="815"/>
      <c r="BN62" s="815"/>
      <c r="BO62" s="815"/>
      <c r="BP62" s="815"/>
      <c r="BQ62" s="815"/>
      <c r="BR62" s="815"/>
      <c r="BS62" s="815">
        <f t="shared" ref="BS62:CB62" si="82">BS61/BR61-1</f>
        <v>0.37926919161781747</v>
      </c>
      <c r="BT62" s="815">
        <f t="shared" si="82"/>
        <v>0.44922888990685594</v>
      </c>
      <c r="BU62" s="815">
        <f t="shared" si="82"/>
        <v>-0.25085168405155767</v>
      </c>
      <c r="BV62" s="815">
        <f t="shared" si="82"/>
        <v>0.47373479290218223</v>
      </c>
      <c r="BW62" s="816">
        <f t="shared" si="82"/>
        <v>0.38551955591608222</v>
      </c>
      <c r="BX62" s="815">
        <f t="shared" si="82"/>
        <v>-7.3438860607073497E-3</v>
      </c>
      <c r="BY62" s="815">
        <f t="shared" si="82"/>
        <v>0.21916221575870054</v>
      </c>
      <c r="BZ62" s="815">
        <f t="shared" si="82"/>
        <v>0.11461945874328205</v>
      </c>
      <c r="CA62" s="815">
        <f t="shared" si="82"/>
        <v>0.13320546977930836</v>
      </c>
      <c r="CB62" s="815">
        <f t="shared" si="82"/>
        <v>0.12357245002654205</v>
      </c>
      <c r="CC62" s="83"/>
    </row>
    <row r="63" spans="1:81" s="709" customFormat="1" outlineLevel="1" x14ac:dyDescent="0.55000000000000004">
      <c r="A63" s="262" t="s">
        <v>680</v>
      </c>
      <c r="B63" s="237"/>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f t="shared" ref="AH63:AY63" si="83">AH61/AH47</f>
        <v>0.5437397185158106</v>
      </c>
      <c r="AI63" s="55">
        <f t="shared" si="83"/>
        <v>0.51507586691110507</v>
      </c>
      <c r="AJ63" s="55">
        <f t="shared" si="83"/>
        <v>0.51435423328235785</v>
      </c>
      <c r="AK63" s="55">
        <f t="shared" si="83"/>
        <v>0.45880781667369602</v>
      </c>
      <c r="AL63" s="55">
        <f t="shared" si="83"/>
        <v>0.48450936146856133</v>
      </c>
      <c r="AM63" s="55">
        <f t="shared" si="83"/>
        <v>0.42200418917429172</v>
      </c>
      <c r="AN63" s="55">
        <f t="shared" si="83"/>
        <v>0.39351427564328517</v>
      </c>
      <c r="AO63" s="55">
        <f t="shared" si="83"/>
        <v>0.34036968172372306</v>
      </c>
      <c r="AP63" s="55">
        <f t="shared" si="83"/>
        <v>0.33965264965964759</v>
      </c>
      <c r="AQ63" s="55">
        <f t="shared" si="83"/>
        <v>0.39634706422666571</v>
      </c>
      <c r="AR63" s="55">
        <f t="shared" si="83"/>
        <v>0.41392680389622671</v>
      </c>
      <c r="AS63" s="55">
        <f t="shared" si="83"/>
        <v>0.51538189533239043</v>
      </c>
      <c r="AT63" s="55">
        <f t="shared" si="83"/>
        <v>0.53867827868852458</v>
      </c>
      <c r="AU63" s="55">
        <f t="shared" si="83"/>
        <v>0.49046230737192836</v>
      </c>
      <c r="AV63" s="55">
        <f t="shared" si="83"/>
        <v>0.49938013327134667</v>
      </c>
      <c r="AW63" s="55">
        <f t="shared" si="83"/>
        <v>0.54014236464198018</v>
      </c>
      <c r="AX63" s="55">
        <f t="shared" si="83"/>
        <v>0.59895987484672952</v>
      </c>
      <c r="AY63" s="275">
        <f t="shared" si="83"/>
        <v>0.51942628036847882</v>
      </c>
      <c r="AZ63" s="55">
        <f t="shared" ref="AZ63:BF63" si="84">AV63+(AZ64/10000)</f>
        <v>0.39938013327134669</v>
      </c>
      <c r="BA63" s="55">
        <f t="shared" si="84"/>
        <v>0.4401423646419802</v>
      </c>
      <c r="BB63" s="55">
        <f t="shared" si="84"/>
        <v>0.49895987484672955</v>
      </c>
      <c r="BC63" s="55">
        <f t="shared" si="84"/>
        <v>0.55442628036847885</v>
      </c>
      <c r="BD63" s="55">
        <f t="shared" si="84"/>
        <v>0.48438013327134671</v>
      </c>
      <c r="BE63" s="55">
        <f t="shared" si="84"/>
        <v>0.48014236464198018</v>
      </c>
      <c r="BF63" s="55">
        <f t="shared" si="84"/>
        <v>0.49895987484672955</v>
      </c>
      <c r="BG63" s="55"/>
      <c r="BH63" s="156"/>
      <c r="BI63" s="156"/>
      <c r="BJ63" s="156"/>
      <c r="BK63" s="156"/>
      <c r="BL63" s="156"/>
      <c r="BM63" s="156"/>
      <c r="BN63" s="156"/>
      <c r="BO63" s="156"/>
      <c r="BP63" s="156"/>
      <c r="BQ63" s="156"/>
      <c r="BR63" s="156">
        <f t="shared" ref="BR63:BY63" si="85">BR61/BR47</f>
        <v>0.40584933614450963</v>
      </c>
      <c r="BS63" s="156">
        <f t="shared" si="85"/>
        <v>0.46323061325536979</v>
      </c>
      <c r="BT63" s="156">
        <f t="shared" si="85"/>
        <v>0.49237819376594183</v>
      </c>
      <c r="BU63" s="156">
        <f t="shared" si="85"/>
        <v>0.37274792485801661</v>
      </c>
      <c r="BV63" s="156">
        <f t="shared" si="85"/>
        <v>0.47269296121979459</v>
      </c>
      <c r="BW63" s="856">
        <f t="shared" si="85"/>
        <v>0.53653413815404516</v>
      </c>
      <c r="BX63" s="156">
        <f t="shared" si="85"/>
        <v>0.46603242377947451</v>
      </c>
      <c r="BY63" s="156">
        <f t="shared" si="85"/>
        <v>0.50367825037813263</v>
      </c>
      <c r="BZ63" s="156">
        <f>BY63+(BZ64/10000)</f>
        <v>0.50467825037813263</v>
      </c>
      <c r="CA63" s="156">
        <f>BZ63+(CA64/10000)</f>
        <v>0.54367825037813267</v>
      </c>
      <c r="CB63" s="156">
        <f>CA63+(CB64/10000)</f>
        <v>0.5826782503781327</v>
      </c>
      <c r="CC63" s="24"/>
    </row>
    <row r="64" spans="1:81" s="706" customFormat="1" outlineLevel="1" x14ac:dyDescent="0.55000000000000004">
      <c r="A64" s="86" t="s">
        <v>681</v>
      </c>
      <c r="B64" s="229"/>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f t="shared" ref="AL64:AY64" si="86">(AL63-AH63)*10000</f>
        <v>-592.30357047249277</v>
      </c>
      <c r="AM64" s="37">
        <f t="shared" si="86"/>
        <v>-930.71677736813353</v>
      </c>
      <c r="AN64" s="37">
        <f t="shared" si="86"/>
        <v>-1208.3995763907269</v>
      </c>
      <c r="AO64" s="37">
        <f t="shared" si="86"/>
        <v>-1184.3813494997296</v>
      </c>
      <c r="AP64" s="37">
        <f t="shared" si="86"/>
        <v>-1448.5671180891375</v>
      </c>
      <c r="AQ64" s="37">
        <f t="shared" si="86"/>
        <v>-256.57124947626011</v>
      </c>
      <c r="AR64" s="37">
        <f t="shared" si="86"/>
        <v>204.12528252941541</v>
      </c>
      <c r="AS64" s="37">
        <f t="shared" si="86"/>
        <v>1750.1221360866737</v>
      </c>
      <c r="AT64" s="37">
        <f t="shared" si="86"/>
        <v>1990.2562902887698</v>
      </c>
      <c r="AU64" s="37">
        <f t="shared" si="86"/>
        <v>941.1524314526265</v>
      </c>
      <c r="AV64" s="37">
        <f t="shared" si="86"/>
        <v>854.53329375119961</v>
      </c>
      <c r="AW64" s="37">
        <f t="shared" si="86"/>
        <v>247.60469309589749</v>
      </c>
      <c r="AX64" s="37">
        <f t="shared" si="86"/>
        <v>602.81596158204945</v>
      </c>
      <c r="AY64" s="273">
        <f t="shared" si="86"/>
        <v>289.63972996550456</v>
      </c>
      <c r="AZ64" s="759">
        <v>-1000</v>
      </c>
      <c r="BA64" s="759">
        <v>-1000</v>
      </c>
      <c r="BB64" s="759">
        <v>-1000</v>
      </c>
      <c r="BC64" s="759">
        <v>350</v>
      </c>
      <c r="BD64" s="759">
        <v>850</v>
      </c>
      <c r="BE64" s="759">
        <v>400</v>
      </c>
      <c r="BF64" s="759">
        <v>0</v>
      </c>
      <c r="BG64" s="759"/>
      <c r="BH64" s="158"/>
      <c r="BI64" s="158"/>
      <c r="BJ64" s="158"/>
      <c r="BK64" s="158"/>
      <c r="BL64" s="158"/>
      <c r="BM64" s="158"/>
      <c r="BN64" s="158"/>
      <c r="BO64" s="158"/>
      <c r="BP64" s="158"/>
      <c r="BQ64" s="158"/>
      <c r="BR64" s="158"/>
      <c r="BS64" s="158">
        <f t="shared" ref="BS64:BY64" si="87">(BS63-BR63)*10000</f>
        <v>573.81277110860162</v>
      </c>
      <c r="BT64" s="158">
        <f t="shared" si="87"/>
        <v>291.47580510572033</v>
      </c>
      <c r="BU64" s="158">
        <f t="shared" si="87"/>
        <v>-1196.3026890792521</v>
      </c>
      <c r="BV64" s="158">
        <f t="shared" si="87"/>
        <v>999.45036361777989</v>
      </c>
      <c r="BW64" s="846">
        <f t="shared" si="87"/>
        <v>638.41176934250564</v>
      </c>
      <c r="BX64" s="158">
        <f t="shared" si="87"/>
        <v>-705.01714374570645</v>
      </c>
      <c r="BY64" s="158">
        <f t="shared" si="87"/>
        <v>376.45826598658118</v>
      </c>
      <c r="BZ64" s="857">
        <v>10</v>
      </c>
      <c r="CA64" s="857">
        <v>390</v>
      </c>
      <c r="CB64" s="857">
        <v>390</v>
      </c>
      <c r="CC64" s="117"/>
    </row>
    <row r="65" spans="1:81" x14ac:dyDescent="0.55000000000000004">
      <c r="A65" s="86"/>
      <c r="B65" s="229"/>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273"/>
      <c r="AZ65" s="37"/>
      <c r="BA65" s="37"/>
      <c r="BB65" s="37"/>
      <c r="BC65" s="37"/>
      <c r="BD65" s="37"/>
      <c r="BE65" s="37"/>
      <c r="BF65" s="37"/>
      <c r="BG65" s="37"/>
      <c r="BH65" s="158"/>
      <c r="BI65" s="158"/>
      <c r="BJ65" s="158"/>
      <c r="BK65" s="158"/>
      <c r="BL65" s="158"/>
      <c r="BM65" s="158"/>
      <c r="BN65" s="158"/>
      <c r="BO65" s="158"/>
      <c r="BP65" s="158"/>
      <c r="BQ65" s="158"/>
      <c r="BR65" s="158"/>
      <c r="BS65" s="158"/>
      <c r="BT65" s="158"/>
      <c r="BU65" s="158"/>
      <c r="BV65" s="158"/>
      <c r="BW65" s="846"/>
      <c r="BX65" s="158"/>
      <c r="BY65" s="158"/>
      <c r="BZ65" s="158"/>
      <c r="CA65" s="158"/>
      <c r="CB65" s="158"/>
      <c r="CC65" s="117"/>
    </row>
    <row r="66" spans="1:81" x14ac:dyDescent="0.55000000000000004">
      <c r="A66" s="598" t="s">
        <v>676</v>
      </c>
      <c r="B66" s="598"/>
      <c r="C66" s="598"/>
      <c r="D66" s="598"/>
      <c r="E66" s="598"/>
      <c r="F66" s="598"/>
      <c r="G66" s="598"/>
      <c r="H66" s="598"/>
      <c r="I66" s="598"/>
      <c r="J66" s="598"/>
      <c r="K66" s="598"/>
      <c r="L66" s="598"/>
      <c r="M66" s="598"/>
      <c r="N66" s="598"/>
      <c r="O66" s="598"/>
      <c r="P66" s="598"/>
      <c r="Q66" s="598"/>
      <c r="R66" s="598"/>
      <c r="S66" s="598"/>
      <c r="T66" s="598"/>
      <c r="U66" s="598"/>
      <c r="V66" s="598"/>
      <c r="W66" s="598"/>
      <c r="X66" s="598"/>
      <c r="Y66" s="598"/>
      <c r="Z66" s="598"/>
      <c r="AA66" s="598"/>
      <c r="AB66" s="598"/>
      <c r="AC66" s="598"/>
      <c r="AD66" s="598"/>
      <c r="AE66" s="598"/>
      <c r="AF66" s="598"/>
      <c r="AG66" s="598"/>
      <c r="AH66" s="598"/>
      <c r="AI66" s="598"/>
      <c r="AJ66" s="598"/>
      <c r="AK66" s="598"/>
      <c r="AL66" s="598"/>
      <c r="AM66" s="598"/>
      <c r="AN66" s="598"/>
      <c r="AO66" s="598"/>
      <c r="AP66" s="598"/>
      <c r="AQ66" s="598"/>
      <c r="AR66" s="598"/>
      <c r="AS66" s="598"/>
      <c r="AT66" s="598"/>
      <c r="AU66" s="598"/>
      <c r="AV66" s="598"/>
      <c r="AW66" s="598"/>
      <c r="AX66" s="598"/>
      <c r="AY66" s="599"/>
      <c r="AZ66" s="598"/>
      <c r="BA66" s="598"/>
      <c r="BB66" s="598"/>
      <c r="BC66" s="598"/>
      <c r="BD66" s="598"/>
      <c r="BE66" s="598"/>
      <c r="BF66" s="598"/>
      <c r="BG66" s="598"/>
      <c r="BH66" s="598"/>
      <c r="BI66" s="598"/>
      <c r="BJ66" s="598"/>
      <c r="BK66" s="598"/>
      <c r="BL66" s="598"/>
      <c r="BM66" s="598"/>
      <c r="BN66" s="598"/>
      <c r="BO66" s="598"/>
      <c r="BP66" s="598"/>
      <c r="BQ66" s="598"/>
      <c r="BR66" s="598"/>
      <c r="BS66" s="598"/>
      <c r="BT66" s="598"/>
      <c r="BU66" s="598"/>
      <c r="BV66" s="598"/>
      <c r="BW66" s="599"/>
      <c r="BX66" s="598"/>
      <c r="BY66" s="598"/>
      <c r="BZ66" s="598"/>
      <c r="CA66" s="598"/>
      <c r="CB66" s="598"/>
      <c r="CC66" s="217"/>
    </row>
    <row r="67" spans="1:81" s="703" customFormat="1" outlineLevel="1" x14ac:dyDescent="0.55000000000000004">
      <c r="A67" s="192" t="s">
        <v>540</v>
      </c>
      <c r="B67" s="232"/>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f t="shared" ref="AH67:AY67" si="88">AH84</f>
        <v>717</v>
      </c>
      <c r="AI67" s="35">
        <f t="shared" si="88"/>
        <v>534</v>
      </c>
      <c r="AJ67" s="35">
        <f t="shared" si="88"/>
        <v>305</v>
      </c>
      <c r="AK67" s="35">
        <f t="shared" si="88"/>
        <v>558</v>
      </c>
      <c r="AL67" s="35">
        <f t="shared" si="88"/>
        <v>877</v>
      </c>
      <c r="AM67" s="35">
        <f t="shared" si="88"/>
        <v>695</v>
      </c>
      <c r="AN67" s="35">
        <f t="shared" si="88"/>
        <v>452</v>
      </c>
      <c r="AO67" s="35">
        <f t="shared" si="88"/>
        <v>285</v>
      </c>
      <c r="AP67" s="35">
        <f t="shared" si="88"/>
        <v>727</v>
      </c>
      <c r="AQ67" s="35">
        <f t="shared" si="88"/>
        <v>339</v>
      </c>
      <c r="AR67" s="35">
        <f t="shared" si="88"/>
        <v>276</v>
      </c>
      <c r="AS67" s="35">
        <f t="shared" si="88"/>
        <v>210</v>
      </c>
      <c r="AT67" s="35">
        <f t="shared" si="88"/>
        <v>1071</v>
      </c>
      <c r="AU67" s="35">
        <f t="shared" si="88"/>
        <v>440</v>
      </c>
      <c r="AV67" s="35">
        <f t="shared" si="88"/>
        <v>353</v>
      </c>
      <c r="AW67" s="35">
        <f t="shared" si="88"/>
        <v>270</v>
      </c>
      <c r="AX67" s="35">
        <f t="shared" si="88"/>
        <v>1083</v>
      </c>
      <c r="AY67" s="272">
        <f t="shared" si="88"/>
        <v>412</v>
      </c>
      <c r="AZ67" s="35">
        <f t="shared" ref="AZ67:BF67" si="89">AV67*(1+AZ69)</f>
        <v>405.95</v>
      </c>
      <c r="BA67" s="35">
        <f t="shared" si="89"/>
        <v>324</v>
      </c>
      <c r="BB67" s="35">
        <f t="shared" si="89"/>
        <v>1245.4499999999998</v>
      </c>
      <c r="BC67" s="35">
        <f t="shared" si="89"/>
        <v>288.39999999999998</v>
      </c>
      <c r="BD67" s="35">
        <f t="shared" si="89"/>
        <v>466.84249999999997</v>
      </c>
      <c r="BE67" s="35">
        <f t="shared" si="89"/>
        <v>388.8</v>
      </c>
      <c r="BF67" s="35">
        <f t="shared" si="89"/>
        <v>1432.2674999999997</v>
      </c>
      <c r="BG67" s="35"/>
      <c r="BH67" s="812"/>
      <c r="BI67" s="812"/>
      <c r="BJ67" s="812"/>
      <c r="BK67" s="812"/>
      <c r="BL67" s="812"/>
      <c r="BM67" s="812"/>
      <c r="BN67" s="812"/>
      <c r="BO67" s="812"/>
      <c r="BP67" s="812"/>
      <c r="BQ67" s="812"/>
      <c r="BR67" s="812">
        <f t="shared" ref="BR67:BW67" si="90">BR84</f>
        <v>501</v>
      </c>
      <c r="BS67" s="812">
        <f t="shared" si="90"/>
        <v>1139</v>
      </c>
      <c r="BT67" s="812">
        <f t="shared" si="90"/>
        <v>2274</v>
      </c>
      <c r="BU67" s="812">
        <f t="shared" si="90"/>
        <v>2159</v>
      </c>
      <c r="BV67" s="812">
        <f t="shared" si="90"/>
        <v>1896</v>
      </c>
      <c r="BW67" s="814">
        <f t="shared" si="90"/>
        <v>2146</v>
      </c>
      <c r="BX67" s="812">
        <f>SUM(AY67,AZ67,BA67,BB67)</f>
        <v>2387.3999999999996</v>
      </c>
      <c r="BY67" s="812">
        <f>SUM(BC67,BD67,BE67,BF67)</f>
        <v>2576.3099999999995</v>
      </c>
      <c r="BZ67" s="812">
        <f>BY67*(1+BZ69)</f>
        <v>2962.7564999999991</v>
      </c>
      <c r="CA67" s="812">
        <f>BZ67*(1+CA69)</f>
        <v>3407.1699749999984</v>
      </c>
      <c r="CB67" s="812">
        <f>CA67*(1+CB69)</f>
        <v>3918.245471249998</v>
      </c>
      <c r="CC67" s="6"/>
    </row>
    <row r="68" spans="1:81" s="704" customFormat="1" outlineLevel="1" x14ac:dyDescent="0.55000000000000004">
      <c r="A68" s="79" t="s">
        <v>544</v>
      </c>
      <c r="B68" s="298"/>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f t="shared" ref="AI68:BF68" si="91">AI67/AH67-1</f>
        <v>-0.25523012552301261</v>
      </c>
      <c r="AJ68" s="54">
        <f t="shared" si="91"/>
        <v>-0.42883895131086147</v>
      </c>
      <c r="AK68" s="54">
        <f t="shared" si="91"/>
        <v>0.82950819672131137</v>
      </c>
      <c r="AL68" s="54">
        <f t="shared" si="91"/>
        <v>0.57168458781362008</v>
      </c>
      <c r="AM68" s="54">
        <f t="shared" si="91"/>
        <v>-0.20752565564424175</v>
      </c>
      <c r="AN68" s="54">
        <f t="shared" si="91"/>
        <v>-0.34964028776978417</v>
      </c>
      <c r="AO68" s="54">
        <f t="shared" si="91"/>
        <v>-0.36946902654867253</v>
      </c>
      <c r="AP68" s="54">
        <f t="shared" si="91"/>
        <v>1.5508771929824561</v>
      </c>
      <c r="AQ68" s="54">
        <f t="shared" si="91"/>
        <v>-0.53370013755158185</v>
      </c>
      <c r="AR68" s="54">
        <f t="shared" si="91"/>
        <v>-0.18584070796460173</v>
      </c>
      <c r="AS68" s="54">
        <f t="shared" si="91"/>
        <v>-0.23913043478260865</v>
      </c>
      <c r="AT68" s="54">
        <f t="shared" si="91"/>
        <v>4.0999999999999996</v>
      </c>
      <c r="AU68" s="54">
        <f t="shared" si="91"/>
        <v>-0.58916900093370683</v>
      </c>
      <c r="AV68" s="54">
        <f t="shared" si="91"/>
        <v>-0.19772727272727275</v>
      </c>
      <c r="AW68" s="54">
        <f t="shared" si="91"/>
        <v>-0.23512747875354112</v>
      </c>
      <c r="AX68" s="54">
        <f t="shared" si="91"/>
        <v>3.0111111111111111</v>
      </c>
      <c r="AY68" s="623">
        <f t="shared" si="91"/>
        <v>-0.61957525392428447</v>
      </c>
      <c r="AZ68" s="54">
        <f t="shared" si="91"/>
        <v>-1.468446601941753E-2</v>
      </c>
      <c r="BA68" s="54">
        <f t="shared" si="91"/>
        <v>-0.20187215174282547</v>
      </c>
      <c r="BB68" s="54">
        <f t="shared" si="91"/>
        <v>2.8439814814814808</v>
      </c>
      <c r="BC68" s="54">
        <f t="shared" si="91"/>
        <v>-0.76843711108434698</v>
      </c>
      <c r="BD68" s="54">
        <f t="shared" si="91"/>
        <v>0.61873266296809981</v>
      </c>
      <c r="BE68" s="54">
        <f t="shared" si="91"/>
        <v>-0.16717094094903517</v>
      </c>
      <c r="BF68" s="54">
        <f t="shared" si="91"/>
        <v>2.6838155864197524</v>
      </c>
      <c r="BG68" s="54"/>
      <c r="BH68" s="815"/>
      <c r="BI68" s="815"/>
      <c r="BJ68" s="815"/>
      <c r="BK68" s="815"/>
      <c r="BL68" s="815"/>
      <c r="BM68" s="815"/>
      <c r="BN68" s="815"/>
      <c r="BO68" s="815"/>
      <c r="BP68" s="815"/>
      <c r="BQ68" s="815"/>
      <c r="BR68" s="815"/>
      <c r="BS68" s="815"/>
      <c r="BT68" s="815"/>
      <c r="BU68" s="815"/>
      <c r="BV68" s="815"/>
      <c r="BW68" s="816"/>
      <c r="BX68" s="815"/>
      <c r="BY68" s="815"/>
      <c r="BZ68" s="815"/>
      <c r="CA68" s="815"/>
      <c r="CB68" s="815"/>
      <c r="CC68" s="83"/>
    </row>
    <row r="69" spans="1:81" s="704" customFormat="1" outlineLevel="1" x14ac:dyDescent="0.55000000000000004">
      <c r="A69" s="79" t="s">
        <v>543</v>
      </c>
      <c r="B69" s="298"/>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f t="shared" ref="AL69:AY69" si="92">AL67/AH67-1</f>
        <v>0.22315202231520215</v>
      </c>
      <c r="AM69" s="54">
        <f t="shared" si="92"/>
        <v>0.30149812734082393</v>
      </c>
      <c r="AN69" s="54">
        <f t="shared" si="92"/>
        <v>0.4819672131147541</v>
      </c>
      <c r="AO69" s="54">
        <f t="shared" si="92"/>
        <v>-0.489247311827957</v>
      </c>
      <c r="AP69" s="54">
        <f t="shared" si="92"/>
        <v>-0.17103762827822122</v>
      </c>
      <c r="AQ69" s="54">
        <f t="shared" si="92"/>
        <v>-0.51223021582733819</v>
      </c>
      <c r="AR69" s="54">
        <f t="shared" si="92"/>
        <v>-0.38938053097345138</v>
      </c>
      <c r="AS69" s="54">
        <f t="shared" si="92"/>
        <v>-0.26315789473684215</v>
      </c>
      <c r="AT69" s="54">
        <f t="shared" si="92"/>
        <v>0.47317744154057761</v>
      </c>
      <c r="AU69" s="54">
        <f t="shared" si="92"/>
        <v>0.29793510324483785</v>
      </c>
      <c r="AV69" s="54">
        <f t="shared" si="92"/>
        <v>0.27898550724637672</v>
      </c>
      <c r="AW69" s="54">
        <f t="shared" si="92"/>
        <v>0.28571428571428581</v>
      </c>
      <c r="AX69" s="54">
        <f t="shared" si="92"/>
        <v>1.1204481792717047E-2</v>
      </c>
      <c r="AY69" s="623">
        <f t="shared" si="92"/>
        <v>-6.3636363636363602E-2</v>
      </c>
      <c r="AZ69" s="760">
        <v>0.15</v>
      </c>
      <c r="BA69" s="760">
        <v>0.2</v>
      </c>
      <c r="BB69" s="760">
        <v>0.15</v>
      </c>
      <c r="BC69" s="760">
        <v>-0.3</v>
      </c>
      <c r="BD69" s="760">
        <v>0.15</v>
      </c>
      <c r="BE69" s="760">
        <v>0.2</v>
      </c>
      <c r="BF69" s="760">
        <v>0.15</v>
      </c>
      <c r="BG69" s="760"/>
      <c r="BH69" s="815"/>
      <c r="BI69" s="815"/>
      <c r="BJ69" s="815"/>
      <c r="BK69" s="815"/>
      <c r="BL69" s="815"/>
      <c r="BM69" s="815"/>
      <c r="BN69" s="815"/>
      <c r="BO69" s="815"/>
      <c r="BP69" s="815"/>
      <c r="BQ69" s="815"/>
      <c r="BR69" s="815"/>
      <c r="BS69" s="815">
        <f t="shared" ref="BS69:BY69" si="93">BS67/BR67-1</f>
        <v>1.2734530938123751</v>
      </c>
      <c r="BT69" s="815">
        <f t="shared" si="93"/>
        <v>0.99648814749780512</v>
      </c>
      <c r="BU69" s="815">
        <f t="shared" si="93"/>
        <v>-5.0571679859278795E-2</v>
      </c>
      <c r="BV69" s="815">
        <f t="shared" si="93"/>
        <v>-0.12181565539601669</v>
      </c>
      <c r="BW69" s="816">
        <f t="shared" si="93"/>
        <v>0.1318565400843883</v>
      </c>
      <c r="BX69" s="815">
        <f t="shared" si="93"/>
        <v>0.11248835041938476</v>
      </c>
      <c r="BY69" s="815">
        <f t="shared" si="93"/>
        <v>7.9127921588338701E-2</v>
      </c>
      <c r="BZ69" s="858">
        <v>0.15</v>
      </c>
      <c r="CA69" s="858">
        <v>0.15</v>
      </c>
      <c r="CB69" s="858">
        <v>0.15</v>
      </c>
      <c r="CC69" s="83"/>
    </row>
    <row r="70" spans="1:81" outlineLevel="1" x14ac:dyDescent="0.55000000000000004">
      <c r="A70" s="86"/>
      <c r="B70" s="229"/>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273"/>
      <c r="AZ70" s="37"/>
      <c r="BA70" s="37"/>
      <c r="BB70" s="37"/>
      <c r="BC70" s="37"/>
      <c r="BD70" s="37"/>
      <c r="BE70" s="37"/>
      <c r="BF70" s="37"/>
      <c r="BG70" s="37"/>
      <c r="BH70" s="158"/>
      <c r="BI70" s="158"/>
      <c r="BJ70" s="158"/>
      <c r="BK70" s="158"/>
      <c r="BL70" s="158"/>
      <c r="BM70" s="158"/>
      <c r="BN70" s="158"/>
      <c r="BO70" s="158"/>
      <c r="BP70" s="158"/>
      <c r="BQ70" s="158"/>
      <c r="BR70" s="158"/>
      <c r="BS70" s="158"/>
      <c r="BT70" s="158"/>
      <c r="BU70" s="158"/>
      <c r="BV70" s="158"/>
      <c r="BW70" s="846"/>
      <c r="BX70" s="158"/>
      <c r="BY70" s="158"/>
      <c r="BZ70" s="158"/>
      <c r="CA70" s="158"/>
      <c r="CB70" s="158"/>
      <c r="CC70" s="117"/>
    </row>
    <row r="71" spans="1:81" outlineLevel="1" x14ac:dyDescent="0.55000000000000004">
      <c r="A71" s="315" t="s">
        <v>678</v>
      </c>
      <c r="B71" s="230"/>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f t="shared" ref="AH71:BF71" si="94">AH67-AH72</f>
        <v>2816</v>
      </c>
      <c r="AI71" s="82">
        <f t="shared" si="94"/>
        <v>2361</v>
      </c>
      <c r="AJ71" s="82">
        <f t="shared" si="94"/>
        <v>2737</v>
      </c>
      <c r="AK71" s="82">
        <f t="shared" si="94"/>
        <v>3189</v>
      </c>
      <c r="AL71" s="82">
        <f t="shared" si="94"/>
        <v>4181</v>
      </c>
      <c r="AM71" s="82">
        <f t="shared" si="94"/>
        <v>3655</v>
      </c>
      <c r="AN71" s="82">
        <f t="shared" si="94"/>
        <v>3258</v>
      </c>
      <c r="AO71" s="82">
        <f t="shared" si="94"/>
        <v>3957</v>
      </c>
      <c r="AP71" s="82">
        <f t="shared" si="94"/>
        <v>5006</v>
      </c>
      <c r="AQ71" s="82">
        <f t="shared" si="94"/>
        <v>4331</v>
      </c>
      <c r="AR71" s="82">
        <f t="shared" si="94"/>
        <v>4015</v>
      </c>
      <c r="AS71" s="82">
        <f t="shared" si="94"/>
        <v>3952</v>
      </c>
      <c r="AT71" s="82">
        <f t="shared" si="94"/>
        <v>5717</v>
      </c>
      <c r="AU71" s="82">
        <f t="shared" si="94"/>
        <v>4286</v>
      </c>
      <c r="AV71" s="82">
        <f t="shared" si="94"/>
        <v>4841</v>
      </c>
      <c r="AW71" s="82">
        <f t="shared" si="94"/>
        <v>4698</v>
      </c>
      <c r="AX71" s="82">
        <f t="shared" si="94"/>
        <v>6050</v>
      </c>
      <c r="AY71" s="406">
        <f t="shared" si="94"/>
        <v>4622</v>
      </c>
      <c r="AZ71" s="82">
        <f t="shared" si="94"/>
        <v>2435.6999999999998</v>
      </c>
      <c r="BA71" s="82">
        <f t="shared" si="94"/>
        <v>1944</v>
      </c>
      <c r="BB71" s="82">
        <f t="shared" si="94"/>
        <v>7472.6999999999989</v>
      </c>
      <c r="BC71" s="82">
        <f t="shared" si="94"/>
        <v>1442</v>
      </c>
      <c r="BD71" s="82">
        <f t="shared" si="94"/>
        <v>1867.37</v>
      </c>
      <c r="BE71" s="82">
        <f t="shared" si="94"/>
        <v>1944</v>
      </c>
      <c r="BF71" s="82">
        <f t="shared" si="94"/>
        <v>5729.0699999999988</v>
      </c>
      <c r="BG71" s="82"/>
      <c r="BH71" s="854"/>
      <c r="BI71" s="854"/>
      <c r="BJ71" s="854"/>
      <c r="BK71" s="854"/>
      <c r="BL71" s="854"/>
      <c r="BM71" s="854"/>
      <c r="BN71" s="854"/>
      <c r="BO71" s="854"/>
      <c r="BP71" s="854"/>
      <c r="BQ71" s="854"/>
      <c r="BR71" s="854">
        <f t="shared" ref="BR71:BW71" si="95">BR67-BR72</f>
        <v>5004</v>
      </c>
      <c r="BS71" s="854">
        <f t="shared" si="95"/>
        <v>7762</v>
      </c>
      <c r="BT71" s="854">
        <f t="shared" si="95"/>
        <v>12467</v>
      </c>
      <c r="BU71" s="854">
        <f t="shared" si="95"/>
        <v>15876</v>
      </c>
      <c r="BV71" s="854">
        <f t="shared" si="95"/>
        <v>18016</v>
      </c>
      <c r="BW71" s="855">
        <f t="shared" si="95"/>
        <v>19875</v>
      </c>
      <c r="BX71" s="854">
        <f>SUM(AY71,AZ71,BA71,BB71)</f>
        <v>16474.400000000001</v>
      </c>
      <c r="BY71" s="854">
        <f>SUM(BC71,BD71,BE71,BF71)</f>
        <v>10982.439999999999</v>
      </c>
      <c r="BZ71" s="854">
        <f>BZ67-BZ72</f>
        <v>3555.3077999999987</v>
      </c>
      <c r="CA71" s="854">
        <f>CA67-CA72</f>
        <v>4088.6039699999983</v>
      </c>
      <c r="CB71" s="854">
        <f>CB67-CB72</f>
        <v>4701.894565499998</v>
      </c>
      <c r="CC71" s="117"/>
    </row>
    <row r="72" spans="1:81" s="703" customFormat="1" outlineLevel="1" x14ac:dyDescent="0.55000000000000004">
      <c r="A72" s="192" t="s">
        <v>549</v>
      </c>
      <c r="B72" s="232"/>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f t="shared" ref="AH72:AY72" si="96">AH94</f>
        <v>-2099</v>
      </c>
      <c r="AI72" s="35">
        <f t="shared" si="96"/>
        <v>-1827</v>
      </c>
      <c r="AJ72" s="35">
        <f t="shared" si="96"/>
        <v>-2432</v>
      </c>
      <c r="AK72" s="35">
        <f t="shared" si="96"/>
        <v>-2631</v>
      </c>
      <c r="AL72" s="35">
        <f t="shared" si="96"/>
        <v>-3304</v>
      </c>
      <c r="AM72" s="35">
        <f t="shared" si="96"/>
        <v>-2960</v>
      </c>
      <c r="AN72" s="35">
        <f t="shared" si="96"/>
        <v>-2806</v>
      </c>
      <c r="AO72" s="35">
        <f t="shared" si="96"/>
        <v>-3672</v>
      </c>
      <c r="AP72" s="35">
        <f t="shared" si="96"/>
        <v>-4279</v>
      </c>
      <c r="AQ72" s="35">
        <f t="shared" si="96"/>
        <v>-3992</v>
      </c>
      <c r="AR72" s="35">
        <f t="shared" si="96"/>
        <v>-3739</v>
      </c>
      <c r="AS72" s="35">
        <f t="shared" si="96"/>
        <v>-3742</v>
      </c>
      <c r="AT72" s="35">
        <f t="shared" si="96"/>
        <v>-4646</v>
      </c>
      <c r="AU72" s="35">
        <f t="shared" si="96"/>
        <v>-3846</v>
      </c>
      <c r="AV72" s="35">
        <f t="shared" si="96"/>
        <v>-4488</v>
      </c>
      <c r="AW72" s="35">
        <f t="shared" si="96"/>
        <v>-4428</v>
      </c>
      <c r="AX72" s="35">
        <f t="shared" si="96"/>
        <v>-4967</v>
      </c>
      <c r="AY72" s="272">
        <f t="shared" si="96"/>
        <v>-4210</v>
      </c>
      <c r="AZ72" s="35">
        <f t="shared" ref="AZ72:BF72" si="97">AZ74*AZ67</f>
        <v>-2029.75</v>
      </c>
      <c r="BA72" s="35">
        <f t="shared" si="97"/>
        <v>-1620</v>
      </c>
      <c r="BB72" s="35">
        <f t="shared" si="97"/>
        <v>-6227.2499999999991</v>
      </c>
      <c r="BC72" s="35">
        <f t="shared" si="97"/>
        <v>-1153.5999999999999</v>
      </c>
      <c r="BD72" s="35">
        <f t="shared" si="97"/>
        <v>-1400.5274999999999</v>
      </c>
      <c r="BE72" s="35">
        <f t="shared" si="97"/>
        <v>-1555.2</v>
      </c>
      <c r="BF72" s="35">
        <f t="shared" si="97"/>
        <v>-4296.8024999999989</v>
      </c>
      <c r="BG72" s="35"/>
      <c r="BH72" s="812"/>
      <c r="BI72" s="812"/>
      <c r="BJ72" s="812"/>
      <c r="BK72" s="812"/>
      <c r="BL72" s="812"/>
      <c r="BM72" s="812"/>
      <c r="BN72" s="812"/>
      <c r="BO72" s="812"/>
      <c r="BP72" s="812"/>
      <c r="BQ72" s="812"/>
      <c r="BR72" s="812">
        <f t="shared" ref="BR72:BW72" si="98">BR94</f>
        <v>-4503</v>
      </c>
      <c r="BS72" s="812">
        <f t="shared" si="98"/>
        <v>-6623</v>
      </c>
      <c r="BT72" s="812">
        <f t="shared" si="98"/>
        <v>-10193</v>
      </c>
      <c r="BU72" s="812">
        <f t="shared" si="98"/>
        <v>-13717</v>
      </c>
      <c r="BV72" s="812">
        <f t="shared" si="98"/>
        <v>-16120</v>
      </c>
      <c r="BW72" s="814">
        <f t="shared" si="98"/>
        <v>-17729</v>
      </c>
      <c r="BX72" s="812">
        <f>BX67-BX71</f>
        <v>-14087.000000000002</v>
      </c>
      <c r="BY72" s="812">
        <f>BY67-BY71</f>
        <v>-8406.1299999999992</v>
      </c>
      <c r="BZ72" s="812">
        <f>BZ74*BZ67</f>
        <v>-592.55129999999986</v>
      </c>
      <c r="CA72" s="812">
        <f>CA74*CA67</f>
        <v>-681.43399499999975</v>
      </c>
      <c r="CB72" s="812">
        <f>CB74*CB67</f>
        <v>-783.64909424999962</v>
      </c>
      <c r="CC72" s="6"/>
    </row>
    <row r="73" spans="1:81" s="704" customFormat="1" outlineLevel="1" x14ac:dyDescent="0.55000000000000004">
      <c r="A73" s="79" t="s">
        <v>682</v>
      </c>
      <c r="B73" s="298"/>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f t="shared" ref="AL73:BF73" si="99">AL72/AH72-1</f>
        <v>0.57408289661743694</v>
      </c>
      <c r="AM73" s="54">
        <f t="shared" si="99"/>
        <v>0.62014230979748231</v>
      </c>
      <c r="AN73" s="54">
        <f t="shared" si="99"/>
        <v>0.15378289473684204</v>
      </c>
      <c r="AO73" s="54">
        <f t="shared" si="99"/>
        <v>0.39566704675028497</v>
      </c>
      <c r="AP73" s="54">
        <f t="shared" si="99"/>
        <v>0.29509685230024219</v>
      </c>
      <c r="AQ73" s="54">
        <f t="shared" si="99"/>
        <v>0.34864864864864864</v>
      </c>
      <c r="AR73" s="54">
        <f t="shared" si="99"/>
        <v>0.33250178189593727</v>
      </c>
      <c r="AS73" s="54">
        <f t="shared" si="99"/>
        <v>1.9063180827886717E-2</v>
      </c>
      <c r="AT73" s="54">
        <f t="shared" si="99"/>
        <v>8.5767702734283802E-2</v>
      </c>
      <c r="AU73" s="54">
        <f t="shared" si="99"/>
        <v>-3.6573146292585124E-2</v>
      </c>
      <c r="AV73" s="54">
        <f t="shared" si="99"/>
        <v>0.20032094142818946</v>
      </c>
      <c r="AW73" s="54">
        <f t="shared" si="99"/>
        <v>0.18332442544094074</v>
      </c>
      <c r="AX73" s="54">
        <f t="shared" si="99"/>
        <v>6.9091691777873443E-2</v>
      </c>
      <c r="AY73" s="623">
        <f t="shared" si="99"/>
        <v>9.4643785751429954E-2</v>
      </c>
      <c r="AZ73" s="54">
        <f t="shared" si="99"/>
        <v>-0.54773841354723707</v>
      </c>
      <c r="BA73" s="54">
        <f t="shared" si="99"/>
        <v>-0.63414634146341464</v>
      </c>
      <c r="BB73" s="54">
        <f t="shared" si="99"/>
        <v>0.25372458224280225</v>
      </c>
      <c r="BC73" s="54">
        <f t="shared" si="99"/>
        <v>-0.72598574821852735</v>
      </c>
      <c r="BD73" s="54">
        <f t="shared" si="99"/>
        <v>-0.31000000000000005</v>
      </c>
      <c r="BE73" s="54">
        <f t="shared" si="99"/>
        <v>-3.9999999999999925E-2</v>
      </c>
      <c r="BF73" s="54">
        <f t="shared" si="99"/>
        <v>-0.31000000000000005</v>
      </c>
      <c r="BG73" s="54"/>
      <c r="BH73" s="815"/>
      <c r="BI73" s="815"/>
      <c r="BJ73" s="815"/>
      <c r="BK73" s="815"/>
      <c r="BL73" s="815"/>
      <c r="BM73" s="815"/>
      <c r="BN73" s="815"/>
      <c r="BO73" s="815"/>
      <c r="BP73" s="815"/>
      <c r="BQ73" s="815"/>
      <c r="BR73" s="815"/>
      <c r="BS73" s="815">
        <f t="shared" ref="BS73:CB73" si="100">BS72/BR72-1</f>
        <v>0.47079724628025765</v>
      </c>
      <c r="BT73" s="815">
        <f t="shared" si="100"/>
        <v>0.53903065076249423</v>
      </c>
      <c r="BU73" s="815">
        <f t="shared" si="100"/>
        <v>0.34572746002158339</v>
      </c>
      <c r="BV73" s="815">
        <f t="shared" si="100"/>
        <v>0.1751840781511993</v>
      </c>
      <c r="BW73" s="816">
        <f t="shared" si="100"/>
        <v>9.9813895781637685E-2</v>
      </c>
      <c r="BX73" s="815">
        <f t="shared" si="100"/>
        <v>-0.20542613796604425</v>
      </c>
      <c r="BY73" s="815">
        <f t="shared" si="100"/>
        <v>-0.40327039114076824</v>
      </c>
      <c r="BZ73" s="815">
        <f t="shared" si="100"/>
        <v>-0.92950961976557589</v>
      </c>
      <c r="CA73" s="815">
        <f t="shared" si="100"/>
        <v>0.14999999999999991</v>
      </c>
      <c r="CB73" s="815">
        <f t="shared" si="100"/>
        <v>0.14999999999999991</v>
      </c>
      <c r="CC73" s="83"/>
    </row>
    <row r="74" spans="1:81" s="709" customFormat="1" outlineLevel="1" x14ac:dyDescent="0.55000000000000004">
      <c r="A74" s="262" t="s">
        <v>683</v>
      </c>
      <c r="B74" s="237"/>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f t="shared" ref="AH74:AY74" si="101">AH72/AH67</f>
        <v>-2.9274755927475593</v>
      </c>
      <c r="AI74" s="55">
        <f t="shared" si="101"/>
        <v>-3.4213483146067416</v>
      </c>
      <c r="AJ74" s="55">
        <f t="shared" si="101"/>
        <v>-7.973770491803279</v>
      </c>
      <c r="AK74" s="55">
        <f t="shared" si="101"/>
        <v>-4.71505376344086</v>
      </c>
      <c r="AL74" s="55">
        <f t="shared" si="101"/>
        <v>-3.767388825541619</v>
      </c>
      <c r="AM74" s="55">
        <f t="shared" si="101"/>
        <v>-4.2589928057553958</v>
      </c>
      <c r="AN74" s="55">
        <f t="shared" si="101"/>
        <v>-6.2079646017699117</v>
      </c>
      <c r="AO74" s="55">
        <f t="shared" si="101"/>
        <v>-12.884210526315789</v>
      </c>
      <c r="AP74" s="55">
        <f t="shared" si="101"/>
        <v>-5.8858321870701511</v>
      </c>
      <c r="AQ74" s="55">
        <f t="shared" si="101"/>
        <v>-11.775811209439528</v>
      </c>
      <c r="AR74" s="55">
        <f t="shared" si="101"/>
        <v>-13.547101449275363</v>
      </c>
      <c r="AS74" s="55">
        <f t="shared" si="101"/>
        <v>-17.81904761904762</v>
      </c>
      <c r="AT74" s="55">
        <f t="shared" si="101"/>
        <v>-4.3380018674136318</v>
      </c>
      <c r="AU74" s="55">
        <f t="shared" si="101"/>
        <v>-8.7409090909090903</v>
      </c>
      <c r="AV74" s="55">
        <f t="shared" si="101"/>
        <v>-12.713881019830028</v>
      </c>
      <c r="AW74" s="55">
        <f t="shared" si="101"/>
        <v>-16.399999999999999</v>
      </c>
      <c r="AX74" s="55">
        <f t="shared" si="101"/>
        <v>-4.5863342566943679</v>
      </c>
      <c r="AY74" s="275">
        <f t="shared" si="101"/>
        <v>-10.218446601941748</v>
      </c>
      <c r="AZ74" s="761">
        <v>-5</v>
      </c>
      <c r="BA74" s="761">
        <v>-5</v>
      </c>
      <c r="BB74" s="761">
        <v>-5</v>
      </c>
      <c r="BC74" s="761">
        <v>-4</v>
      </c>
      <c r="BD74" s="761">
        <v>-3</v>
      </c>
      <c r="BE74" s="761">
        <v>-4</v>
      </c>
      <c r="BF74" s="761">
        <v>-3</v>
      </c>
      <c r="BG74" s="761"/>
      <c r="BH74" s="156"/>
      <c r="BI74" s="156"/>
      <c r="BJ74" s="156"/>
      <c r="BK74" s="156"/>
      <c r="BL74" s="156"/>
      <c r="BM74" s="156"/>
      <c r="BN74" s="156"/>
      <c r="BO74" s="156"/>
      <c r="BP74" s="156"/>
      <c r="BQ74" s="156"/>
      <c r="BR74" s="156">
        <f t="shared" ref="BR74:BY74" si="102">BR72/BR67</f>
        <v>-8.9880239520958085</v>
      </c>
      <c r="BS74" s="156">
        <f t="shared" si="102"/>
        <v>-5.814749780509219</v>
      </c>
      <c r="BT74" s="156">
        <f t="shared" si="102"/>
        <v>-4.4824098504837293</v>
      </c>
      <c r="BU74" s="156">
        <f t="shared" si="102"/>
        <v>-6.3534043538675311</v>
      </c>
      <c r="BV74" s="156">
        <f t="shared" si="102"/>
        <v>-8.5021097046413505</v>
      </c>
      <c r="BW74" s="856">
        <f t="shared" si="102"/>
        <v>-8.2614165890027955</v>
      </c>
      <c r="BX74" s="156">
        <f t="shared" si="102"/>
        <v>-5.9005612800536165</v>
      </c>
      <c r="BY74" s="156">
        <f t="shared" si="102"/>
        <v>-3.262856566174102</v>
      </c>
      <c r="BZ74" s="859">
        <v>-0.2</v>
      </c>
      <c r="CA74" s="859">
        <v>-0.2</v>
      </c>
      <c r="CB74" s="859">
        <v>-0.2</v>
      </c>
      <c r="CC74" s="24"/>
    </row>
    <row r="75" spans="1:81" s="706" customFormat="1" outlineLevel="1" x14ac:dyDescent="0.55000000000000004">
      <c r="A75" s="86" t="s">
        <v>684</v>
      </c>
      <c r="B75" s="229"/>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f t="shared" ref="AL75:BF75" si="103">(AL74-AH74)*10000</f>
        <v>-8399.132327940597</v>
      </c>
      <c r="AM75" s="37">
        <f t="shared" si="103"/>
        <v>-8376.444911486542</v>
      </c>
      <c r="AN75" s="37">
        <f t="shared" si="103"/>
        <v>17658.058900333672</v>
      </c>
      <c r="AO75" s="37">
        <f t="shared" si="103"/>
        <v>-81691.567628749282</v>
      </c>
      <c r="AP75" s="37">
        <f t="shared" si="103"/>
        <v>-21184.433615285321</v>
      </c>
      <c r="AQ75" s="37">
        <f t="shared" si="103"/>
        <v>-75168.184036841325</v>
      </c>
      <c r="AR75" s="37">
        <f t="shared" si="103"/>
        <v>-73391.368475054522</v>
      </c>
      <c r="AS75" s="37">
        <f t="shared" si="103"/>
        <v>-49348.370927318312</v>
      </c>
      <c r="AT75" s="37">
        <f t="shared" si="103"/>
        <v>15478.303196565194</v>
      </c>
      <c r="AU75" s="37">
        <f t="shared" si="103"/>
        <v>30349.021185304377</v>
      </c>
      <c r="AV75" s="37">
        <f t="shared" si="103"/>
        <v>8332.2042944533514</v>
      </c>
      <c r="AW75" s="37">
        <f t="shared" si="103"/>
        <v>14190.476190476211</v>
      </c>
      <c r="AX75" s="37">
        <f t="shared" si="103"/>
        <v>-2483.3238928073611</v>
      </c>
      <c r="AY75" s="273">
        <f t="shared" si="103"/>
        <v>-14775.375110326579</v>
      </c>
      <c r="AZ75" s="37">
        <f t="shared" si="103"/>
        <v>77138.810198300285</v>
      </c>
      <c r="BA75" s="37">
        <f t="shared" si="103"/>
        <v>113999.99999999999</v>
      </c>
      <c r="BB75" s="37">
        <f t="shared" si="103"/>
        <v>-4136.6574330563208</v>
      </c>
      <c r="BC75" s="37">
        <f t="shared" si="103"/>
        <v>62184.466019417479</v>
      </c>
      <c r="BD75" s="37">
        <f t="shared" si="103"/>
        <v>20000</v>
      </c>
      <c r="BE75" s="37">
        <f t="shared" si="103"/>
        <v>10000</v>
      </c>
      <c r="BF75" s="37">
        <f t="shared" si="103"/>
        <v>20000</v>
      </c>
      <c r="BG75" s="37"/>
      <c r="BH75" s="158"/>
      <c r="BI75" s="158"/>
      <c r="BJ75" s="158"/>
      <c r="BK75" s="158"/>
      <c r="BL75" s="158"/>
      <c r="BM75" s="158"/>
      <c r="BN75" s="158"/>
      <c r="BO75" s="158"/>
      <c r="BP75" s="158"/>
      <c r="BQ75" s="158"/>
      <c r="BR75" s="158"/>
      <c r="BS75" s="158">
        <f t="shared" ref="BS75:CB75" si="104">(BS74-BR74)*10000</f>
        <v>31732.741715865894</v>
      </c>
      <c r="BT75" s="158">
        <f t="shared" si="104"/>
        <v>13323.399300254896</v>
      </c>
      <c r="BU75" s="158">
        <f t="shared" si="104"/>
        <v>-18709.945033838019</v>
      </c>
      <c r="BV75" s="158">
        <f t="shared" si="104"/>
        <v>-21487.053507738194</v>
      </c>
      <c r="BW75" s="846">
        <f t="shared" si="104"/>
        <v>2406.9311563855499</v>
      </c>
      <c r="BX75" s="158">
        <f t="shared" si="104"/>
        <v>23608.55308949179</v>
      </c>
      <c r="BY75" s="158">
        <f t="shared" si="104"/>
        <v>26377.047138795144</v>
      </c>
      <c r="BZ75" s="158">
        <f t="shared" si="104"/>
        <v>30628.565661741017</v>
      </c>
      <c r="CA75" s="158">
        <f t="shared" si="104"/>
        <v>0</v>
      </c>
      <c r="CB75" s="158">
        <f t="shared" si="104"/>
        <v>0</v>
      </c>
      <c r="CC75" s="117"/>
    </row>
    <row r="76" spans="1:81" x14ac:dyDescent="0.55000000000000004">
      <c r="A76" s="86"/>
      <c r="B76" s="229"/>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273"/>
      <c r="AZ76" s="37"/>
      <c r="BA76" s="37"/>
      <c r="BB76" s="37"/>
      <c r="BC76" s="37"/>
      <c r="BD76" s="37"/>
      <c r="BE76" s="37"/>
      <c r="BF76" s="37"/>
      <c r="BG76" s="37"/>
      <c r="BH76" s="158"/>
      <c r="BI76" s="158"/>
      <c r="BJ76" s="158"/>
      <c r="BK76" s="158"/>
      <c r="BL76" s="158"/>
      <c r="BM76" s="158"/>
      <c r="BN76" s="158"/>
      <c r="BO76" s="158"/>
      <c r="BP76" s="158"/>
      <c r="BQ76" s="158"/>
      <c r="BR76" s="158"/>
      <c r="BS76" s="158"/>
      <c r="BT76" s="158"/>
      <c r="BU76" s="158"/>
      <c r="BV76" s="158"/>
      <c r="BW76" s="846"/>
      <c r="BX76" s="158"/>
      <c r="BY76" s="158"/>
      <c r="BZ76" s="158"/>
      <c r="CA76" s="158"/>
      <c r="CB76" s="158"/>
      <c r="CC76" s="117"/>
    </row>
    <row r="77" spans="1:81" x14ac:dyDescent="0.55000000000000004">
      <c r="A77" s="598" t="s">
        <v>470</v>
      </c>
      <c r="B77" s="598"/>
      <c r="C77" s="598"/>
      <c r="D77" s="598"/>
      <c r="E77" s="598"/>
      <c r="F77" s="598"/>
      <c r="G77" s="598"/>
      <c r="H77" s="598"/>
      <c r="I77" s="598"/>
      <c r="J77" s="598"/>
      <c r="K77" s="598"/>
      <c r="L77" s="598"/>
      <c r="M77" s="598"/>
      <c r="N77" s="598"/>
      <c r="O77" s="598"/>
      <c r="P77" s="598"/>
      <c r="Q77" s="598"/>
      <c r="R77" s="598"/>
      <c r="S77" s="598"/>
      <c r="T77" s="598"/>
      <c r="U77" s="598"/>
      <c r="V77" s="598"/>
      <c r="W77" s="598"/>
      <c r="X77" s="598"/>
      <c r="Y77" s="598"/>
      <c r="Z77" s="598"/>
      <c r="AA77" s="598"/>
      <c r="AB77" s="598"/>
      <c r="AC77" s="598"/>
      <c r="AD77" s="598"/>
      <c r="AE77" s="598"/>
      <c r="AF77" s="598"/>
      <c r="AG77" s="598"/>
      <c r="AH77" s="598"/>
      <c r="AI77" s="598"/>
      <c r="AJ77" s="598"/>
      <c r="AK77" s="598"/>
      <c r="AL77" s="598"/>
      <c r="AM77" s="598"/>
      <c r="AN77" s="598"/>
      <c r="AO77" s="598"/>
      <c r="AP77" s="598"/>
      <c r="AQ77" s="598"/>
      <c r="AR77" s="598"/>
      <c r="AS77" s="598"/>
      <c r="AT77" s="598"/>
      <c r="AU77" s="598"/>
      <c r="AV77" s="598"/>
      <c r="AW77" s="598"/>
      <c r="AX77" s="598"/>
      <c r="AY77" s="599"/>
      <c r="AZ77" s="598"/>
      <c r="BA77" s="598"/>
      <c r="BB77" s="598"/>
      <c r="BC77" s="598"/>
      <c r="BD77" s="598"/>
      <c r="BE77" s="598"/>
      <c r="BF77" s="598"/>
      <c r="BG77" s="598"/>
      <c r="BH77" s="598"/>
      <c r="BI77" s="598"/>
      <c r="BJ77" s="598"/>
      <c r="BK77" s="598"/>
      <c r="BL77" s="598"/>
      <c r="BM77" s="598"/>
      <c r="BN77" s="598"/>
      <c r="BO77" s="598"/>
      <c r="BP77" s="598"/>
      <c r="BQ77" s="598"/>
      <c r="BR77" s="598"/>
      <c r="BS77" s="598"/>
      <c r="BT77" s="598"/>
      <c r="BU77" s="598"/>
      <c r="BV77" s="598"/>
      <c r="BW77" s="599"/>
      <c r="BX77" s="598"/>
      <c r="BY77" s="598"/>
      <c r="BZ77" s="598"/>
      <c r="CA77" s="598"/>
      <c r="CB77" s="598"/>
      <c r="CC77" s="217"/>
    </row>
    <row r="78" spans="1:81" s="703" customFormat="1" x14ac:dyDescent="0.55000000000000004">
      <c r="A78" s="192" t="s">
        <v>1028</v>
      </c>
      <c r="B78" s="232"/>
      <c r="C78" s="35"/>
      <c r="D78" s="35"/>
      <c r="E78" s="35"/>
      <c r="F78" s="35"/>
      <c r="G78" s="35"/>
      <c r="H78" s="35"/>
      <c r="I78" s="35"/>
      <c r="J78" s="35"/>
      <c r="K78" s="35"/>
      <c r="L78" s="35"/>
      <c r="M78" s="35"/>
      <c r="N78" s="35"/>
      <c r="O78" s="35"/>
      <c r="P78" s="35"/>
      <c r="Q78" s="35"/>
      <c r="R78" s="35"/>
      <c r="S78" s="35"/>
      <c r="T78" s="35"/>
      <c r="U78" s="35"/>
      <c r="V78" s="35"/>
      <c r="W78" s="35"/>
      <c r="X78" s="35"/>
      <c r="Y78" s="35"/>
      <c r="Z78" s="35"/>
      <c r="AA78" s="35">
        <f t="shared" ref="AA78:BF78" si="105">AA53</f>
        <v>2100</v>
      </c>
      <c r="AB78" s="35">
        <f t="shared" si="105"/>
        <v>2140</v>
      </c>
      <c r="AC78" s="35">
        <f t="shared" si="105"/>
        <v>2200</v>
      </c>
      <c r="AD78" s="35">
        <f t="shared" si="105"/>
        <v>2260</v>
      </c>
      <c r="AE78" s="35">
        <f t="shared" si="105"/>
        <v>2360</v>
      </c>
      <c r="AF78" s="35">
        <f t="shared" si="105"/>
        <v>2470</v>
      </c>
      <c r="AG78" s="35">
        <f t="shared" si="105"/>
        <v>2540</v>
      </c>
      <c r="AH78" s="35">
        <f t="shared" si="105"/>
        <v>2600</v>
      </c>
      <c r="AI78" s="35">
        <f t="shared" si="105"/>
        <v>2720</v>
      </c>
      <c r="AJ78" s="35">
        <f t="shared" si="105"/>
        <v>2760</v>
      </c>
      <c r="AK78" s="35">
        <f t="shared" si="105"/>
        <v>2810</v>
      </c>
      <c r="AL78" s="35">
        <f t="shared" si="105"/>
        <v>2820</v>
      </c>
      <c r="AM78" s="35">
        <f t="shared" si="105"/>
        <v>2870</v>
      </c>
      <c r="AN78" s="35">
        <f t="shared" si="105"/>
        <v>2880</v>
      </c>
      <c r="AO78" s="35">
        <f t="shared" si="105"/>
        <v>2930</v>
      </c>
      <c r="AP78" s="35">
        <f t="shared" si="105"/>
        <v>2960</v>
      </c>
      <c r="AQ78" s="35">
        <f t="shared" si="105"/>
        <v>3020</v>
      </c>
      <c r="AR78" s="35">
        <f t="shared" si="105"/>
        <v>3070</v>
      </c>
      <c r="AS78" s="35">
        <f t="shared" si="105"/>
        <v>3140</v>
      </c>
      <c r="AT78" s="35">
        <f t="shared" si="105"/>
        <v>3190</v>
      </c>
      <c r="AU78" s="35">
        <f t="shared" si="105"/>
        <v>3240</v>
      </c>
      <c r="AV78" s="35">
        <f t="shared" si="105"/>
        <v>3270</v>
      </c>
      <c r="AW78" s="35">
        <f t="shared" si="105"/>
        <v>3290</v>
      </c>
      <c r="AX78" s="35">
        <f t="shared" si="105"/>
        <v>3350</v>
      </c>
      <c r="AY78" s="272">
        <f t="shared" si="105"/>
        <v>3430</v>
      </c>
      <c r="AZ78" s="35">
        <f t="shared" si="105"/>
        <v>3470</v>
      </c>
      <c r="BA78" s="35">
        <f t="shared" si="105"/>
        <v>3520</v>
      </c>
      <c r="BB78" s="35">
        <f t="shared" si="105"/>
        <v>3580</v>
      </c>
      <c r="BC78" s="35">
        <f t="shared" si="105"/>
        <v>3620</v>
      </c>
      <c r="BD78" s="35">
        <f t="shared" si="105"/>
        <v>3660</v>
      </c>
      <c r="BE78" s="35">
        <f t="shared" si="105"/>
        <v>3710</v>
      </c>
      <c r="BF78" s="35">
        <f t="shared" si="105"/>
        <v>3770</v>
      </c>
      <c r="BG78" s="35"/>
      <c r="BH78" s="812"/>
      <c r="BI78" s="812"/>
      <c r="BJ78" s="812"/>
      <c r="BK78" s="812"/>
      <c r="BL78" s="812"/>
      <c r="BM78" s="812"/>
      <c r="BN78" s="812"/>
      <c r="BO78" s="812"/>
      <c r="BP78" s="812"/>
      <c r="BQ78" s="812">
        <f t="shared" ref="BQ78:CB78" si="106">BQ53</f>
        <v>2030</v>
      </c>
      <c r="BR78" s="812">
        <f t="shared" si="106"/>
        <v>2260</v>
      </c>
      <c r="BS78" s="812">
        <f t="shared" si="106"/>
        <v>2600</v>
      </c>
      <c r="BT78" s="812">
        <f t="shared" si="106"/>
        <v>2820</v>
      </c>
      <c r="BU78" s="812">
        <f t="shared" si="106"/>
        <v>2960</v>
      </c>
      <c r="BV78" s="812">
        <f t="shared" si="106"/>
        <v>3190</v>
      </c>
      <c r="BW78" s="814">
        <f t="shared" si="106"/>
        <v>3350</v>
      </c>
      <c r="BX78" s="812">
        <f t="shared" si="106"/>
        <v>3580</v>
      </c>
      <c r="BY78" s="812">
        <f t="shared" si="106"/>
        <v>3770</v>
      </c>
      <c r="BZ78" s="812">
        <f t="shared" si="106"/>
        <v>3900</v>
      </c>
      <c r="CA78" s="812">
        <f t="shared" si="106"/>
        <v>4010</v>
      </c>
      <c r="CB78" s="812">
        <f t="shared" si="106"/>
        <v>4120</v>
      </c>
      <c r="CC78" s="6"/>
    </row>
    <row r="79" spans="1:81" s="712" customFormat="1" x14ac:dyDescent="0.55000000000000004">
      <c r="A79" s="519" t="s">
        <v>1026</v>
      </c>
      <c r="B79" s="526"/>
      <c r="C79" s="367"/>
      <c r="D79" s="367"/>
      <c r="E79" s="367"/>
      <c r="F79" s="367"/>
      <c r="G79" s="367"/>
      <c r="H79" s="367"/>
      <c r="I79" s="367"/>
      <c r="J79" s="367"/>
      <c r="K79" s="367"/>
      <c r="L79" s="367"/>
      <c r="M79" s="367"/>
      <c r="N79" s="367"/>
      <c r="O79" s="367"/>
      <c r="P79" s="367"/>
      <c r="Q79" s="367"/>
      <c r="R79" s="367"/>
      <c r="S79" s="367"/>
      <c r="T79" s="367"/>
      <c r="U79" s="367"/>
      <c r="V79" s="367"/>
      <c r="W79" s="367"/>
      <c r="X79" s="367"/>
      <c r="Y79" s="367"/>
      <c r="Z79" s="367"/>
      <c r="AA79" s="367"/>
      <c r="AB79" s="367"/>
      <c r="AC79" s="367"/>
      <c r="AD79" s="367"/>
      <c r="AE79" s="367"/>
      <c r="AF79" s="367"/>
      <c r="AG79" s="367"/>
      <c r="AH79" s="367">
        <f t="shared" ref="AH79:BF79" si="107">AH57</f>
        <v>10.64396887159533</v>
      </c>
      <c r="AI79" s="367">
        <f t="shared" si="107"/>
        <v>9.6379699248120296</v>
      </c>
      <c r="AJ79" s="367">
        <f t="shared" si="107"/>
        <v>10.500729927007299</v>
      </c>
      <c r="AK79" s="367">
        <f t="shared" si="107"/>
        <v>10.216157989228007</v>
      </c>
      <c r="AL79" s="367">
        <f t="shared" si="107"/>
        <v>11.649733570159858</v>
      </c>
      <c r="AM79" s="367">
        <f t="shared" si="107"/>
        <v>9.57</v>
      </c>
      <c r="AN79" s="367">
        <f t="shared" si="107"/>
        <v>9.8699999999999992</v>
      </c>
      <c r="AO79" s="367">
        <f t="shared" si="107"/>
        <v>9.44</v>
      </c>
      <c r="AP79" s="367">
        <f t="shared" si="107"/>
        <v>10.68</v>
      </c>
      <c r="AQ79" s="367">
        <f t="shared" si="107"/>
        <v>9.4700000000000006</v>
      </c>
      <c r="AR79" s="367">
        <f t="shared" si="107"/>
        <v>10.42</v>
      </c>
      <c r="AS79" s="367">
        <f t="shared" si="107"/>
        <v>10.93</v>
      </c>
      <c r="AT79" s="367">
        <f t="shared" si="107"/>
        <v>12.33</v>
      </c>
      <c r="AU79" s="367">
        <f t="shared" si="107"/>
        <v>11.2</v>
      </c>
      <c r="AV79" s="367">
        <f t="shared" si="107"/>
        <v>11.89</v>
      </c>
      <c r="AW79" s="367">
        <f t="shared" si="107"/>
        <v>12.29</v>
      </c>
      <c r="AX79" s="367">
        <f t="shared" si="107"/>
        <v>14.25</v>
      </c>
      <c r="AY79" s="632">
        <f t="shared" si="107"/>
        <v>12.36</v>
      </c>
      <c r="AZ79" s="367">
        <f t="shared" si="107"/>
        <v>12.484500000000001</v>
      </c>
      <c r="BA79" s="367">
        <f t="shared" si="107"/>
        <v>13.0274</v>
      </c>
      <c r="BB79" s="367">
        <f t="shared" si="107"/>
        <v>15.504000000000001</v>
      </c>
      <c r="BC79" s="367">
        <f t="shared" si="107"/>
        <v>13.225200000000001</v>
      </c>
      <c r="BD79" s="367">
        <f t="shared" si="107"/>
        <v>13.108725000000002</v>
      </c>
      <c r="BE79" s="367">
        <f t="shared" si="107"/>
        <v>13.809044</v>
      </c>
      <c r="BF79" s="367">
        <f t="shared" si="107"/>
        <v>16.868352000000002</v>
      </c>
      <c r="BG79" s="367"/>
      <c r="BH79" s="860"/>
      <c r="BI79" s="860"/>
      <c r="BJ79" s="860"/>
      <c r="BK79" s="860"/>
      <c r="BL79" s="860"/>
      <c r="BM79" s="860"/>
      <c r="BN79" s="860"/>
      <c r="BO79" s="860"/>
      <c r="BP79" s="860"/>
      <c r="BQ79" s="860"/>
      <c r="BR79" s="860">
        <f t="shared" ref="BR79:CB79" si="108">BR57</f>
        <v>32.725407925407929</v>
      </c>
      <c r="BS79" s="860">
        <f t="shared" si="108"/>
        <v>34.907818930041152</v>
      </c>
      <c r="BT79" s="860">
        <f t="shared" si="108"/>
        <v>42.677121771217713</v>
      </c>
      <c r="BU79" s="860">
        <f t="shared" si="108"/>
        <v>39.602076124567475</v>
      </c>
      <c r="BV79" s="860">
        <f t="shared" si="108"/>
        <v>43.253983739837402</v>
      </c>
      <c r="BW79" s="861">
        <f t="shared" si="108"/>
        <v>49.649847094801224</v>
      </c>
      <c r="BX79" s="860">
        <f t="shared" si="108"/>
        <v>53.547904184704187</v>
      </c>
      <c r="BY79" s="860">
        <f t="shared" si="108"/>
        <v>56.952501393197281</v>
      </c>
      <c r="BZ79" s="860">
        <f t="shared" si="108"/>
        <v>60.711366485148304</v>
      </c>
      <c r="CA79" s="860">
        <f t="shared" si="108"/>
        <v>61.925593814851268</v>
      </c>
      <c r="CB79" s="860">
        <f t="shared" si="108"/>
        <v>63.164105691148293</v>
      </c>
      <c r="CC79" s="290"/>
    </row>
    <row r="80" spans="1:81" x14ac:dyDescent="0.55000000000000004">
      <c r="A80" s="192"/>
      <c r="B80" s="232"/>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272"/>
      <c r="AZ80" s="35"/>
      <c r="BA80" s="35"/>
      <c r="BB80" s="35"/>
      <c r="BC80" s="35"/>
      <c r="BD80" s="35"/>
      <c r="BE80" s="35"/>
      <c r="BF80" s="35"/>
      <c r="BG80" s="35"/>
      <c r="BH80" s="812"/>
      <c r="BI80" s="812"/>
      <c r="BJ80" s="812"/>
      <c r="BK80" s="812"/>
      <c r="BL80" s="812"/>
      <c r="BM80" s="812"/>
      <c r="BN80" s="812"/>
      <c r="BO80" s="812"/>
      <c r="BP80" s="812"/>
      <c r="BQ80" s="812"/>
      <c r="BR80" s="812"/>
      <c r="BS80" s="812"/>
      <c r="BT80" s="812"/>
      <c r="BU80" s="812"/>
      <c r="BV80" s="812"/>
      <c r="BW80" s="814"/>
      <c r="BX80" s="812"/>
      <c r="BY80" s="812"/>
      <c r="BZ80" s="812"/>
      <c r="CA80" s="812"/>
      <c r="CB80" s="812"/>
      <c r="CC80" s="6"/>
    </row>
    <row r="81" spans="1:81" x14ac:dyDescent="0.55000000000000004">
      <c r="A81" s="336" t="s">
        <v>21</v>
      </c>
      <c r="B81" s="229"/>
      <c r="C81" s="37">
        <f t="shared" ref="C81:AG81" si="109">C109</f>
        <v>1245</v>
      </c>
      <c r="D81" s="37">
        <f t="shared" si="109"/>
        <v>1599</v>
      </c>
      <c r="E81" s="37">
        <f t="shared" si="109"/>
        <v>1798</v>
      </c>
      <c r="F81" s="37">
        <f t="shared" si="109"/>
        <v>2344</v>
      </c>
      <c r="G81" s="37">
        <f t="shared" si="109"/>
        <v>2265</v>
      </c>
      <c r="H81" s="37">
        <f t="shared" si="109"/>
        <v>2676</v>
      </c>
      <c r="I81" s="37">
        <f t="shared" si="109"/>
        <v>2957</v>
      </c>
      <c r="J81" s="37">
        <f t="shared" si="109"/>
        <v>3594</v>
      </c>
      <c r="K81" s="37">
        <f t="shared" si="109"/>
        <v>3317</v>
      </c>
      <c r="L81" s="37">
        <f t="shared" si="109"/>
        <v>3827</v>
      </c>
      <c r="M81" s="37">
        <f t="shared" si="109"/>
        <v>4299</v>
      </c>
      <c r="N81" s="37">
        <f t="shared" si="109"/>
        <v>5637</v>
      </c>
      <c r="O81" s="37">
        <f t="shared" si="109"/>
        <v>5201</v>
      </c>
      <c r="P81" s="37">
        <f t="shared" si="109"/>
        <v>6239</v>
      </c>
      <c r="Q81" s="37">
        <f t="shared" si="109"/>
        <v>6816</v>
      </c>
      <c r="R81" s="37">
        <f t="shared" si="109"/>
        <v>8629</v>
      </c>
      <c r="S81" s="37">
        <f t="shared" si="109"/>
        <v>7857</v>
      </c>
      <c r="T81" s="37">
        <f t="shared" si="109"/>
        <v>9164</v>
      </c>
      <c r="U81" s="37">
        <f t="shared" si="109"/>
        <v>10142</v>
      </c>
      <c r="V81" s="37">
        <f t="shared" si="109"/>
        <v>12779</v>
      </c>
      <c r="W81" s="37">
        <f t="shared" si="109"/>
        <v>11795</v>
      </c>
      <c r="X81" s="37">
        <f t="shared" si="109"/>
        <v>13038</v>
      </c>
      <c r="Y81" s="37">
        <f t="shared" si="109"/>
        <v>13539</v>
      </c>
      <c r="Z81" s="37">
        <f t="shared" si="109"/>
        <v>16640</v>
      </c>
      <c r="AA81" s="37">
        <f t="shared" si="109"/>
        <v>14912</v>
      </c>
      <c r="AB81" s="37">
        <f t="shared" si="109"/>
        <v>16624</v>
      </c>
      <c r="AC81" s="37">
        <f t="shared" si="109"/>
        <v>17383</v>
      </c>
      <c r="AD81" s="37">
        <f t="shared" si="109"/>
        <v>20736</v>
      </c>
      <c r="AE81" s="37">
        <f t="shared" si="109"/>
        <v>17440</v>
      </c>
      <c r="AF81" s="37">
        <f t="shared" si="109"/>
        <v>18321</v>
      </c>
      <c r="AG81" s="37">
        <f t="shared" si="109"/>
        <v>21221</v>
      </c>
      <c r="AH81" s="759">
        <v>27187</v>
      </c>
      <c r="AI81" s="759">
        <v>25439</v>
      </c>
      <c r="AJ81" s="759">
        <v>28580</v>
      </c>
      <c r="AK81" s="759">
        <v>28276</v>
      </c>
      <c r="AL81" s="759">
        <v>32639</v>
      </c>
      <c r="AM81" s="759">
        <v>26998</v>
      </c>
      <c r="AN81" s="759">
        <v>28152</v>
      </c>
      <c r="AO81" s="759">
        <v>27237</v>
      </c>
      <c r="AP81" s="759">
        <v>31254</v>
      </c>
      <c r="AQ81" s="759">
        <v>28101</v>
      </c>
      <c r="AR81" s="759">
        <v>31498</v>
      </c>
      <c r="AS81" s="759">
        <v>33643</v>
      </c>
      <c r="AT81" s="759">
        <v>38706</v>
      </c>
      <c r="AU81" s="759">
        <v>35635</v>
      </c>
      <c r="AV81" s="759">
        <v>38329</v>
      </c>
      <c r="AW81" s="759">
        <v>39885</v>
      </c>
      <c r="AX81" s="759">
        <v>46783</v>
      </c>
      <c r="AY81" s="762">
        <v>41392</v>
      </c>
      <c r="AZ81" s="37"/>
      <c r="BA81" s="37"/>
      <c r="BB81" s="37"/>
      <c r="BC81" s="37"/>
      <c r="BD81" s="37"/>
      <c r="BE81" s="37"/>
      <c r="BF81" s="37"/>
      <c r="BG81" s="37"/>
      <c r="BH81" s="158"/>
      <c r="BI81" s="158"/>
      <c r="BJ81" s="158">
        <f t="shared" ref="BJ81:BQ81" si="110">BJ109</f>
        <v>3153</v>
      </c>
      <c r="BK81" s="158">
        <f t="shared" si="110"/>
        <v>4278</v>
      </c>
      <c r="BL81" s="158">
        <f t="shared" si="110"/>
        <v>6986</v>
      </c>
      <c r="BM81" s="158">
        <f t="shared" si="110"/>
        <v>11492</v>
      </c>
      <c r="BN81" s="158">
        <f t="shared" si="110"/>
        <v>17080</v>
      </c>
      <c r="BO81" s="158">
        <f t="shared" si="110"/>
        <v>26885</v>
      </c>
      <c r="BP81" s="158">
        <f t="shared" si="110"/>
        <v>39942</v>
      </c>
      <c r="BQ81" s="158">
        <f t="shared" si="110"/>
        <v>55012</v>
      </c>
      <c r="BR81" s="857">
        <v>69655</v>
      </c>
      <c r="BS81" s="857">
        <v>84169</v>
      </c>
      <c r="BT81" s="857">
        <v>114934</v>
      </c>
      <c r="BU81" s="857">
        <v>113642</v>
      </c>
      <c r="BV81" s="857">
        <v>131948</v>
      </c>
      <c r="BW81" s="862">
        <v>160633</v>
      </c>
      <c r="BX81" s="158"/>
      <c r="BY81" s="158"/>
      <c r="BZ81" s="158"/>
      <c r="CA81" s="158"/>
      <c r="CB81" s="158"/>
      <c r="CC81" s="117"/>
    </row>
    <row r="82" spans="1:81" x14ac:dyDescent="0.55000000000000004">
      <c r="A82" s="337" t="s">
        <v>538</v>
      </c>
      <c r="B82" s="230"/>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763">
        <v>168</v>
      </c>
      <c r="AI82" s="763">
        <v>198</v>
      </c>
      <c r="AJ82" s="763">
        <v>192</v>
      </c>
      <c r="AK82" s="763">
        <v>176</v>
      </c>
      <c r="AL82" s="763">
        <v>155</v>
      </c>
      <c r="AM82" s="763">
        <v>215</v>
      </c>
      <c r="AN82" s="763">
        <v>218</v>
      </c>
      <c r="AO82" s="763">
        <v>192</v>
      </c>
      <c r="AP82" s="763">
        <v>184</v>
      </c>
      <c r="AQ82" s="763">
        <v>205</v>
      </c>
      <c r="AR82" s="763">
        <v>225</v>
      </c>
      <c r="AS82" s="763">
        <v>293</v>
      </c>
      <c r="AT82" s="763">
        <v>334</v>
      </c>
      <c r="AU82" s="763">
        <v>380</v>
      </c>
      <c r="AV82" s="763">
        <v>389</v>
      </c>
      <c r="AW82" s="763">
        <v>434</v>
      </c>
      <c r="AX82" s="763">
        <v>519</v>
      </c>
      <c r="AY82" s="764">
        <v>510</v>
      </c>
      <c r="AZ82" s="82"/>
      <c r="BA82" s="82"/>
      <c r="BB82" s="82"/>
      <c r="BC82" s="82"/>
      <c r="BD82" s="82"/>
      <c r="BE82" s="82"/>
      <c r="BF82" s="82"/>
      <c r="BG82" s="82"/>
      <c r="BH82" s="854"/>
      <c r="BI82" s="854"/>
      <c r="BJ82" s="854"/>
      <c r="BK82" s="854"/>
      <c r="BL82" s="854"/>
      <c r="BM82" s="854"/>
      <c r="BN82" s="854"/>
      <c r="BO82" s="854"/>
      <c r="BP82" s="854"/>
      <c r="BQ82" s="854"/>
      <c r="BR82" s="863">
        <v>541</v>
      </c>
      <c r="BS82" s="863">
        <v>657</v>
      </c>
      <c r="BT82" s="863">
        <v>721</v>
      </c>
      <c r="BU82" s="863">
        <v>808</v>
      </c>
      <c r="BV82" s="863">
        <v>1058</v>
      </c>
      <c r="BW82" s="864">
        <v>1722</v>
      </c>
      <c r="BX82" s="854"/>
      <c r="BY82" s="854"/>
      <c r="BZ82" s="854"/>
      <c r="CA82" s="854"/>
      <c r="CB82" s="854"/>
      <c r="CC82" s="117"/>
    </row>
    <row r="83" spans="1:81" x14ac:dyDescent="0.55000000000000004">
      <c r="A83" s="86" t="s">
        <v>539</v>
      </c>
      <c r="B83" s="229"/>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f t="shared" ref="AH83:AY83" si="111">SUM(AH81:AH82)</f>
        <v>27355</v>
      </c>
      <c r="AI83" s="37">
        <f t="shared" si="111"/>
        <v>25637</v>
      </c>
      <c r="AJ83" s="37">
        <f t="shared" si="111"/>
        <v>28772</v>
      </c>
      <c r="AK83" s="37">
        <f t="shared" si="111"/>
        <v>28452</v>
      </c>
      <c r="AL83" s="37">
        <f t="shared" si="111"/>
        <v>32794</v>
      </c>
      <c r="AM83" s="37">
        <f t="shared" si="111"/>
        <v>27213</v>
      </c>
      <c r="AN83" s="37">
        <f t="shared" si="111"/>
        <v>28370</v>
      </c>
      <c r="AO83" s="37">
        <f t="shared" si="111"/>
        <v>27429</v>
      </c>
      <c r="AP83" s="37">
        <f t="shared" si="111"/>
        <v>31438</v>
      </c>
      <c r="AQ83" s="37">
        <f t="shared" si="111"/>
        <v>28306</v>
      </c>
      <c r="AR83" s="37">
        <f t="shared" si="111"/>
        <v>31723</v>
      </c>
      <c r="AS83" s="37">
        <f t="shared" si="111"/>
        <v>33936</v>
      </c>
      <c r="AT83" s="37">
        <f t="shared" si="111"/>
        <v>39040</v>
      </c>
      <c r="AU83" s="37">
        <f t="shared" si="111"/>
        <v>36015</v>
      </c>
      <c r="AV83" s="37">
        <f t="shared" si="111"/>
        <v>38718</v>
      </c>
      <c r="AW83" s="37">
        <f t="shared" si="111"/>
        <v>40319</v>
      </c>
      <c r="AX83" s="37">
        <f t="shared" si="111"/>
        <v>47302</v>
      </c>
      <c r="AY83" s="273">
        <f t="shared" si="111"/>
        <v>41902</v>
      </c>
      <c r="AZ83" s="37">
        <f t="shared" ref="AZ83:BF83" si="112">AZ47</f>
        <v>43071.525000000001</v>
      </c>
      <c r="BA83" s="37">
        <f t="shared" si="112"/>
        <v>45530.762999999999</v>
      </c>
      <c r="BB83" s="37">
        <f t="shared" si="112"/>
        <v>55039.200000000004</v>
      </c>
      <c r="BC83" s="37">
        <f t="shared" si="112"/>
        <v>47610.720000000001</v>
      </c>
      <c r="BD83" s="37">
        <f t="shared" si="112"/>
        <v>47715.759000000005</v>
      </c>
      <c r="BE83" s="37">
        <f t="shared" si="112"/>
        <v>50886.327140000001</v>
      </c>
      <c r="BF83" s="37">
        <f t="shared" si="112"/>
        <v>63087.636480000008</v>
      </c>
      <c r="BG83" s="37"/>
      <c r="BH83" s="158"/>
      <c r="BI83" s="158"/>
      <c r="BJ83" s="158"/>
      <c r="BK83" s="158"/>
      <c r="BL83" s="158"/>
      <c r="BM83" s="158"/>
      <c r="BN83" s="158"/>
      <c r="BO83" s="158"/>
      <c r="BP83" s="158"/>
      <c r="BQ83" s="158"/>
      <c r="BR83" s="158">
        <f>+BR81+BR82</f>
        <v>70196</v>
      </c>
      <c r="BS83" s="158">
        <f>SUM(BS81:BS82)</f>
        <v>84826</v>
      </c>
      <c r="BT83" s="158">
        <f>SUM(BT81:BT82)</f>
        <v>115655</v>
      </c>
      <c r="BU83" s="158">
        <f>SUM(BU81:BU82)</f>
        <v>114450</v>
      </c>
      <c r="BV83" s="158">
        <f>SUM(BV81:BV82)</f>
        <v>133006</v>
      </c>
      <c r="BW83" s="846">
        <f>SUM(BW81:BW82)</f>
        <v>162355</v>
      </c>
      <c r="BX83" s="158">
        <f>BX47</f>
        <v>185543.48800000001</v>
      </c>
      <c r="BY83" s="158">
        <f>BY47</f>
        <v>209300.44262000002</v>
      </c>
      <c r="BZ83" s="158">
        <f>BZ47</f>
        <v>232828.09047054374</v>
      </c>
      <c r="CA83" s="158">
        <f>CA47</f>
        <v>244915.72353773678</v>
      </c>
      <c r="CB83" s="158">
        <f>CB47</f>
        <v>256762.08963451782</v>
      </c>
      <c r="CC83" s="117"/>
    </row>
    <row r="84" spans="1:81" x14ac:dyDescent="0.55000000000000004">
      <c r="A84" s="315" t="s">
        <v>540</v>
      </c>
      <c r="B84" s="230"/>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763">
        <v>717</v>
      </c>
      <c r="AI84" s="763">
        <v>534</v>
      </c>
      <c r="AJ84" s="763">
        <v>305</v>
      </c>
      <c r="AK84" s="763">
        <v>558</v>
      </c>
      <c r="AL84" s="763">
        <v>877</v>
      </c>
      <c r="AM84" s="763">
        <v>695</v>
      </c>
      <c r="AN84" s="763">
        <v>452</v>
      </c>
      <c r="AO84" s="763">
        <v>285</v>
      </c>
      <c r="AP84" s="763">
        <v>727</v>
      </c>
      <c r="AQ84" s="763">
        <v>339</v>
      </c>
      <c r="AR84" s="763">
        <v>276</v>
      </c>
      <c r="AS84" s="763">
        <v>210</v>
      </c>
      <c r="AT84" s="763">
        <v>1071</v>
      </c>
      <c r="AU84" s="763">
        <v>440</v>
      </c>
      <c r="AV84" s="763">
        <v>353</v>
      </c>
      <c r="AW84" s="763">
        <v>270</v>
      </c>
      <c r="AX84" s="763">
        <v>1083</v>
      </c>
      <c r="AY84" s="764">
        <v>412</v>
      </c>
      <c r="AZ84" s="82">
        <f t="shared" ref="AZ84:BF84" si="113">AZ67</f>
        <v>405.95</v>
      </c>
      <c r="BA84" s="82">
        <f t="shared" si="113"/>
        <v>324</v>
      </c>
      <c r="BB84" s="82">
        <f t="shared" si="113"/>
        <v>1245.4499999999998</v>
      </c>
      <c r="BC84" s="82">
        <f t="shared" si="113"/>
        <v>288.39999999999998</v>
      </c>
      <c r="BD84" s="82">
        <f t="shared" si="113"/>
        <v>466.84249999999997</v>
      </c>
      <c r="BE84" s="82">
        <f t="shared" si="113"/>
        <v>388.8</v>
      </c>
      <c r="BF84" s="82">
        <f t="shared" si="113"/>
        <v>1432.2674999999997</v>
      </c>
      <c r="BG84" s="82"/>
      <c r="BH84" s="854"/>
      <c r="BI84" s="854"/>
      <c r="BJ84" s="854"/>
      <c r="BK84" s="854"/>
      <c r="BL84" s="854"/>
      <c r="BM84" s="854"/>
      <c r="BN84" s="854"/>
      <c r="BO84" s="854"/>
      <c r="BP84" s="854"/>
      <c r="BQ84" s="854"/>
      <c r="BR84" s="863">
        <v>501</v>
      </c>
      <c r="BS84" s="863">
        <v>1139</v>
      </c>
      <c r="BT84" s="863">
        <v>2274</v>
      </c>
      <c r="BU84" s="863">
        <v>2159</v>
      </c>
      <c r="BV84" s="863">
        <v>1896</v>
      </c>
      <c r="BW84" s="864">
        <v>2146</v>
      </c>
      <c r="BX84" s="854">
        <f>SUM(AY84,AZ84,BA84,BB84)</f>
        <v>2387.3999999999996</v>
      </c>
      <c r="BY84" s="854">
        <f>SUM(BC84,BD84,BE84,BF84)</f>
        <v>2576.3099999999995</v>
      </c>
      <c r="BZ84" s="854">
        <f>BZ67</f>
        <v>2962.7564999999991</v>
      </c>
      <c r="CA84" s="854">
        <f>CA67</f>
        <v>3407.1699749999984</v>
      </c>
      <c r="CB84" s="854">
        <f>CB67</f>
        <v>3918.245471249998</v>
      </c>
      <c r="CC84" s="117"/>
    </row>
    <row r="85" spans="1:81" x14ac:dyDescent="0.55000000000000004">
      <c r="A85" s="192" t="s">
        <v>551</v>
      </c>
      <c r="B85" s="232"/>
      <c r="C85" s="35">
        <f t="shared" ref="C85:AG85" si="114">C135</f>
        <v>1458</v>
      </c>
      <c r="D85" s="35">
        <f t="shared" si="114"/>
        <v>1813</v>
      </c>
      <c r="E85" s="35">
        <f t="shared" si="114"/>
        <v>2016</v>
      </c>
      <c r="F85" s="35">
        <f t="shared" si="114"/>
        <v>2585</v>
      </c>
      <c r="G85" s="35">
        <f t="shared" si="114"/>
        <v>2502</v>
      </c>
      <c r="H85" s="35">
        <f t="shared" si="114"/>
        <v>2910</v>
      </c>
      <c r="I85" s="35">
        <f t="shared" si="114"/>
        <v>3203</v>
      </c>
      <c r="J85" s="35">
        <f t="shared" si="114"/>
        <v>3851</v>
      </c>
      <c r="K85" s="35">
        <f t="shared" si="114"/>
        <v>3543</v>
      </c>
      <c r="L85" s="35">
        <f t="shared" si="114"/>
        <v>4042</v>
      </c>
      <c r="M85" s="35">
        <f t="shared" si="114"/>
        <v>4501</v>
      </c>
      <c r="N85" s="35">
        <f t="shared" si="114"/>
        <v>5842</v>
      </c>
      <c r="O85" s="35">
        <f t="shared" si="114"/>
        <v>5382</v>
      </c>
      <c r="P85" s="35">
        <f t="shared" si="114"/>
        <v>6436</v>
      </c>
      <c r="Q85" s="35">
        <f t="shared" si="114"/>
        <v>7011</v>
      </c>
      <c r="R85" s="35">
        <f t="shared" si="114"/>
        <v>8809</v>
      </c>
      <c r="S85" s="35">
        <f t="shared" si="114"/>
        <v>8032</v>
      </c>
      <c r="T85" s="35">
        <f t="shared" si="114"/>
        <v>9321</v>
      </c>
      <c r="U85" s="35">
        <f t="shared" si="114"/>
        <v>10328</v>
      </c>
      <c r="V85" s="35">
        <f t="shared" si="114"/>
        <v>12972</v>
      </c>
      <c r="W85" s="35">
        <f t="shared" si="114"/>
        <v>11966</v>
      </c>
      <c r="X85" s="35">
        <f t="shared" si="114"/>
        <v>13231</v>
      </c>
      <c r="Y85" s="35">
        <f t="shared" si="114"/>
        <v>13727</v>
      </c>
      <c r="Z85" s="35">
        <f t="shared" si="114"/>
        <v>16914</v>
      </c>
      <c r="AA85" s="35">
        <f t="shared" si="114"/>
        <v>15077</v>
      </c>
      <c r="AB85" s="35">
        <f t="shared" si="114"/>
        <v>16886</v>
      </c>
      <c r="AC85" s="35">
        <f t="shared" si="114"/>
        <v>17652</v>
      </c>
      <c r="AD85" s="35">
        <f t="shared" si="114"/>
        <v>21082</v>
      </c>
      <c r="AE85" s="35">
        <f t="shared" si="114"/>
        <v>17737</v>
      </c>
      <c r="AF85" s="35">
        <f t="shared" si="114"/>
        <v>18687</v>
      </c>
      <c r="AG85" s="35">
        <f t="shared" si="114"/>
        <v>21470</v>
      </c>
      <c r="AH85" s="35">
        <f t="shared" ref="AH85:BF85" si="115">SUM(AH83:AH84)</f>
        <v>28072</v>
      </c>
      <c r="AI85" s="35">
        <f t="shared" si="115"/>
        <v>26171</v>
      </c>
      <c r="AJ85" s="35">
        <f t="shared" si="115"/>
        <v>29077</v>
      </c>
      <c r="AK85" s="35">
        <f t="shared" si="115"/>
        <v>29010</v>
      </c>
      <c r="AL85" s="35">
        <f t="shared" si="115"/>
        <v>33671</v>
      </c>
      <c r="AM85" s="35">
        <f t="shared" si="115"/>
        <v>27908</v>
      </c>
      <c r="AN85" s="35">
        <f t="shared" si="115"/>
        <v>28822</v>
      </c>
      <c r="AO85" s="35">
        <f t="shared" si="115"/>
        <v>27714</v>
      </c>
      <c r="AP85" s="35">
        <f t="shared" si="115"/>
        <v>32165</v>
      </c>
      <c r="AQ85" s="35">
        <f t="shared" si="115"/>
        <v>28645</v>
      </c>
      <c r="AR85" s="35">
        <f t="shared" si="115"/>
        <v>31999</v>
      </c>
      <c r="AS85" s="35">
        <f t="shared" si="115"/>
        <v>34146</v>
      </c>
      <c r="AT85" s="35">
        <f t="shared" si="115"/>
        <v>40111</v>
      </c>
      <c r="AU85" s="35">
        <f t="shared" si="115"/>
        <v>36455</v>
      </c>
      <c r="AV85" s="35">
        <f t="shared" si="115"/>
        <v>39071</v>
      </c>
      <c r="AW85" s="35">
        <f t="shared" si="115"/>
        <v>40589</v>
      </c>
      <c r="AX85" s="35">
        <f t="shared" si="115"/>
        <v>48385</v>
      </c>
      <c r="AY85" s="272">
        <f t="shared" si="115"/>
        <v>42314</v>
      </c>
      <c r="AZ85" s="35">
        <f t="shared" si="115"/>
        <v>43477.474999999999</v>
      </c>
      <c r="BA85" s="35">
        <f t="shared" si="115"/>
        <v>45854.762999999999</v>
      </c>
      <c r="BB85" s="35">
        <f t="shared" si="115"/>
        <v>56284.65</v>
      </c>
      <c r="BC85" s="35">
        <f t="shared" si="115"/>
        <v>47899.12</v>
      </c>
      <c r="BD85" s="35">
        <f t="shared" si="115"/>
        <v>48182.601500000004</v>
      </c>
      <c r="BE85" s="35">
        <f t="shared" si="115"/>
        <v>51275.127140000004</v>
      </c>
      <c r="BF85" s="35">
        <f t="shared" si="115"/>
        <v>64519.90398000001</v>
      </c>
      <c r="BG85" s="35"/>
      <c r="BH85" s="812"/>
      <c r="BI85" s="812"/>
      <c r="BJ85" s="812">
        <f t="shared" ref="BJ85:BQ85" si="116">BJ135</f>
        <v>3711</v>
      </c>
      <c r="BK85" s="812">
        <f t="shared" si="116"/>
        <v>5089</v>
      </c>
      <c r="BL85" s="812">
        <f t="shared" si="116"/>
        <v>7872</v>
      </c>
      <c r="BM85" s="812">
        <f t="shared" si="116"/>
        <v>12466</v>
      </c>
      <c r="BN85" s="812">
        <f t="shared" si="116"/>
        <v>17928</v>
      </c>
      <c r="BO85" s="812">
        <f t="shared" si="116"/>
        <v>27638</v>
      </c>
      <c r="BP85" s="812">
        <f t="shared" si="116"/>
        <v>40653</v>
      </c>
      <c r="BQ85" s="812">
        <f t="shared" si="116"/>
        <v>55838</v>
      </c>
      <c r="BR85" s="812">
        <f>+BR84+BR83</f>
        <v>70697</v>
      </c>
      <c r="BS85" s="812">
        <f t="shared" ref="BS85:CB85" si="117">SUM(BS83:BS84)</f>
        <v>85965</v>
      </c>
      <c r="BT85" s="812">
        <f t="shared" si="117"/>
        <v>117929</v>
      </c>
      <c r="BU85" s="812">
        <f t="shared" si="117"/>
        <v>116609</v>
      </c>
      <c r="BV85" s="812">
        <f t="shared" si="117"/>
        <v>134902</v>
      </c>
      <c r="BW85" s="814">
        <f t="shared" si="117"/>
        <v>164501</v>
      </c>
      <c r="BX85" s="812">
        <f t="shared" si="117"/>
        <v>187930.88800000001</v>
      </c>
      <c r="BY85" s="812">
        <f t="shared" si="117"/>
        <v>211876.75262000001</v>
      </c>
      <c r="BZ85" s="812">
        <f t="shared" si="117"/>
        <v>235790.84697054373</v>
      </c>
      <c r="CA85" s="812">
        <f t="shared" si="117"/>
        <v>248322.89351273677</v>
      </c>
      <c r="CB85" s="812">
        <f t="shared" si="117"/>
        <v>260680.33510576782</v>
      </c>
      <c r="CC85" s="6"/>
    </row>
    <row r="86" spans="1:81" outlineLevel="1" x14ac:dyDescent="0.55000000000000004">
      <c r="A86" s="192"/>
      <c r="B86" s="232"/>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272"/>
      <c r="AZ86" s="35"/>
      <c r="BA86" s="35"/>
      <c r="BB86" s="35"/>
      <c r="BC86" s="35"/>
      <c r="BD86" s="35"/>
      <c r="BE86" s="35"/>
      <c r="BF86" s="35"/>
      <c r="BG86" s="35"/>
      <c r="BH86" s="812"/>
      <c r="BI86" s="812"/>
      <c r="BJ86" s="812"/>
      <c r="BK86" s="812"/>
      <c r="BL86" s="812"/>
      <c r="BM86" s="812"/>
      <c r="BN86" s="812"/>
      <c r="BO86" s="812"/>
      <c r="BP86" s="812"/>
      <c r="BQ86" s="812"/>
      <c r="BR86" s="812"/>
      <c r="BS86" s="812"/>
      <c r="BT86" s="812"/>
      <c r="BU86" s="812"/>
      <c r="BV86" s="812"/>
      <c r="BW86" s="814"/>
      <c r="BX86" s="812"/>
      <c r="BY86" s="812"/>
      <c r="BZ86" s="812"/>
      <c r="CA86" s="812"/>
      <c r="CB86" s="812"/>
      <c r="CC86" s="6"/>
    </row>
    <row r="87" spans="1:81" s="709" customFormat="1" outlineLevel="1" x14ac:dyDescent="0.55000000000000004">
      <c r="A87" s="338" t="s">
        <v>561</v>
      </c>
      <c r="B87" s="237"/>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f t="shared" ref="AH87:AY87" si="118">AH81/AH85</f>
        <v>0.96847392419492728</v>
      </c>
      <c r="AI87" s="55">
        <f t="shared" si="118"/>
        <v>0.97203010966336789</v>
      </c>
      <c r="AJ87" s="55">
        <f t="shared" si="118"/>
        <v>0.98290745262578672</v>
      </c>
      <c r="AK87" s="55">
        <f t="shared" si="118"/>
        <v>0.97469837986901064</v>
      </c>
      <c r="AL87" s="55">
        <f t="shared" si="118"/>
        <v>0.96935047964123433</v>
      </c>
      <c r="AM87" s="55">
        <f t="shared" si="118"/>
        <v>0.96739286226171706</v>
      </c>
      <c r="AN87" s="55">
        <f t="shared" si="118"/>
        <v>0.97675386857261814</v>
      </c>
      <c r="AO87" s="55">
        <f t="shared" si="118"/>
        <v>0.98278848235548821</v>
      </c>
      <c r="AP87" s="55">
        <f t="shared" si="118"/>
        <v>0.97167728897870353</v>
      </c>
      <c r="AQ87" s="55">
        <f t="shared" si="118"/>
        <v>0.9810089020771513</v>
      </c>
      <c r="AR87" s="55">
        <f t="shared" si="118"/>
        <v>0.98434326072689771</v>
      </c>
      <c r="AS87" s="55">
        <f t="shared" si="118"/>
        <v>0.98526913840566976</v>
      </c>
      <c r="AT87" s="55">
        <f t="shared" si="118"/>
        <v>0.96497220213906409</v>
      </c>
      <c r="AU87" s="55">
        <f t="shared" si="118"/>
        <v>0.97750651488136053</v>
      </c>
      <c r="AV87" s="55">
        <f t="shared" si="118"/>
        <v>0.9810089324562975</v>
      </c>
      <c r="AW87" s="55">
        <f t="shared" si="118"/>
        <v>0.98265539924610112</v>
      </c>
      <c r="AX87" s="55">
        <f t="shared" si="118"/>
        <v>0.96689056525782779</v>
      </c>
      <c r="AY87" s="275">
        <f t="shared" si="118"/>
        <v>0.97821052134045472</v>
      </c>
      <c r="AZ87" s="55"/>
      <c r="BA87" s="55"/>
      <c r="BB87" s="55"/>
      <c r="BC87" s="55"/>
      <c r="BD87" s="55"/>
      <c r="BE87" s="55"/>
      <c r="BF87" s="55"/>
      <c r="BG87" s="55"/>
      <c r="BH87" s="156"/>
      <c r="BI87" s="156"/>
      <c r="BJ87" s="156"/>
      <c r="BK87" s="156"/>
      <c r="BL87" s="156"/>
      <c r="BM87" s="156"/>
      <c r="BN87" s="156"/>
      <c r="BO87" s="156"/>
      <c r="BP87" s="156"/>
      <c r="BQ87" s="156"/>
      <c r="BR87" s="156">
        <f t="shared" ref="BR87:BW87" si="119">BR81/BR85</f>
        <v>0.98526104360863964</v>
      </c>
      <c r="BS87" s="156">
        <f t="shared" si="119"/>
        <v>0.97910777642063629</v>
      </c>
      <c r="BT87" s="156">
        <f t="shared" si="119"/>
        <v>0.97460336304047346</v>
      </c>
      <c r="BU87" s="156">
        <f t="shared" si="119"/>
        <v>0.97455599482029687</v>
      </c>
      <c r="BV87" s="156">
        <f t="shared" si="119"/>
        <v>0.97810262264458647</v>
      </c>
      <c r="BW87" s="856">
        <f t="shared" si="119"/>
        <v>0.97648646512787152</v>
      </c>
      <c r="BX87" s="156"/>
      <c r="BY87" s="156"/>
      <c r="BZ87" s="156"/>
      <c r="CA87" s="156"/>
      <c r="CB87" s="156"/>
      <c r="CC87" s="24"/>
    </row>
    <row r="88" spans="1:81" s="709" customFormat="1" outlineLevel="1" x14ac:dyDescent="0.55000000000000004">
      <c r="A88" s="339" t="s">
        <v>558</v>
      </c>
      <c r="B88" s="340"/>
      <c r="C88" s="330"/>
      <c r="D88" s="330"/>
      <c r="E88" s="330"/>
      <c r="F88" s="330"/>
      <c r="G88" s="330"/>
      <c r="H88" s="330"/>
      <c r="I88" s="330"/>
      <c r="J88" s="330"/>
      <c r="K88" s="330"/>
      <c r="L88" s="330"/>
      <c r="M88" s="330"/>
      <c r="N88" s="330"/>
      <c r="O88" s="330"/>
      <c r="P88" s="330"/>
      <c r="Q88" s="330"/>
      <c r="R88" s="330"/>
      <c r="S88" s="330"/>
      <c r="T88" s="330"/>
      <c r="U88" s="330"/>
      <c r="V88" s="330"/>
      <c r="W88" s="330"/>
      <c r="X88" s="330"/>
      <c r="Y88" s="330"/>
      <c r="Z88" s="330"/>
      <c r="AA88" s="330"/>
      <c r="AB88" s="330"/>
      <c r="AC88" s="330"/>
      <c r="AD88" s="330"/>
      <c r="AE88" s="330"/>
      <c r="AF88" s="330"/>
      <c r="AG88" s="330"/>
      <c r="AH88" s="330">
        <f t="shared" ref="AH88:AY88" si="120">AH82/AH85</f>
        <v>5.9846110002849812E-3</v>
      </c>
      <c r="AI88" s="330">
        <f t="shared" si="120"/>
        <v>7.5656260746627948E-3</v>
      </c>
      <c r="AJ88" s="330">
        <f t="shared" si="120"/>
        <v>6.6031571345049351E-3</v>
      </c>
      <c r="AK88" s="330">
        <f t="shared" si="120"/>
        <v>6.0668734918993454E-3</v>
      </c>
      <c r="AL88" s="330">
        <f t="shared" si="120"/>
        <v>4.6033678833417484E-3</v>
      </c>
      <c r="AM88" s="330">
        <f t="shared" si="120"/>
        <v>7.7038841909130001E-3</v>
      </c>
      <c r="AN88" s="330">
        <f t="shared" si="120"/>
        <v>7.563666643536188E-3</v>
      </c>
      <c r="AO88" s="330">
        <f t="shared" si="120"/>
        <v>6.9279064732626107E-3</v>
      </c>
      <c r="AP88" s="330">
        <f t="shared" si="120"/>
        <v>5.7205036530390179E-3</v>
      </c>
      <c r="AQ88" s="330">
        <f t="shared" si="120"/>
        <v>7.1565718275440737E-3</v>
      </c>
      <c r="AR88" s="330">
        <f t="shared" si="120"/>
        <v>7.0314697334291701E-3</v>
      </c>
      <c r="AS88" s="330">
        <f t="shared" si="120"/>
        <v>8.5808000937152226E-3</v>
      </c>
      <c r="AT88" s="330">
        <f t="shared" si="120"/>
        <v>8.3268928722794247E-3</v>
      </c>
      <c r="AU88" s="330">
        <f t="shared" si="120"/>
        <v>1.0423810176930462E-2</v>
      </c>
      <c r="AV88" s="330">
        <f t="shared" si="120"/>
        <v>9.9562335235852673E-3</v>
      </c>
      <c r="AW88" s="330">
        <f t="shared" si="120"/>
        <v>1.0692552169306955E-2</v>
      </c>
      <c r="AX88" s="330">
        <f t="shared" si="120"/>
        <v>1.072646481347525E-2</v>
      </c>
      <c r="AY88" s="633">
        <f t="shared" si="120"/>
        <v>1.2052748499314647E-2</v>
      </c>
      <c r="AZ88" s="330"/>
      <c r="BA88" s="330"/>
      <c r="BB88" s="330"/>
      <c r="BC88" s="330"/>
      <c r="BD88" s="330"/>
      <c r="BE88" s="330"/>
      <c r="BF88" s="330"/>
      <c r="BG88" s="330"/>
      <c r="BH88" s="865"/>
      <c r="BI88" s="865"/>
      <c r="BJ88" s="865"/>
      <c r="BK88" s="865"/>
      <c r="BL88" s="865"/>
      <c r="BM88" s="865"/>
      <c r="BN88" s="865"/>
      <c r="BO88" s="865"/>
      <c r="BP88" s="865"/>
      <c r="BQ88" s="865"/>
      <c r="BR88" s="865">
        <f t="shared" ref="BR88:BW88" si="121">BR82/BR85</f>
        <v>7.6523756312149027E-3</v>
      </c>
      <c r="BS88" s="865">
        <f t="shared" si="121"/>
        <v>7.6426452626068746E-3</v>
      </c>
      <c r="BT88" s="865">
        <f t="shared" si="121"/>
        <v>6.1138481628776635E-3</v>
      </c>
      <c r="BU88" s="865">
        <f t="shared" si="121"/>
        <v>6.9291392602629301E-3</v>
      </c>
      <c r="BV88" s="865">
        <f t="shared" si="121"/>
        <v>7.8427302782760819E-3</v>
      </c>
      <c r="BW88" s="866">
        <f t="shared" si="121"/>
        <v>1.0468021470994097E-2</v>
      </c>
      <c r="BX88" s="865"/>
      <c r="BY88" s="865"/>
      <c r="BZ88" s="865"/>
      <c r="CA88" s="865"/>
      <c r="CB88" s="865"/>
      <c r="CC88" s="24"/>
    </row>
    <row r="89" spans="1:81" s="709" customFormat="1" outlineLevel="1" x14ac:dyDescent="0.55000000000000004">
      <c r="A89" s="321" t="s">
        <v>559</v>
      </c>
      <c r="B89" s="237"/>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f t="shared" ref="AH89:BF89" si="122">AH83/AH85</f>
        <v>0.97445853519521231</v>
      </c>
      <c r="AI89" s="55">
        <f t="shared" si="122"/>
        <v>0.9795957357380306</v>
      </c>
      <c r="AJ89" s="55">
        <f t="shared" si="122"/>
        <v>0.98951060976029159</v>
      </c>
      <c r="AK89" s="55">
        <f t="shared" si="122"/>
        <v>0.98076525336091003</v>
      </c>
      <c r="AL89" s="55">
        <f t="shared" si="122"/>
        <v>0.97395384752457603</v>
      </c>
      <c r="AM89" s="55">
        <f t="shared" si="122"/>
        <v>0.97509674645263011</v>
      </c>
      <c r="AN89" s="55">
        <f t="shared" si="122"/>
        <v>0.98431753521615428</v>
      </c>
      <c r="AO89" s="55">
        <f t="shared" si="122"/>
        <v>0.98971638882875079</v>
      </c>
      <c r="AP89" s="55">
        <f t="shared" si="122"/>
        <v>0.97739779263174253</v>
      </c>
      <c r="AQ89" s="55">
        <f t="shared" si="122"/>
        <v>0.98816547390469545</v>
      </c>
      <c r="AR89" s="55">
        <f t="shared" si="122"/>
        <v>0.99137473046032687</v>
      </c>
      <c r="AS89" s="55">
        <f t="shared" si="122"/>
        <v>0.99384993849938497</v>
      </c>
      <c r="AT89" s="55">
        <f t="shared" si="122"/>
        <v>0.97329909501134348</v>
      </c>
      <c r="AU89" s="55">
        <f t="shared" si="122"/>
        <v>0.98793032505829104</v>
      </c>
      <c r="AV89" s="55">
        <f t="shared" si="122"/>
        <v>0.99096516597988282</v>
      </c>
      <c r="AW89" s="55">
        <f t="shared" si="122"/>
        <v>0.9933479514154081</v>
      </c>
      <c r="AX89" s="55">
        <f t="shared" si="122"/>
        <v>0.97761703007130307</v>
      </c>
      <c r="AY89" s="275">
        <f t="shared" si="122"/>
        <v>0.99026326983976931</v>
      </c>
      <c r="AZ89" s="55">
        <f t="shared" si="122"/>
        <v>0.99066298123338581</v>
      </c>
      <c r="BA89" s="55">
        <f t="shared" si="122"/>
        <v>0.99293421274470439</v>
      </c>
      <c r="BB89" s="55">
        <f t="shared" si="122"/>
        <v>0.97787229733151049</v>
      </c>
      <c r="BC89" s="55">
        <f t="shared" si="122"/>
        <v>0.99397901255805954</v>
      </c>
      <c r="BD89" s="55">
        <f t="shared" si="122"/>
        <v>0.99031097355754028</v>
      </c>
      <c r="BE89" s="55">
        <f t="shared" si="122"/>
        <v>0.99241737618829429</v>
      </c>
      <c r="BF89" s="55">
        <f t="shared" si="122"/>
        <v>0.9778011526420749</v>
      </c>
      <c r="BG89" s="55"/>
      <c r="BH89" s="156"/>
      <c r="BI89" s="156"/>
      <c r="BJ89" s="156"/>
      <c r="BK89" s="156"/>
      <c r="BL89" s="156"/>
      <c r="BM89" s="156"/>
      <c r="BN89" s="156"/>
      <c r="BO89" s="156"/>
      <c r="BP89" s="156"/>
      <c r="BQ89" s="156"/>
      <c r="BR89" s="156">
        <f t="shared" ref="BR89:CB89" si="123">BR83/BR85</f>
        <v>0.99291341923985454</v>
      </c>
      <c r="BS89" s="156">
        <f t="shared" si="123"/>
        <v>0.98675042168324323</v>
      </c>
      <c r="BT89" s="156">
        <f t="shared" si="123"/>
        <v>0.9807172112033512</v>
      </c>
      <c r="BU89" s="156">
        <f t="shared" si="123"/>
        <v>0.98148513408055982</v>
      </c>
      <c r="BV89" s="156">
        <f t="shared" si="123"/>
        <v>0.98594535292286256</v>
      </c>
      <c r="BW89" s="856">
        <f t="shared" si="123"/>
        <v>0.98695448659886564</v>
      </c>
      <c r="BX89" s="156">
        <f t="shared" si="123"/>
        <v>0.98729639376790479</v>
      </c>
      <c r="BY89" s="156">
        <f t="shared" si="123"/>
        <v>0.98784052536136135</v>
      </c>
      <c r="BZ89" s="156">
        <f t="shared" si="123"/>
        <v>0.98743481124027643</v>
      </c>
      <c r="CA89" s="156">
        <f t="shared" si="123"/>
        <v>0.98627927563664108</v>
      </c>
      <c r="CB89" s="156">
        <f t="shared" si="123"/>
        <v>0.98496915592171452</v>
      </c>
      <c r="CC89" s="24"/>
    </row>
    <row r="90" spans="1:81" s="709" customFormat="1" outlineLevel="1" x14ac:dyDescent="0.55000000000000004">
      <c r="A90" s="329" t="s">
        <v>560</v>
      </c>
      <c r="B90" s="340"/>
      <c r="C90" s="330"/>
      <c r="D90" s="330"/>
      <c r="E90" s="330"/>
      <c r="F90" s="330"/>
      <c r="G90" s="330"/>
      <c r="H90" s="330"/>
      <c r="I90" s="330"/>
      <c r="J90" s="330"/>
      <c r="K90" s="330"/>
      <c r="L90" s="330"/>
      <c r="M90" s="330"/>
      <c r="N90" s="330"/>
      <c r="O90" s="330"/>
      <c r="P90" s="330"/>
      <c r="Q90" s="330"/>
      <c r="R90" s="330"/>
      <c r="S90" s="330"/>
      <c r="T90" s="330"/>
      <c r="U90" s="330"/>
      <c r="V90" s="330"/>
      <c r="W90" s="330"/>
      <c r="X90" s="330"/>
      <c r="Y90" s="330"/>
      <c r="Z90" s="330"/>
      <c r="AA90" s="330"/>
      <c r="AB90" s="330"/>
      <c r="AC90" s="330"/>
      <c r="AD90" s="330"/>
      <c r="AE90" s="330"/>
      <c r="AF90" s="330"/>
      <c r="AG90" s="330"/>
      <c r="AH90" s="330">
        <f t="shared" ref="AH90:BF90" si="124">AH84/AH85</f>
        <v>2.5541464804787688E-2</v>
      </c>
      <c r="AI90" s="330">
        <f t="shared" si="124"/>
        <v>2.0404264261969354E-2</v>
      </c>
      <c r="AJ90" s="330">
        <f t="shared" si="124"/>
        <v>1.048939023970836E-2</v>
      </c>
      <c r="AK90" s="330">
        <f t="shared" si="124"/>
        <v>1.9234746639089969E-2</v>
      </c>
      <c r="AL90" s="330">
        <f t="shared" si="124"/>
        <v>2.6046152475423957E-2</v>
      </c>
      <c r="AM90" s="330">
        <f t="shared" si="124"/>
        <v>2.4903253547369931E-2</v>
      </c>
      <c r="AN90" s="330">
        <f t="shared" si="124"/>
        <v>1.5682464783845673E-2</v>
      </c>
      <c r="AO90" s="330">
        <f t="shared" si="124"/>
        <v>1.0283611171249188E-2</v>
      </c>
      <c r="AP90" s="330">
        <f t="shared" si="124"/>
        <v>2.2602207368257424E-2</v>
      </c>
      <c r="AQ90" s="330">
        <f t="shared" si="124"/>
        <v>1.183452609530459E-2</v>
      </c>
      <c r="AR90" s="330">
        <f t="shared" si="124"/>
        <v>8.6252695396731149E-3</v>
      </c>
      <c r="AS90" s="330">
        <f t="shared" si="124"/>
        <v>6.1500615006150061E-3</v>
      </c>
      <c r="AT90" s="330">
        <f t="shared" si="124"/>
        <v>2.6700904988656477E-2</v>
      </c>
      <c r="AU90" s="330">
        <f t="shared" si="124"/>
        <v>1.2069674941708956E-2</v>
      </c>
      <c r="AV90" s="330">
        <f t="shared" si="124"/>
        <v>9.0348340201172224E-3</v>
      </c>
      <c r="AW90" s="330">
        <f t="shared" si="124"/>
        <v>6.6520485845918843E-3</v>
      </c>
      <c r="AX90" s="330">
        <f t="shared" si="124"/>
        <v>2.238296992869691E-2</v>
      </c>
      <c r="AY90" s="633">
        <f t="shared" si="124"/>
        <v>9.7367301602306559E-3</v>
      </c>
      <c r="AZ90" s="330">
        <f t="shared" si="124"/>
        <v>9.3370187666142069E-3</v>
      </c>
      <c r="BA90" s="330">
        <f t="shared" si="124"/>
        <v>7.065787255295595E-3</v>
      </c>
      <c r="BB90" s="330">
        <f t="shared" si="124"/>
        <v>2.2127702668489541E-2</v>
      </c>
      <c r="BC90" s="330">
        <f t="shared" si="124"/>
        <v>6.0209874419404775E-3</v>
      </c>
      <c r="BD90" s="330">
        <f t="shared" si="124"/>
        <v>9.6890264424597319E-3</v>
      </c>
      <c r="BE90" s="330">
        <f t="shared" si="124"/>
        <v>7.5826238117056768E-3</v>
      </c>
      <c r="BF90" s="330">
        <f t="shared" si="124"/>
        <v>2.2198847357925027E-2</v>
      </c>
      <c r="BG90" s="330"/>
      <c r="BH90" s="865"/>
      <c r="BI90" s="865"/>
      <c r="BJ90" s="865"/>
      <c r="BK90" s="865"/>
      <c r="BL90" s="865"/>
      <c r="BM90" s="865"/>
      <c r="BN90" s="865"/>
      <c r="BO90" s="865"/>
      <c r="BP90" s="865"/>
      <c r="BQ90" s="865"/>
      <c r="BR90" s="865">
        <f t="shared" ref="BR90:CB90" si="125">BR84/BR85</f>
        <v>7.0865807601454096E-3</v>
      </c>
      <c r="BS90" s="865">
        <f t="shared" si="125"/>
        <v>1.324957831675682E-2</v>
      </c>
      <c r="BT90" s="865">
        <f t="shared" si="125"/>
        <v>1.9282788796648832E-2</v>
      </c>
      <c r="BU90" s="865">
        <f t="shared" si="125"/>
        <v>1.8514865919440182E-2</v>
      </c>
      <c r="BV90" s="865">
        <f t="shared" si="125"/>
        <v>1.4054647077137477E-2</v>
      </c>
      <c r="BW90" s="866">
        <f t="shared" si="125"/>
        <v>1.3045513401134339E-2</v>
      </c>
      <c r="BX90" s="865">
        <f t="shared" si="125"/>
        <v>1.2703606232095278E-2</v>
      </c>
      <c r="BY90" s="865">
        <f t="shared" si="125"/>
        <v>1.2159474638638623E-2</v>
      </c>
      <c r="BZ90" s="865">
        <f t="shared" si="125"/>
        <v>1.2565188759723666E-2</v>
      </c>
      <c r="CA90" s="865">
        <f t="shared" si="125"/>
        <v>1.3720724363358954E-2</v>
      </c>
      <c r="CB90" s="865">
        <f t="shared" si="125"/>
        <v>1.5030844078285454E-2</v>
      </c>
      <c r="CC90" s="24"/>
    </row>
    <row r="91" spans="1:81" s="709" customFormat="1" outlineLevel="1" x14ac:dyDescent="0.55000000000000004">
      <c r="A91" s="228" t="s">
        <v>471</v>
      </c>
      <c r="B91" s="335"/>
      <c r="C91" s="121"/>
      <c r="D91" s="121"/>
      <c r="E91" s="121"/>
      <c r="F91" s="121"/>
      <c r="G91" s="121"/>
      <c r="H91" s="121"/>
      <c r="I91" s="121"/>
      <c r="J91" s="121"/>
      <c r="K91" s="121"/>
      <c r="L91" s="121"/>
      <c r="M91" s="121"/>
      <c r="N91" s="121"/>
      <c r="O91" s="121"/>
      <c r="P91" s="121"/>
      <c r="Q91" s="121"/>
      <c r="R91" s="121"/>
      <c r="S91" s="121"/>
      <c r="T91" s="121"/>
      <c r="U91" s="121"/>
      <c r="V91" s="121"/>
      <c r="W91" s="121"/>
      <c r="X91" s="121"/>
      <c r="Y91" s="121"/>
      <c r="Z91" s="121"/>
      <c r="AA91" s="121"/>
      <c r="AB91" s="121"/>
      <c r="AC91" s="121"/>
      <c r="AD91" s="121"/>
      <c r="AE91" s="121"/>
      <c r="AF91" s="121"/>
      <c r="AG91" s="121"/>
      <c r="AH91" s="121">
        <f t="shared" ref="AH91:BF91" si="126">SUM(AH89:AH90)</f>
        <v>1</v>
      </c>
      <c r="AI91" s="121">
        <f t="shared" si="126"/>
        <v>1</v>
      </c>
      <c r="AJ91" s="121">
        <f t="shared" si="126"/>
        <v>1</v>
      </c>
      <c r="AK91" s="121">
        <f t="shared" si="126"/>
        <v>1</v>
      </c>
      <c r="AL91" s="121">
        <f t="shared" si="126"/>
        <v>1</v>
      </c>
      <c r="AM91" s="121">
        <f t="shared" si="126"/>
        <v>1</v>
      </c>
      <c r="AN91" s="121">
        <f t="shared" si="126"/>
        <v>1</v>
      </c>
      <c r="AO91" s="121">
        <f t="shared" si="126"/>
        <v>1</v>
      </c>
      <c r="AP91" s="121">
        <f t="shared" si="126"/>
        <v>1</v>
      </c>
      <c r="AQ91" s="121">
        <f t="shared" si="126"/>
        <v>1</v>
      </c>
      <c r="AR91" s="121">
        <f t="shared" si="126"/>
        <v>1</v>
      </c>
      <c r="AS91" s="121">
        <f t="shared" si="126"/>
        <v>1</v>
      </c>
      <c r="AT91" s="121">
        <f t="shared" si="126"/>
        <v>1</v>
      </c>
      <c r="AU91" s="121">
        <f t="shared" si="126"/>
        <v>1</v>
      </c>
      <c r="AV91" s="121">
        <f t="shared" si="126"/>
        <v>1</v>
      </c>
      <c r="AW91" s="121">
        <f t="shared" si="126"/>
        <v>1</v>
      </c>
      <c r="AX91" s="121">
        <f t="shared" si="126"/>
        <v>1</v>
      </c>
      <c r="AY91" s="634">
        <f t="shared" si="126"/>
        <v>1</v>
      </c>
      <c r="AZ91" s="121">
        <f t="shared" si="126"/>
        <v>1</v>
      </c>
      <c r="BA91" s="121">
        <f t="shared" si="126"/>
        <v>1</v>
      </c>
      <c r="BB91" s="121">
        <f t="shared" si="126"/>
        <v>1</v>
      </c>
      <c r="BC91" s="121">
        <f t="shared" si="126"/>
        <v>1</v>
      </c>
      <c r="BD91" s="121">
        <f t="shared" si="126"/>
        <v>1</v>
      </c>
      <c r="BE91" s="121">
        <f t="shared" si="126"/>
        <v>1</v>
      </c>
      <c r="BF91" s="121">
        <f t="shared" si="126"/>
        <v>0.99999999999999989</v>
      </c>
      <c r="BG91" s="121"/>
      <c r="BH91" s="867"/>
      <c r="BI91" s="867"/>
      <c r="BJ91" s="867"/>
      <c r="BK91" s="867"/>
      <c r="BL91" s="867"/>
      <c r="BM91" s="867"/>
      <c r="BN91" s="867"/>
      <c r="BO91" s="867"/>
      <c r="BP91" s="867"/>
      <c r="BQ91" s="867"/>
      <c r="BR91" s="867">
        <f t="shared" ref="BR91:CB91" si="127">SUM(BR89:BR90)</f>
        <v>1</v>
      </c>
      <c r="BS91" s="867">
        <f t="shared" si="127"/>
        <v>1</v>
      </c>
      <c r="BT91" s="867">
        <f t="shared" si="127"/>
        <v>1</v>
      </c>
      <c r="BU91" s="867">
        <f t="shared" si="127"/>
        <v>1</v>
      </c>
      <c r="BV91" s="867">
        <f t="shared" si="127"/>
        <v>1</v>
      </c>
      <c r="BW91" s="868">
        <f t="shared" si="127"/>
        <v>1</v>
      </c>
      <c r="BX91" s="867">
        <f t="shared" si="127"/>
        <v>1</v>
      </c>
      <c r="BY91" s="867">
        <f t="shared" si="127"/>
        <v>1</v>
      </c>
      <c r="BZ91" s="867">
        <f t="shared" si="127"/>
        <v>1</v>
      </c>
      <c r="CA91" s="867">
        <f t="shared" si="127"/>
        <v>1</v>
      </c>
      <c r="CB91" s="867">
        <f t="shared" si="127"/>
        <v>1</v>
      </c>
      <c r="CC91" s="9"/>
    </row>
    <row r="92" spans="1:81" x14ac:dyDescent="0.55000000000000004">
      <c r="A92" s="192"/>
      <c r="B92" s="232"/>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272"/>
      <c r="AZ92" s="35"/>
      <c r="BA92" s="35"/>
      <c r="BB92" s="35"/>
      <c r="BC92" s="35"/>
      <c r="BD92" s="35"/>
      <c r="BE92" s="35"/>
      <c r="BF92" s="35"/>
      <c r="BG92" s="35"/>
      <c r="BH92" s="812"/>
      <c r="BI92" s="812"/>
      <c r="BJ92" s="812"/>
      <c r="BK92" s="812"/>
      <c r="BL92" s="812"/>
      <c r="BM92" s="812"/>
      <c r="BN92" s="812"/>
      <c r="BO92" s="812"/>
      <c r="BP92" s="812"/>
      <c r="BQ92" s="812"/>
      <c r="BR92" s="812"/>
      <c r="BS92" s="812"/>
      <c r="BT92" s="812"/>
      <c r="BU92" s="812"/>
      <c r="BV92" s="812"/>
      <c r="BW92" s="814"/>
      <c r="BX92" s="812"/>
      <c r="BY92" s="812"/>
      <c r="BZ92" s="812"/>
      <c r="CA92" s="812"/>
      <c r="CB92" s="812"/>
      <c r="CC92" s="6"/>
    </row>
    <row r="93" spans="1:81" x14ac:dyDescent="0.55000000000000004">
      <c r="A93" s="86" t="s">
        <v>548</v>
      </c>
      <c r="B93" s="229"/>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759">
        <v>14874</v>
      </c>
      <c r="AI93" s="759">
        <v>13205</v>
      </c>
      <c r="AJ93" s="759">
        <v>14799</v>
      </c>
      <c r="AK93" s="759">
        <v>13054</v>
      </c>
      <c r="AL93" s="759">
        <v>15889</v>
      </c>
      <c r="AM93" s="759">
        <v>11484</v>
      </c>
      <c r="AN93" s="759">
        <v>11164</v>
      </c>
      <c r="AO93" s="759">
        <v>9336</v>
      </c>
      <c r="AP93" s="759">
        <v>10678</v>
      </c>
      <c r="AQ93" s="759">
        <v>11219</v>
      </c>
      <c r="AR93" s="759">
        <v>13131</v>
      </c>
      <c r="AS93" s="759">
        <v>17490</v>
      </c>
      <c r="AT93" s="759">
        <v>21030</v>
      </c>
      <c r="AU93" s="759">
        <v>17664</v>
      </c>
      <c r="AV93" s="759">
        <v>19335</v>
      </c>
      <c r="AW93" s="759">
        <v>21778</v>
      </c>
      <c r="AX93" s="759">
        <v>28332</v>
      </c>
      <c r="AY93" s="762">
        <v>21765</v>
      </c>
      <c r="AZ93" s="37">
        <f t="shared" ref="AZ93:BF93" si="128">AZ61</f>
        <v>17201.911394700142</v>
      </c>
      <c r="BA93" s="37">
        <f t="shared" si="128"/>
        <v>20040.01769077358</v>
      </c>
      <c r="BB93" s="37">
        <f t="shared" si="128"/>
        <v>27462.352343664119</v>
      </c>
      <c r="BC93" s="37">
        <f t="shared" si="128"/>
        <v>26396.634395265144</v>
      </c>
      <c r="BD93" s="37">
        <f t="shared" si="128"/>
        <v>23112.565703563465</v>
      </c>
      <c r="BE93" s="37">
        <f t="shared" si="128"/>
        <v>24432.681440944973</v>
      </c>
      <c r="BF93" s="37">
        <f t="shared" si="128"/>
        <v>31478.199202436772</v>
      </c>
      <c r="BG93" s="37"/>
      <c r="BH93" s="158"/>
      <c r="BI93" s="158"/>
      <c r="BJ93" s="158"/>
      <c r="BK93" s="158"/>
      <c r="BL93" s="158"/>
      <c r="BM93" s="158"/>
      <c r="BN93" s="158"/>
      <c r="BO93" s="158"/>
      <c r="BP93" s="158"/>
      <c r="BQ93" s="158"/>
      <c r="BR93" s="857">
        <v>28489</v>
      </c>
      <c r="BS93" s="857">
        <v>39294</v>
      </c>
      <c r="BT93" s="857">
        <v>56946</v>
      </c>
      <c r="BU93" s="857">
        <v>42661</v>
      </c>
      <c r="BV93" s="857">
        <v>62871</v>
      </c>
      <c r="BW93" s="862">
        <v>87109</v>
      </c>
      <c r="BX93" s="158">
        <f>SUM(AY93,AZ93,BA93,BB93)</f>
        <v>86469.281429137845</v>
      </c>
      <c r="BY93" s="158">
        <f>SUM(BC93,BD93,BE93,BF93)</f>
        <v>105420.08074221035</v>
      </c>
      <c r="BZ93" s="158">
        <f>BZ61</f>
        <v>117503.2733375556</v>
      </c>
      <c r="CA93" s="158">
        <f>CA61</f>
        <v>133155.35206309118</v>
      </c>
      <c r="CB93" s="158">
        <f>CB61</f>
        <v>149609.68515167412</v>
      </c>
      <c r="CC93" s="117"/>
    </row>
    <row r="94" spans="1:81" x14ac:dyDescent="0.55000000000000004">
      <c r="A94" s="315" t="s">
        <v>549</v>
      </c>
      <c r="B94" s="230"/>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763">
        <v>-2099</v>
      </c>
      <c r="AI94" s="763">
        <v>-1827</v>
      </c>
      <c r="AJ94" s="763">
        <v>-2432</v>
      </c>
      <c r="AK94" s="763">
        <v>-2631</v>
      </c>
      <c r="AL94" s="763">
        <v>-3304</v>
      </c>
      <c r="AM94" s="763">
        <v>-2960</v>
      </c>
      <c r="AN94" s="763">
        <v>-2806</v>
      </c>
      <c r="AO94" s="763">
        <v>-3672</v>
      </c>
      <c r="AP94" s="763">
        <v>-4279</v>
      </c>
      <c r="AQ94" s="763">
        <v>-3992</v>
      </c>
      <c r="AR94" s="763">
        <v>-3739</v>
      </c>
      <c r="AS94" s="763">
        <v>-3742</v>
      </c>
      <c r="AT94" s="763">
        <v>-4646</v>
      </c>
      <c r="AU94" s="763">
        <v>-3846</v>
      </c>
      <c r="AV94" s="763">
        <v>-4488</v>
      </c>
      <c r="AW94" s="763">
        <v>-4428</v>
      </c>
      <c r="AX94" s="763">
        <v>-4967</v>
      </c>
      <c r="AY94" s="764">
        <v>-4210</v>
      </c>
      <c r="AZ94" s="82">
        <f t="shared" ref="AZ94:BF94" si="129">AZ72</f>
        <v>-2029.75</v>
      </c>
      <c r="BA94" s="82">
        <f t="shared" si="129"/>
        <v>-1620</v>
      </c>
      <c r="BB94" s="82">
        <f t="shared" si="129"/>
        <v>-6227.2499999999991</v>
      </c>
      <c r="BC94" s="82">
        <f t="shared" si="129"/>
        <v>-1153.5999999999999</v>
      </c>
      <c r="BD94" s="82">
        <f t="shared" si="129"/>
        <v>-1400.5274999999999</v>
      </c>
      <c r="BE94" s="82">
        <f t="shared" si="129"/>
        <v>-1555.2</v>
      </c>
      <c r="BF94" s="82">
        <f t="shared" si="129"/>
        <v>-4296.8024999999989</v>
      </c>
      <c r="BG94" s="82"/>
      <c r="BH94" s="854"/>
      <c r="BI94" s="854"/>
      <c r="BJ94" s="854"/>
      <c r="BK94" s="854"/>
      <c r="BL94" s="854"/>
      <c r="BM94" s="854"/>
      <c r="BN94" s="854"/>
      <c r="BO94" s="854"/>
      <c r="BP94" s="854"/>
      <c r="BQ94" s="854"/>
      <c r="BR94" s="863">
        <v>-4503</v>
      </c>
      <c r="BS94" s="863">
        <v>-6623</v>
      </c>
      <c r="BT94" s="863">
        <v>-10193</v>
      </c>
      <c r="BU94" s="863">
        <v>-13717</v>
      </c>
      <c r="BV94" s="863">
        <v>-16120</v>
      </c>
      <c r="BW94" s="864">
        <v>-17729</v>
      </c>
      <c r="BX94" s="854">
        <f>SUM(AY94,AZ94,BA94,BB94)</f>
        <v>-14087</v>
      </c>
      <c r="BY94" s="854">
        <f>SUM(BC94,BD94,BE94,BF94)</f>
        <v>-8406.1299999999974</v>
      </c>
      <c r="BZ94" s="854">
        <f>BZ72</f>
        <v>-592.55129999999986</v>
      </c>
      <c r="CA94" s="854">
        <f>CA72</f>
        <v>-681.43399499999975</v>
      </c>
      <c r="CB94" s="854">
        <f>CB72</f>
        <v>-783.64909424999962</v>
      </c>
      <c r="CC94" s="117"/>
    </row>
    <row r="95" spans="1:81" x14ac:dyDescent="0.55000000000000004">
      <c r="A95" s="192" t="s">
        <v>550</v>
      </c>
      <c r="B95" s="232"/>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f t="shared" ref="AH95:BF95" si="130">SUM(AH93:AH94)</f>
        <v>12775</v>
      </c>
      <c r="AI95" s="35">
        <f t="shared" si="130"/>
        <v>11378</v>
      </c>
      <c r="AJ95" s="35">
        <f t="shared" si="130"/>
        <v>12367</v>
      </c>
      <c r="AK95" s="35">
        <f t="shared" si="130"/>
        <v>10423</v>
      </c>
      <c r="AL95" s="35">
        <f t="shared" si="130"/>
        <v>12585</v>
      </c>
      <c r="AM95" s="35">
        <f t="shared" si="130"/>
        <v>8524</v>
      </c>
      <c r="AN95" s="35">
        <f t="shared" si="130"/>
        <v>8358</v>
      </c>
      <c r="AO95" s="35">
        <f t="shared" si="130"/>
        <v>5664</v>
      </c>
      <c r="AP95" s="35">
        <f t="shared" si="130"/>
        <v>6399</v>
      </c>
      <c r="AQ95" s="35">
        <f t="shared" si="130"/>
        <v>7227</v>
      </c>
      <c r="AR95" s="35">
        <f t="shared" si="130"/>
        <v>9392</v>
      </c>
      <c r="AS95" s="35">
        <f t="shared" si="130"/>
        <v>13748</v>
      </c>
      <c r="AT95" s="35">
        <f t="shared" si="130"/>
        <v>16384</v>
      </c>
      <c r="AU95" s="35">
        <f t="shared" si="130"/>
        <v>13818</v>
      </c>
      <c r="AV95" s="35">
        <f t="shared" si="130"/>
        <v>14847</v>
      </c>
      <c r="AW95" s="35">
        <f t="shared" si="130"/>
        <v>17350</v>
      </c>
      <c r="AX95" s="35">
        <f t="shared" si="130"/>
        <v>23365</v>
      </c>
      <c r="AY95" s="272">
        <f t="shared" si="130"/>
        <v>17555</v>
      </c>
      <c r="AZ95" s="35">
        <f t="shared" si="130"/>
        <v>15172.161394700142</v>
      </c>
      <c r="BA95" s="35">
        <f t="shared" si="130"/>
        <v>18420.01769077358</v>
      </c>
      <c r="BB95" s="35">
        <f t="shared" si="130"/>
        <v>21235.102343664119</v>
      </c>
      <c r="BC95" s="35">
        <f t="shared" si="130"/>
        <v>25243.034395265146</v>
      </c>
      <c r="BD95" s="35">
        <f t="shared" si="130"/>
        <v>21712.038203563465</v>
      </c>
      <c r="BE95" s="35">
        <f t="shared" si="130"/>
        <v>22877.481440944972</v>
      </c>
      <c r="BF95" s="35">
        <f t="shared" si="130"/>
        <v>27181.396702436774</v>
      </c>
      <c r="BG95" s="35"/>
      <c r="BH95" s="812"/>
      <c r="BI95" s="812"/>
      <c r="BJ95" s="812"/>
      <c r="BK95" s="812"/>
      <c r="BL95" s="812"/>
      <c r="BM95" s="812"/>
      <c r="BN95" s="812"/>
      <c r="BO95" s="812"/>
      <c r="BP95" s="812"/>
      <c r="BQ95" s="812"/>
      <c r="BR95" s="812">
        <f t="shared" ref="BR95:CB95" si="131">SUM(BR93:BR94)</f>
        <v>23986</v>
      </c>
      <c r="BS95" s="812">
        <f t="shared" si="131"/>
        <v>32671</v>
      </c>
      <c r="BT95" s="812">
        <f t="shared" si="131"/>
        <v>46753</v>
      </c>
      <c r="BU95" s="812">
        <f t="shared" si="131"/>
        <v>28944</v>
      </c>
      <c r="BV95" s="812">
        <f t="shared" si="131"/>
        <v>46751</v>
      </c>
      <c r="BW95" s="814">
        <f t="shared" si="131"/>
        <v>69380</v>
      </c>
      <c r="BX95" s="812">
        <f t="shared" si="131"/>
        <v>72382.281429137845</v>
      </c>
      <c r="BY95" s="812">
        <f t="shared" si="131"/>
        <v>97013.950742210349</v>
      </c>
      <c r="BZ95" s="812">
        <f t="shared" si="131"/>
        <v>116910.72203755559</v>
      </c>
      <c r="CA95" s="812">
        <f t="shared" si="131"/>
        <v>132473.91806809118</v>
      </c>
      <c r="CB95" s="812">
        <f t="shared" si="131"/>
        <v>148826.03605742412</v>
      </c>
      <c r="CC95" s="6"/>
    </row>
    <row r="96" spans="1:81" outlineLevel="1" x14ac:dyDescent="0.55000000000000004">
      <c r="A96" s="192"/>
      <c r="B96" s="232"/>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272"/>
      <c r="AZ96" s="35"/>
      <c r="BA96" s="35"/>
      <c r="BB96" s="35"/>
      <c r="BC96" s="35"/>
      <c r="BD96" s="35"/>
      <c r="BE96" s="35"/>
      <c r="BF96" s="35"/>
      <c r="BG96" s="35"/>
      <c r="BH96" s="812"/>
      <c r="BI96" s="812"/>
      <c r="BJ96" s="812"/>
      <c r="BK96" s="812"/>
      <c r="BL96" s="812"/>
      <c r="BM96" s="812"/>
      <c r="BN96" s="812"/>
      <c r="BO96" s="812"/>
      <c r="BP96" s="812"/>
      <c r="BQ96" s="812"/>
      <c r="BR96" s="812"/>
      <c r="BS96" s="812"/>
      <c r="BT96" s="812"/>
      <c r="BU96" s="812"/>
      <c r="BV96" s="812"/>
      <c r="BW96" s="814"/>
      <c r="BX96" s="812"/>
      <c r="BY96" s="812"/>
      <c r="BZ96" s="812"/>
      <c r="CA96" s="812"/>
      <c r="CB96" s="812"/>
      <c r="CC96" s="6"/>
    </row>
    <row r="97" spans="1:81" s="709" customFormat="1" outlineLevel="1" x14ac:dyDescent="0.55000000000000004">
      <c r="A97" s="321" t="s">
        <v>564</v>
      </c>
      <c r="B97" s="237"/>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f t="shared" ref="AH97:BF97" si="132">AH93/AH95</f>
        <v>1.1643052837573387</v>
      </c>
      <c r="AI97" s="55">
        <f t="shared" si="132"/>
        <v>1.1605730356828967</v>
      </c>
      <c r="AJ97" s="55">
        <f t="shared" si="132"/>
        <v>1.1966523813374303</v>
      </c>
      <c r="AK97" s="55">
        <f t="shared" si="132"/>
        <v>1.252422527103521</v>
      </c>
      <c r="AL97" s="55">
        <f t="shared" si="132"/>
        <v>1.2625347636074693</v>
      </c>
      <c r="AM97" s="55">
        <f t="shared" si="132"/>
        <v>1.347254809948381</v>
      </c>
      <c r="AN97" s="55">
        <f t="shared" si="132"/>
        <v>1.3357262502991145</v>
      </c>
      <c r="AO97" s="55">
        <f t="shared" si="132"/>
        <v>1.6483050847457628</v>
      </c>
      <c r="AP97" s="55">
        <f t="shared" si="132"/>
        <v>1.6686982340990779</v>
      </c>
      <c r="AQ97" s="55">
        <f t="shared" si="132"/>
        <v>1.5523730455237306</v>
      </c>
      <c r="AR97" s="55">
        <f t="shared" si="132"/>
        <v>1.3981047700170357</v>
      </c>
      <c r="AS97" s="55">
        <f t="shared" si="132"/>
        <v>1.2721850450974688</v>
      </c>
      <c r="AT97" s="55">
        <f t="shared" si="132"/>
        <v>1.2835693359375</v>
      </c>
      <c r="AU97" s="55">
        <f t="shared" si="132"/>
        <v>1.2783326096396006</v>
      </c>
      <c r="AV97" s="55">
        <f t="shared" si="132"/>
        <v>1.3022832895534451</v>
      </c>
      <c r="AW97" s="55">
        <f t="shared" si="132"/>
        <v>1.2552161383285303</v>
      </c>
      <c r="AX97" s="55">
        <f t="shared" si="132"/>
        <v>1.2125829231756902</v>
      </c>
      <c r="AY97" s="275">
        <f t="shared" si="132"/>
        <v>1.2398177157504984</v>
      </c>
      <c r="AZ97" s="55">
        <f t="shared" si="132"/>
        <v>1.1337812027697662</v>
      </c>
      <c r="BA97" s="55">
        <f t="shared" si="132"/>
        <v>1.0879477982701093</v>
      </c>
      <c r="BB97" s="55">
        <f t="shared" si="132"/>
        <v>1.2932526483376245</v>
      </c>
      <c r="BC97" s="55">
        <f t="shared" si="132"/>
        <v>1.0456997356948647</v>
      </c>
      <c r="BD97" s="55">
        <f t="shared" si="132"/>
        <v>1.0645046534493543</v>
      </c>
      <c r="BE97" s="55">
        <f t="shared" si="132"/>
        <v>1.0679795109446175</v>
      </c>
      <c r="BF97" s="55">
        <f t="shared" si="132"/>
        <v>1.158078797312678</v>
      </c>
      <c r="BG97" s="55"/>
      <c r="BH97" s="156"/>
      <c r="BI97" s="156"/>
      <c r="BJ97" s="156"/>
      <c r="BK97" s="156"/>
      <c r="BL97" s="156"/>
      <c r="BM97" s="156"/>
      <c r="BN97" s="156"/>
      <c r="BO97" s="156"/>
      <c r="BP97" s="156"/>
      <c r="BQ97" s="156"/>
      <c r="BR97" s="156">
        <f t="shared" ref="BR97:CB97" si="133">BR93/BR95</f>
        <v>1.1877345117985492</v>
      </c>
      <c r="BS97" s="156">
        <f t="shared" si="133"/>
        <v>1.2027180067950169</v>
      </c>
      <c r="BT97" s="156">
        <f t="shared" si="133"/>
        <v>1.218018095095502</v>
      </c>
      <c r="BU97" s="156">
        <f t="shared" si="133"/>
        <v>1.4739151464897733</v>
      </c>
      <c r="BV97" s="156">
        <f t="shared" si="133"/>
        <v>1.3448054587067657</v>
      </c>
      <c r="BW97" s="856">
        <f t="shared" si="133"/>
        <v>1.2555347362352263</v>
      </c>
      <c r="BX97" s="156">
        <f t="shared" si="133"/>
        <v>1.1946194527426046</v>
      </c>
      <c r="BY97" s="156">
        <f t="shared" si="133"/>
        <v>1.086648672027976</v>
      </c>
      <c r="BZ97" s="156">
        <f t="shared" si="133"/>
        <v>1.0050684085229553</v>
      </c>
      <c r="CA97" s="156">
        <f t="shared" si="133"/>
        <v>1.0051439106273716</v>
      </c>
      <c r="CB97" s="156">
        <f t="shared" si="133"/>
        <v>1.005265537637162</v>
      </c>
      <c r="CC97" s="24"/>
    </row>
    <row r="98" spans="1:81" s="709" customFormat="1" outlineLevel="1" x14ac:dyDescent="0.55000000000000004">
      <c r="A98" s="329" t="s">
        <v>562</v>
      </c>
      <c r="B98" s="340"/>
      <c r="C98" s="330"/>
      <c r="D98" s="330"/>
      <c r="E98" s="330"/>
      <c r="F98" s="330"/>
      <c r="G98" s="330"/>
      <c r="H98" s="330"/>
      <c r="I98" s="330"/>
      <c r="J98" s="330"/>
      <c r="K98" s="330"/>
      <c r="L98" s="330"/>
      <c r="M98" s="330"/>
      <c r="N98" s="330"/>
      <c r="O98" s="330"/>
      <c r="P98" s="330"/>
      <c r="Q98" s="330"/>
      <c r="R98" s="330"/>
      <c r="S98" s="330"/>
      <c r="T98" s="330"/>
      <c r="U98" s="330"/>
      <c r="V98" s="330"/>
      <c r="W98" s="330"/>
      <c r="X98" s="330"/>
      <c r="Y98" s="330"/>
      <c r="Z98" s="330"/>
      <c r="AA98" s="330"/>
      <c r="AB98" s="330"/>
      <c r="AC98" s="330"/>
      <c r="AD98" s="330"/>
      <c r="AE98" s="330"/>
      <c r="AF98" s="330"/>
      <c r="AG98" s="330"/>
      <c r="AH98" s="330">
        <f t="shared" ref="AH98:BF98" si="134">AH94/AH95</f>
        <v>-0.16430528375733855</v>
      </c>
      <c r="AI98" s="330">
        <f t="shared" si="134"/>
        <v>-0.16057303568289683</v>
      </c>
      <c r="AJ98" s="330">
        <f t="shared" si="134"/>
        <v>-0.19665238133743027</v>
      </c>
      <c r="AK98" s="330">
        <f t="shared" si="134"/>
        <v>-0.25242252710352103</v>
      </c>
      <c r="AL98" s="330">
        <f t="shared" si="134"/>
        <v>-0.26253476360746919</v>
      </c>
      <c r="AM98" s="330">
        <f t="shared" si="134"/>
        <v>-0.34725480994838104</v>
      </c>
      <c r="AN98" s="330">
        <f t="shared" si="134"/>
        <v>-0.33572625029911463</v>
      </c>
      <c r="AO98" s="330">
        <f t="shared" si="134"/>
        <v>-0.64830508474576276</v>
      </c>
      <c r="AP98" s="330">
        <f t="shared" si="134"/>
        <v>-0.66869823409907803</v>
      </c>
      <c r="AQ98" s="330">
        <f t="shared" si="134"/>
        <v>-0.55237304552373045</v>
      </c>
      <c r="AR98" s="330">
        <f t="shared" si="134"/>
        <v>-0.39810477001703576</v>
      </c>
      <c r="AS98" s="330">
        <f t="shared" si="134"/>
        <v>-0.27218504509746871</v>
      </c>
      <c r="AT98" s="330">
        <f t="shared" si="134"/>
        <v>-0.2835693359375</v>
      </c>
      <c r="AU98" s="330">
        <f t="shared" si="134"/>
        <v>-0.27833260963960055</v>
      </c>
      <c r="AV98" s="330">
        <f t="shared" si="134"/>
        <v>-0.30228328955344513</v>
      </c>
      <c r="AW98" s="330">
        <f t="shared" si="134"/>
        <v>-0.25521613832853024</v>
      </c>
      <c r="AX98" s="330">
        <f t="shared" si="134"/>
        <v>-0.21258292317569014</v>
      </c>
      <c r="AY98" s="633">
        <f t="shared" si="134"/>
        <v>-0.23981771575049843</v>
      </c>
      <c r="AZ98" s="330">
        <f t="shared" si="134"/>
        <v>-0.13378120276976629</v>
      </c>
      <c r="BA98" s="330">
        <f t="shared" si="134"/>
        <v>-8.7947798270109331E-2</v>
      </c>
      <c r="BB98" s="330">
        <f t="shared" si="134"/>
        <v>-0.29325264833762449</v>
      </c>
      <c r="BC98" s="330">
        <f t="shared" si="134"/>
        <v>-4.5699735694864858E-2</v>
      </c>
      <c r="BD98" s="330">
        <f t="shared" si="134"/>
        <v>-6.4504653449354188E-2</v>
      </c>
      <c r="BE98" s="330">
        <f t="shared" si="134"/>
        <v>-6.7979510944617391E-2</v>
      </c>
      <c r="BF98" s="330">
        <f t="shared" si="134"/>
        <v>-0.15807879731267807</v>
      </c>
      <c r="BG98" s="330"/>
      <c r="BH98" s="865"/>
      <c r="BI98" s="865"/>
      <c r="BJ98" s="865"/>
      <c r="BK98" s="865"/>
      <c r="BL98" s="865"/>
      <c r="BM98" s="865"/>
      <c r="BN98" s="865"/>
      <c r="BO98" s="865"/>
      <c r="BP98" s="865"/>
      <c r="BQ98" s="865"/>
      <c r="BR98" s="865">
        <f t="shared" ref="BR98:CB98" si="135">BR94/BR95</f>
        <v>-0.18773451179854916</v>
      </c>
      <c r="BS98" s="865">
        <f t="shared" si="135"/>
        <v>-0.20271800679501698</v>
      </c>
      <c r="BT98" s="865">
        <f t="shared" si="135"/>
        <v>-0.21801809509550188</v>
      </c>
      <c r="BU98" s="865">
        <f t="shared" si="135"/>
        <v>-0.47391514648977334</v>
      </c>
      <c r="BV98" s="865">
        <f t="shared" si="135"/>
        <v>-0.34480545870676566</v>
      </c>
      <c r="BW98" s="866">
        <f t="shared" si="135"/>
        <v>-0.25553473623522627</v>
      </c>
      <c r="BX98" s="865">
        <f t="shared" si="135"/>
        <v>-0.19461945274260462</v>
      </c>
      <c r="BY98" s="865">
        <f t="shared" si="135"/>
        <v>-8.6648672027975937E-2</v>
      </c>
      <c r="BZ98" s="865">
        <f t="shared" si="135"/>
        <v>-5.068408522955258E-3</v>
      </c>
      <c r="CA98" s="865">
        <f t="shared" si="135"/>
        <v>-5.1439106273715313E-3</v>
      </c>
      <c r="CB98" s="865">
        <f t="shared" si="135"/>
        <v>-5.265537637162027E-3</v>
      </c>
      <c r="CC98" s="24"/>
    </row>
    <row r="99" spans="1:81" s="713" customFormat="1" outlineLevel="1" x14ac:dyDescent="0.55000000000000004">
      <c r="A99" s="228" t="s">
        <v>563</v>
      </c>
      <c r="B99" s="335"/>
      <c r="C99" s="121"/>
      <c r="D99" s="121"/>
      <c r="E99" s="121"/>
      <c r="F99" s="121"/>
      <c r="G99" s="121"/>
      <c r="H99" s="121"/>
      <c r="I99" s="121"/>
      <c r="J99" s="121"/>
      <c r="K99" s="121"/>
      <c r="L99" s="121"/>
      <c r="M99" s="121"/>
      <c r="N99" s="121"/>
      <c r="O99" s="121"/>
      <c r="P99" s="121"/>
      <c r="Q99" s="121"/>
      <c r="R99" s="121"/>
      <c r="S99" s="121"/>
      <c r="T99" s="121"/>
      <c r="U99" s="121"/>
      <c r="V99" s="121"/>
      <c r="W99" s="121"/>
      <c r="X99" s="121"/>
      <c r="Y99" s="121"/>
      <c r="Z99" s="121"/>
      <c r="AA99" s="121"/>
      <c r="AB99" s="121"/>
      <c r="AC99" s="121"/>
      <c r="AD99" s="121"/>
      <c r="AE99" s="121"/>
      <c r="AF99" s="121"/>
      <c r="AG99" s="121"/>
      <c r="AH99" s="121">
        <f t="shared" ref="AH99:BF99" si="136">SUM(AH97:AH98)</f>
        <v>1</v>
      </c>
      <c r="AI99" s="121">
        <f t="shared" si="136"/>
        <v>0.99999999999999989</v>
      </c>
      <c r="AJ99" s="121">
        <f t="shared" si="136"/>
        <v>1</v>
      </c>
      <c r="AK99" s="121">
        <f t="shared" si="136"/>
        <v>1</v>
      </c>
      <c r="AL99" s="121">
        <f t="shared" si="136"/>
        <v>1</v>
      </c>
      <c r="AM99" s="121">
        <f t="shared" si="136"/>
        <v>1</v>
      </c>
      <c r="AN99" s="121">
        <f t="shared" si="136"/>
        <v>0.99999999999999989</v>
      </c>
      <c r="AO99" s="121">
        <f t="shared" si="136"/>
        <v>1</v>
      </c>
      <c r="AP99" s="121">
        <f t="shared" si="136"/>
        <v>0.99999999999999989</v>
      </c>
      <c r="AQ99" s="121">
        <f t="shared" si="136"/>
        <v>1</v>
      </c>
      <c r="AR99" s="121">
        <f t="shared" si="136"/>
        <v>1</v>
      </c>
      <c r="AS99" s="121">
        <f t="shared" si="136"/>
        <v>1</v>
      </c>
      <c r="AT99" s="121">
        <f t="shared" si="136"/>
        <v>1</v>
      </c>
      <c r="AU99" s="121">
        <f t="shared" si="136"/>
        <v>1</v>
      </c>
      <c r="AV99" s="121">
        <f t="shared" si="136"/>
        <v>1</v>
      </c>
      <c r="AW99" s="121">
        <f t="shared" si="136"/>
        <v>1</v>
      </c>
      <c r="AX99" s="121">
        <f t="shared" si="136"/>
        <v>1</v>
      </c>
      <c r="AY99" s="634">
        <f t="shared" si="136"/>
        <v>1</v>
      </c>
      <c r="AZ99" s="121">
        <f t="shared" si="136"/>
        <v>1</v>
      </c>
      <c r="BA99" s="121">
        <f t="shared" si="136"/>
        <v>1</v>
      </c>
      <c r="BB99" s="121">
        <f t="shared" si="136"/>
        <v>1</v>
      </c>
      <c r="BC99" s="121">
        <f t="shared" si="136"/>
        <v>0.99999999999999989</v>
      </c>
      <c r="BD99" s="121">
        <f t="shared" si="136"/>
        <v>1</v>
      </c>
      <c r="BE99" s="121">
        <f t="shared" si="136"/>
        <v>1.0000000000000002</v>
      </c>
      <c r="BF99" s="121">
        <f t="shared" si="136"/>
        <v>1</v>
      </c>
      <c r="BG99" s="121"/>
      <c r="BH99" s="867"/>
      <c r="BI99" s="867"/>
      <c r="BJ99" s="867"/>
      <c r="BK99" s="867"/>
      <c r="BL99" s="867"/>
      <c r="BM99" s="867"/>
      <c r="BN99" s="867"/>
      <c r="BO99" s="867"/>
      <c r="BP99" s="867"/>
      <c r="BQ99" s="867"/>
      <c r="BR99" s="867">
        <f t="shared" ref="BR99:CB99" si="137">SUM(BR97:BR98)</f>
        <v>1</v>
      </c>
      <c r="BS99" s="867">
        <f t="shared" si="137"/>
        <v>1</v>
      </c>
      <c r="BT99" s="867">
        <f t="shared" si="137"/>
        <v>1</v>
      </c>
      <c r="BU99" s="867">
        <f t="shared" si="137"/>
        <v>1</v>
      </c>
      <c r="BV99" s="867">
        <f t="shared" si="137"/>
        <v>1</v>
      </c>
      <c r="BW99" s="868">
        <f t="shared" si="137"/>
        <v>1</v>
      </c>
      <c r="BX99" s="867">
        <f t="shared" si="137"/>
        <v>1</v>
      </c>
      <c r="BY99" s="867">
        <f t="shared" si="137"/>
        <v>1</v>
      </c>
      <c r="BZ99" s="867">
        <f t="shared" si="137"/>
        <v>1</v>
      </c>
      <c r="CA99" s="867">
        <f t="shared" si="137"/>
        <v>1</v>
      </c>
      <c r="CB99" s="867">
        <f t="shared" si="137"/>
        <v>1</v>
      </c>
      <c r="CC99" s="9"/>
    </row>
    <row r="100" spans="1:81" x14ac:dyDescent="0.55000000000000004">
      <c r="A100" s="192"/>
      <c r="B100" s="232"/>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272"/>
      <c r="AZ100" s="35"/>
      <c r="BA100" s="35"/>
      <c r="BB100" s="35"/>
      <c r="BC100" s="35"/>
      <c r="BD100" s="35"/>
      <c r="BE100" s="35"/>
      <c r="BF100" s="35"/>
      <c r="BG100" s="35"/>
      <c r="BH100" s="812"/>
      <c r="BI100" s="812"/>
      <c r="BJ100" s="812"/>
      <c r="BK100" s="812"/>
      <c r="BL100" s="812"/>
      <c r="BM100" s="812"/>
      <c r="BN100" s="812"/>
      <c r="BO100" s="812"/>
      <c r="BP100" s="812"/>
      <c r="BQ100" s="812"/>
      <c r="BR100" s="812"/>
      <c r="BS100" s="812"/>
      <c r="BT100" s="812"/>
      <c r="BU100" s="812"/>
      <c r="BV100" s="812"/>
      <c r="BW100" s="814"/>
      <c r="BX100" s="812"/>
      <c r="BY100" s="812"/>
      <c r="BZ100" s="812"/>
      <c r="CA100" s="812"/>
      <c r="CB100" s="812"/>
      <c r="CC100" s="6"/>
    </row>
    <row r="101" spans="1:81" s="709" customFormat="1" x14ac:dyDescent="0.55000000000000004">
      <c r="A101" s="321" t="s">
        <v>552</v>
      </c>
      <c r="B101" s="237"/>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f t="shared" ref="AH101:BF101" si="138">AH93/AH83</f>
        <v>0.5437397185158106</v>
      </c>
      <c r="AI101" s="55">
        <f t="shared" si="138"/>
        <v>0.51507586691110507</v>
      </c>
      <c r="AJ101" s="55">
        <f t="shared" si="138"/>
        <v>0.51435423328235785</v>
      </c>
      <c r="AK101" s="55">
        <f t="shared" si="138"/>
        <v>0.45880781667369602</v>
      </c>
      <c r="AL101" s="55">
        <f t="shared" si="138"/>
        <v>0.48450936146856133</v>
      </c>
      <c r="AM101" s="55">
        <f t="shared" si="138"/>
        <v>0.42200418917429172</v>
      </c>
      <c r="AN101" s="55">
        <f t="shared" si="138"/>
        <v>0.39351427564328517</v>
      </c>
      <c r="AO101" s="55">
        <f t="shared" si="138"/>
        <v>0.34036968172372306</v>
      </c>
      <c r="AP101" s="55">
        <f t="shared" si="138"/>
        <v>0.33965264965964759</v>
      </c>
      <c r="AQ101" s="55">
        <f t="shared" si="138"/>
        <v>0.39634706422666571</v>
      </c>
      <c r="AR101" s="55">
        <f t="shared" si="138"/>
        <v>0.41392680389622671</v>
      </c>
      <c r="AS101" s="55">
        <f t="shared" si="138"/>
        <v>0.51538189533239043</v>
      </c>
      <c r="AT101" s="55">
        <f t="shared" si="138"/>
        <v>0.53867827868852458</v>
      </c>
      <c r="AU101" s="55">
        <f t="shared" si="138"/>
        <v>0.49046230737192836</v>
      </c>
      <c r="AV101" s="55">
        <f t="shared" si="138"/>
        <v>0.49938013327134667</v>
      </c>
      <c r="AW101" s="55">
        <f t="shared" si="138"/>
        <v>0.54014236464198018</v>
      </c>
      <c r="AX101" s="55">
        <f t="shared" si="138"/>
        <v>0.59895987484672952</v>
      </c>
      <c r="AY101" s="275">
        <f t="shared" si="138"/>
        <v>0.51942628036847882</v>
      </c>
      <c r="AZ101" s="55">
        <f t="shared" si="138"/>
        <v>0.39938013327134669</v>
      </c>
      <c r="BA101" s="55">
        <f t="shared" si="138"/>
        <v>0.4401423646419802</v>
      </c>
      <c r="BB101" s="55">
        <f t="shared" si="138"/>
        <v>0.49895987484672955</v>
      </c>
      <c r="BC101" s="55">
        <f t="shared" si="138"/>
        <v>0.55442628036847885</v>
      </c>
      <c r="BD101" s="55">
        <f t="shared" si="138"/>
        <v>0.48438013327134671</v>
      </c>
      <c r="BE101" s="55">
        <f t="shared" si="138"/>
        <v>0.48014236464198018</v>
      </c>
      <c r="BF101" s="55">
        <f t="shared" si="138"/>
        <v>0.49895987484672955</v>
      </c>
      <c r="BG101" s="55"/>
      <c r="BH101" s="156"/>
      <c r="BI101" s="156"/>
      <c r="BJ101" s="156"/>
      <c r="BK101" s="156"/>
      <c r="BL101" s="156"/>
      <c r="BM101" s="156"/>
      <c r="BN101" s="156"/>
      <c r="BO101" s="156"/>
      <c r="BP101" s="156"/>
      <c r="BQ101" s="156"/>
      <c r="BR101" s="156">
        <f t="shared" ref="BR101:CB101" si="139">BR93/BR83</f>
        <v>0.40584933614450963</v>
      </c>
      <c r="BS101" s="156">
        <f t="shared" si="139"/>
        <v>0.46323061325536979</v>
      </c>
      <c r="BT101" s="156">
        <f t="shared" si="139"/>
        <v>0.49237819376594183</v>
      </c>
      <c r="BU101" s="156">
        <f t="shared" si="139"/>
        <v>0.37274792485801661</v>
      </c>
      <c r="BV101" s="156">
        <f t="shared" si="139"/>
        <v>0.47269296121979459</v>
      </c>
      <c r="BW101" s="856">
        <f t="shared" si="139"/>
        <v>0.53653413815404516</v>
      </c>
      <c r="BX101" s="156">
        <f t="shared" si="139"/>
        <v>0.46603242377947451</v>
      </c>
      <c r="BY101" s="156">
        <f t="shared" si="139"/>
        <v>0.50367825037813263</v>
      </c>
      <c r="BZ101" s="156">
        <f t="shared" si="139"/>
        <v>0.50467825037813263</v>
      </c>
      <c r="CA101" s="156">
        <f t="shared" si="139"/>
        <v>0.54367825037813267</v>
      </c>
      <c r="CB101" s="156">
        <f t="shared" si="139"/>
        <v>0.5826782503781327</v>
      </c>
      <c r="CC101" s="24"/>
    </row>
    <row r="102" spans="1:81" s="709" customFormat="1" x14ac:dyDescent="0.55000000000000004">
      <c r="A102" s="329" t="s">
        <v>553</v>
      </c>
      <c r="B102" s="340"/>
      <c r="C102" s="330"/>
      <c r="D102" s="330"/>
      <c r="E102" s="330"/>
      <c r="F102" s="330"/>
      <c r="G102" s="330"/>
      <c r="H102" s="330"/>
      <c r="I102" s="330"/>
      <c r="J102" s="330"/>
      <c r="K102" s="330"/>
      <c r="L102" s="330"/>
      <c r="M102" s="330"/>
      <c r="N102" s="330"/>
      <c r="O102" s="330"/>
      <c r="P102" s="330"/>
      <c r="Q102" s="330"/>
      <c r="R102" s="330"/>
      <c r="S102" s="330"/>
      <c r="T102" s="330"/>
      <c r="U102" s="330"/>
      <c r="V102" s="330"/>
      <c r="W102" s="330"/>
      <c r="X102" s="330"/>
      <c r="Y102" s="330"/>
      <c r="Z102" s="330"/>
      <c r="AA102" s="330"/>
      <c r="AB102" s="330"/>
      <c r="AC102" s="330"/>
      <c r="AD102" s="330"/>
      <c r="AE102" s="330"/>
      <c r="AF102" s="330"/>
      <c r="AG102" s="330"/>
      <c r="AH102" s="330">
        <f t="shared" ref="AH102:BF102" si="140">AH94/AH84</f>
        <v>-2.9274755927475593</v>
      </c>
      <c r="AI102" s="330">
        <f t="shared" si="140"/>
        <v>-3.4213483146067416</v>
      </c>
      <c r="AJ102" s="330">
        <f t="shared" si="140"/>
        <v>-7.973770491803279</v>
      </c>
      <c r="AK102" s="330">
        <f t="shared" si="140"/>
        <v>-4.71505376344086</v>
      </c>
      <c r="AL102" s="330">
        <f t="shared" si="140"/>
        <v>-3.767388825541619</v>
      </c>
      <c r="AM102" s="330">
        <f t="shared" si="140"/>
        <v>-4.2589928057553958</v>
      </c>
      <c r="AN102" s="330">
        <f t="shared" si="140"/>
        <v>-6.2079646017699117</v>
      </c>
      <c r="AO102" s="330">
        <f t="shared" si="140"/>
        <v>-12.884210526315789</v>
      </c>
      <c r="AP102" s="330">
        <f t="shared" si="140"/>
        <v>-5.8858321870701511</v>
      </c>
      <c r="AQ102" s="330">
        <f t="shared" si="140"/>
        <v>-11.775811209439528</v>
      </c>
      <c r="AR102" s="330">
        <f t="shared" si="140"/>
        <v>-13.547101449275363</v>
      </c>
      <c r="AS102" s="330">
        <f t="shared" si="140"/>
        <v>-17.81904761904762</v>
      </c>
      <c r="AT102" s="330">
        <f t="shared" si="140"/>
        <v>-4.3380018674136318</v>
      </c>
      <c r="AU102" s="330">
        <f t="shared" si="140"/>
        <v>-8.7409090909090903</v>
      </c>
      <c r="AV102" s="330">
        <f t="shared" si="140"/>
        <v>-12.713881019830028</v>
      </c>
      <c r="AW102" s="330">
        <f t="shared" si="140"/>
        <v>-16.399999999999999</v>
      </c>
      <c r="AX102" s="330">
        <f t="shared" si="140"/>
        <v>-4.5863342566943679</v>
      </c>
      <c r="AY102" s="633">
        <f t="shared" si="140"/>
        <v>-10.218446601941748</v>
      </c>
      <c r="AZ102" s="330">
        <f t="shared" si="140"/>
        <v>-5</v>
      </c>
      <c r="BA102" s="330">
        <f t="shared" si="140"/>
        <v>-5</v>
      </c>
      <c r="BB102" s="330">
        <f t="shared" si="140"/>
        <v>-5</v>
      </c>
      <c r="BC102" s="330">
        <f t="shared" si="140"/>
        <v>-4</v>
      </c>
      <c r="BD102" s="330">
        <f t="shared" si="140"/>
        <v>-3</v>
      </c>
      <c r="BE102" s="330">
        <f t="shared" si="140"/>
        <v>-4</v>
      </c>
      <c r="BF102" s="330">
        <f t="shared" si="140"/>
        <v>-3</v>
      </c>
      <c r="BG102" s="330"/>
      <c r="BH102" s="865"/>
      <c r="BI102" s="865"/>
      <c r="BJ102" s="865"/>
      <c r="BK102" s="865"/>
      <c r="BL102" s="865"/>
      <c r="BM102" s="865"/>
      <c r="BN102" s="865"/>
      <c r="BO102" s="865"/>
      <c r="BP102" s="865"/>
      <c r="BQ102" s="865"/>
      <c r="BR102" s="865">
        <f t="shared" ref="BR102:CB102" si="141">BR94/BR84</f>
        <v>-8.9880239520958085</v>
      </c>
      <c r="BS102" s="865">
        <f t="shared" si="141"/>
        <v>-5.814749780509219</v>
      </c>
      <c r="BT102" s="865">
        <f t="shared" si="141"/>
        <v>-4.4824098504837293</v>
      </c>
      <c r="BU102" s="865">
        <f t="shared" si="141"/>
        <v>-6.3534043538675311</v>
      </c>
      <c r="BV102" s="865">
        <f t="shared" si="141"/>
        <v>-8.5021097046413505</v>
      </c>
      <c r="BW102" s="866">
        <f t="shared" si="141"/>
        <v>-8.2614165890027955</v>
      </c>
      <c r="BX102" s="865">
        <f t="shared" si="141"/>
        <v>-5.9005612800536156</v>
      </c>
      <c r="BY102" s="865">
        <f t="shared" si="141"/>
        <v>-3.2628565661741011</v>
      </c>
      <c r="BZ102" s="865">
        <f t="shared" si="141"/>
        <v>-0.2</v>
      </c>
      <c r="CA102" s="865">
        <f t="shared" si="141"/>
        <v>-0.2</v>
      </c>
      <c r="CB102" s="865">
        <f t="shared" si="141"/>
        <v>-0.2</v>
      </c>
      <c r="CC102" s="24"/>
    </row>
    <row r="103" spans="1:81" s="713" customFormat="1" x14ac:dyDescent="0.55000000000000004">
      <c r="A103" s="228" t="s">
        <v>554</v>
      </c>
      <c r="B103" s="335"/>
      <c r="C103" s="121"/>
      <c r="D103" s="121"/>
      <c r="E103" s="121"/>
      <c r="F103" s="121"/>
      <c r="G103" s="121"/>
      <c r="H103" s="121"/>
      <c r="I103" s="121"/>
      <c r="J103" s="121"/>
      <c r="K103" s="121"/>
      <c r="L103" s="121"/>
      <c r="M103" s="121"/>
      <c r="N103" s="121"/>
      <c r="O103" s="121"/>
      <c r="P103" s="121"/>
      <c r="Q103" s="121"/>
      <c r="R103" s="121"/>
      <c r="S103" s="121"/>
      <c r="T103" s="121"/>
      <c r="U103" s="121"/>
      <c r="V103" s="121"/>
      <c r="W103" s="121"/>
      <c r="X103" s="121"/>
      <c r="Y103" s="121"/>
      <c r="Z103" s="121"/>
      <c r="AA103" s="121"/>
      <c r="AB103" s="121"/>
      <c r="AC103" s="121"/>
      <c r="AD103" s="121"/>
      <c r="AE103" s="121"/>
      <c r="AF103" s="121"/>
      <c r="AG103" s="121"/>
      <c r="AH103" s="121">
        <f t="shared" ref="AH103:BF103" si="142">AH95/AH85</f>
        <v>0.45507979481333716</v>
      </c>
      <c r="AI103" s="121">
        <f t="shared" si="142"/>
        <v>0.43475602766420846</v>
      </c>
      <c r="AJ103" s="121">
        <f t="shared" si="142"/>
        <v>0.42531898063761736</v>
      </c>
      <c r="AK103" s="121">
        <f t="shared" si="142"/>
        <v>0.35928990003447087</v>
      </c>
      <c r="AL103" s="121">
        <f t="shared" si="142"/>
        <v>0.37376377297971547</v>
      </c>
      <c r="AM103" s="121">
        <f t="shared" si="142"/>
        <v>0.30543213415508097</v>
      </c>
      <c r="AN103" s="121">
        <f t="shared" si="142"/>
        <v>0.28998681562695161</v>
      </c>
      <c r="AO103" s="121">
        <f t="shared" si="142"/>
        <v>0.20437324096124701</v>
      </c>
      <c r="AP103" s="121">
        <f t="shared" si="142"/>
        <v>0.19894295041193844</v>
      </c>
      <c r="AQ103" s="121">
        <f t="shared" si="142"/>
        <v>0.25229533950078548</v>
      </c>
      <c r="AR103" s="121">
        <f t="shared" si="142"/>
        <v>0.29350917216163003</v>
      </c>
      <c r="AS103" s="121">
        <f t="shared" si="142"/>
        <v>0.40262402624026239</v>
      </c>
      <c r="AT103" s="121">
        <f t="shared" si="142"/>
        <v>0.4084665054473835</v>
      </c>
      <c r="AU103" s="121">
        <f t="shared" si="142"/>
        <v>0.37904265532848719</v>
      </c>
      <c r="AV103" s="121">
        <f t="shared" si="142"/>
        <v>0.38000051188861306</v>
      </c>
      <c r="AW103" s="121">
        <f t="shared" si="142"/>
        <v>0.4274557146024785</v>
      </c>
      <c r="AX103" s="121">
        <f t="shared" si="142"/>
        <v>0.48289759222899659</v>
      </c>
      <c r="AY103" s="634">
        <f t="shared" si="142"/>
        <v>0.41487450961856598</v>
      </c>
      <c r="AZ103" s="121">
        <f t="shared" si="142"/>
        <v>0.34896601963890828</v>
      </c>
      <c r="BA103" s="121">
        <f t="shared" si="142"/>
        <v>0.40170347605489926</v>
      </c>
      <c r="BB103" s="121">
        <f t="shared" si="142"/>
        <v>0.37728052575016668</v>
      </c>
      <c r="BC103" s="121">
        <f t="shared" si="142"/>
        <v>0.52700413692913661</v>
      </c>
      <c r="BD103" s="121">
        <f t="shared" si="142"/>
        <v>0.45061988202449932</v>
      </c>
      <c r="BE103" s="121">
        <f t="shared" si="142"/>
        <v>0.44617113046801449</v>
      </c>
      <c r="BF103" s="121">
        <f t="shared" si="142"/>
        <v>0.4212869986735025</v>
      </c>
      <c r="BG103" s="121"/>
      <c r="BH103" s="867"/>
      <c r="BI103" s="867"/>
      <c r="BJ103" s="867"/>
      <c r="BK103" s="867"/>
      <c r="BL103" s="867"/>
      <c r="BM103" s="867"/>
      <c r="BN103" s="867"/>
      <c r="BO103" s="867"/>
      <c r="BP103" s="867"/>
      <c r="BQ103" s="867"/>
      <c r="BR103" s="867">
        <f t="shared" ref="BR103:CB103" si="143">BR95/BR85</f>
        <v>0.33927889443682191</v>
      </c>
      <c r="BS103" s="867">
        <f t="shared" si="143"/>
        <v>0.3800500203571221</v>
      </c>
      <c r="BT103" s="867">
        <f t="shared" si="143"/>
        <v>0.39645040660058173</v>
      </c>
      <c r="BU103" s="867">
        <f t="shared" si="143"/>
        <v>0.24821411726367604</v>
      </c>
      <c r="BV103" s="867">
        <f t="shared" si="143"/>
        <v>0.34655527716416362</v>
      </c>
      <c r="BW103" s="868">
        <f t="shared" si="143"/>
        <v>0.42176035404040096</v>
      </c>
      <c r="BX103" s="867">
        <f t="shared" si="143"/>
        <v>0.3851537243262419</v>
      </c>
      <c r="BY103" s="867">
        <f t="shared" si="143"/>
        <v>0.45787916580071636</v>
      </c>
      <c r="BZ103" s="867">
        <f t="shared" si="143"/>
        <v>0.49582383514725958</v>
      </c>
      <c r="CA103" s="867">
        <f t="shared" si="143"/>
        <v>0.53347444608966932</v>
      </c>
      <c r="CB103" s="867">
        <f t="shared" si="143"/>
        <v>0.57091393563323367</v>
      </c>
      <c r="CC103" s="9"/>
    </row>
    <row r="104" spans="1:81" x14ac:dyDescent="0.55000000000000004">
      <c r="A104" s="192"/>
      <c r="B104" s="232"/>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272"/>
      <c r="AZ104" s="35"/>
      <c r="BA104" s="35"/>
      <c r="BB104" s="35"/>
      <c r="BC104" s="35"/>
      <c r="BD104" s="35"/>
      <c r="BE104" s="35"/>
      <c r="BF104" s="35"/>
      <c r="BG104" s="35"/>
      <c r="BH104" s="812"/>
      <c r="BI104" s="812"/>
      <c r="BJ104" s="812"/>
      <c r="BK104" s="812"/>
      <c r="BL104" s="812"/>
      <c r="BM104" s="812"/>
      <c r="BN104" s="812"/>
      <c r="BO104" s="812"/>
      <c r="BP104" s="812"/>
      <c r="BQ104" s="812"/>
      <c r="BR104" s="812"/>
      <c r="BS104" s="812"/>
      <c r="BT104" s="812"/>
      <c r="BU104" s="812"/>
      <c r="BV104" s="812"/>
      <c r="BW104" s="814"/>
      <c r="BX104" s="812"/>
      <c r="BY104" s="812"/>
      <c r="BZ104" s="812"/>
      <c r="CA104" s="812"/>
      <c r="CB104" s="812"/>
      <c r="CC104" s="6"/>
    </row>
    <row r="105" spans="1:81" x14ac:dyDescent="0.55000000000000004">
      <c r="A105" s="336" t="s">
        <v>12</v>
      </c>
      <c r="B105" s="229"/>
      <c r="C105" s="759">
        <v>552</v>
      </c>
      <c r="D105" s="759">
        <v>721</v>
      </c>
      <c r="E105" s="759">
        <v>832</v>
      </c>
      <c r="F105" s="759">
        <v>1068</v>
      </c>
      <c r="G105" s="759">
        <v>1039</v>
      </c>
      <c r="H105" s="759">
        <v>1175</v>
      </c>
      <c r="I105" s="759">
        <v>1362</v>
      </c>
      <c r="J105" s="759">
        <v>1709</v>
      </c>
      <c r="K105" s="759">
        <v>1592</v>
      </c>
      <c r="L105" s="759">
        <v>1826</v>
      </c>
      <c r="M105" s="759">
        <v>2120</v>
      </c>
      <c r="N105" s="759">
        <v>2847</v>
      </c>
      <c r="O105" s="759">
        <v>2615</v>
      </c>
      <c r="P105" s="759">
        <v>3077</v>
      </c>
      <c r="Q105" s="759">
        <v>3431</v>
      </c>
      <c r="R105" s="759">
        <v>4435</v>
      </c>
      <c r="S105" s="759">
        <v>3851</v>
      </c>
      <c r="T105" s="759">
        <v>4450</v>
      </c>
      <c r="U105" s="759">
        <v>4912</v>
      </c>
      <c r="V105" s="759">
        <v>6271</v>
      </c>
      <c r="W105" s="759">
        <v>5559</v>
      </c>
      <c r="X105" s="759">
        <v>6137</v>
      </c>
      <c r="Y105" s="759">
        <v>6547</v>
      </c>
      <c r="Z105" s="759">
        <v>8246</v>
      </c>
      <c r="AA105" s="759">
        <v>7203</v>
      </c>
      <c r="AB105" s="759">
        <v>7952</v>
      </c>
      <c r="AC105" s="759">
        <v>8317</v>
      </c>
      <c r="AD105" s="759">
        <v>10021</v>
      </c>
      <c r="AE105" s="759">
        <v>8379</v>
      </c>
      <c r="AF105" s="759">
        <v>9059</v>
      </c>
      <c r="AG105" s="759">
        <v>9988</v>
      </c>
      <c r="AH105" s="759">
        <v>13150</v>
      </c>
      <c r="AI105" s="759">
        <v>11897</v>
      </c>
      <c r="AJ105" s="759">
        <v>13366</v>
      </c>
      <c r="AK105" s="759">
        <v>13094</v>
      </c>
      <c r="AL105" s="759">
        <v>15062</v>
      </c>
      <c r="AM105" s="759">
        <v>12024</v>
      </c>
      <c r="AN105" s="759">
        <v>12788</v>
      </c>
      <c r="AO105" s="759">
        <v>12766</v>
      </c>
      <c r="AP105" s="759">
        <v>15005</v>
      </c>
      <c r="AQ105" s="759">
        <v>12710</v>
      </c>
      <c r="AR105" s="759">
        <v>14131</v>
      </c>
      <c r="AS105" s="759">
        <v>14956</v>
      </c>
      <c r="AT105" s="759">
        <v>17784</v>
      </c>
      <c r="AU105" s="759">
        <v>15451</v>
      </c>
      <c r="AV105" s="759">
        <v>16593</v>
      </c>
      <c r="AW105" s="759">
        <v>17389</v>
      </c>
      <c r="AX105" s="759">
        <v>20982</v>
      </c>
      <c r="AY105" s="762">
        <v>18259</v>
      </c>
      <c r="AZ105" s="37"/>
      <c r="BA105" s="37"/>
      <c r="BB105" s="37"/>
      <c r="BC105" s="37"/>
      <c r="BD105" s="37"/>
      <c r="BE105" s="37"/>
      <c r="BF105" s="37"/>
      <c r="BG105" s="37"/>
      <c r="BH105" s="158"/>
      <c r="BI105" s="158"/>
      <c r="BJ105" s="857">
        <f>462+395+394+332</f>
        <v>1583</v>
      </c>
      <c r="BK105" s="857">
        <f>631+538+479+419</f>
        <v>2067</v>
      </c>
      <c r="BL105" s="158">
        <f>SUM(C105,D105,E105,F105)</f>
        <v>3173</v>
      </c>
      <c r="BM105" s="158">
        <f>SUM(G105,H105,I105,J105)</f>
        <v>5285</v>
      </c>
      <c r="BN105" s="158">
        <f>SUM(K105,L105,M105,N105)</f>
        <v>8385</v>
      </c>
      <c r="BO105" s="158">
        <f>SUM(O105,P105,Q105,R105)</f>
        <v>13558</v>
      </c>
      <c r="BP105" s="158">
        <f>SUM(S105,T105,U105,V105)</f>
        <v>19484</v>
      </c>
      <c r="BQ105" s="158">
        <f>SUM(W105,X105,Y105,Z105)</f>
        <v>26489</v>
      </c>
      <c r="BR105" s="158">
        <f>SUM(AA105,AB105,AC105,AD105)</f>
        <v>33493</v>
      </c>
      <c r="BS105" s="158">
        <f>SUM(AE105,AF105,AG105,AH105)</f>
        <v>40576</v>
      </c>
      <c r="BT105" s="158">
        <f>SUM(AI105,AJ105,AK105,AL105)</f>
        <v>53419</v>
      </c>
      <c r="BU105" s="158">
        <f>SUM(AM105,AN105,AO105,AP105)</f>
        <v>52583</v>
      </c>
      <c r="BV105" s="158">
        <f>SUM(AQ105,AR105,AS105,AT105)</f>
        <v>59581</v>
      </c>
      <c r="BW105" s="846">
        <f>SUM(AU105,AV105,AW105,AX105)</f>
        <v>70415</v>
      </c>
      <c r="BX105" s="158"/>
      <c r="BY105" s="158"/>
      <c r="BZ105" s="158"/>
      <c r="CA105" s="158"/>
      <c r="CB105" s="158"/>
      <c r="CC105" s="117"/>
    </row>
    <row r="106" spans="1:81" x14ac:dyDescent="0.55000000000000004">
      <c r="A106" s="336" t="s">
        <v>14</v>
      </c>
      <c r="B106" s="229"/>
      <c r="C106" s="759">
        <v>367</v>
      </c>
      <c r="D106" s="759">
        <v>451</v>
      </c>
      <c r="E106" s="759">
        <v>482</v>
      </c>
      <c r="F106" s="759">
        <v>658</v>
      </c>
      <c r="G106" s="759">
        <v>631</v>
      </c>
      <c r="H106" s="759">
        <v>757</v>
      </c>
      <c r="I106" s="759">
        <v>783</v>
      </c>
      <c r="J106" s="759">
        <v>960</v>
      </c>
      <c r="K106" s="759">
        <v>855</v>
      </c>
      <c r="L106" s="759">
        <v>987</v>
      </c>
      <c r="M106" s="759">
        <v>1041</v>
      </c>
      <c r="N106" s="759">
        <v>1413</v>
      </c>
      <c r="O106" s="759">
        <v>1270</v>
      </c>
      <c r="P106" s="759">
        <v>1545</v>
      </c>
      <c r="Q106" s="759">
        <v>1563</v>
      </c>
      <c r="R106" s="759">
        <v>2025</v>
      </c>
      <c r="S106" s="759">
        <v>1869</v>
      </c>
      <c r="T106" s="759">
        <v>2209</v>
      </c>
      <c r="U106" s="759">
        <v>2434</v>
      </c>
      <c r="V106" s="759">
        <v>3196</v>
      </c>
      <c r="W106" s="759">
        <v>2992</v>
      </c>
      <c r="X106" s="759">
        <v>3247</v>
      </c>
      <c r="Y106" s="759">
        <v>3266</v>
      </c>
      <c r="Z106" s="759">
        <v>4087</v>
      </c>
      <c r="AA106" s="759">
        <v>3609</v>
      </c>
      <c r="AB106" s="759">
        <v>4043</v>
      </c>
      <c r="AC106" s="759">
        <v>4057</v>
      </c>
      <c r="AD106" s="759">
        <v>5071</v>
      </c>
      <c r="AE106" s="759">
        <v>4171</v>
      </c>
      <c r="AF106" s="759">
        <v>4411</v>
      </c>
      <c r="AG106" s="759">
        <v>5051</v>
      </c>
      <c r="AH106" s="759">
        <v>6822</v>
      </c>
      <c r="AI106" s="759">
        <v>6373</v>
      </c>
      <c r="AJ106" s="759">
        <v>7205</v>
      </c>
      <c r="AK106" s="759">
        <v>6821</v>
      </c>
      <c r="AL106" s="759">
        <v>8174</v>
      </c>
      <c r="AM106" s="759">
        <v>6364</v>
      </c>
      <c r="AN106" s="759">
        <v>6360</v>
      </c>
      <c r="AO106" s="759">
        <v>5707</v>
      </c>
      <c r="AP106" s="759">
        <v>6904</v>
      </c>
      <c r="AQ106" s="759">
        <v>6269</v>
      </c>
      <c r="AR106" s="759">
        <v>7268</v>
      </c>
      <c r="AS106" s="759">
        <v>7721</v>
      </c>
      <c r="AT106" s="759">
        <v>9159</v>
      </c>
      <c r="AU106" s="759">
        <v>8327</v>
      </c>
      <c r="AV106" s="759">
        <v>9135</v>
      </c>
      <c r="AW106" s="759">
        <v>9358</v>
      </c>
      <c r="AX106" s="759">
        <v>11154</v>
      </c>
      <c r="AY106" s="762">
        <v>9527</v>
      </c>
      <c r="AZ106" s="37"/>
      <c r="BA106" s="37"/>
      <c r="BB106" s="37"/>
      <c r="BC106" s="37"/>
      <c r="BD106" s="37"/>
      <c r="BE106" s="37"/>
      <c r="BF106" s="37"/>
      <c r="BG106" s="37"/>
      <c r="BH106" s="158"/>
      <c r="BI106" s="158"/>
      <c r="BJ106" s="857">
        <f>306+245+245+206</f>
        <v>1002</v>
      </c>
      <c r="BK106" s="857">
        <f>374+295+294+274</f>
        <v>1237</v>
      </c>
      <c r="BL106" s="158">
        <f>SUM(C106,D106,E106,F106)</f>
        <v>1958</v>
      </c>
      <c r="BM106" s="158">
        <f>SUM(G106,H106,I106,J106)</f>
        <v>3131</v>
      </c>
      <c r="BN106" s="158">
        <f>SUM(K106,L106,M106,N106)</f>
        <v>4296</v>
      </c>
      <c r="BO106" s="158">
        <f>SUM(O106,P106,Q106,R106)</f>
        <v>6403</v>
      </c>
      <c r="BP106" s="158">
        <f>SUM(S106,T106,U106,V106)</f>
        <v>9708</v>
      </c>
      <c r="BQ106" s="158">
        <f>SUM(W106,X106,Y106,Z106)</f>
        <v>13592</v>
      </c>
      <c r="BR106" s="158">
        <f>SUM(AA106,AB106,AC106,AD106)</f>
        <v>16780</v>
      </c>
      <c r="BS106" s="158">
        <f>SUM(AE106,AF106,AG106,AH106)</f>
        <v>20455</v>
      </c>
      <c r="BT106" s="158">
        <f>SUM(AI106,AJ106,AK106,AL106)</f>
        <v>28573</v>
      </c>
      <c r="BU106" s="158">
        <f>SUM(AM106,AN106,AO106,AP106)</f>
        <v>25335</v>
      </c>
      <c r="BV106" s="158">
        <f>SUM(AQ106,AR106,AS106,AT106)</f>
        <v>30417</v>
      </c>
      <c r="BW106" s="846">
        <f>SUM(AU106,AV106,AW106,AX106)</f>
        <v>37974</v>
      </c>
      <c r="BX106" s="158"/>
      <c r="BY106" s="158"/>
      <c r="BZ106" s="158"/>
      <c r="CA106" s="158"/>
      <c r="CB106" s="158"/>
      <c r="CC106" s="117"/>
    </row>
    <row r="107" spans="1:81" x14ac:dyDescent="0.55000000000000004">
      <c r="A107" s="336" t="s">
        <v>16</v>
      </c>
      <c r="B107" s="229"/>
      <c r="C107" s="759">
        <v>176</v>
      </c>
      <c r="D107" s="759">
        <v>225</v>
      </c>
      <c r="E107" s="759">
        <v>255</v>
      </c>
      <c r="F107" s="759">
        <v>318</v>
      </c>
      <c r="G107" s="759">
        <v>333</v>
      </c>
      <c r="H107" s="759">
        <v>408</v>
      </c>
      <c r="I107" s="759">
        <v>469</v>
      </c>
      <c r="J107" s="759">
        <v>531</v>
      </c>
      <c r="K107" s="759">
        <v>524</v>
      </c>
      <c r="L107" s="759">
        <v>605</v>
      </c>
      <c r="M107" s="759">
        <v>694</v>
      </c>
      <c r="N107" s="759">
        <v>833</v>
      </c>
      <c r="O107" s="759">
        <v>849</v>
      </c>
      <c r="P107" s="759">
        <v>1009</v>
      </c>
      <c r="Q107" s="759">
        <v>1137</v>
      </c>
      <c r="R107" s="759">
        <v>1337</v>
      </c>
      <c r="S107" s="759">
        <v>1361</v>
      </c>
      <c r="T107" s="759">
        <v>1558</v>
      </c>
      <c r="U107" s="759">
        <v>1749</v>
      </c>
      <c r="V107" s="759">
        <v>2048</v>
      </c>
      <c r="W107" s="759">
        <v>2080</v>
      </c>
      <c r="X107" s="759">
        <v>2297</v>
      </c>
      <c r="Y107" s="759">
        <v>2406</v>
      </c>
      <c r="Z107" s="759">
        <v>2742</v>
      </c>
      <c r="AA107" s="759">
        <v>2670</v>
      </c>
      <c r="AB107" s="759">
        <v>2985</v>
      </c>
      <c r="AC107" s="759">
        <v>3243</v>
      </c>
      <c r="AD107" s="759">
        <v>3642</v>
      </c>
      <c r="AE107" s="759">
        <v>3236</v>
      </c>
      <c r="AF107" s="759">
        <v>3312</v>
      </c>
      <c r="AG107" s="759">
        <v>4202</v>
      </c>
      <c r="AH107" s="759">
        <v>4703</v>
      </c>
      <c r="AI107" s="759">
        <v>4735</v>
      </c>
      <c r="AJ107" s="759">
        <v>5152</v>
      </c>
      <c r="AK107" s="759">
        <v>5398</v>
      </c>
      <c r="AL107" s="759">
        <v>6183</v>
      </c>
      <c r="AM107" s="759">
        <v>5661</v>
      </c>
      <c r="AN107" s="759">
        <v>5835</v>
      </c>
      <c r="AO107" s="759">
        <v>5717</v>
      </c>
      <c r="AP107" s="759">
        <v>5968</v>
      </c>
      <c r="AQ107" s="759">
        <v>5893</v>
      </c>
      <c r="AR107" s="759">
        <v>6435</v>
      </c>
      <c r="AS107" s="759">
        <v>6829</v>
      </c>
      <c r="AT107" s="759">
        <v>7316</v>
      </c>
      <c r="AU107" s="759">
        <v>7338</v>
      </c>
      <c r="AV107" s="759">
        <v>7721</v>
      </c>
      <c r="AW107" s="759">
        <v>8050</v>
      </c>
      <c r="AX107" s="759">
        <v>9012</v>
      </c>
      <c r="AY107" s="762">
        <v>8224</v>
      </c>
      <c r="AZ107" s="37"/>
      <c r="BA107" s="37"/>
      <c r="BB107" s="37"/>
      <c r="BC107" s="37"/>
      <c r="BD107" s="37"/>
      <c r="BE107" s="37"/>
      <c r="BF107" s="37"/>
      <c r="BG107" s="37"/>
      <c r="BH107" s="158"/>
      <c r="BI107" s="158"/>
      <c r="BJ107" s="857">
        <f>95+88+74+56</f>
        <v>313</v>
      </c>
      <c r="BK107" s="857">
        <f>168+133+115+99</f>
        <v>515</v>
      </c>
      <c r="BL107" s="158">
        <f>SUM(C107,D107,E107,F107)</f>
        <v>974</v>
      </c>
      <c r="BM107" s="158">
        <f>SUM(G107,H107,I107,J107)</f>
        <v>1741</v>
      </c>
      <c r="BN107" s="158">
        <f>SUM(K107,L107,M107,N107)</f>
        <v>2656</v>
      </c>
      <c r="BO107" s="158">
        <f>SUM(O107,P107,Q107,R107)</f>
        <v>4332</v>
      </c>
      <c r="BP107" s="158">
        <f>SUM(S107,T107,U107,V107)</f>
        <v>6716</v>
      </c>
      <c r="BQ107" s="158">
        <f>SUM(W107,X107,Y107,Z107)</f>
        <v>9525</v>
      </c>
      <c r="BR107" s="158">
        <f>SUM(AA107,AB107,AC107,AD107)</f>
        <v>12540</v>
      </c>
      <c r="BS107" s="158">
        <f>SUM(AE107,AF107,AG107,AH107)</f>
        <v>15453</v>
      </c>
      <c r="BT107" s="158">
        <f>SUM(AI107,AJ107,AK107,AL107)</f>
        <v>21468</v>
      </c>
      <c r="BU107" s="158">
        <f>SUM(AM107,AN107,AO107,AP107)</f>
        <v>23181</v>
      </c>
      <c r="BV107" s="158">
        <f>SUM(AQ107,AR107,AS107,AT107)</f>
        <v>26473</v>
      </c>
      <c r="BW107" s="846">
        <f>SUM(AU107,AV107,AW107,AX107)</f>
        <v>32121</v>
      </c>
      <c r="BX107" s="158"/>
      <c r="BY107" s="158"/>
      <c r="BZ107" s="158"/>
      <c r="CA107" s="158"/>
      <c r="CB107" s="158"/>
      <c r="CC107" s="117"/>
    </row>
    <row r="108" spans="1:81" x14ac:dyDescent="0.55000000000000004">
      <c r="A108" s="337" t="s">
        <v>18</v>
      </c>
      <c r="B108" s="230"/>
      <c r="C108" s="763">
        <v>150</v>
      </c>
      <c r="D108" s="763">
        <v>202</v>
      </c>
      <c r="E108" s="763">
        <v>229</v>
      </c>
      <c r="F108" s="763">
        <v>300</v>
      </c>
      <c r="G108" s="763">
        <v>262</v>
      </c>
      <c r="H108" s="763">
        <v>336</v>
      </c>
      <c r="I108" s="763">
        <v>343</v>
      </c>
      <c r="J108" s="763">
        <v>394</v>
      </c>
      <c r="K108" s="763">
        <v>346</v>
      </c>
      <c r="L108" s="763">
        <v>409</v>
      </c>
      <c r="M108" s="763">
        <v>444</v>
      </c>
      <c r="N108" s="763">
        <v>544</v>
      </c>
      <c r="O108" s="763">
        <v>467</v>
      </c>
      <c r="P108" s="763">
        <v>608</v>
      </c>
      <c r="Q108" s="763">
        <v>685</v>
      </c>
      <c r="R108" s="763">
        <v>832</v>
      </c>
      <c r="S108" s="763">
        <v>776</v>
      </c>
      <c r="T108" s="763">
        <v>947</v>
      </c>
      <c r="U108" s="763">
        <v>1047</v>
      </c>
      <c r="V108" s="763">
        <v>1264</v>
      </c>
      <c r="W108" s="763">
        <v>1164</v>
      </c>
      <c r="X108" s="763">
        <v>1357</v>
      </c>
      <c r="Y108" s="763">
        <v>1320</v>
      </c>
      <c r="Z108" s="763">
        <v>1565</v>
      </c>
      <c r="AA108" s="763">
        <v>1430</v>
      </c>
      <c r="AB108" s="763">
        <v>1644</v>
      </c>
      <c r="AC108" s="763">
        <v>1766</v>
      </c>
      <c r="AD108" s="763">
        <v>2002</v>
      </c>
      <c r="AE108" s="763">
        <v>1654</v>
      </c>
      <c r="AF108" s="763">
        <v>1539</v>
      </c>
      <c r="AG108" s="763">
        <v>1980</v>
      </c>
      <c r="AH108" s="763">
        <v>2512</v>
      </c>
      <c r="AI108" s="763">
        <v>2434</v>
      </c>
      <c r="AJ108" s="763">
        <v>2857</v>
      </c>
      <c r="AK108" s="763">
        <v>2963</v>
      </c>
      <c r="AL108" s="763">
        <v>3220</v>
      </c>
      <c r="AM108" s="763">
        <v>2949</v>
      </c>
      <c r="AN108" s="763">
        <v>3169</v>
      </c>
      <c r="AO108" s="763">
        <v>3047</v>
      </c>
      <c r="AP108" s="763">
        <v>3377</v>
      </c>
      <c r="AQ108" s="763">
        <v>3229</v>
      </c>
      <c r="AR108" s="763">
        <v>3664</v>
      </c>
      <c r="AS108" s="763">
        <v>4137</v>
      </c>
      <c r="AT108" s="763">
        <v>4447</v>
      </c>
      <c r="AU108" s="763">
        <v>4519</v>
      </c>
      <c r="AV108" s="763">
        <v>4880</v>
      </c>
      <c r="AW108" s="763">
        <v>5088</v>
      </c>
      <c r="AX108" s="763">
        <v>5635</v>
      </c>
      <c r="AY108" s="764">
        <v>5382</v>
      </c>
      <c r="AZ108" s="82"/>
      <c r="BA108" s="82"/>
      <c r="BB108" s="82"/>
      <c r="BC108" s="82"/>
      <c r="BD108" s="82"/>
      <c r="BE108" s="82"/>
      <c r="BF108" s="82"/>
      <c r="BG108" s="82"/>
      <c r="BH108" s="854"/>
      <c r="BI108" s="854"/>
      <c r="BJ108" s="863">
        <f>79+71+61+44</f>
        <v>255</v>
      </c>
      <c r="BK108" s="863">
        <f>156+120+104+79</f>
        <v>459</v>
      </c>
      <c r="BL108" s="854">
        <f>SUM(C108,D108,E108,F108)</f>
        <v>881</v>
      </c>
      <c r="BM108" s="854">
        <f>SUM(G108,H108,I108,J108)</f>
        <v>1335</v>
      </c>
      <c r="BN108" s="854">
        <f>SUM(K108,L108,M108,N108)</f>
        <v>1743</v>
      </c>
      <c r="BO108" s="854">
        <f>SUM(O108,P108,Q108,R108)</f>
        <v>2592</v>
      </c>
      <c r="BP108" s="854">
        <f>SUM(S108,T108,U108,V108)</f>
        <v>4034</v>
      </c>
      <c r="BQ108" s="854">
        <f>SUM(W108,X108,Y108,Z108)</f>
        <v>5406</v>
      </c>
      <c r="BR108" s="854">
        <f>SUM(AA108,AB108,AC108,AD108)</f>
        <v>6842</v>
      </c>
      <c r="BS108" s="854">
        <f>SUM(AE108,AF108,AG108,AH108)</f>
        <v>7685</v>
      </c>
      <c r="BT108" s="854">
        <f>SUM(AI108,AJ108,AK108,AL108)</f>
        <v>11474</v>
      </c>
      <c r="BU108" s="854">
        <f>SUM(AM108,AN108,AO108,AP108)</f>
        <v>12542</v>
      </c>
      <c r="BV108" s="854">
        <f>SUM(AQ108,AR108,AS108,AT108)</f>
        <v>15477</v>
      </c>
      <c r="BW108" s="855">
        <f>SUM(AU108,AV108,AW108,AX108)</f>
        <v>20122</v>
      </c>
      <c r="BX108" s="854"/>
      <c r="BY108" s="854"/>
      <c r="BZ108" s="854"/>
      <c r="CA108" s="854"/>
      <c r="CB108" s="854"/>
      <c r="CC108" s="117"/>
    </row>
    <row r="109" spans="1:81" s="708" customFormat="1" x14ac:dyDescent="0.55000000000000004">
      <c r="A109" s="334" t="s">
        <v>1051</v>
      </c>
      <c r="B109" s="232"/>
      <c r="C109" s="6">
        <f t="shared" ref="C109:AH109" si="144">SUM(C105:C108)</f>
        <v>1245</v>
      </c>
      <c r="D109" s="6">
        <f t="shared" si="144"/>
        <v>1599</v>
      </c>
      <c r="E109" s="6">
        <f t="shared" si="144"/>
        <v>1798</v>
      </c>
      <c r="F109" s="6">
        <f t="shared" si="144"/>
        <v>2344</v>
      </c>
      <c r="G109" s="6">
        <f t="shared" si="144"/>
        <v>2265</v>
      </c>
      <c r="H109" s="6">
        <f t="shared" si="144"/>
        <v>2676</v>
      </c>
      <c r="I109" s="6">
        <f t="shared" si="144"/>
        <v>2957</v>
      </c>
      <c r="J109" s="6">
        <f t="shared" si="144"/>
        <v>3594</v>
      </c>
      <c r="K109" s="6">
        <f t="shared" si="144"/>
        <v>3317</v>
      </c>
      <c r="L109" s="6">
        <f t="shared" si="144"/>
        <v>3827</v>
      </c>
      <c r="M109" s="6">
        <f t="shared" si="144"/>
        <v>4299</v>
      </c>
      <c r="N109" s="6">
        <f t="shared" si="144"/>
        <v>5637</v>
      </c>
      <c r="O109" s="6">
        <f t="shared" si="144"/>
        <v>5201</v>
      </c>
      <c r="P109" s="6">
        <f t="shared" si="144"/>
        <v>6239</v>
      </c>
      <c r="Q109" s="6">
        <f t="shared" si="144"/>
        <v>6816</v>
      </c>
      <c r="R109" s="6">
        <f t="shared" si="144"/>
        <v>8629</v>
      </c>
      <c r="S109" s="6">
        <f t="shared" si="144"/>
        <v>7857</v>
      </c>
      <c r="T109" s="6">
        <f t="shared" si="144"/>
        <v>9164</v>
      </c>
      <c r="U109" s="6">
        <f t="shared" si="144"/>
        <v>10142</v>
      </c>
      <c r="V109" s="6">
        <f t="shared" si="144"/>
        <v>12779</v>
      </c>
      <c r="W109" s="6">
        <f t="shared" si="144"/>
        <v>11795</v>
      </c>
      <c r="X109" s="6">
        <f t="shared" si="144"/>
        <v>13038</v>
      </c>
      <c r="Y109" s="6">
        <f t="shared" si="144"/>
        <v>13539</v>
      </c>
      <c r="Z109" s="6">
        <f t="shared" si="144"/>
        <v>16640</v>
      </c>
      <c r="AA109" s="6">
        <f t="shared" si="144"/>
        <v>14912</v>
      </c>
      <c r="AB109" s="6">
        <f t="shared" si="144"/>
        <v>16624</v>
      </c>
      <c r="AC109" s="6">
        <f t="shared" si="144"/>
        <v>17383</v>
      </c>
      <c r="AD109" s="6">
        <f t="shared" si="144"/>
        <v>20736</v>
      </c>
      <c r="AE109" s="6">
        <f t="shared" si="144"/>
        <v>17440</v>
      </c>
      <c r="AF109" s="6">
        <f t="shared" si="144"/>
        <v>18321</v>
      </c>
      <c r="AG109" s="6">
        <f t="shared" si="144"/>
        <v>21221</v>
      </c>
      <c r="AH109" s="6">
        <f t="shared" si="144"/>
        <v>27187</v>
      </c>
      <c r="AI109" s="6">
        <f t="shared" ref="AI109:AY109" si="145">SUM(AI105:AI108)</f>
        <v>25439</v>
      </c>
      <c r="AJ109" s="6">
        <f t="shared" si="145"/>
        <v>28580</v>
      </c>
      <c r="AK109" s="6">
        <f t="shared" si="145"/>
        <v>28276</v>
      </c>
      <c r="AL109" s="6">
        <f t="shared" si="145"/>
        <v>32639</v>
      </c>
      <c r="AM109" s="6">
        <f t="shared" si="145"/>
        <v>26998</v>
      </c>
      <c r="AN109" s="6">
        <f t="shared" si="145"/>
        <v>28152</v>
      </c>
      <c r="AO109" s="6">
        <f t="shared" si="145"/>
        <v>27237</v>
      </c>
      <c r="AP109" s="6">
        <f t="shared" si="145"/>
        <v>31254</v>
      </c>
      <c r="AQ109" s="6">
        <f t="shared" si="145"/>
        <v>28101</v>
      </c>
      <c r="AR109" s="6">
        <f t="shared" si="145"/>
        <v>31498</v>
      </c>
      <c r="AS109" s="6">
        <f t="shared" si="145"/>
        <v>33643</v>
      </c>
      <c r="AT109" s="6">
        <f t="shared" si="145"/>
        <v>38706</v>
      </c>
      <c r="AU109" s="6">
        <f t="shared" si="145"/>
        <v>35635</v>
      </c>
      <c r="AV109" s="6">
        <f t="shared" si="145"/>
        <v>38329</v>
      </c>
      <c r="AW109" s="6">
        <f t="shared" si="145"/>
        <v>39885</v>
      </c>
      <c r="AX109" s="6">
        <f t="shared" si="145"/>
        <v>46783</v>
      </c>
      <c r="AY109" s="272">
        <f t="shared" si="145"/>
        <v>41392</v>
      </c>
      <c r="AZ109" s="35"/>
      <c r="BA109" s="35"/>
      <c r="BB109" s="35"/>
      <c r="BC109" s="35"/>
      <c r="BD109" s="35"/>
      <c r="BE109" s="35"/>
      <c r="BF109" s="35"/>
      <c r="BG109" s="35"/>
      <c r="BH109" s="812"/>
      <c r="BI109" s="812"/>
      <c r="BJ109" s="813">
        <f t="shared" ref="BJ109:BT109" si="146">SUM(BJ105:BJ108)</f>
        <v>3153</v>
      </c>
      <c r="BK109" s="813">
        <f t="shared" si="146"/>
        <v>4278</v>
      </c>
      <c r="BL109" s="813">
        <f t="shared" si="146"/>
        <v>6986</v>
      </c>
      <c r="BM109" s="813">
        <f t="shared" si="146"/>
        <v>11492</v>
      </c>
      <c r="BN109" s="813">
        <f t="shared" si="146"/>
        <v>17080</v>
      </c>
      <c r="BO109" s="813">
        <f t="shared" si="146"/>
        <v>26885</v>
      </c>
      <c r="BP109" s="813">
        <f t="shared" si="146"/>
        <v>39942</v>
      </c>
      <c r="BQ109" s="813">
        <f t="shared" si="146"/>
        <v>55012</v>
      </c>
      <c r="BR109" s="813">
        <f t="shared" si="146"/>
        <v>69655</v>
      </c>
      <c r="BS109" s="813">
        <f t="shared" si="146"/>
        <v>84169</v>
      </c>
      <c r="BT109" s="813">
        <f t="shared" si="146"/>
        <v>114934</v>
      </c>
      <c r="BU109" s="869">
        <v>113642</v>
      </c>
      <c r="BV109" s="813">
        <f>SUM(BV105:BV108)</f>
        <v>131948</v>
      </c>
      <c r="BW109" s="870">
        <f>SUM(BW105:BW108)</f>
        <v>160632</v>
      </c>
      <c r="BX109" s="812"/>
      <c r="BY109" s="812"/>
      <c r="BZ109" s="812"/>
      <c r="CA109" s="812"/>
      <c r="CB109" s="812"/>
      <c r="CC109" s="6"/>
    </row>
    <row r="110" spans="1:81" s="703" customFormat="1" x14ac:dyDescent="0.55000000000000004">
      <c r="A110" s="233"/>
      <c r="B110" s="232"/>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272"/>
      <c r="AZ110" s="35"/>
      <c r="BA110" s="35"/>
      <c r="BB110" s="35"/>
      <c r="BC110" s="35"/>
      <c r="BD110" s="35"/>
      <c r="BE110" s="35"/>
      <c r="BF110" s="35"/>
      <c r="BG110" s="35"/>
      <c r="BH110" s="812"/>
      <c r="BI110" s="812"/>
      <c r="BJ110" s="812"/>
      <c r="BK110" s="812"/>
      <c r="BL110" s="812"/>
      <c r="BM110" s="812"/>
      <c r="BN110" s="812"/>
      <c r="BO110" s="812"/>
      <c r="BP110" s="812"/>
      <c r="BQ110" s="812"/>
      <c r="BR110" s="812"/>
      <c r="BS110" s="812"/>
      <c r="BT110" s="812"/>
      <c r="BU110" s="812"/>
      <c r="BV110" s="812"/>
      <c r="BW110" s="814"/>
      <c r="BX110" s="812"/>
      <c r="BY110" s="812"/>
      <c r="BZ110" s="812"/>
      <c r="CA110" s="812"/>
      <c r="CB110" s="812"/>
      <c r="CC110" s="6"/>
    </row>
    <row r="111" spans="1:81" s="709" customFormat="1" outlineLevel="1" x14ac:dyDescent="0.55000000000000004">
      <c r="A111" s="130" t="s">
        <v>1038</v>
      </c>
      <c r="B111" s="237"/>
      <c r="C111" s="24">
        <f t="shared" ref="C111:AH111" si="147">C105/C109</f>
        <v>0.44337349397590359</v>
      </c>
      <c r="D111" s="24">
        <f t="shared" si="147"/>
        <v>0.45090681676047528</v>
      </c>
      <c r="E111" s="24">
        <f t="shared" si="147"/>
        <v>0.46273637374860954</v>
      </c>
      <c r="F111" s="24">
        <f t="shared" si="147"/>
        <v>0.45563139931740615</v>
      </c>
      <c r="G111" s="24">
        <f t="shared" si="147"/>
        <v>0.45871964679911698</v>
      </c>
      <c r="H111" s="24">
        <f t="shared" si="147"/>
        <v>0.43908819133034382</v>
      </c>
      <c r="I111" s="24">
        <f t="shared" si="147"/>
        <v>0.46060196144741294</v>
      </c>
      <c r="J111" s="24">
        <f t="shared" si="147"/>
        <v>0.4755147468002226</v>
      </c>
      <c r="K111" s="24">
        <f t="shared" si="147"/>
        <v>0.47995176364184505</v>
      </c>
      <c r="L111" s="24">
        <f t="shared" si="147"/>
        <v>0.47713613796707605</v>
      </c>
      <c r="M111" s="24">
        <f t="shared" si="147"/>
        <v>0.49313793905559433</v>
      </c>
      <c r="N111" s="24">
        <f t="shared" si="147"/>
        <v>0.50505588078765296</v>
      </c>
      <c r="O111" s="24">
        <f t="shared" si="147"/>
        <v>0.50278792539896178</v>
      </c>
      <c r="P111" s="24">
        <f t="shared" si="147"/>
        <v>0.49318801089918257</v>
      </c>
      <c r="Q111" s="24">
        <f t="shared" si="147"/>
        <v>0.50337441314553988</v>
      </c>
      <c r="R111" s="24">
        <f t="shared" si="147"/>
        <v>0.5139645381851895</v>
      </c>
      <c r="S111" s="24">
        <f t="shared" si="147"/>
        <v>0.49013618429425987</v>
      </c>
      <c r="T111" s="24">
        <f t="shared" si="147"/>
        <v>0.48559580969009164</v>
      </c>
      <c r="U111" s="24">
        <f t="shared" si="147"/>
        <v>0.48432261881285743</v>
      </c>
      <c r="V111" s="24">
        <f t="shared" si="147"/>
        <v>0.49072697394162296</v>
      </c>
      <c r="W111" s="24">
        <f t="shared" si="147"/>
        <v>0.47130139889783806</v>
      </c>
      <c r="X111" s="24">
        <f t="shared" si="147"/>
        <v>0.47070102776499462</v>
      </c>
      <c r="Y111" s="24">
        <f t="shared" si="147"/>
        <v>0.48356599453430832</v>
      </c>
      <c r="Z111" s="24">
        <f t="shared" si="147"/>
        <v>0.4955528846153846</v>
      </c>
      <c r="AA111" s="24">
        <f t="shared" si="147"/>
        <v>0.48303379828326182</v>
      </c>
      <c r="AB111" s="24">
        <f t="shared" si="147"/>
        <v>0.47834456207892206</v>
      </c>
      <c r="AC111" s="24">
        <f t="shared" si="147"/>
        <v>0.47845596272219987</v>
      </c>
      <c r="AD111" s="24">
        <f t="shared" si="147"/>
        <v>0.48326581790123457</v>
      </c>
      <c r="AE111" s="24">
        <f t="shared" si="147"/>
        <v>0.480447247706422</v>
      </c>
      <c r="AF111" s="24">
        <f t="shared" si="147"/>
        <v>0.49445990939359208</v>
      </c>
      <c r="AG111" s="24">
        <f t="shared" si="147"/>
        <v>0.47066584986569909</v>
      </c>
      <c r="AH111" s="24">
        <f t="shared" si="147"/>
        <v>0.48368705631367931</v>
      </c>
      <c r="AI111" s="24">
        <f t="shared" ref="AI111:AY111" si="148">AI105/AI109</f>
        <v>0.46766775423562246</v>
      </c>
      <c r="AJ111" s="24">
        <f t="shared" si="148"/>
        <v>0.46766969909027289</v>
      </c>
      <c r="AK111" s="24">
        <f t="shared" si="148"/>
        <v>0.46307822888668837</v>
      </c>
      <c r="AL111" s="24">
        <f t="shared" si="148"/>
        <v>0.46147247158307547</v>
      </c>
      <c r="AM111" s="24">
        <f t="shared" si="148"/>
        <v>0.44536632343136529</v>
      </c>
      <c r="AN111" s="24">
        <f t="shared" si="148"/>
        <v>0.45424836601307189</v>
      </c>
      <c r="AO111" s="24">
        <f t="shared" si="148"/>
        <v>0.46870066453721043</v>
      </c>
      <c r="AP111" s="24">
        <f t="shared" si="148"/>
        <v>0.4800985473859346</v>
      </c>
      <c r="AQ111" s="24">
        <f t="shared" si="148"/>
        <v>0.45229707127860219</v>
      </c>
      <c r="AR111" s="24">
        <f t="shared" si="148"/>
        <v>0.4486316591529621</v>
      </c>
      <c r="AS111" s="24">
        <f t="shared" si="148"/>
        <v>0.44455012929881405</v>
      </c>
      <c r="AT111" s="24">
        <f t="shared" si="148"/>
        <v>0.45946364904665943</v>
      </c>
      <c r="AU111" s="24">
        <f t="shared" si="148"/>
        <v>0.43359057106777044</v>
      </c>
      <c r="AV111" s="24">
        <f t="shared" si="148"/>
        <v>0.43290980719559602</v>
      </c>
      <c r="AW111" s="24">
        <f t="shared" si="148"/>
        <v>0.43597843800927666</v>
      </c>
      <c r="AX111" s="24">
        <f t="shared" si="148"/>
        <v>0.44849624863732551</v>
      </c>
      <c r="AY111" s="275">
        <f t="shared" si="148"/>
        <v>0.44112388867413993</v>
      </c>
      <c r="AZ111" s="55"/>
      <c r="BA111" s="55"/>
      <c r="BB111" s="55"/>
      <c r="BC111" s="55"/>
      <c r="BD111" s="55"/>
      <c r="BE111" s="55"/>
      <c r="BF111" s="55"/>
      <c r="BG111" s="55"/>
      <c r="BH111" s="156"/>
      <c r="BI111" s="156"/>
      <c r="BJ111" s="871">
        <f t="shared" ref="BJ111:BW111" si="149">BJ105/BJ109</f>
        <v>0.50206152870282272</v>
      </c>
      <c r="BK111" s="871">
        <f t="shared" si="149"/>
        <v>0.48316970546984572</v>
      </c>
      <c r="BL111" s="871">
        <f t="shared" si="149"/>
        <v>0.45419410249069569</v>
      </c>
      <c r="BM111" s="871">
        <f t="shared" si="149"/>
        <v>0.45988513748694743</v>
      </c>
      <c r="BN111" s="871">
        <f t="shared" si="149"/>
        <v>0.49092505854800939</v>
      </c>
      <c r="BO111" s="871">
        <f t="shared" si="149"/>
        <v>0.50429607587874281</v>
      </c>
      <c r="BP111" s="871">
        <f t="shared" si="149"/>
        <v>0.48780732061489157</v>
      </c>
      <c r="BQ111" s="871">
        <f t="shared" si="149"/>
        <v>0.48151312440921978</v>
      </c>
      <c r="BR111" s="871">
        <f t="shared" si="149"/>
        <v>0.48084128921111191</v>
      </c>
      <c r="BS111" s="871">
        <f t="shared" si="149"/>
        <v>0.48207772457793252</v>
      </c>
      <c r="BT111" s="871">
        <f t="shared" si="149"/>
        <v>0.46477978666017017</v>
      </c>
      <c r="BU111" s="871">
        <f t="shared" si="149"/>
        <v>0.46270744971049438</v>
      </c>
      <c r="BV111" s="871">
        <f t="shared" si="149"/>
        <v>0.45154909509806895</v>
      </c>
      <c r="BW111" s="872">
        <f t="shared" si="149"/>
        <v>0.43836221923402557</v>
      </c>
      <c r="BX111" s="156"/>
      <c r="BY111" s="156"/>
      <c r="BZ111" s="156"/>
      <c r="CA111" s="156"/>
      <c r="CB111" s="156"/>
      <c r="CC111" s="24"/>
    </row>
    <row r="112" spans="1:81" s="709" customFormat="1" outlineLevel="1" x14ac:dyDescent="0.55000000000000004">
      <c r="A112" s="130" t="s">
        <v>1034</v>
      </c>
      <c r="B112" s="237"/>
      <c r="C112" s="24">
        <f t="shared" ref="C112:AH112" si="150">C106/C109</f>
        <v>0.29477911646586347</v>
      </c>
      <c r="D112" s="24">
        <f t="shared" si="150"/>
        <v>0.28205128205128205</v>
      </c>
      <c r="E112" s="24">
        <f t="shared" si="150"/>
        <v>0.26807563959955505</v>
      </c>
      <c r="F112" s="24">
        <f t="shared" si="150"/>
        <v>0.28071672354948807</v>
      </c>
      <c r="G112" s="24">
        <f t="shared" si="150"/>
        <v>0.27858719646799118</v>
      </c>
      <c r="H112" s="24">
        <f t="shared" si="150"/>
        <v>0.28288490284005979</v>
      </c>
      <c r="I112" s="24">
        <f t="shared" si="150"/>
        <v>0.26479540074399732</v>
      </c>
      <c r="J112" s="24">
        <f t="shared" si="150"/>
        <v>0.26711185308848079</v>
      </c>
      <c r="K112" s="24">
        <f t="shared" si="150"/>
        <v>0.25776303889056379</v>
      </c>
      <c r="L112" s="24">
        <f t="shared" si="150"/>
        <v>0.25790436373138226</v>
      </c>
      <c r="M112" s="24">
        <f t="shared" si="150"/>
        <v>0.24214933705512909</v>
      </c>
      <c r="N112" s="24">
        <f t="shared" si="150"/>
        <v>0.25066524747205959</v>
      </c>
      <c r="O112" s="24">
        <f t="shared" si="150"/>
        <v>0.2441838108056143</v>
      </c>
      <c r="P112" s="24">
        <f t="shared" si="150"/>
        <v>0.24763583907677511</v>
      </c>
      <c r="Q112" s="24">
        <f t="shared" si="150"/>
        <v>0.22931338028169015</v>
      </c>
      <c r="R112" s="24">
        <f t="shared" si="150"/>
        <v>0.23467377448139992</v>
      </c>
      <c r="S112" s="24">
        <f t="shared" si="150"/>
        <v>0.237877052310042</v>
      </c>
      <c r="T112" s="24">
        <f t="shared" si="150"/>
        <v>0.24105194238323877</v>
      </c>
      <c r="U112" s="24">
        <f t="shared" si="150"/>
        <v>0.2399921120094656</v>
      </c>
      <c r="V112" s="24">
        <f t="shared" si="150"/>
        <v>0.25009781673057357</v>
      </c>
      <c r="W112" s="24">
        <f t="shared" si="150"/>
        <v>0.2536668079694786</v>
      </c>
      <c r="X112" s="24">
        <f t="shared" si="150"/>
        <v>0.24904126399754564</v>
      </c>
      <c r="Y112" s="24">
        <f t="shared" si="150"/>
        <v>0.24122904202673756</v>
      </c>
      <c r="Z112" s="24">
        <f t="shared" si="150"/>
        <v>0.24561298076923077</v>
      </c>
      <c r="AA112" s="24">
        <f t="shared" si="150"/>
        <v>0.24201984978540772</v>
      </c>
      <c r="AB112" s="24">
        <f t="shared" si="150"/>
        <v>0.24320259865255053</v>
      </c>
      <c r="AC112" s="24">
        <f t="shared" si="150"/>
        <v>0.23338894322038772</v>
      </c>
      <c r="AD112" s="24">
        <f t="shared" si="150"/>
        <v>0.24455054012345678</v>
      </c>
      <c r="AE112" s="24">
        <f t="shared" si="150"/>
        <v>0.23916284403669724</v>
      </c>
      <c r="AF112" s="24">
        <f t="shared" si="150"/>
        <v>0.24076196714153159</v>
      </c>
      <c r="AG112" s="24">
        <f t="shared" si="150"/>
        <v>0.23801894349936384</v>
      </c>
      <c r="AH112" s="24">
        <f t="shared" si="150"/>
        <v>0.25092875271269355</v>
      </c>
      <c r="AI112" s="24">
        <f t="shared" ref="AI112:AY112" si="151">AI106/AI109</f>
        <v>0.2505208538071465</v>
      </c>
      <c r="AJ112" s="24">
        <f t="shared" si="151"/>
        <v>0.25209937018894329</v>
      </c>
      <c r="AK112" s="24">
        <f t="shared" si="151"/>
        <v>0.24122931107653134</v>
      </c>
      <c r="AL112" s="24">
        <f t="shared" si="151"/>
        <v>0.25043659425840253</v>
      </c>
      <c r="AM112" s="24">
        <f t="shared" si="151"/>
        <v>0.23572116453070599</v>
      </c>
      <c r="AN112" s="24">
        <f t="shared" si="151"/>
        <v>0.22591645353793691</v>
      </c>
      <c r="AO112" s="24">
        <f t="shared" si="151"/>
        <v>0.20953115247641077</v>
      </c>
      <c r="AP112" s="24">
        <f t="shared" si="151"/>
        <v>0.22089972483522108</v>
      </c>
      <c r="AQ112" s="24">
        <f t="shared" si="151"/>
        <v>0.22308814632931212</v>
      </c>
      <c r="AR112" s="24">
        <f t="shared" si="151"/>
        <v>0.23074480919423457</v>
      </c>
      <c r="AS112" s="24">
        <f t="shared" si="151"/>
        <v>0.22949796391522753</v>
      </c>
      <c r="AT112" s="24">
        <f t="shared" si="151"/>
        <v>0.23662997984808556</v>
      </c>
      <c r="AU112" s="24">
        <f t="shared" si="151"/>
        <v>0.23367475796267714</v>
      </c>
      <c r="AV112" s="24">
        <f t="shared" si="151"/>
        <v>0.23833128962404446</v>
      </c>
      <c r="AW112" s="24">
        <f t="shared" si="151"/>
        <v>0.23462454556850945</v>
      </c>
      <c r="AX112" s="24">
        <f t="shared" si="151"/>
        <v>0.23841993886668233</v>
      </c>
      <c r="AY112" s="275">
        <f t="shared" si="151"/>
        <v>0.23016524932354079</v>
      </c>
      <c r="AZ112" s="55"/>
      <c r="BA112" s="55"/>
      <c r="BB112" s="55"/>
      <c r="BC112" s="55"/>
      <c r="BD112" s="55"/>
      <c r="BE112" s="55"/>
      <c r="BF112" s="55"/>
      <c r="BG112" s="55"/>
      <c r="BH112" s="156"/>
      <c r="BI112" s="156"/>
      <c r="BJ112" s="871">
        <f t="shared" ref="BJ112:BW112" si="152">BJ106/BJ109</f>
        <v>0.31779257849666986</v>
      </c>
      <c r="BK112" s="871">
        <f t="shared" si="152"/>
        <v>0.28915381019167835</v>
      </c>
      <c r="BL112" s="871">
        <f t="shared" si="152"/>
        <v>0.28027483538505582</v>
      </c>
      <c r="BM112" s="871">
        <f t="shared" si="152"/>
        <v>0.27245040027845457</v>
      </c>
      <c r="BN112" s="871">
        <f t="shared" si="152"/>
        <v>0.25152224824355973</v>
      </c>
      <c r="BO112" s="871">
        <f t="shared" si="152"/>
        <v>0.2381625441696113</v>
      </c>
      <c r="BP112" s="871">
        <f t="shared" si="152"/>
        <v>0.2430524260177257</v>
      </c>
      <c r="BQ112" s="871">
        <f t="shared" si="152"/>
        <v>0.24707336581109576</v>
      </c>
      <c r="BR112" s="871">
        <f t="shared" si="152"/>
        <v>0.24090158639006531</v>
      </c>
      <c r="BS112" s="871">
        <f t="shared" si="152"/>
        <v>0.24302296569996079</v>
      </c>
      <c r="BT112" s="871">
        <f t="shared" si="152"/>
        <v>0.24860354638314164</v>
      </c>
      <c r="BU112" s="871">
        <f t="shared" si="152"/>
        <v>0.22293694232766054</v>
      </c>
      <c r="BV112" s="871">
        <f t="shared" si="152"/>
        <v>0.23052263012701973</v>
      </c>
      <c r="BW112" s="872">
        <f t="shared" si="152"/>
        <v>0.23640370536381294</v>
      </c>
      <c r="BX112" s="156"/>
      <c r="BY112" s="156"/>
      <c r="BZ112" s="156"/>
      <c r="CA112" s="156"/>
      <c r="CB112" s="156"/>
      <c r="CC112" s="24"/>
    </row>
    <row r="113" spans="1:81" s="709" customFormat="1" outlineLevel="1" x14ac:dyDescent="0.55000000000000004">
      <c r="A113" s="130" t="s">
        <v>1035</v>
      </c>
      <c r="B113" s="237"/>
      <c r="C113" s="24">
        <f t="shared" ref="C113:AH113" si="153">C107/C109</f>
        <v>0.14136546184738955</v>
      </c>
      <c r="D113" s="24">
        <f t="shared" si="153"/>
        <v>0.14071294559099437</v>
      </c>
      <c r="E113" s="24">
        <f t="shared" si="153"/>
        <v>0.14182424916573971</v>
      </c>
      <c r="F113" s="24">
        <f t="shared" si="153"/>
        <v>0.1356655290102389</v>
      </c>
      <c r="G113" s="24">
        <f t="shared" si="153"/>
        <v>0.14701986754966886</v>
      </c>
      <c r="H113" s="24">
        <f t="shared" si="153"/>
        <v>0.15246636771300448</v>
      </c>
      <c r="I113" s="24">
        <f t="shared" si="153"/>
        <v>0.158606695975651</v>
      </c>
      <c r="J113" s="24">
        <f t="shared" si="153"/>
        <v>0.14774624373956594</v>
      </c>
      <c r="K113" s="24">
        <f t="shared" si="153"/>
        <v>0.15797407295749172</v>
      </c>
      <c r="L113" s="24">
        <f t="shared" si="153"/>
        <v>0.15808727462764569</v>
      </c>
      <c r="M113" s="24">
        <f t="shared" si="153"/>
        <v>0.16143289137008607</v>
      </c>
      <c r="N113" s="24">
        <f t="shared" si="153"/>
        <v>0.14777363846017386</v>
      </c>
      <c r="O113" s="24">
        <f t="shared" si="153"/>
        <v>0.16323783887713902</v>
      </c>
      <c r="P113" s="24">
        <f t="shared" si="153"/>
        <v>0.16172463535823048</v>
      </c>
      <c r="Q113" s="24">
        <f t="shared" si="153"/>
        <v>0.16681338028169015</v>
      </c>
      <c r="R113" s="24">
        <f t="shared" si="153"/>
        <v>0.15494263529957122</v>
      </c>
      <c r="S113" s="24">
        <f t="shared" si="153"/>
        <v>0.17322133129693268</v>
      </c>
      <c r="T113" s="24">
        <f t="shared" si="153"/>
        <v>0.17001309471846354</v>
      </c>
      <c r="U113" s="24">
        <f t="shared" si="153"/>
        <v>0.17245119305856832</v>
      </c>
      <c r="V113" s="24">
        <f t="shared" si="153"/>
        <v>0.16026293137178182</v>
      </c>
      <c r="W113" s="24">
        <f t="shared" si="153"/>
        <v>0.17634590928359475</v>
      </c>
      <c r="X113" s="24">
        <f t="shared" si="153"/>
        <v>0.17617732781101397</v>
      </c>
      <c r="Y113" s="24">
        <f t="shared" si="153"/>
        <v>0.17770884112563703</v>
      </c>
      <c r="Z113" s="24">
        <f t="shared" si="153"/>
        <v>0.16478365384615384</v>
      </c>
      <c r="AA113" s="24">
        <f t="shared" si="153"/>
        <v>0.17905042918454936</v>
      </c>
      <c r="AB113" s="24">
        <f t="shared" si="153"/>
        <v>0.17955967276227142</v>
      </c>
      <c r="AC113" s="24">
        <f t="shared" si="153"/>
        <v>0.18656158315595697</v>
      </c>
      <c r="AD113" s="24">
        <f t="shared" si="153"/>
        <v>0.17563657407407407</v>
      </c>
      <c r="AE113" s="24">
        <f t="shared" si="153"/>
        <v>0.18555045871559633</v>
      </c>
      <c r="AF113" s="24">
        <f t="shared" si="153"/>
        <v>0.18077615850663173</v>
      </c>
      <c r="AG113" s="24">
        <f t="shared" si="153"/>
        <v>0.19801140379812449</v>
      </c>
      <c r="AH113" s="24">
        <f t="shared" si="153"/>
        <v>0.17298708941773641</v>
      </c>
      <c r="AI113" s="24">
        <f t="shared" ref="AI113:AY113" si="154">AI107/AI109</f>
        <v>0.18613153032744997</v>
      </c>
      <c r="AJ113" s="24">
        <f t="shared" si="154"/>
        <v>0.18026592022393281</v>
      </c>
      <c r="AK113" s="24">
        <f t="shared" si="154"/>
        <v>0.19090394681001557</v>
      </c>
      <c r="AL113" s="24">
        <f t="shared" si="154"/>
        <v>0.18943595085633752</v>
      </c>
      <c r="AM113" s="24">
        <f t="shared" si="154"/>
        <v>0.2096821986813838</v>
      </c>
      <c r="AN113" s="24">
        <f t="shared" si="154"/>
        <v>0.20726768968456949</v>
      </c>
      <c r="AO113" s="24">
        <f t="shared" si="154"/>
        <v>0.20989830010647281</v>
      </c>
      <c r="AP113" s="24">
        <f t="shared" si="154"/>
        <v>0.19095155820055032</v>
      </c>
      <c r="AQ113" s="24">
        <f t="shared" si="154"/>
        <v>0.20970783957866268</v>
      </c>
      <c r="AR113" s="24">
        <f t="shared" si="154"/>
        <v>0.2042986856308337</v>
      </c>
      <c r="AS113" s="24">
        <f t="shared" si="154"/>
        <v>0.20298427607526082</v>
      </c>
      <c r="AT113" s="24">
        <f t="shared" si="154"/>
        <v>0.18901462305585698</v>
      </c>
      <c r="AU113" s="24">
        <f t="shared" si="154"/>
        <v>0.20592114494177072</v>
      </c>
      <c r="AV113" s="24">
        <f t="shared" si="154"/>
        <v>0.20144016280101229</v>
      </c>
      <c r="AW113" s="24">
        <f t="shared" si="154"/>
        <v>0.20183026200325938</v>
      </c>
      <c r="AX113" s="24">
        <f t="shared" si="154"/>
        <v>0.19263407648077294</v>
      </c>
      <c r="AY113" s="275">
        <f t="shared" si="154"/>
        <v>0.19868573637417858</v>
      </c>
      <c r="AZ113" s="55"/>
      <c r="BA113" s="55"/>
      <c r="BB113" s="55"/>
      <c r="BC113" s="55"/>
      <c r="BD113" s="55"/>
      <c r="BE113" s="55"/>
      <c r="BF113" s="55"/>
      <c r="BG113" s="55"/>
      <c r="BH113" s="156"/>
      <c r="BI113" s="156"/>
      <c r="BJ113" s="871">
        <f t="shared" ref="BJ113:BW113" si="155">BJ107/BJ109</f>
        <v>9.927053599746273E-2</v>
      </c>
      <c r="BK113" s="871">
        <f t="shared" si="155"/>
        <v>0.12038335670874241</v>
      </c>
      <c r="BL113" s="871">
        <f t="shared" si="155"/>
        <v>0.13942170054394504</v>
      </c>
      <c r="BM113" s="871">
        <f t="shared" si="155"/>
        <v>0.15149669335189697</v>
      </c>
      <c r="BN113" s="871">
        <f t="shared" si="155"/>
        <v>0.15550351288056205</v>
      </c>
      <c r="BO113" s="871">
        <f t="shared" si="155"/>
        <v>0.16113074204946998</v>
      </c>
      <c r="BP113" s="871">
        <f t="shared" si="155"/>
        <v>0.16814380852235741</v>
      </c>
      <c r="BQ113" s="871">
        <f t="shared" si="155"/>
        <v>0.17314404130007999</v>
      </c>
      <c r="BR113" s="871">
        <f t="shared" si="155"/>
        <v>0.18003014858947672</v>
      </c>
      <c r="BS113" s="871">
        <f t="shared" si="155"/>
        <v>0.18359491024011215</v>
      </c>
      <c r="BT113" s="871">
        <f t="shared" si="155"/>
        <v>0.18678545948109349</v>
      </c>
      <c r="BU113" s="871">
        <f t="shared" si="155"/>
        <v>0.20398268245895004</v>
      </c>
      <c r="BV113" s="871">
        <f t="shared" si="155"/>
        <v>0.20063206717797921</v>
      </c>
      <c r="BW113" s="872">
        <f t="shared" si="155"/>
        <v>0.19996638278798745</v>
      </c>
      <c r="BX113" s="156"/>
      <c r="BY113" s="156"/>
      <c r="BZ113" s="156"/>
      <c r="CA113" s="156"/>
      <c r="CB113" s="156"/>
      <c r="CC113" s="24"/>
    </row>
    <row r="114" spans="1:81" s="709" customFormat="1" outlineLevel="1" x14ac:dyDescent="0.55000000000000004">
      <c r="A114" s="130" t="s">
        <v>1036</v>
      </c>
      <c r="B114" s="237"/>
      <c r="C114" s="24">
        <f t="shared" ref="C114:AH114" si="156">C108/C109</f>
        <v>0.12048192771084337</v>
      </c>
      <c r="D114" s="24">
        <f t="shared" si="156"/>
        <v>0.12632895559724827</v>
      </c>
      <c r="E114" s="24">
        <f t="shared" si="156"/>
        <v>0.12736373748609567</v>
      </c>
      <c r="F114" s="24">
        <f t="shared" si="156"/>
        <v>0.12798634812286688</v>
      </c>
      <c r="G114" s="24">
        <f t="shared" si="156"/>
        <v>0.11567328918322296</v>
      </c>
      <c r="H114" s="24">
        <f t="shared" si="156"/>
        <v>0.12556053811659193</v>
      </c>
      <c r="I114" s="24">
        <f t="shared" si="156"/>
        <v>0.11599594183293879</v>
      </c>
      <c r="J114" s="24">
        <f t="shared" si="156"/>
        <v>0.10962715637173066</v>
      </c>
      <c r="K114" s="24">
        <f t="shared" si="156"/>
        <v>0.10431112451009948</v>
      </c>
      <c r="L114" s="24">
        <f t="shared" si="156"/>
        <v>0.106872223673896</v>
      </c>
      <c r="M114" s="24">
        <f t="shared" si="156"/>
        <v>0.10327983251919051</v>
      </c>
      <c r="N114" s="24">
        <f t="shared" si="156"/>
        <v>9.6505233280113539E-2</v>
      </c>
      <c r="O114" s="24">
        <f t="shared" si="156"/>
        <v>8.9790424918284942E-2</v>
      </c>
      <c r="P114" s="24">
        <f t="shared" si="156"/>
        <v>9.7451514665811825E-2</v>
      </c>
      <c r="Q114" s="24">
        <f t="shared" si="156"/>
        <v>0.10049882629107981</v>
      </c>
      <c r="R114" s="24">
        <f t="shared" si="156"/>
        <v>9.6419052033839381E-2</v>
      </c>
      <c r="S114" s="24">
        <f t="shared" si="156"/>
        <v>9.8765432098765427E-2</v>
      </c>
      <c r="T114" s="24">
        <f t="shared" si="156"/>
        <v>0.10333915320820602</v>
      </c>
      <c r="U114" s="24">
        <f t="shared" si="156"/>
        <v>0.10323407611910866</v>
      </c>
      <c r="V114" s="24">
        <f t="shared" si="156"/>
        <v>9.8912277956021602E-2</v>
      </c>
      <c r="W114" s="24">
        <f t="shared" si="156"/>
        <v>9.8685883849088593E-2</v>
      </c>
      <c r="X114" s="24">
        <f t="shared" si="156"/>
        <v>0.10408038042644577</v>
      </c>
      <c r="Y114" s="24">
        <f t="shared" si="156"/>
        <v>9.7496122313317085E-2</v>
      </c>
      <c r="Z114" s="24">
        <f t="shared" si="156"/>
        <v>9.4050480769230768E-2</v>
      </c>
      <c r="AA114" s="24">
        <f t="shared" si="156"/>
        <v>9.5895922746781118E-2</v>
      </c>
      <c r="AB114" s="24">
        <f t="shared" si="156"/>
        <v>9.8893166506256014E-2</v>
      </c>
      <c r="AC114" s="24">
        <f t="shared" si="156"/>
        <v>0.10159351090145545</v>
      </c>
      <c r="AD114" s="24">
        <f t="shared" si="156"/>
        <v>9.6547067901234573E-2</v>
      </c>
      <c r="AE114" s="24">
        <f t="shared" si="156"/>
        <v>9.4839449541284399E-2</v>
      </c>
      <c r="AF114" s="24">
        <f t="shared" si="156"/>
        <v>8.4001964958244635E-2</v>
      </c>
      <c r="AG114" s="24">
        <f t="shared" si="156"/>
        <v>9.3303802836812597E-2</v>
      </c>
      <c r="AH114" s="24">
        <f t="shared" si="156"/>
        <v>9.239710155589069E-2</v>
      </c>
      <c r="AI114" s="24">
        <f t="shared" ref="AI114:AY114" si="157">AI108/AI109</f>
        <v>9.5679861629781052E-2</v>
      </c>
      <c r="AJ114" s="24">
        <f t="shared" si="157"/>
        <v>9.9965010496850942E-2</v>
      </c>
      <c r="AK114" s="24">
        <f t="shared" si="157"/>
        <v>0.10478851322676475</v>
      </c>
      <c r="AL114" s="24">
        <f t="shared" si="157"/>
        <v>9.8654983302184501E-2</v>
      </c>
      <c r="AM114" s="24">
        <f t="shared" si="157"/>
        <v>0.10923031335654493</v>
      </c>
      <c r="AN114" s="24">
        <f t="shared" si="157"/>
        <v>0.11256749076442171</v>
      </c>
      <c r="AO114" s="24">
        <f t="shared" si="157"/>
        <v>0.11186988287990601</v>
      </c>
      <c r="AP114" s="24">
        <f t="shared" si="157"/>
        <v>0.10805016957829398</v>
      </c>
      <c r="AQ114" s="24">
        <f t="shared" si="157"/>
        <v>0.11490694281342301</v>
      </c>
      <c r="AR114" s="24">
        <f t="shared" si="157"/>
        <v>0.11632484602196964</v>
      </c>
      <c r="AS114" s="24">
        <f t="shared" si="157"/>
        <v>0.12296763071069762</v>
      </c>
      <c r="AT114" s="24">
        <f t="shared" si="157"/>
        <v>0.11489174804939803</v>
      </c>
      <c r="AU114" s="24">
        <f t="shared" si="157"/>
        <v>0.12681352602778168</v>
      </c>
      <c r="AV114" s="24">
        <f t="shared" si="157"/>
        <v>0.12731874037934723</v>
      </c>
      <c r="AW114" s="24">
        <f t="shared" si="157"/>
        <v>0.12756675441895449</v>
      </c>
      <c r="AX114" s="24">
        <f t="shared" si="157"/>
        <v>0.1204497360152192</v>
      </c>
      <c r="AY114" s="275">
        <f t="shared" si="157"/>
        <v>0.1300251256281407</v>
      </c>
      <c r="AZ114" s="55"/>
      <c r="BA114" s="55"/>
      <c r="BB114" s="55"/>
      <c r="BC114" s="55"/>
      <c r="BD114" s="55"/>
      <c r="BE114" s="55"/>
      <c r="BF114" s="55"/>
      <c r="BG114" s="55"/>
      <c r="BH114" s="156"/>
      <c r="BI114" s="156"/>
      <c r="BJ114" s="871">
        <f t="shared" ref="BJ114:BW114" si="158">BJ108/BJ109</f>
        <v>8.0875356803044723E-2</v>
      </c>
      <c r="BK114" s="871">
        <f t="shared" si="158"/>
        <v>0.10729312762973352</v>
      </c>
      <c r="BL114" s="871">
        <f t="shared" si="158"/>
        <v>0.12610936158030348</v>
      </c>
      <c r="BM114" s="871">
        <f t="shared" si="158"/>
        <v>0.11616776888270101</v>
      </c>
      <c r="BN114" s="871">
        <f t="shared" si="158"/>
        <v>0.10204918032786885</v>
      </c>
      <c r="BO114" s="871">
        <f t="shared" si="158"/>
        <v>9.6410637902175939E-2</v>
      </c>
      <c r="BP114" s="871">
        <f t="shared" si="158"/>
        <v>0.10099644484502529</v>
      </c>
      <c r="BQ114" s="871">
        <f t="shared" si="158"/>
        <v>9.8269468479604452E-2</v>
      </c>
      <c r="BR114" s="871">
        <f t="shared" si="158"/>
        <v>9.8226975809346057E-2</v>
      </c>
      <c r="BS114" s="871">
        <f t="shared" si="158"/>
        <v>9.1304399481994564E-2</v>
      </c>
      <c r="BT114" s="871">
        <f t="shared" si="158"/>
        <v>9.9831207475594694E-2</v>
      </c>
      <c r="BU114" s="871">
        <f t="shared" si="158"/>
        <v>0.11036412593935341</v>
      </c>
      <c r="BV114" s="871">
        <f t="shared" si="158"/>
        <v>0.11729620759693213</v>
      </c>
      <c r="BW114" s="872">
        <f t="shared" si="158"/>
        <v>0.125267692614174</v>
      </c>
      <c r="BX114" s="156"/>
      <c r="BY114" s="156"/>
      <c r="BZ114" s="156"/>
      <c r="CA114" s="156"/>
      <c r="CB114" s="156"/>
      <c r="CC114" s="24"/>
    </row>
    <row r="115" spans="1:81" s="713" customFormat="1" outlineLevel="1" x14ac:dyDescent="0.55000000000000004">
      <c r="A115" s="23" t="s">
        <v>1037</v>
      </c>
      <c r="B115" s="296"/>
      <c r="C115" s="297">
        <f t="shared" ref="C115:AH115" si="159">SUM(C111:C114)</f>
        <v>1</v>
      </c>
      <c r="D115" s="297">
        <f t="shared" si="159"/>
        <v>1</v>
      </c>
      <c r="E115" s="297">
        <f t="shared" si="159"/>
        <v>1</v>
      </c>
      <c r="F115" s="297">
        <f t="shared" si="159"/>
        <v>1</v>
      </c>
      <c r="G115" s="297">
        <f t="shared" si="159"/>
        <v>1</v>
      </c>
      <c r="H115" s="297">
        <f t="shared" si="159"/>
        <v>1</v>
      </c>
      <c r="I115" s="297">
        <f t="shared" si="159"/>
        <v>1</v>
      </c>
      <c r="J115" s="297">
        <f t="shared" si="159"/>
        <v>1</v>
      </c>
      <c r="K115" s="297">
        <f t="shared" si="159"/>
        <v>1</v>
      </c>
      <c r="L115" s="297">
        <f t="shared" si="159"/>
        <v>1</v>
      </c>
      <c r="M115" s="297">
        <f t="shared" si="159"/>
        <v>1</v>
      </c>
      <c r="N115" s="297">
        <f t="shared" si="159"/>
        <v>0.99999999999999989</v>
      </c>
      <c r="O115" s="297">
        <f t="shared" si="159"/>
        <v>1</v>
      </c>
      <c r="P115" s="297">
        <f t="shared" si="159"/>
        <v>0.99999999999999989</v>
      </c>
      <c r="Q115" s="297">
        <f t="shared" si="159"/>
        <v>1</v>
      </c>
      <c r="R115" s="297">
        <f t="shared" si="159"/>
        <v>1</v>
      </c>
      <c r="S115" s="297">
        <f t="shared" si="159"/>
        <v>1</v>
      </c>
      <c r="T115" s="297">
        <f t="shared" si="159"/>
        <v>1</v>
      </c>
      <c r="U115" s="297">
        <f t="shared" si="159"/>
        <v>1</v>
      </c>
      <c r="V115" s="297">
        <f t="shared" si="159"/>
        <v>1</v>
      </c>
      <c r="W115" s="297">
        <f t="shared" si="159"/>
        <v>1</v>
      </c>
      <c r="X115" s="297">
        <f t="shared" si="159"/>
        <v>0.99999999999999989</v>
      </c>
      <c r="Y115" s="297">
        <f t="shared" si="159"/>
        <v>0.99999999999999989</v>
      </c>
      <c r="Z115" s="297">
        <f t="shared" si="159"/>
        <v>0.99999999999999989</v>
      </c>
      <c r="AA115" s="297">
        <f t="shared" si="159"/>
        <v>1</v>
      </c>
      <c r="AB115" s="297">
        <f t="shared" si="159"/>
        <v>1</v>
      </c>
      <c r="AC115" s="297">
        <f t="shared" si="159"/>
        <v>0.99999999999999989</v>
      </c>
      <c r="AD115" s="297">
        <f t="shared" si="159"/>
        <v>1</v>
      </c>
      <c r="AE115" s="297">
        <f t="shared" si="159"/>
        <v>0.99999999999999989</v>
      </c>
      <c r="AF115" s="297">
        <f t="shared" si="159"/>
        <v>1</v>
      </c>
      <c r="AG115" s="297">
        <f t="shared" si="159"/>
        <v>1</v>
      </c>
      <c r="AH115" s="297">
        <f t="shared" si="159"/>
        <v>0.99999999999999989</v>
      </c>
      <c r="AI115" s="297">
        <f t="shared" ref="AI115:AY115" si="160">SUM(AI111:AI114)</f>
        <v>1</v>
      </c>
      <c r="AJ115" s="297">
        <f t="shared" si="160"/>
        <v>1</v>
      </c>
      <c r="AK115" s="297">
        <f t="shared" si="160"/>
        <v>1</v>
      </c>
      <c r="AL115" s="297">
        <f t="shared" si="160"/>
        <v>0.99999999999999989</v>
      </c>
      <c r="AM115" s="297">
        <f t="shared" si="160"/>
        <v>1</v>
      </c>
      <c r="AN115" s="297">
        <f t="shared" si="160"/>
        <v>1</v>
      </c>
      <c r="AO115" s="297">
        <f t="shared" si="160"/>
        <v>1</v>
      </c>
      <c r="AP115" s="297">
        <f t="shared" si="160"/>
        <v>0.99999999999999989</v>
      </c>
      <c r="AQ115" s="297">
        <f t="shared" si="160"/>
        <v>1</v>
      </c>
      <c r="AR115" s="297">
        <f t="shared" si="160"/>
        <v>1</v>
      </c>
      <c r="AS115" s="297">
        <f t="shared" si="160"/>
        <v>1</v>
      </c>
      <c r="AT115" s="297">
        <f t="shared" si="160"/>
        <v>1</v>
      </c>
      <c r="AU115" s="297">
        <f t="shared" si="160"/>
        <v>1</v>
      </c>
      <c r="AV115" s="297">
        <f t="shared" si="160"/>
        <v>1</v>
      </c>
      <c r="AW115" s="297">
        <f t="shared" si="160"/>
        <v>1</v>
      </c>
      <c r="AX115" s="297">
        <f t="shared" si="160"/>
        <v>1</v>
      </c>
      <c r="AY115" s="637">
        <f t="shared" si="160"/>
        <v>1</v>
      </c>
      <c r="AZ115" s="328"/>
      <c r="BA115" s="328"/>
      <c r="BB115" s="328"/>
      <c r="BC115" s="328"/>
      <c r="BD115" s="328"/>
      <c r="BE115" s="328"/>
      <c r="BF115" s="328"/>
      <c r="BG115" s="328"/>
      <c r="BH115" s="873"/>
      <c r="BI115" s="873"/>
      <c r="BJ115" s="874">
        <f t="shared" ref="BJ115:BW115" si="161">SUM(BJ111:BJ114)</f>
        <v>1</v>
      </c>
      <c r="BK115" s="874">
        <f t="shared" si="161"/>
        <v>1</v>
      </c>
      <c r="BL115" s="874">
        <f t="shared" si="161"/>
        <v>1</v>
      </c>
      <c r="BM115" s="874">
        <f t="shared" si="161"/>
        <v>0.99999999999999989</v>
      </c>
      <c r="BN115" s="874">
        <f t="shared" si="161"/>
        <v>1</v>
      </c>
      <c r="BO115" s="874">
        <f t="shared" si="161"/>
        <v>1</v>
      </c>
      <c r="BP115" s="874">
        <f t="shared" si="161"/>
        <v>1</v>
      </c>
      <c r="BQ115" s="874">
        <f t="shared" si="161"/>
        <v>1</v>
      </c>
      <c r="BR115" s="874">
        <f t="shared" si="161"/>
        <v>1</v>
      </c>
      <c r="BS115" s="874">
        <f t="shared" si="161"/>
        <v>1.0000000000000002</v>
      </c>
      <c r="BT115" s="874">
        <f t="shared" si="161"/>
        <v>1</v>
      </c>
      <c r="BU115" s="874">
        <f t="shared" si="161"/>
        <v>0.99999120043645839</v>
      </c>
      <c r="BV115" s="874">
        <f t="shared" si="161"/>
        <v>1</v>
      </c>
      <c r="BW115" s="875">
        <f t="shared" si="161"/>
        <v>1</v>
      </c>
      <c r="BX115" s="873"/>
      <c r="BY115" s="873"/>
      <c r="BZ115" s="873"/>
      <c r="CA115" s="873"/>
      <c r="CB115" s="873"/>
      <c r="CC115" s="9"/>
    </row>
    <row r="116" spans="1:81" s="703" customFormat="1" x14ac:dyDescent="0.55000000000000004">
      <c r="A116" s="233"/>
      <c r="B116" s="232"/>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272"/>
      <c r="AZ116" s="35"/>
      <c r="BA116" s="35"/>
      <c r="BB116" s="35"/>
      <c r="BC116" s="35"/>
      <c r="BD116" s="35"/>
      <c r="BE116" s="35"/>
      <c r="BF116" s="35"/>
      <c r="BG116" s="35"/>
      <c r="BH116" s="812"/>
      <c r="BI116" s="812"/>
      <c r="BJ116" s="812"/>
      <c r="BK116" s="812"/>
      <c r="BL116" s="812"/>
      <c r="BM116" s="812"/>
      <c r="BN116" s="812"/>
      <c r="BO116" s="812"/>
      <c r="BP116" s="812"/>
      <c r="BQ116" s="812"/>
      <c r="BR116" s="812"/>
      <c r="BS116" s="812"/>
      <c r="BT116" s="812"/>
      <c r="BU116" s="812"/>
      <c r="BV116" s="812"/>
      <c r="BW116" s="814"/>
      <c r="BX116" s="812"/>
      <c r="BY116" s="812"/>
      <c r="BZ116" s="812"/>
      <c r="CA116" s="812"/>
      <c r="CB116" s="812"/>
      <c r="CC116" s="6"/>
    </row>
    <row r="117" spans="1:81" x14ac:dyDescent="0.55000000000000004">
      <c r="A117" s="116" t="s">
        <v>13</v>
      </c>
      <c r="B117" s="229"/>
      <c r="C117" s="759">
        <v>679</v>
      </c>
      <c r="D117" s="759">
        <v>848</v>
      </c>
      <c r="E117" s="759">
        <v>962</v>
      </c>
      <c r="F117" s="759">
        <v>1206</v>
      </c>
      <c r="G117" s="759">
        <v>1179</v>
      </c>
      <c r="H117" s="759">
        <v>1308</v>
      </c>
      <c r="I117" s="759">
        <v>1514</v>
      </c>
      <c r="J117" s="759">
        <v>1864</v>
      </c>
      <c r="K117" s="759">
        <v>1739</v>
      </c>
      <c r="L117" s="759">
        <v>1967</v>
      </c>
      <c r="M117" s="759">
        <v>2256</v>
      </c>
      <c r="N117" s="759">
        <v>2987</v>
      </c>
      <c r="O117" s="759">
        <v>2740</v>
      </c>
      <c r="P117" s="759">
        <v>3212</v>
      </c>
      <c r="Q117" s="759">
        <v>3560</v>
      </c>
      <c r="R117" s="759">
        <v>4556</v>
      </c>
      <c r="S117" s="759">
        <v>3968</v>
      </c>
      <c r="T117" s="759">
        <v>4556</v>
      </c>
      <c r="U117" s="759">
        <v>5033</v>
      </c>
      <c r="V117" s="759">
        <v>6392</v>
      </c>
      <c r="W117" s="759">
        <v>5667</v>
      </c>
      <c r="X117" s="759">
        <v>6251</v>
      </c>
      <c r="Y117" s="759">
        <v>6667</v>
      </c>
      <c r="Z117" s="759">
        <v>8433</v>
      </c>
      <c r="AA117" s="759">
        <v>7308</v>
      </c>
      <c r="AB117" s="759">
        <v>8115</v>
      </c>
      <c r="AC117" s="759">
        <v>8487</v>
      </c>
      <c r="AD117" s="759">
        <v>10248</v>
      </c>
      <c r="AE117" s="759">
        <v>8562</v>
      </c>
      <c r="AF117" s="759">
        <v>9291</v>
      </c>
      <c r="AG117" s="759">
        <v>10137</v>
      </c>
      <c r="AH117" s="759">
        <v>13734</v>
      </c>
      <c r="AI117" s="759">
        <v>12405</v>
      </c>
      <c r="AJ117" s="759">
        <v>13738</v>
      </c>
      <c r="AK117" s="759">
        <v>13613</v>
      </c>
      <c r="AL117" s="759">
        <v>15826</v>
      </c>
      <c r="AM117" s="759">
        <v>12671</v>
      </c>
      <c r="AN117" s="759">
        <v>13249</v>
      </c>
      <c r="AO117" s="759">
        <v>13035</v>
      </c>
      <c r="AP117" s="759">
        <v>15636</v>
      </c>
      <c r="AQ117" s="759">
        <v>13048</v>
      </c>
      <c r="AR117" s="759">
        <v>14422</v>
      </c>
      <c r="AS117" s="759">
        <v>15190</v>
      </c>
      <c r="AT117" s="759">
        <v>18585</v>
      </c>
      <c r="AU117" s="759">
        <v>15824</v>
      </c>
      <c r="AV117" s="759">
        <v>16847</v>
      </c>
      <c r="AW117" s="759">
        <v>17609</v>
      </c>
      <c r="AX117" s="759">
        <v>21783</v>
      </c>
      <c r="AY117" s="762">
        <v>18605</v>
      </c>
      <c r="AZ117" s="37"/>
      <c r="BA117" s="37"/>
      <c r="BB117" s="37"/>
      <c r="BC117" s="37"/>
      <c r="BD117" s="37"/>
      <c r="BE117" s="37"/>
      <c r="BF117" s="37"/>
      <c r="BG117" s="37"/>
      <c r="BH117" s="158"/>
      <c r="BI117" s="158"/>
      <c r="BJ117" s="876">
        <f>105+87+77+62+BJ105</f>
        <v>1914</v>
      </c>
      <c r="BK117" s="876">
        <f>BK105+149+99+111+106</f>
        <v>2532</v>
      </c>
      <c r="BL117" s="876">
        <f>SUM(C117,D117,E117,F117)</f>
        <v>3695</v>
      </c>
      <c r="BM117" s="876">
        <f>SUM(G117,H117,I117,J117)</f>
        <v>5865</v>
      </c>
      <c r="BN117" s="876">
        <f>SUM(K117,L117,M117,N117)</f>
        <v>8949</v>
      </c>
      <c r="BO117" s="158">
        <f>SUM(O117,P117,Q117,R117)</f>
        <v>14068</v>
      </c>
      <c r="BP117" s="158">
        <f>SUM(S117,T117,U117,V117)</f>
        <v>19949</v>
      </c>
      <c r="BQ117" s="158">
        <f>SUM(W117,X117,Y117,Z117)</f>
        <v>27018</v>
      </c>
      <c r="BR117" s="158">
        <f>SUM(AA117,AB117,AC117,AD117)</f>
        <v>34158</v>
      </c>
      <c r="BS117" s="158">
        <f>SUM(AE117,AF117,AG117,AH117)</f>
        <v>41724</v>
      </c>
      <c r="BT117" s="158">
        <f>SUM(AI117,AJ117,AK117,AL117)</f>
        <v>55582</v>
      </c>
      <c r="BU117" s="158">
        <f>SUM(AM117,AN117,AO117,AP117)</f>
        <v>54591</v>
      </c>
      <c r="BV117" s="158">
        <f>SUM(AQ117,AR117,AS117,AT117)</f>
        <v>61245</v>
      </c>
      <c r="BW117" s="846">
        <f>SUM(AU117,AV117,AW117,AX117)</f>
        <v>72063</v>
      </c>
      <c r="BX117" s="158"/>
      <c r="BY117" s="158"/>
      <c r="BZ117" s="158"/>
      <c r="CA117" s="158"/>
      <c r="CB117" s="158"/>
      <c r="CC117" s="117"/>
    </row>
    <row r="118" spans="1:81" x14ac:dyDescent="0.55000000000000004">
      <c r="A118" s="116" t="s">
        <v>15</v>
      </c>
      <c r="B118" s="229"/>
      <c r="C118" s="759">
        <v>423</v>
      </c>
      <c r="D118" s="759">
        <v>505</v>
      </c>
      <c r="E118" s="759">
        <v>538</v>
      </c>
      <c r="F118" s="759">
        <v>727</v>
      </c>
      <c r="G118" s="759">
        <v>698</v>
      </c>
      <c r="H118" s="759">
        <v>824</v>
      </c>
      <c r="I118" s="759">
        <v>844</v>
      </c>
      <c r="J118" s="759">
        <v>1030</v>
      </c>
      <c r="K118" s="759">
        <v>908</v>
      </c>
      <c r="L118" s="759">
        <v>1037</v>
      </c>
      <c r="M118" s="759">
        <v>1085</v>
      </c>
      <c r="N118" s="759">
        <v>1456</v>
      </c>
      <c r="O118" s="759">
        <v>1307</v>
      </c>
      <c r="P118" s="759">
        <v>1585</v>
      </c>
      <c r="Q118" s="759">
        <v>1605</v>
      </c>
      <c r="R118" s="759">
        <v>2065</v>
      </c>
      <c r="S118" s="759">
        <v>1905</v>
      </c>
      <c r="T118" s="759">
        <v>2242</v>
      </c>
      <c r="U118" s="759">
        <v>2481</v>
      </c>
      <c r="V118" s="759">
        <v>3250</v>
      </c>
      <c r="W118" s="759">
        <v>3036</v>
      </c>
      <c r="X118" s="759">
        <v>3302</v>
      </c>
      <c r="Y118" s="759">
        <v>3313</v>
      </c>
      <c r="Z118" s="759">
        <v>4151</v>
      </c>
      <c r="AA118" s="759">
        <v>3650</v>
      </c>
      <c r="AB118" s="759">
        <v>4109</v>
      </c>
      <c r="AC118" s="759">
        <v>4124</v>
      </c>
      <c r="AD118" s="759">
        <v>5159</v>
      </c>
      <c r="AE118" s="759">
        <v>4254</v>
      </c>
      <c r="AF118" s="759">
        <v>4502</v>
      </c>
      <c r="AG118" s="759">
        <v>5104</v>
      </c>
      <c r="AH118" s="759">
        <v>7011</v>
      </c>
      <c r="AI118" s="759">
        <v>6523</v>
      </c>
      <c r="AJ118" s="759">
        <v>7270</v>
      </c>
      <c r="AK118" s="759">
        <v>6955</v>
      </c>
      <c r="AL118" s="759">
        <v>8357</v>
      </c>
      <c r="AM118" s="759">
        <v>6486</v>
      </c>
      <c r="AN118" s="759">
        <v>6452</v>
      </c>
      <c r="AO118" s="759">
        <v>5797</v>
      </c>
      <c r="AP118" s="759">
        <v>7050</v>
      </c>
      <c r="AQ118" s="759">
        <v>6345</v>
      </c>
      <c r="AR118" s="759">
        <v>7323</v>
      </c>
      <c r="AS118" s="759">
        <v>7777</v>
      </c>
      <c r="AT118" s="759">
        <v>9441</v>
      </c>
      <c r="AU118" s="759">
        <v>8483</v>
      </c>
      <c r="AV118" s="759">
        <v>9300</v>
      </c>
      <c r="AW118" s="759">
        <v>9492</v>
      </c>
      <c r="AX118" s="759">
        <v>11503</v>
      </c>
      <c r="AY118" s="762">
        <v>9680</v>
      </c>
      <c r="AZ118" s="37"/>
      <c r="BA118" s="37"/>
      <c r="BB118" s="37"/>
      <c r="BC118" s="37"/>
      <c r="BD118" s="37"/>
      <c r="BE118" s="37"/>
      <c r="BF118" s="37"/>
      <c r="BG118" s="37"/>
      <c r="BH118" s="158"/>
      <c r="BI118" s="158"/>
      <c r="BJ118" s="876">
        <f>55+45+30+23+BJ106</f>
        <v>1155</v>
      </c>
      <c r="BK118" s="876">
        <f>66+46+52+54+BK106</f>
        <v>1455</v>
      </c>
      <c r="BL118" s="876">
        <f>SUM(C118,D118,E118,F118)</f>
        <v>2193</v>
      </c>
      <c r="BM118" s="876">
        <f>SUM(G118,H118,I118,J118)</f>
        <v>3396</v>
      </c>
      <c r="BN118" s="876">
        <f>SUM(K118,L118,M118,N118)</f>
        <v>4486</v>
      </c>
      <c r="BO118" s="158">
        <f>SUM(O118,P118,Q118,R118)</f>
        <v>6562</v>
      </c>
      <c r="BP118" s="158">
        <f>SUM(S118,T118,U118,V118)</f>
        <v>9878</v>
      </c>
      <c r="BQ118" s="158">
        <f>SUM(W118,X118,Y118,Z118)</f>
        <v>13802</v>
      </c>
      <c r="BR118" s="158">
        <f>SUM(AA118,AB118,AC118,AD118)</f>
        <v>17042</v>
      </c>
      <c r="BS118" s="158">
        <f>SUM(AE118,AF118,AG118,AH118)</f>
        <v>20871</v>
      </c>
      <c r="BT118" s="158">
        <f>SUM(AI118,AJ118,AK118,AL118)</f>
        <v>29105</v>
      </c>
      <c r="BU118" s="158">
        <f>SUM(AM118,AN118,AO118,AP118)</f>
        <v>25785</v>
      </c>
      <c r="BV118" s="158">
        <f>SUM(AQ118,AR118,AS118,AT118)</f>
        <v>30886</v>
      </c>
      <c r="BW118" s="846">
        <f>SUM(AU118,AV118,AW118,AX118)</f>
        <v>38778</v>
      </c>
      <c r="BX118" s="158"/>
      <c r="BY118" s="158"/>
      <c r="BZ118" s="158"/>
      <c r="CA118" s="158"/>
      <c r="CB118" s="158"/>
      <c r="CC118" s="117"/>
    </row>
    <row r="119" spans="1:81" x14ac:dyDescent="0.55000000000000004">
      <c r="A119" s="116" t="s">
        <v>17</v>
      </c>
      <c r="B119" s="229"/>
      <c r="C119" s="759">
        <v>197</v>
      </c>
      <c r="D119" s="759">
        <v>247</v>
      </c>
      <c r="E119" s="759">
        <v>278</v>
      </c>
      <c r="F119" s="759">
        <v>341</v>
      </c>
      <c r="G119" s="759">
        <v>354</v>
      </c>
      <c r="H119" s="759">
        <v>431</v>
      </c>
      <c r="I119" s="759">
        <v>492</v>
      </c>
      <c r="J119" s="759">
        <v>554</v>
      </c>
      <c r="K119" s="759">
        <v>542</v>
      </c>
      <c r="L119" s="759">
        <v>623</v>
      </c>
      <c r="M119" s="759">
        <v>709</v>
      </c>
      <c r="N119" s="759">
        <v>848</v>
      </c>
      <c r="O119" s="759">
        <v>862</v>
      </c>
      <c r="P119" s="759">
        <v>1025</v>
      </c>
      <c r="Q119" s="759">
        <v>1154</v>
      </c>
      <c r="R119" s="759">
        <v>1349</v>
      </c>
      <c r="S119" s="759">
        <v>1375</v>
      </c>
      <c r="T119" s="759">
        <v>1569</v>
      </c>
      <c r="U119" s="759">
        <v>1760</v>
      </c>
      <c r="V119" s="759">
        <v>2059</v>
      </c>
      <c r="W119" s="759">
        <v>2091</v>
      </c>
      <c r="X119" s="759">
        <v>2316</v>
      </c>
      <c r="Y119" s="759">
        <v>2422</v>
      </c>
      <c r="Z119" s="759">
        <v>2759</v>
      </c>
      <c r="AA119" s="759">
        <v>2682</v>
      </c>
      <c r="AB119" s="759">
        <v>3012</v>
      </c>
      <c r="AC119" s="759">
        <v>3267</v>
      </c>
      <c r="AD119" s="759">
        <v>3665</v>
      </c>
      <c r="AE119" s="759">
        <v>3257</v>
      </c>
      <c r="AF119" s="759">
        <v>3341</v>
      </c>
      <c r="AG119" s="759">
        <v>4230</v>
      </c>
      <c r="AH119" s="759">
        <v>4793</v>
      </c>
      <c r="AI119" s="759">
        <v>4789</v>
      </c>
      <c r="AJ119" s="759">
        <v>5190</v>
      </c>
      <c r="AK119" s="759">
        <v>5461</v>
      </c>
      <c r="AL119" s="759">
        <v>6244</v>
      </c>
      <c r="AM119" s="759">
        <v>5759</v>
      </c>
      <c r="AN119" s="759">
        <v>5908</v>
      </c>
      <c r="AO119" s="759">
        <v>5782</v>
      </c>
      <c r="AP119" s="759">
        <v>6050</v>
      </c>
      <c r="AQ119" s="759">
        <v>5960</v>
      </c>
      <c r="AR119" s="759">
        <v>6515</v>
      </c>
      <c r="AS119" s="759">
        <v>6928</v>
      </c>
      <c r="AT119" s="759">
        <v>7512</v>
      </c>
      <c r="AU119" s="759">
        <v>7481</v>
      </c>
      <c r="AV119" s="759">
        <v>7888</v>
      </c>
      <c r="AW119" s="759">
        <v>8220</v>
      </c>
      <c r="AX119" s="759">
        <v>9245</v>
      </c>
      <c r="AY119" s="762">
        <v>8439</v>
      </c>
      <c r="AZ119" s="37"/>
      <c r="BA119" s="37"/>
      <c r="BB119" s="37"/>
      <c r="BC119" s="37"/>
      <c r="BD119" s="37"/>
      <c r="BE119" s="37"/>
      <c r="BF119" s="37"/>
      <c r="BG119" s="37"/>
      <c r="BH119" s="158"/>
      <c r="BI119" s="158"/>
      <c r="BJ119" s="876">
        <f>20+16+8+6+BJ107</f>
        <v>363</v>
      </c>
      <c r="BK119" s="876">
        <f>30+21+20+19+BK107</f>
        <v>605</v>
      </c>
      <c r="BL119" s="876">
        <f>SUM(C119,D119,E119,F119)</f>
        <v>1063</v>
      </c>
      <c r="BM119" s="876">
        <f>SUM(G119,H119,I119,J119)</f>
        <v>1831</v>
      </c>
      <c r="BN119" s="876">
        <f>SUM(K119,L119,M119,N119)</f>
        <v>2722</v>
      </c>
      <c r="BO119" s="158">
        <f>SUM(O119,P119,Q119,R119)</f>
        <v>4390</v>
      </c>
      <c r="BP119" s="158">
        <f>SUM(S119,T119,U119,V119)</f>
        <v>6763</v>
      </c>
      <c r="BQ119" s="158">
        <f>SUM(W119,X119,Y119,Z119)</f>
        <v>9588</v>
      </c>
      <c r="BR119" s="158">
        <f>SUM(AA119,AB119,AC119,AD119)</f>
        <v>12626</v>
      </c>
      <c r="BS119" s="158">
        <f>SUM(AE119,AF119,AG119,AH119)</f>
        <v>15621</v>
      </c>
      <c r="BT119" s="158">
        <f>SUM(AI119,AJ119,AK119,AL119)</f>
        <v>21684</v>
      </c>
      <c r="BU119" s="158">
        <f>SUM(AM119,AN119,AO119,AP119)</f>
        <v>23499</v>
      </c>
      <c r="BV119" s="158">
        <f>SUM(AQ119,AR119,AS119,AT119)</f>
        <v>26915</v>
      </c>
      <c r="BW119" s="846">
        <f>SUM(AU119,AV119,AW119,AX119)</f>
        <v>32834</v>
      </c>
      <c r="BX119" s="158"/>
      <c r="BY119" s="158"/>
      <c r="BZ119" s="158"/>
      <c r="CA119" s="158"/>
      <c r="CB119" s="158"/>
      <c r="CC119" s="117"/>
    </row>
    <row r="120" spans="1:81" x14ac:dyDescent="0.55000000000000004">
      <c r="A120" s="18" t="s">
        <v>19</v>
      </c>
      <c r="B120" s="230"/>
      <c r="C120" s="763">
        <v>159</v>
      </c>
      <c r="D120" s="763">
        <v>213</v>
      </c>
      <c r="E120" s="763">
        <v>238</v>
      </c>
      <c r="F120" s="763">
        <v>311</v>
      </c>
      <c r="G120" s="763">
        <v>271</v>
      </c>
      <c r="H120" s="763">
        <v>347</v>
      </c>
      <c r="I120" s="763">
        <v>353</v>
      </c>
      <c r="J120" s="763">
        <v>403</v>
      </c>
      <c r="K120" s="763">
        <v>354</v>
      </c>
      <c r="L120" s="763">
        <v>415</v>
      </c>
      <c r="M120" s="763">
        <v>451</v>
      </c>
      <c r="N120" s="763">
        <v>550</v>
      </c>
      <c r="O120" s="763">
        <v>473</v>
      </c>
      <c r="P120" s="763">
        <v>614</v>
      </c>
      <c r="Q120" s="763">
        <v>692</v>
      </c>
      <c r="R120" s="763">
        <v>839</v>
      </c>
      <c r="S120" s="763">
        <v>784</v>
      </c>
      <c r="T120" s="763">
        <v>954</v>
      </c>
      <c r="U120" s="763">
        <v>1054</v>
      </c>
      <c r="V120" s="763">
        <v>1271</v>
      </c>
      <c r="W120" s="763">
        <v>1172</v>
      </c>
      <c r="X120" s="763">
        <v>1362</v>
      </c>
      <c r="Y120" s="763">
        <v>1325</v>
      </c>
      <c r="Z120" s="763">
        <v>1571</v>
      </c>
      <c r="AA120" s="763">
        <v>1437</v>
      </c>
      <c r="AB120" s="763">
        <v>1650</v>
      </c>
      <c r="AC120" s="763">
        <v>1774</v>
      </c>
      <c r="AD120" s="763">
        <v>2010</v>
      </c>
      <c r="AE120" s="763">
        <v>1664</v>
      </c>
      <c r="AF120" s="763">
        <v>1553</v>
      </c>
      <c r="AG120" s="763">
        <v>1999</v>
      </c>
      <c r="AH120" s="763">
        <v>2534</v>
      </c>
      <c r="AI120" s="763">
        <v>2454</v>
      </c>
      <c r="AJ120" s="763">
        <v>2879</v>
      </c>
      <c r="AK120" s="763">
        <v>2981</v>
      </c>
      <c r="AL120" s="763">
        <v>3244</v>
      </c>
      <c r="AM120" s="763">
        <v>2992</v>
      </c>
      <c r="AN120" s="763">
        <v>3213</v>
      </c>
      <c r="AO120" s="763">
        <v>3100</v>
      </c>
      <c r="AP120" s="763">
        <v>3429</v>
      </c>
      <c r="AQ120" s="763">
        <v>3292</v>
      </c>
      <c r="AR120" s="763">
        <v>3739</v>
      </c>
      <c r="AS120" s="763">
        <v>4251</v>
      </c>
      <c r="AT120" s="763">
        <v>4573</v>
      </c>
      <c r="AU120" s="763">
        <v>4667</v>
      </c>
      <c r="AV120" s="763">
        <v>5036</v>
      </c>
      <c r="AW120" s="763">
        <v>5268</v>
      </c>
      <c r="AX120" s="763">
        <v>5854</v>
      </c>
      <c r="AY120" s="764">
        <v>5590</v>
      </c>
      <c r="AZ120" s="82"/>
      <c r="BA120" s="82"/>
      <c r="BB120" s="82"/>
      <c r="BC120" s="82"/>
      <c r="BD120" s="82"/>
      <c r="BE120" s="82"/>
      <c r="BF120" s="82"/>
      <c r="BG120" s="82"/>
      <c r="BH120" s="854"/>
      <c r="BI120" s="854"/>
      <c r="BJ120" s="877">
        <f>8+7+4+3+BJ108</f>
        <v>277</v>
      </c>
      <c r="BK120" s="877">
        <f>11+10+9+8+BK108</f>
        <v>497</v>
      </c>
      <c r="BL120" s="877">
        <f>SUM(C120,D120,E120,F120)</f>
        <v>921</v>
      </c>
      <c r="BM120" s="877">
        <f>SUM(G120,H120,I120,J120)</f>
        <v>1374</v>
      </c>
      <c r="BN120" s="877">
        <f>SUM(K120,L120,M120,N120)</f>
        <v>1770</v>
      </c>
      <c r="BO120" s="854">
        <f>SUM(O120,P120,Q120,R120)</f>
        <v>2618</v>
      </c>
      <c r="BP120" s="854">
        <f>SUM(S120,T120,U120,V120)</f>
        <v>4063</v>
      </c>
      <c r="BQ120" s="854">
        <f>SUM(W120,X120,Y120,Z120)</f>
        <v>5430</v>
      </c>
      <c r="BR120" s="854">
        <f>SUM(AA120,AB120,AC120,AD120)</f>
        <v>6871</v>
      </c>
      <c r="BS120" s="854">
        <f>SUM(AE120,AF120,AG120,AH120)</f>
        <v>7750</v>
      </c>
      <c r="BT120" s="854">
        <f>SUM(AI120,AJ120,AK120,AL120)</f>
        <v>11558</v>
      </c>
      <c r="BU120" s="854">
        <f>SUM(AM120,AN120,AO120,AP120)</f>
        <v>12734</v>
      </c>
      <c r="BV120" s="854">
        <f>SUM(AQ120,AR120,AS120,AT120)</f>
        <v>15855</v>
      </c>
      <c r="BW120" s="855">
        <f>SUM(AU120,AV120,AW120,AX120)</f>
        <v>20825</v>
      </c>
      <c r="BX120" s="854"/>
      <c r="BY120" s="854"/>
      <c r="BZ120" s="854"/>
      <c r="CA120" s="854"/>
      <c r="CB120" s="854"/>
      <c r="CC120" s="117"/>
    </row>
    <row r="121" spans="1:81" x14ac:dyDescent="0.55000000000000004">
      <c r="A121" s="20" t="s">
        <v>350</v>
      </c>
      <c r="B121" s="231"/>
      <c r="C121" s="5">
        <f t="shared" ref="C121:AH121" si="162">C120+C119+C118+C117</f>
        <v>1458</v>
      </c>
      <c r="D121" s="5">
        <f t="shared" si="162"/>
        <v>1813</v>
      </c>
      <c r="E121" s="5">
        <f t="shared" si="162"/>
        <v>2016</v>
      </c>
      <c r="F121" s="5">
        <f t="shared" si="162"/>
        <v>2585</v>
      </c>
      <c r="G121" s="5">
        <f t="shared" si="162"/>
        <v>2502</v>
      </c>
      <c r="H121" s="5">
        <f t="shared" si="162"/>
        <v>2910</v>
      </c>
      <c r="I121" s="5">
        <f t="shared" si="162"/>
        <v>3203</v>
      </c>
      <c r="J121" s="5">
        <f t="shared" si="162"/>
        <v>3851</v>
      </c>
      <c r="K121" s="5">
        <f t="shared" si="162"/>
        <v>3543</v>
      </c>
      <c r="L121" s="5">
        <f t="shared" si="162"/>
        <v>4042</v>
      </c>
      <c r="M121" s="5">
        <f t="shared" si="162"/>
        <v>4501</v>
      </c>
      <c r="N121" s="5">
        <f t="shared" si="162"/>
        <v>5841</v>
      </c>
      <c r="O121" s="5">
        <f t="shared" si="162"/>
        <v>5382</v>
      </c>
      <c r="P121" s="5">
        <f t="shared" si="162"/>
        <v>6436</v>
      </c>
      <c r="Q121" s="5">
        <f t="shared" si="162"/>
        <v>7011</v>
      </c>
      <c r="R121" s="33">
        <f t="shared" si="162"/>
        <v>8809</v>
      </c>
      <c r="S121" s="5">
        <f t="shared" si="162"/>
        <v>8032</v>
      </c>
      <c r="T121" s="5">
        <f t="shared" si="162"/>
        <v>9321</v>
      </c>
      <c r="U121" s="5">
        <f t="shared" si="162"/>
        <v>10328</v>
      </c>
      <c r="V121" s="33">
        <f t="shared" si="162"/>
        <v>12972</v>
      </c>
      <c r="W121" s="5">
        <f t="shared" si="162"/>
        <v>11966</v>
      </c>
      <c r="X121" s="5">
        <f t="shared" si="162"/>
        <v>13231</v>
      </c>
      <c r="Y121" s="5">
        <f t="shared" si="162"/>
        <v>13727</v>
      </c>
      <c r="Z121" s="33">
        <f t="shared" si="162"/>
        <v>16914</v>
      </c>
      <c r="AA121" s="5">
        <f t="shared" si="162"/>
        <v>15077</v>
      </c>
      <c r="AB121" s="5">
        <f t="shared" si="162"/>
        <v>16886</v>
      </c>
      <c r="AC121" s="5">
        <f t="shared" si="162"/>
        <v>17652</v>
      </c>
      <c r="AD121" s="33">
        <f t="shared" si="162"/>
        <v>21082</v>
      </c>
      <c r="AE121" s="5">
        <f t="shared" si="162"/>
        <v>17737</v>
      </c>
      <c r="AF121" s="5">
        <f t="shared" si="162"/>
        <v>18687</v>
      </c>
      <c r="AG121" s="5">
        <f t="shared" si="162"/>
        <v>21470</v>
      </c>
      <c r="AH121" s="33">
        <f t="shared" si="162"/>
        <v>28072</v>
      </c>
      <c r="AI121" s="5">
        <f t="shared" ref="AI121:AY121" si="163">AI120+AI119+AI118+AI117</f>
        <v>26171</v>
      </c>
      <c r="AJ121" s="5">
        <f t="shared" si="163"/>
        <v>29077</v>
      </c>
      <c r="AK121" s="5">
        <f t="shared" si="163"/>
        <v>29010</v>
      </c>
      <c r="AL121" s="33">
        <f t="shared" si="163"/>
        <v>33671</v>
      </c>
      <c r="AM121" s="5">
        <f t="shared" si="163"/>
        <v>27908</v>
      </c>
      <c r="AN121" s="5">
        <f t="shared" si="163"/>
        <v>28822</v>
      </c>
      <c r="AO121" s="5">
        <f t="shared" si="163"/>
        <v>27714</v>
      </c>
      <c r="AP121" s="33">
        <f t="shared" si="163"/>
        <v>32165</v>
      </c>
      <c r="AQ121" s="5">
        <f t="shared" si="163"/>
        <v>28645</v>
      </c>
      <c r="AR121" s="5">
        <f t="shared" si="163"/>
        <v>31999</v>
      </c>
      <c r="AS121" s="5">
        <f t="shared" si="163"/>
        <v>34146</v>
      </c>
      <c r="AT121" s="33">
        <f t="shared" si="163"/>
        <v>40111</v>
      </c>
      <c r="AU121" s="5">
        <f t="shared" si="163"/>
        <v>36455</v>
      </c>
      <c r="AV121" s="5">
        <f t="shared" si="163"/>
        <v>39071</v>
      </c>
      <c r="AW121" s="5">
        <f t="shared" si="163"/>
        <v>40589</v>
      </c>
      <c r="AX121" s="33">
        <f t="shared" si="163"/>
        <v>48385</v>
      </c>
      <c r="AY121" s="409">
        <f t="shared" si="163"/>
        <v>42314</v>
      </c>
      <c r="AZ121" s="33"/>
      <c r="BA121" s="33"/>
      <c r="BB121" s="33"/>
      <c r="BC121" s="33"/>
      <c r="BD121" s="33"/>
      <c r="BE121" s="33"/>
      <c r="BF121" s="33"/>
      <c r="BG121" s="33"/>
      <c r="BH121" s="834">
        <f>BH378</f>
        <v>777</v>
      </c>
      <c r="BI121" s="834">
        <f>BI378</f>
        <v>1974</v>
      </c>
      <c r="BJ121" s="834">
        <f t="shared" ref="BJ121:BW121" si="164">BJ120+BJ119+BJ118+BJ117</f>
        <v>3709</v>
      </c>
      <c r="BK121" s="834">
        <f t="shared" si="164"/>
        <v>5089</v>
      </c>
      <c r="BL121" s="834">
        <f t="shared" si="164"/>
        <v>7872</v>
      </c>
      <c r="BM121" s="834">
        <f t="shared" si="164"/>
        <v>12466</v>
      </c>
      <c r="BN121" s="834">
        <f t="shared" si="164"/>
        <v>17927</v>
      </c>
      <c r="BO121" s="833">
        <f t="shared" si="164"/>
        <v>27638</v>
      </c>
      <c r="BP121" s="833">
        <f t="shared" si="164"/>
        <v>40653</v>
      </c>
      <c r="BQ121" s="833">
        <f t="shared" si="164"/>
        <v>55838</v>
      </c>
      <c r="BR121" s="833">
        <f t="shared" si="164"/>
        <v>70697</v>
      </c>
      <c r="BS121" s="833">
        <f t="shared" si="164"/>
        <v>85966</v>
      </c>
      <c r="BT121" s="833">
        <f t="shared" si="164"/>
        <v>117929</v>
      </c>
      <c r="BU121" s="833">
        <f t="shared" si="164"/>
        <v>116609</v>
      </c>
      <c r="BV121" s="833">
        <f t="shared" si="164"/>
        <v>134901</v>
      </c>
      <c r="BW121" s="835">
        <f t="shared" si="164"/>
        <v>164500</v>
      </c>
      <c r="BX121" s="833"/>
      <c r="BY121" s="833"/>
      <c r="BZ121" s="833"/>
      <c r="CA121" s="833"/>
      <c r="CB121" s="833"/>
      <c r="CC121" s="6"/>
    </row>
    <row r="122" spans="1:81" outlineLevel="1" x14ac:dyDescent="0.55000000000000004">
      <c r="A122" s="192"/>
      <c r="B122" s="232"/>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272"/>
      <c r="AZ122" s="35"/>
      <c r="BA122" s="35"/>
      <c r="BB122" s="35"/>
      <c r="BC122" s="35"/>
      <c r="BD122" s="35"/>
      <c r="BE122" s="35"/>
      <c r="BF122" s="35"/>
      <c r="BG122" s="35"/>
      <c r="BH122" s="812"/>
      <c r="BI122" s="812"/>
      <c r="BJ122" s="812"/>
      <c r="BK122" s="812"/>
      <c r="BL122" s="812"/>
      <c r="BM122" s="812"/>
      <c r="BN122" s="812"/>
      <c r="BO122" s="812"/>
      <c r="BP122" s="812"/>
      <c r="BQ122" s="812"/>
      <c r="BR122" s="812"/>
      <c r="BS122" s="812"/>
      <c r="BT122" s="812"/>
      <c r="BU122" s="812"/>
      <c r="BV122" s="812"/>
      <c r="BW122" s="814"/>
      <c r="BX122" s="812"/>
      <c r="BY122" s="812"/>
      <c r="BZ122" s="812"/>
      <c r="CA122" s="812"/>
      <c r="CB122" s="812"/>
      <c r="CC122" s="6"/>
    </row>
    <row r="123" spans="1:81" s="709" customFormat="1" outlineLevel="1" x14ac:dyDescent="0.55000000000000004">
      <c r="A123" s="130" t="s">
        <v>465</v>
      </c>
      <c r="B123" s="237"/>
      <c r="C123" s="24">
        <f t="shared" ref="C123:AH123" si="165">C117/C121</f>
        <v>0.4657064471879287</v>
      </c>
      <c r="D123" s="24">
        <f t="shared" si="165"/>
        <v>0.46773303916161058</v>
      </c>
      <c r="E123" s="24">
        <f t="shared" si="165"/>
        <v>0.47718253968253971</v>
      </c>
      <c r="F123" s="24">
        <f t="shared" si="165"/>
        <v>0.46653771760154739</v>
      </c>
      <c r="G123" s="24">
        <f t="shared" si="165"/>
        <v>0.47122302158273383</v>
      </c>
      <c r="H123" s="24">
        <f t="shared" si="165"/>
        <v>0.44948453608247424</v>
      </c>
      <c r="I123" s="24">
        <f t="shared" si="165"/>
        <v>0.47268186075554169</v>
      </c>
      <c r="J123" s="24">
        <f t="shared" si="165"/>
        <v>0.48403012204622176</v>
      </c>
      <c r="K123" s="24">
        <f t="shared" si="165"/>
        <v>0.49082698278295228</v>
      </c>
      <c r="L123" s="24">
        <f t="shared" si="165"/>
        <v>0.48664027709054924</v>
      </c>
      <c r="M123" s="24">
        <f t="shared" si="165"/>
        <v>0.5012219506776272</v>
      </c>
      <c r="N123" s="24">
        <f t="shared" si="165"/>
        <v>0.51138503680876557</v>
      </c>
      <c r="O123" s="24">
        <f t="shared" si="165"/>
        <v>0.50910442214790042</v>
      </c>
      <c r="P123" s="24">
        <f t="shared" si="165"/>
        <v>0.4990677439403356</v>
      </c>
      <c r="Q123" s="24">
        <f t="shared" si="165"/>
        <v>0.50777349878761946</v>
      </c>
      <c r="R123" s="24">
        <f t="shared" si="165"/>
        <v>0.51719831990010212</v>
      </c>
      <c r="S123" s="24">
        <f t="shared" si="165"/>
        <v>0.49402390438247012</v>
      </c>
      <c r="T123" s="24">
        <f t="shared" si="165"/>
        <v>0.48878875657118337</v>
      </c>
      <c r="U123" s="24">
        <f t="shared" si="165"/>
        <v>0.48731603408210689</v>
      </c>
      <c r="V123" s="24">
        <f t="shared" si="165"/>
        <v>0.49275362318840582</v>
      </c>
      <c r="W123" s="24">
        <f t="shared" si="165"/>
        <v>0.47359184355674411</v>
      </c>
      <c r="X123" s="24">
        <f t="shared" si="165"/>
        <v>0.47245106190008312</v>
      </c>
      <c r="Y123" s="24">
        <f t="shared" si="165"/>
        <v>0.48568514606250457</v>
      </c>
      <c r="Z123" s="24">
        <f t="shared" si="165"/>
        <v>0.49858105711245121</v>
      </c>
      <c r="AA123" s="24">
        <f t="shared" si="165"/>
        <v>0.48471181269483321</v>
      </c>
      <c r="AB123" s="24">
        <f t="shared" si="165"/>
        <v>0.48057562477792254</v>
      </c>
      <c r="AC123" s="24">
        <f t="shared" si="165"/>
        <v>0.48079537729435756</v>
      </c>
      <c r="AD123" s="24">
        <f t="shared" si="165"/>
        <v>0.48610188786642633</v>
      </c>
      <c r="AE123" s="24">
        <f t="shared" si="165"/>
        <v>0.48271973839995491</v>
      </c>
      <c r="AF123" s="24">
        <f t="shared" si="165"/>
        <v>0.49719056028254938</v>
      </c>
      <c r="AG123" s="24">
        <f t="shared" si="165"/>
        <v>0.47214718211457846</v>
      </c>
      <c r="AH123" s="24">
        <f t="shared" si="165"/>
        <v>0.48924194927329723</v>
      </c>
      <c r="AI123" s="24">
        <f t="shared" ref="AI123:AY123" si="166">AI117/AI121</f>
        <v>0.47399793664743417</v>
      </c>
      <c r="AJ123" s="24">
        <f t="shared" si="166"/>
        <v>0.47246964955119164</v>
      </c>
      <c r="AK123" s="24">
        <f t="shared" si="166"/>
        <v>0.46925198207514651</v>
      </c>
      <c r="AL123" s="24">
        <f t="shared" si="166"/>
        <v>0.47001871046300969</v>
      </c>
      <c r="AM123" s="24">
        <f t="shared" si="166"/>
        <v>0.45402751899097032</v>
      </c>
      <c r="AN123" s="24">
        <f t="shared" si="166"/>
        <v>0.45968357504683921</v>
      </c>
      <c r="AO123" s="24">
        <f t="shared" si="166"/>
        <v>0.47033990041134444</v>
      </c>
      <c r="AP123" s="24">
        <f t="shared" si="166"/>
        <v>0.48611845173325041</v>
      </c>
      <c r="AQ123" s="24">
        <f t="shared" si="166"/>
        <v>0.45550706929656137</v>
      </c>
      <c r="AR123" s="24">
        <f t="shared" si="166"/>
        <v>0.45070158442451325</v>
      </c>
      <c r="AS123" s="24">
        <f t="shared" si="166"/>
        <v>0.44485444854448547</v>
      </c>
      <c r="AT123" s="24">
        <f t="shared" si="166"/>
        <v>0.46333923362668594</v>
      </c>
      <c r="AU123" s="24">
        <f t="shared" si="166"/>
        <v>0.43406940063091481</v>
      </c>
      <c r="AV123" s="24">
        <f t="shared" si="166"/>
        <v>0.43118937319239331</v>
      </c>
      <c r="AW123" s="24">
        <f t="shared" si="166"/>
        <v>0.43383675380029074</v>
      </c>
      <c r="AX123" s="24">
        <f t="shared" si="166"/>
        <v>0.45020150873204506</v>
      </c>
      <c r="AY123" s="275">
        <f t="shared" si="166"/>
        <v>0.43968899182303728</v>
      </c>
      <c r="AZ123" s="55"/>
      <c r="BA123" s="55"/>
      <c r="BB123" s="55"/>
      <c r="BC123" s="55"/>
      <c r="BD123" s="55"/>
      <c r="BE123" s="55"/>
      <c r="BF123" s="55"/>
      <c r="BG123" s="55"/>
      <c r="BH123" s="156"/>
      <c r="BI123" s="156"/>
      <c r="BJ123" s="871">
        <f t="shared" ref="BJ123:BW123" si="167">BJ117/BJ121</f>
        <v>0.51604205985440821</v>
      </c>
      <c r="BK123" s="871">
        <f t="shared" si="167"/>
        <v>0.49754372175280015</v>
      </c>
      <c r="BL123" s="871">
        <f t="shared" si="167"/>
        <v>0.46938516260162599</v>
      </c>
      <c r="BM123" s="871">
        <f t="shared" si="167"/>
        <v>0.47047970479704798</v>
      </c>
      <c r="BN123" s="871">
        <f t="shared" si="167"/>
        <v>0.49919116416578346</v>
      </c>
      <c r="BO123" s="871">
        <f t="shared" si="167"/>
        <v>0.50900933497358714</v>
      </c>
      <c r="BP123" s="871">
        <f t="shared" si="167"/>
        <v>0.49071409244090225</v>
      </c>
      <c r="BQ123" s="871">
        <f t="shared" si="167"/>
        <v>0.48386403524481536</v>
      </c>
      <c r="BR123" s="871">
        <f t="shared" si="167"/>
        <v>0.48316053014979421</v>
      </c>
      <c r="BS123" s="871">
        <f t="shared" si="167"/>
        <v>0.48535467510411096</v>
      </c>
      <c r="BT123" s="871">
        <f t="shared" si="167"/>
        <v>0.47131748764086867</v>
      </c>
      <c r="BU123" s="871">
        <f t="shared" si="167"/>
        <v>0.46815425910521485</v>
      </c>
      <c r="BV123" s="871">
        <f t="shared" si="167"/>
        <v>0.45399959970645137</v>
      </c>
      <c r="BW123" s="872">
        <f t="shared" si="167"/>
        <v>0.43807294832826749</v>
      </c>
      <c r="BX123" s="156"/>
      <c r="BY123" s="156"/>
      <c r="BZ123" s="156"/>
      <c r="CA123" s="156"/>
      <c r="CB123" s="156"/>
      <c r="CC123" s="24"/>
    </row>
    <row r="124" spans="1:81" s="709" customFormat="1" outlineLevel="1" x14ac:dyDescent="0.55000000000000004">
      <c r="A124" s="130" t="s">
        <v>466</v>
      </c>
      <c r="B124" s="237"/>
      <c r="C124" s="24">
        <f t="shared" ref="C124:AH124" si="168">C118/C121</f>
        <v>0.29012345679012347</v>
      </c>
      <c r="D124" s="24">
        <f t="shared" si="168"/>
        <v>0.27854384997242138</v>
      </c>
      <c r="E124" s="24">
        <f t="shared" si="168"/>
        <v>0.26686507936507936</v>
      </c>
      <c r="F124" s="24">
        <f t="shared" si="168"/>
        <v>0.28123791102514506</v>
      </c>
      <c r="G124" s="24">
        <f t="shared" si="168"/>
        <v>0.27897681854516387</v>
      </c>
      <c r="H124" s="24">
        <f t="shared" si="168"/>
        <v>0.2831615120274914</v>
      </c>
      <c r="I124" s="24">
        <f t="shared" si="168"/>
        <v>0.2635029659694037</v>
      </c>
      <c r="J124" s="24">
        <f t="shared" si="168"/>
        <v>0.26746299662425344</v>
      </c>
      <c r="K124" s="24">
        <f t="shared" si="168"/>
        <v>0.25627998871013263</v>
      </c>
      <c r="L124" s="24">
        <f t="shared" si="168"/>
        <v>0.25655616031667489</v>
      </c>
      <c r="M124" s="24">
        <f t="shared" si="168"/>
        <v>0.24105754276827371</v>
      </c>
      <c r="N124" s="24">
        <f t="shared" si="168"/>
        <v>0.24927238486560521</v>
      </c>
      <c r="O124" s="24">
        <f t="shared" si="168"/>
        <v>0.24284652545522112</v>
      </c>
      <c r="P124" s="24">
        <f t="shared" si="168"/>
        <v>0.24627097576134244</v>
      </c>
      <c r="Q124" s="24">
        <f t="shared" si="168"/>
        <v>0.22892597347026103</v>
      </c>
      <c r="R124" s="24">
        <f t="shared" si="168"/>
        <v>0.23441934385287774</v>
      </c>
      <c r="S124" s="24">
        <f t="shared" si="168"/>
        <v>0.23717629482071714</v>
      </c>
      <c r="T124" s="24">
        <f t="shared" si="168"/>
        <v>0.24053213174552088</v>
      </c>
      <c r="U124" s="24">
        <f t="shared" si="168"/>
        <v>0.24022075910147173</v>
      </c>
      <c r="V124" s="24">
        <f t="shared" si="168"/>
        <v>0.25053962380511874</v>
      </c>
      <c r="W124" s="24">
        <f t="shared" si="168"/>
        <v>0.25371887013204081</v>
      </c>
      <c r="X124" s="24">
        <f t="shared" si="168"/>
        <v>0.24956541455672285</v>
      </c>
      <c r="Y124" s="24">
        <f t="shared" si="168"/>
        <v>0.24134916587746777</v>
      </c>
      <c r="Z124" s="24">
        <f t="shared" si="168"/>
        <v>0.24541799692562374</v>
      </c>
      <c r="AA124" s="24">
        <f t="shared" si="168"/>
        <v>0.24209060157856338</v>
      </c>
      <c r="AB124" s="24">
        <f t="shared" si="168"/>
        <v>0.24333767618145208</v>
      </c>
      <c r="AC124" s="24">
        <f t="shared" si="168"/>
        <v>0.23362791751642872</v>
      </c>
      <c r="AD124" s="24">
        <f t="shared" si="168"/>
        <v>0.24471112797647282</v>
      </c>
      <c r="AE124" s="24">
        <f t="shared" si="168"/>
        <v>0.23983762755821164</v>
      </c>
      <c r="AF124" s="24">
        <f t="shared" si="168"/>
        <v>0.2409161449135763</v>
      </c>
      <c r="AG124" s="24">
        <f t="shared" si="168"/>
        <v>0.23772706101537028</v>
      </c>
      <c r="AH124" s="24">
        <f t="shared" si="168"/>
        <v>0.24975064120832147</v>
      </c>
      <c r="AI124" s="24">
        <f t="shared" ref="AI124:AY124" si="169">AI118/AI121</f>
        <v>0.24924534790416875</v>
      </c>
      <c r="AJ124" s="24">
        <f t="shared" si="169"/>
        <v>0.25002579358255667</v>
      </c>
      <c r="AK124" s="24">
        <f t="shared" si="169"/>
        <v>0.23974491554636332</v>
      </c>
      <c r="AL124" s="24">
        <f t="shared" si="169"/>
        <v>0.24819577678120638</v>
      </c>
      <c r="AM124" s="24">
        <f t="shared" si="169"/>
        <v>0.23240647842912426</v>
      </c>
      <c r="AN124" s="24">
        <f t="shared" si="169"/>
        <v>0.22385677607383248</v>
      </c>
      <c r="AO124" s="24">
        <f t="shared" si="169"/>
        <v>0.20917225950782997</v>
      </c>
      <c r="AP124" s="24">
        <f t="shared" si="169"/>
        <v>0.21918234105394063</v>
      </c>
      <c r="AQ124" s="24">
        <f t="shared" si="169"/>
        <v>0.22150462558910805</v>
      </c>
      <c r="AR124" s="24">
        <f t="shared" si="169"/>
        <v>0.2288509015906747</v>
      </c>
      <c r="AS124" s="24">
        <f t="shared" si="169"/>
        <v>0.22775727757277572</v>
      </c>
      <c r="AT124" s="24">
        <f t="shared" si="169"/>
        <v>0.23537184313529955</v>
      </c>
      <c r="AU124" s="24">
        <f t="shared" si="169"/>
        <v>0.23269784666026608</v>
      </c>
      <c r="AV124" s="24">
        <f t="shared" si="169"/>
        <v>0.23802820506257838</v>
      </c>
      <c r="AW124" s="24">
        <f t="shared" si="169"/>
        <v>0.23385646357387468</v>
      </c>
      <c r="AX124" s="24">
        <f t="shared" si="169"/>
        <v>0.23773896868864317</v>
      </c>
      <c r="AY124" s="275">
        <f t="shared" si="169"/>
        <v>0.22876589308503095</v>
      </c>
      <c r="AZ124" s="55"/>
      <c r="BA124" s="55"/>
      <c r="BB124" s="55"/>
      <c r="BC124" s="55"/>
      <c r="BD124" s="55"/>
      <c r="BE124" s="55"/>
      <c r="BF124" s="55"/>
      <c r="BG124" s="55"/>
      <c r="BH124" s="156"/>
      <c r="BI124" s="156"/>
      <c r="BJ124" s="871">
        <f t="shared" ref="BJ124:BW124" si="170">BJ118/BJ121</f>
        <v>0.31140469129145321</v>
      </c>
      <c r="BK124" s="871">
        <f t="shared" si="170"/>
        <v>0.28591078797406172</v>
      </c>
      <c r="BL124" s="871">
        <f t="shared" si="170"/>
        <v>0.27858231707317072</v>
      </c>
      <c r="BM124" s="871">
        <f t="shared" si="170"/>
        <v>0.27242098507941603</v>
      </c>
      <c r="BN124" s="871">
        <f t="shared" si="170"/>
        <v>0.25023707257209793</v>
      </c>
      <c r="BO124" s="871">
        <f t="shared" si="170"/>
        <v>0.23742673131196179</v>
      </c>
      <c r="BP124" s="871">
        <f t="shared" si="170"/>
        <v>0.24298329766560894</v>
      </c>
      <c r="BQ124" s="871">
        <f t="shared" si="170"/>
        <v>0.24717934023424909</v>
      </c>
      <c r="BR124" s="871">
        <f t="shared" si="170"/>
        <v>0.24105690481915781</v>
      </c>
      <c r="BS124" s="871">
        <f t="shared" si="170"/>
        <v>0.24278203010492519</v>
      </c>
      <c r="BT124" s="871">
        <f t="shared" si="170"/>
        <v>0.24680104130451375</v>
      </c>
      <c r="BU124" s="871">
        <f t="shared" si="170"/>
        <v>0.22112358394292037</v>
      </c>
      <c r="BV124" s="871">
        <f t="shared" si="170"/>
        <v>0.2289530841135351</v>
      </c>
      <c r="BW124" s="872">
        <f t="shared" si="170"/>
        <v>0.23573252279635259</v>
      </c>
      <c r="BX124" s="156"/>
      <c r="BY124" s="156"/>
      <c r="BZ124" s="156"/>
      <c r="CA124" s="156"/>
      <c r="CB124" s="156"/>
      <c r="CC124" s="24"/>
    </row>
    <row r="125" spans="1:81" s="709" customFormat="1" outlineLevel="1" x14ac:dyDescent="0.55000000000000004">
      <c r="A125" s="130" t="s">
        <v>467</v>
      </c>
      <c r="B125" s="237"/>
      <c r="C125" s="24">
        <f t="shared" ref="C125:AH125" si="171">C119/C121</f>
        <v>0.13511659807956103</v>
      </c>
      <c r="D125" s="24">
        <f t="shared" si="171"/>
        <v>0.13623827909542197</v>
      </c>
      <c r="E125" s="24">
        <f t="shared" si="171"/>
        <v>0.13789682539682541</v>
      </c>
      <c r="F125" s="24">
        <f t="shared" si="171"/>
        <v>0.13191489361702127</v>
      </c>
      <c r="G125" s="24">
        <f t="shared" si="171"/>
        <v>0.14148681055155876</v>
      </c>
      <c r="H125" s="24">
        <f t="shared" si="171"/>
        <v>0.14810996563573883</v>
      </c>
      <c r="I125" s="24">
        <f t="shared" si="171"/>
        <v>0.15360599438026851</v>
      </c>
      <c r="J125" s="24">
        <f t="shared" si="171"/>
        <v>0.14385873799013243</v>
      </c>
      <c r="K125" s="24">
        <f t="shared" si="171"/>
        <v>0.15297770251199549</v>
      </c>
      <c r="L125" s="24">
        <f t="shared" si="171"/>
        <v>0.15413161801088571</v>
      </c>
      <c r="M125" s="24">
        <f t="shared" si="171"/>
        <v>0.15752055098866918</v>
      </c>
      <c r="N125" s="24">
        <f t="shared" si="171"/>
        <v>0.14518061975689095</v>
      </c>
      <c r="O125" s="24">
        <f t="shared" si="171"/>
        <v>0.16016350798959494</v>
      </c>
      <c r="P125" s="24">
        <f t="shared" si="171"/>
        <v>0.15926041019266626</v>
      </c>
      <c r="Q125" s="24">
        <f t="shared" si="171"/>
        <v>0.16459848809014405</v>
      </c>
      <c r="R125" s="24">
        <f t="shared" si="171"/>
        <v>0.15313883528209785</v>
      </c>
      <c r="S125" s="24">
        <f t="shared" si="171"/>
        <v>0.17119023904382469</v>
      </c>
      <c r="T125" s="24">
        <f t="shared" si="171"/>
        <v>0.16832957837141937</v>
      </c>
      <c r="U125" s="24">
        <f t="shared" si="171"/>
        <v>0.17041053446940357</v>
      </c>
      <c r="V125" s="24">
        <f t="shared" si="171"/>
        <v>0.15872648781991983</v>
      </c>
      <c r="W125" s="24">
        <f t="shared" si="171"/>
        <v>0.17474511114825339</v>
      </c>
      <c r="X125" s="24">
        <f t="shared" si="171"/>
        <v>0.17504345854432771</v>
      </c>
      <c r="Y125" s="24">
        <f t="shared" si="171"/>
        <v>0.17644059153493116</v>
      </c>
      <c r="Z125" s="24">
        <f t="shared" si="171"/>
        <v>0.16311930944779474</v>
      </c>
      <c r="AA125" s="24">
        <f t="shared" si="171"/>
        <v>0.17788684751608411</v>
      </c>
      <c r="AB125" s="24">
        <f t="shared" si="171"/>
        <v>0.17837261636858937</v>
      </c>
      <c r="AC125" s="24">
        <f t="shared" si="171"/>
        <v>0.18507817811012917</v>
      </c>
      <c r="AD125" s="24">
        <f t="shared" si="171"/>
        <v>0.17384498624418934</v>
      </c>
      <c r="AE125" s="24">
        <f t="shared" si="171"/>
        <v>0.18362744545300783</v>
      </c>
      <c r="AF125" s="24">
        <f t="shared" si="171"/>
        <v>0.17878739230481083</v>
      </c>
      <c r="AG125" s="24">
        <f t="shared" si="171"/>
        <v>0.19701909641360038</v>
      </c>
      <c r="AH125" s="24">
        <f t="shared" si="171"/>
        <v>0.17073952693074951</v>
      </c>
      <c r="AI125" s="24">
        <f t="shared" ref="AI125:AY125" si="172">AI119/AI121</f>
        <v>0.18298880440181881</v>
      </c>
      <c r="AJ125" s="24">
        <f t="shared" si="172"/>
        <v>0.17849159129208653</v>
      </c>
      <c r="AK125" s="24">
        <f t="shared" si="172"/>
        <v>0.18824543260944501</v>
      </c>
      <c r="AL125" s="24">
        <f t="shared" si="172"/>
        <v>0.18544147782958628</v>
      </c>
      <c r="AM125" s="24">
        <f t="shared" si="172"/>
        <v>0.20635660025799055</v>
      </c>
      <c r="AN125" s="24">
        <f t="shared" si="172"/>
        <v>0.20498230518354035</v>
      </c>
      <c r="AO125" s="24">
        <f t="shared" si="172"/>
        <v>0.20863101681460633</v>
      </c>
      <c r="AP125" s="24">
        <f t="shared" si="172"/>
        <v>0.18809264728742423</v>
      </c>
      <c r="AQ125" s="24">
        <f t="shared" si="172"/>
        <v>0.20806423459591553</v>
      </c>
      <c r="AR125" s="24">
        <f t="shared" si="172"/>
        <v>0.20360011250351573</v>
      </c>
      <c r="AS125" s="24">
        <f t="shared" si="172"/>
        <v>0.20289345750600363</v>
      </c>
      <c r="AT125" s="24">
        <f t="shared" si="172"/>
        <v>0.18728029717533842</v>
      </c>
      <c r="AU125" s="24">
        <f t="shared" si="172"/>
        <v>0.20521190508846524</v>
      </c>
      <c r="AV125" s="24">
        <f t="shared" si="172"/>
        <v>0.2018888689821095</v>
      </c>
      <c r="AW125" s="24">
        <f t="shared" si="172"/>
        <v>0.20251792357535292</v>
      </c>
      <c r="AX125" s="24">
        <f t="shared" si="172"/>
        <v>0.19107161310323448</v>
      </c>
      <c r="AY125" s="275">
        <f t="shared" si="172"/>
        <v>0.19943753840336531</v>
      </c>
      <c r="AZ125" s="55"/>
      <c r="BA125" s="55"/>
      <c r="BB125" s="55"/>
      <c r="BC125" s="55"/>
      <c r="BD125" s="55"/>
      <c r="BE125" s="55"/>
      <c r="BF125" s="55"/>
      <c r="BG125" s="55"/>
      <c r="BH125" s="156"/>
      <c r="BI125" s="156"/>
      <c r="BJ125" s="871">
        <f t="shared" ref="BJ125:BW125" si="173">BJ119/BJ121</f>
        <v>9.7870045834456729E-2</v>
      </c>
      <c r="BK125" s="871">
        <f t="shared" si="173"/>
        <v>0.1188838671644724</v>
      </c>
      <c r="BL125" s="871">
        <f t="shared" si="173"/>
        <v>0.13503556910569106</v>
      </c>
      <c r="BM125" s="871">
        <f t="shared" si="173"/>
        <v>0.14687951227338361</v>
      </c>
      <c r="BN125" s="871">
        <f t="shared" si="173"/>
        <v>0.15183800970603001</v>
      </c>
      <c r="BO125" s="871">
        <f t="shared" si="173"/>
        <v>0.15883927925320213</v>
      </c>
      <c r="BP125" s="871">
        <f t="shared" si="173"/>
        <v>0.16635918628391508</v>
      </c>
      <c r="BQ125" s="871">
        <f t="shared" si="173"/>
        <v>0.17171102116837997</v>
      </c>
      <c r="BR125" s="871">
        <f t="shared" si="173"/>
        <v>0.17859315105308571</v>
      </c>
      <c r="BS125" s="871">
        <f t="shared" si="173"/>
        <v>0.181711374264244</v>
      </c>
      <c r="BT125" s="871">
        <f t="shared" si="173"/>
        <v>0.18387334752266193</v>
      </c>
      <c r="BU125" s="871">
        <f t="shared" si="173"/>
        <v>0.20151960826351312</v>
      </c>
      <c r="BV125" s="871">
        <f t="shared" si="173"/>
        <v>0.19951668260428018</v>
      </c>
      <c r="BW125" s="872">
        <f t="shared" si="173"/>
        <v>0.19959878419452887</v>
      </c>
      <c r="BX125" s="156"/>
      <c r="BY125" s="156"/>
      <c r="BZ125" s="156"/>
      <c r="CA125" s="156"/>
      <c r="CB125" s="156"/>
      <c r="CC125" s="24"/>
    </row>
    <row r="126" spans="1:81" s="709" customFormat="1" outlineLevel="1" x14ac:dyDescent="0.55000000000000004">
      <c r="A126" s="130" t="s">
        <v>468</v>
      </c>
      <c r="B126" s="237"/>
      <c r="C126" s="24">
        <f t="shared" ref="C126:AH126" si="174">C120/C121</f>
        <v>0.10905349794238683</v>
      </c>
      <c r="D126" s="24">
        <f t="shared" si="174"/>
        <v>0.11748483177054606</v>
      </c>
      <c r="E126" s="24">
        <f t="shared" si="174"/>
        <v>0.11805555555555555</v>
      </c>
      <c r="F126" s="24">
        <f t="shared" si="174"/>
        <v>0.12030947775628627</v>
      </c>
      <c r="G126" s="24">
        <f t="shared" si="174"/>
        <v>0.10831334932054357</v>
      </c>
      <c r="H126" s="24">
        <f t="shared" si="174"/>
        <v>0.11924398625429554</v>
      </c>
      <c r="I126" s="24">
        <f t="shared" si="174"/>
        <v>0.11020917889478614</v>
      </c>
      <c r="J126" s="24">
        <f t="shared" si="174"/>
        <v>0.10464814333939236</v>
      </c>
      <c r="K126" s="24">
        <f t="shared" si="174"/>
        <v>9.9915325994919563E-2</v>
      </c>
      <c r="L126" s="24">
        <f t="shared" si="174"/>
        <v>0.10267194458189015</v>
      </c>
      <c r="M126" s="24">
        <f t="shared" si="174"/>
        <v>0.1001999555654299</v>
      </c>
      <c r="N126" s="24">
        <f t="shared" si="174"/>
        <v>9.4161958568738227E-2</v>
      </c>
      <c r="O126" s="24">
        <f t="shared" si="174"/>
        <v>8.7885544407283536E-2</v>
      </c>
      <c r="P126" s="24">
        <f t="shared" si="174"/>
        <v>9.5400870105655691E-2</v>
      </c>
      <c r="Q126" s="24">
        <f t="shared" si="174"/>
        <v>9.8702039651975465E-2</v>
      </c>
      <c r="R126" s="24">
        <f t="shared" si="174"/>
        <v>9.5243500964922234E-2</v>
      </c>
      <c r="S126" s="24">
        <f t="shared" si="174"/>
        <v>9.7609561752988044E-2</v>
      </c>
      <c r="T126" s="24">
        <f t="shared" si="174"/>
        <v>0.10234953331187641</v>
      </c>
      <c r="U126" s="24">
        <f t="shared" si="174"/>
        <v>0.10205267234701781</v>
      </c>
      <c r="V126" s="24">
        <f t="shared" si="174"/>
        <v>9.7980265186555657E-2</v>
      </c>
      <c r="W126" s="24">
        <f t="shared" si="174"/>
        <v>9.7944175162961722E-2</v>
      </c>
      <c r="X126" s="24">
        <f t="shared" si="174"/>
        <v>0.10294006499886629</v>
      </c>
      <c r="Y126" s="24">
        <f t="shared" si="174"/>
        <v>9.6525096525096526E-2</v>
      </c>
      <c r="Z126" s="24">
        <f t="shared" si="174"/>
        <v>9.2881636514130311E-2</v>
      </c>
      <c r="AA126" s="24">
        <f t="shared" si="174"/>
        <v>9.531073821051933E-2</v>
      </c>
      <c r="AB126" s="24">
        <f t="shared" si="174"/>
        <v>9.7714082672036004E-2</v>
      </c>
      <c r="AC126" s="24">
        <f t="shared" si="174"/>
        <v>0.10049852707908452</v>
      </c>
      <c r="AD126" s="24">
        <f t="shared" si="174"/>
        <v>9.5341997912911494E-2</v>
      </c>
      <c r="AE126" s="24">
        <f t="shared" si="174"/>
        <v>9.3815188588825621E-2</v>
      </c>
      <c r="AF126" s="24">
        <f t="shared" si="174"/>
        <v>8.3105902499063522E-2</v>
      </c>
      <c r="AG126" s="24">
        <f t="shared" si="174"/>
        <v>9.3106660456450857E-2</v>
      </c>
      <c r="AH126" s="24">
        <f t="shared" si="174"/>
        <v>9.0267882587631798E-2</v>
      </c>
      <c r="AI126" s="24">
        <f t="shared" ref="AI126:AY126" si="175">AI120/AI121</f>
        <v>9.3767911046578278E-2</v>
      </c>
      <c r="AJ126" s="24">
        <f t="shared" si="175"/>
        <v>9.9012965574165154E-2</v>
      </c>
      <c r="AK126" s="24">
        <f t="shared" si="175"/>
        <v>0.10275766976904516</v>
      </c>
      <c r="AL126" s="24">
        <f t="shared" si="175"/>
        <v>9.6344034926197614E-2</v>
      </c>
      <c r="AM126" s="24">
        <f t="shared" si="175"/>
        <v>0.10720940232191487</v>
      </c>
      <c r="AN126" s="24">
        <f t="shared" si="175"/>
        <v>0.11147734369578793</v>
      </c>
      <c r="AO126" s="24">
        <f t="shared" si="175"/>
        <v>0.11185682326621924</v>
      </c>
      <c r="AP126" s="24">
        <f t="shared" si="175"/>
        <v>0.10660655992538473</v>
      </c>
      <c r="AQ126" s="24">
        <f t="shared" si="175"/>
        <v>0.11492407051841508</v>
      </c>
      <c r="AR126" s="24">
        <f t="shared" si="175"/>
        <v>0.11684740148129628</v>
      </c>
      <c r="AS126" s="24">
        <f t="shared" si="175"/>
        <v>0.12449481637673519</v>
      </c>
      <c r="AT126" s="24">
        <f t="shared" si="175"/>
        <v>0.11400862606267607</v>
      </c>
      <c r="AU126" s="24">
        <f t="shared" si="175"/>
        <v>0.12802084762035387</v>
      </c>
      <c r="AV126" s="24">
        <f t="shared" si="175"/>
        <v>0.12889355276291878</v>
      </c>
      <c r="AW126" s="24">
        <f t="shared" si="175"/>
        <v>0.12978885905048165</v>
      </c>
      <c r="AX126" s="24">
        <f t="shared" si="175"/>
        <v>0.12098790947607729</v>
      </c>
      <c r="AY126" s="275">
        <f t="shared" si="175"/>
        <v>0.13210757668856643</v>
      </c>
      <c r="AZ126" s="55"/>
      <c r="BA126" s="55"/>
      <c r="BB126" s="55"/>
      <c r="BC126" s="55"/>
      <c r="BD126" s="55"/>
      <c r="BE126" s="55"/>
      <c r="BF126" s="55"/>
      <c r="BG126" s="55"/>
      <c r="BH126" s="156"/>
      <c r="BI126" s="156"/>
      <c r="BJ126" s="871">
        <f t="shared" ref="BJ126:BW126" si="176">BJ120/BJ121</f>
        <v>7.4683203019681857E-2</v>
      </c>
      <c r="BK126" s="871">
        <f t="shared" si="176"/>
        <v>9.7661623108665746E-2</v>
      </c>
      <c r="BL126" s="871">
        <f t="shared" si="176"/>
        <v>0.1169969512195122</v>
      </c>
      <c r="BM126" s="871">
        <f t="shared" si="176"/>
        <v>0.11021979785015242</v>
      </c>
      <c r="BN126" s="871">
        <f t="shared" si="176"/>
        <v>9.8733753556088585E-2</v>
      </c>
      <c r="BO126" s="871">
        <f t="shared" si="176"/>
        <v>9.4724654461249003E-2</v>
      </c>
      <c r="BP126" s="871">
        <f t="shared" si="176"/>
        <v>9.9943423609573714E-2</v>
      </c>
      <c r="BQ126" s="871">
        <f t="shared" si="176"/>
        <v>9.724560335255561E-2</v>
      </c>
      <c r="BR126" s="871">
        <f t="shared" si="176"/>
        <v>9.7189413977962283E-2</v>
      </c>
      <c r="BS126" s="871">
        <f t="shared" si="176"/>
        <v>9.0151920526719873E-2</v>
      </c>
      <c r="BT126" s="871">
        <f t="shared" si="176"/>
        <v>9.8008123531955663E-2</v>
      </c>
      <c r="BU126" s="871">
        <f t="shared" si="176"/>
        <v>0.10920254868835168</v>
      </c>
      <c r="BV126" s="871">
        <f t="shared" si="176"/>
        <v>0.11753063357573332</v>
      </c>
      <c r="BW126" s="872">
        <f t="shared" si="176"/>
        <v>0.12659574468085105</v>
      </c>
      <c r="BX126" s="156"/>
      <c r="BY126" s="156"/>
      <c r="BZ126" s="156"/>
      <c r="CA126" s="156"/>
      <c r="CB126" s="156"/>
      <c r="CC126" s="24"/>
    </row>
    <row r="127" spans="1:81" s="713" customFormat="1" outlineLevel="1" x14ac:dyDescent="0.55000000000000004">
      <c r="A127" s="23" t="s">
        <v>471</v>
      </c>
      <c r="B127" s="296"/>
      <c r="C127" s="297">
        <f t="shared" ref="C127:AH127" si="177">SUM(C123:C126)</f>
        <v>1</v>
      </c>
      <c r="D127" s="297">
        <f t="shared" si="177"/>
        <v>0.99999999999999989</v>
      </c>
      <c r="E127" s="297">
        <f t="shared" si="177"/>
        <v>1</v>
      </c>
      <c r="F127" s="297">
        <f t="shared" si="177"/>
        <v>1</v>
      </c>
      <c r="G127" s="297">
        <f t="shared" si="177"/>
        <v>1</v>
      </c>
      <c r="H127" s="297">
        <f t="shared" si="177"/>
        <v>1</v>
      </c>
      <c r="I127" s="297">
        <f t="shared" si="177"/>
        <v>1</v>
      </c>
      <c r="J127" s="297">
        <f t="shared" si="177"/>
        <v>0.99999999999999989</v>
      </c>
      <c r="K127" s="297">
        <f t="shared" si="177"/>
        <v>1</v>
      </c>
      <c r="L127" s="297">
        <f t="shared" si="177"/>
        <v>1</v>
      </c>
      <c r="M127" s="297">
        <f t="shared" si="177"/>
        <v>1</v>
      </c>
      <c r="N127" s="297">
        <f t="shared" si="177"/>
        <v>0.99999999999999989</v>
      </c>
      <c r="O127" s="297">
        <f t="shared" si="177"/>
        <v>1</v>
      </c>
      <c r="P127" s="297">
        <f t="shared" si="177"/>
        <v>1</v>
      </c>
      <c r="Q127" s="297">
        <f t="shared" si="177"/>
        <v>0.99999999999999989</v>
      </c>
      <c r="R127" s="297">
        <f t="shared" si="177"/>
        <v>1</v>
      </c>
      <c r="S127" s="297">
        <f t="shared" si="177"/>
        <v>1</v>
      </c>
      <c r="T127" s="297">
        <f t="shared" si="177"/>
        <v>1</v>
      </c>
      <c r="U127" s="297">
        <f t="shared" si="177"/>
        <v>1</v>
      </c>
      <c r="V127" s="297">
        <f t="shared" si="177"/>
        <v>1</v>
      </c>
      <c r="W127" s="297">
        <f t="shared" si="177"/>
        <v>1</v>
      </c>
      <c r="X127" s="297">
        <f t="shared" si="177"/>
        <v>1</v>
      </c>
      <c r="Y127" s="297">
        <f t="shared" si="177"/>
        <v>1</v>
      </c>
      <c r="Z127" s="297">
        <f t="shared" si="177"/>
        <v>1</v>
      </c>
      <c r="AA127" s="297">
        <f t="shared" si="177"/>
        <v>1</v>
      </c>
      <c r="AB127" s="297">
        <f t="shared" si="177"/>
        <v>0.99999999999999989</v>
      </c>
      <c r="AC127" s="297">
        <f t="shared" si="177"/>
        <v>1</v>
      </c>
      <c r="AD127" s="297">
        <f t="shared" si="177"/>
        <v>1</v>
      </c>
      <c r="AE127" s="297">
        <f t="shared" si="177"/>
        <v>1</v>
      </c>
      <c r="AF127" s="297">
        <f t="shared" si="177"/>
        <v>1</v>
      </c>
      <c r="AG127" s="297">
        <f t="shared" si="177"/>
        <v>1</v>
      </c>
      <c r="AH127" s="297">
        <f t="shared" si="177"/>
        <v>1</v>
      </c>
      <c r="AI127" s="297">
        <f t="shared" ref="AI127:AY127" si="178">SUM(AI123:AI126)</f>
        <v>1</v>
      </c>
      <c r="AJ127" s="297">
        <f t="shared" si="178"/>
        <v>1</v>
      </c>
      <c r="AK127" s="297">
        <f t="shared" si="178"/>
        <v>1</v>
      </c>
      <c r="AL127" s="297">
        <f t="shared" si="178"/>
        <v>1</v>
      </c>
      <c r="AM127" s="297">
        <f t="shared" si="178"/>
        <v>1</v>
      </c>
      <c r="AN127" s="297">
        <f t="shared" si="178"/>
        <v>1</v>
      </c>
      <c r="AO127" s="297">
        <f t="shared" si="178"/>
        <v>1</v>
      </c>
      <c r="AP127" s="297">
        <f t="shared" si="178"/>
        <v>1</v>
      </c>
      <c r="AQ127" s="297">
        <f t="shared" si="178"/>
        <v>1</v>
      </c>
      <c r="AR127" s="297">
        <f t="shared" si="178"/>
        <v>0.99999999999999989</v>
      </c>
      <c r="AS127" s="297">
        <f t="shared" si="178"/>
        <v>1</v>
      </c>
      <c r="AT127" s="297">
        <f t="shared" si="178"/>
        <v>1</v>
      </c>
      <c r="AU127" s="297">
        <f t="shared" si="178"/>
        <v>1</v>
      </c>
      <c r="AV127" s="297">
        <f t="shared" si="178"/>
        <v>0.99999999999999989</v>
      </c>
      <c r="AW127" s="297">
        <f t="shared" si="178"/>
        <v>1</v>
      </c>
      <c r="AX127" s="297">
        <f t="shared" si="178"/>
        <v>1</v>
      </c>
      <c r="AY127" s="637">
        <f t="shared" si="178"/>
        <v>1</v>
      </c>
      <c r="AZ127" s="328"/>
      <c r="BA127" s="328"/>
      <c r="BB127" s="328"/>
      <c r="BC127" s="328"/>
      <c r="BD127" s="328"/>
      <c r="BE127" s="328"/>
      <c r="BF127" s="328"/>
      <c r="BG127" s="328"/>
      <c r="BH127" s="873"/>
      <c r="BI127" s="873"/>
      <c r="BJ127" s="874">
        <f t="shared" ref="BJ127:BW127" si="179">SUM(BJ123:BJ126)</f>
        <v>1</v>
      </c>
      <c r="BK127" s="874">
        <f t="shared" si="179"/>
        <v>1</v>
      </c>
      <c r="BL127" s="874">
        <f t="shared" si="179"/>
        <v>1</v>
      </c>
      <c r="BM127" s="874">
        <f t="shared" si="179"/>
        <v>1</v>
      </c>
      <c r="BN127" s="874">
        <f t="shared" si="179"/>
        <v>1</v>
      </c>
      <c r="BO127" s="874">
        <f t="shared" si="179"/>
        <v>1</v>
      </c>
      <c r="BP127" s="874">
        <f t="shared" si="179"/>
        <v>1</v>
      </c>
      <c r="BQ127" s="874">
        <f t="shared" si="179"/>
        <v>1</v>
      </c>
      <c r="BR127" s="874">
        <f t="shared" si="179"/>
        <v>1</v>
      </c>
      <c r="BS127" s="874">
        <f t="shared" si="179"/>
        <v>1</v>
      </c>
      <c r="BT127" s="874">
        <f t="shared" si="179"/>
        <v>1</v>
      </c>
      <c r="BU127" s="874">
        <f t="shared" si="179"/>
        <v>1</v>
      </c>
      <c r="BV127" s="874">
        <f t="shared" si="179"/>
        <v>1</v>
      </c>
      <c r="BW127" s="875">
        <f t="shared" si="179"/>
        <v>1</v>
      </c>
      <c r="BX127" s="873"/>
      <c r="BY127" s="873"/>
      <c r="BZ127" s="873"/>
      <c r="CA127" s="873"/>
      <c r="CB127" s="873"/>
      <c r="CC127" s="9"/>
    </row>
    <row r="128" spans="1:81" s="703" customFormat="1" x14ac:dyDescent="0.55000000000000004">
      <c r="A128" s="233"/>
      <c r="B128" s="232"/>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272"/>
      <c r="AZ128" s="35"/>
      <c r="BA128" s="35"/>
      <c r="BB128" s="35"/>
      <c r="BC128" s="35"/>
      <c r="BD128" s="35"/>
      <c r="BE128" s="35"/>
      <c r="BF128" s="35"/>
      <c r="BG128" s="35"/>
      <c r="BH128" s="812"/>
      <c r="BI128" s="812"/>
      <c r="BJ128" s="812"/>
      <c r="BK128" s="812"/>
      <c r="BL128" s="812"/>
      <c r="BM128" s="812"/>
      <c r="BN128" s="812"/>
      <c r="BO128" s="812"/>
      <c r="BP128" s="812"/>
      <c r="BQ128" s="812"/>
      <c r="BR128" s="812"/>
      <c r="BS128" s="812"/>
      <c r="BT128" s="812"/>
      <c r="BU128" s="812"/>
      <c r="BV128" s="812"/>
      <c r="BW128" s="814"/>
      <c r="BX128" s="812"/>
      <c r="BY128" s="812"/>
      <c r="BZ128" s="812"/>
      <c r="CA128" s="812"/>
      <c r="CB128" s="812"/>
      <c r="CC128" s="6"/>
    </row>
    <row r="129" spans="1:81" x14ac:dyDescent="0.55000000000000004">
      <c r="A129" s="414" t="s">
        <v>711</v>
      </c>
      <c r="B129" s="229"/>
      <c r="C129" s="759">
        <v>681</v>
      </c>
      <c r="D129" s="759">
        <v>818</v>
      </c>
      <c r="E129" s="759">
        <v>940</v>
      </c>
      <c r="F129" s="117">
        <f>BL129-SUM(E129,D129,C129)</f>
        <v>1174</v>
      </c>
      <c r="G129" s="759">
        <v>1129</v>
      </c>
      <c r="H129" s="759">
        <v>1260</v>
      </c>
      <c r="I129" s="759">
        <v>1468</v>
      </c>
      <c r="J129" s="117">
        <f>BM129-SUM(I129,H129,G129)</f>
        <v>1792</v>
      </c>
      <c r="K129" s="759">
        <v>1652</v>
      </c>
      <c r="L129" s="759">
        <v>1880</v>
      </c>
      <c r="M129" s="759">
        <v>2166</v>
      </c>
      <c r="N129" s="117">
        <f>BN129-SUM(M129,L129,K129)</f>
        <v>2815</v>
      </c>
      <c r="O129" s="759">
        <v>2509</v>
      </c>
      <c r="P129" s="759">
        <v>2852</v>
      </c>
      <c r="Q129" s="759">
        <v>3184</v>
      </c>
      <c r="R129" s="37">
        <f>BO129-SUM(Q129,P129,O129)</f>
        <v>4034</v>
      </c>
      <c r="S129" s="759">
        <v>3530</v>
      </c>
      <c r="T129" s="759">
        <v>4050</v>
      </c>
      <c r="U129" s="759">
        <v>4480</v>
      </c>
      <c r="V129" s="37">
        <f>BP129-SUM(U129,T129,S129)</f>
        <v>5670</v>
      </c>
      <c r="W129" s="759">
        <v>5090</v>
      </c>
      <c r="X129" s="759">
        <v>5600</v>
      </c>
      <c r="Y129" s="759">
        <v>5930</v>
      </c>
      <c r="Z129" s="37">
        <f>BQ129-SUM(Y129,X129,W129)</f>
        <v>7480</v>
      </c>
      <c r="AA129" s="759">
        <v>6360</v>
      </c>
      <c r="AB129" s="759">
        <v>7140</v>
      </c>
      <c r="AC129" s="759">
        <v>7540</v>
      </c>
      <c r="AD129" s="37">
        <f>BR129-SUM(AC129,AB129,AA129)</f>
        <v>9190</v>
      </c>
      <c r="AE129" s="759">
        <v>7550</v>
      </c>
      <c r="AF129" s="759">
        <v>7830</v>
      </c>
      <c r="AG129" s="759">
        <v>8710</v>
      </c>
      <c r="AH129" s="37">
        <f>BS129-SUM(AG129,AF129,AE129)</f>
        <v>12160</v>
      </c>
      <c r="AI129" s="759">
        <v>10750</v>
      </c>
      <c r="AJ129" s="759">
        <v>11820</v>
      </c>
      <c r="AK129" s="759">
        <v>11880</v>
      </c>
      <c r="AL129" s="37">
        <f>BT129-SUM(AK129,AJ129,AI129)</f>
        <v>13930</v>
      </c>
      <c r="AM129" s="759">
        <v>11100</v>
      </c>
      <c r="AN129" s="759">
        <v>11430</v>
      </c>
      <c r="AO129" s="759">
        <v>11290</v>
      </c>
      <c r="AP129" s="37">
        <f>BU129-SUM(AO129,AN129,AM129)</f>
        <v>13380</v>
      </c>
      <c r="AQ129" s="759">
        <v>10790</v>
      </c>
      <c r="AR129" s="759">
        <v>11660</v>
      </c>
      <c r="AS129" s="759">
        <v>12160</v>
      </c>
      <c r="AT129" s="37">
        <f>BV129-SUM(AS129,AR129,AQ129)</f>
        <v>15170</v>
      </c>
      <c r="AU129" s="37"/>
      <c r="AV129" s="37"/>
      <c r="AW129" s="37"/>
      <c r="AX129" s="37"/>
      <c r="AY129" s="273"/>
      <c r="AZ129" s="37"/>
      <c r="BA129" s="37"/>
      <c r="BB129" s="37"/>
      <c r="BC129" s="37"/>
      <c r="BD129" s="37"/>
      <c r="BE129" s="37"/>
      <c r="BF129" s="37"/>
      <c r="BG129" s="37"/>
      <c r="BH129" s="158"/>
      <c r="BI129" s="857">
        <v>1223</v>
      </c>
      <c r="BJ129" s="857">
        <v>2067</v>
      </c>
      <c r="BK129" s="857">
        <v>2578</v>
      </c>
      <c r="BL129" s="857">
        <v>3613</v>
      </c>
      <c r="BM129" s="857">
        <v>5649</v>
      </c>
      <c r="BN129" s="857">
        <v>8513</v>
      </c>
      <c r="BO129" s="857">
        <v>12579</v>
      </c>
      <c r="BP129" s="857">
        <v>17730</v>
      </c>
      <c r="BQ129" s="857">
        <v>24100</v>
      </c>
      <c r="BR129" s="857">
        <v>30230</v>
      </c>
      <c r="BS129" s="857">
        <v>36250</v>
      </c>
      <c r="BT129" s="857">
        <v>48380</v>
      </c>
      <c r="BU129" s="857">
        <v>47200</v>
      </c>
      <c r="BV129" s="857">
        <v>49780</v>
      </c>
      <c r="BW129" s="846"/>
      <c r="BX129" s="158"/>
      <c r="BY129" s="158"/>
      <c r="BZ129" s="158"/>
      <c r="CA129" s="158"/>
      <c r="CB129" s="158"/>
      <c r="CC129" s="117"/>
    </row>
    <row r="130" spans="1:81" x14ac:dyDescent="0.55000000000000004">
      <c r="A130" s="414" t="s">
        <v>699</v>
      </c>
      <c r="B130" s="229"/>
      <c r="C130" s="37"/>
      <c r="D130" s="37"/>
      <c r="E130" s="37"/>
      <c r="F130" s="37"/>
      <c r="G130" s="37"/>
      <c r="H130" s="37"/>
      <c r="I130" s="37"/>
      <c r="J130" s="37"/>
      <c r="K130" s="37"/>
      <c r="L130" s="37"/>
      <c r="M130" s="37"/>
      <c r="N130" s="37"/>
      <c r="O130" s="37"/>
      <c r="P130" s="37"/>
      <c r="Q130" s="37"/>
      <c r="R130" s="37"/>
      <c r="S130" s="117">
        <f t="shared" ref="S130:AT130" si="180">S131-S129</f>
        <v>260</v>
      </c>
      <c r="T130" s="117">
        <f t="shared" si="180"/>
        <v>309</v>
      </c>
      <c r="U130" s="117">
        <f t="shared" si="180"/>
        <v>343</v>
      </c>
      <c r="V130" s="37">
        <f t="shared" si="180"/>
        <v>423</v>
      </c>
      <c r="W130" s="117">
        <f t="shared" si="180"/>
        <v>352</v>
      </c>
      <c r="X130" s="117">
        <f t="shared" si="180"/>
        <v>382</v>
      </c>
      <c r="Y130" s="117">
        <f t="shared" si="180"/>
        <v>395</v>
      </c>
      <c r="Z130" s="37">
        <f t="shared" si="180"/>
        <v>498</v>
      </c>
      <c r="AA130" s="117">
        <f t="shared" si="180"/>
        <v>417</v>
      </c>
      <c r="AB130" s="117">
        <f t="shared" si="180"/>
        <v>492</v>
      </c>
      <c r="AC130" s="117">
        <f t="shared" si="180"/>
        <v>486</v>
      </c>
      <c r="AD130" s="37">
        <f t="shared" si="180"/>
        <v>581</v>
      </c>
      <c r="AE130" s="117">
        <f t="shared" si="180"/>
        <v>462</v>
      </c>
      <c r="AF130" s="117">
        <f t="shared" si="180"/>
        <v>462</v>
      </c>
      <c r="AG130" s="117">
        <f t="shared" si="180"/>
        <v>519</v>
      </c>
      <c r="AH130" s="37">
        <f t="shared" si="180"/>
        <v>740</v>
      </c>
      <c r="AI130" s="117">
        <f t="shared" si="180"/>
        <v>686</v>
      </c>
      <c r="AJ130" s="117">
        <f t="shared" si="180"/>
        <v>792</v>
      </c>
      <c r="AK130" s="117">
        <f t="shared" si="180"/>
        <v>788</v>
      </c>
      <c r="AL130" s="37">
        <f t="shared" si="180"/>
        <v>895</v>
      </c>
      <c r="AM130" s="117">
        <f t="shared" si="180"/>
        <v>680</v>
      </c>
      <c r="AN130" s="37">
        <f t="shared" si="180"/>
        <v>756</v>
      </c>
      <c r="AO130" s="37">
        <f t="shared" si="180"/>
        <v>676</v>
      </c>
      <c r="AP130" s="37">
        <f t="shared" si="180"/>
        <v>838</v>
      </c>
      <c r="AQ130" s="117">
        <f t="shared" si="180"/>
        <v>659</v>
      </c>
      <c r="AR130" s="37">
        <f t="shared" si="180"/>
        <v>744</v>
      </c>
      <c r="AS130" s="37">
        <f t="shared" si="180"/>
        <v>748</v>
      </c>
      <c r="AT130" s="37">
        <f t="shared" si="180"/>
        <v>957</v>
      </c>
      <c r="AU130" s="37"/>
      <c r="AV130" s="37"/>
      <c r="AW130" s="37"/>
      <c r="AX130" s="37"/>
      <c r="AY130" s="273"/>
      <c r="AZ130" s="37"/>
      <c r="BA130" s="37"/>
      <c r="BB130" s="37"/>
      <c r="BC130" s="37"/>
      <c r="BD130" s="37"/>
      <c r="BE130" s="37"/>
      <c r="BF130" s="37"/>
      <c r="BG130" s="37"/>
      <c r="BH130" s="158"/>
      <c r="BI130" s="158"/>
      <c r="BJ130" s="158"/>
      <c r="BK130" s="158"/>
      <c r="BL130" s="158"/>
      <c r="BM130" s="158"/>
      <c r="BN130" s="158"/>
      <c r="BO130" s="158"/>
      <c r="BP130" s="158">
        <f t="shared" ref="BP130:BV130" si="181">BP131-BP129</f>
        <v>1335</v>
      </c>
      <c r="BQ130" s="158">
        <f t="shared" si="181"/>
        <v>1627</v>
      </c>
      <c r="BR130" s="158">
        <f t="shared" si="181"/>
        <v>1976</v>
      </c>
      <c r="BS130" s="158">
        <f t="shared" si="181"/>
        <v>2183</v>
      </c>
      <c r="BT130" s="158">
        <f t="shared" si="181"/>
        <v>3161</v>
      </c>
      <c r="BU130" s="158">
        <f t="shared" si="181"/>
        <v>2950</v>
      </c>
      <c r="BV130" s="158">
        <f t="shared" si="181"/>
        <v>3108</v>
      </c>
      <c r="BW130" s="846"/>
      <c r="BX130" s="158"/>
      <c r="BY130" s="158"/>
      <c r="BZ130" s="158"/>
      <c r="CA130" s="158"/>
      <c r="CB130" s="158"/>
      <c r="CC130" s="117"/>
    </row>
    <row r="131" spans="1:81" x14ac:dyDescent="0.55000000000000004">
      <c r="A131" s="172" t="s">
        <v>700</v>
      </c>
      <c r="B131" s="415"/>
      <c r="C131" s="173"/>
      <c r="D131" s="173"/>
      <c r="E131" s="173"/>
      <c r="F131" s="173"/>
      <c r="G131" s="173"/>
      <c r="H131" s="173"/>
      <c r="I131" s="173"/>
      <c r="J131" s="173"/>
      <c r="K131" s="173"/>
      <c r="L131" s="173"/>
      <c r="M131" s="173"/>
      <c r="N131" s="173"/>
      <c r="O131" s="173"/>
      <c r="P131" s="173"/>
      <c r="Q131" s="173"/>
      <c r="R131" s="173"/>
      <c r="S131" s="765">
        <v>3790</v>
      </c>
      <c r="T131" s="765">
        <v>4359</v>
      </c>
      <c r="U131" s="765">
        <v>4823</v>
      </c>
      <c r="V131" s="173">
        <f>BP131-SUM(U131,T131,S131)</f>
        <v>6093</v>
      </c>
      <c r="W131" s="765">
        <v>5442</v>
      </c>
      <c r="X131" s="765">
        <v>5982</v>
      </c>
      <c r="Y131" s="765">
        <v>6325</v>
      </c>
      <c r="Z131" s="173">
        <f>BQ131-SUM(Y131,X131,W131)</f>
        <v>7978</v>
      </c>
      <c r="AA131" s="765">
        <v>6777</v>
      </c>
      <c r="AB131" s="765">
        <v>7632</v>
      </c>
      <c r="AC131" s="765">
        <v>8026</v>
      </c>
      <c r="AD131" s="173">
        <f>BR131-SUM(AC131,AB131,AA131)</f>
        <v>9771</v>
      </c>
      <c r="AE131" s="765">
        <v>8012</v>
      </c>
      <c r="AF131" s="765">
        <v>8292</v>
      </c>
      <c r="AG131" s="765">
        <v>9229</v>
      </c>
      <c r="AH131" s="173">
        <f>BS131-SUM(AG131,AF131,AE131)</f>
        <v>12900</v>
      </c>
      <c r="AI131" s="765">
        <v>11436</v>
      </c>
      <c r="AJ131" s="765">
        <v>12612</v>
      </c>
      <c r="AK131" s="765">
        <v>12668</v>
      </c>
      <c r="AL131" s="173">
        <f>BT131-SUM(AK131,AJ131,AI131)</f>
        <v>14825</v>
      </c>
      <c r="AM131" s="765">
        <v>11780</v>
      </c>
      <c r="AN131" s="765">
        <v>12186</v>
      </c>
      <c r="AO131" s="765">
        <v>11966</v>
      </c>
      <c r="AP131" s="173">
        <f>BU131-SUM(AO131,AN131,AM131)</f>
        <v>14218</v>
      </c>
      <c r="AQ131" s="765">
        <v>11449</v>
      </c>
      <c r="AR131" s="765">
        <v>12404</v>
      </c>
      <c r="AS131" s="765">
        <v>12908</v>
      </c>
      <c r="AT131" s="173">
        <f>BV131-SUM(AS131,AR131,AQ131)</f>
        <v>16127</v>
      </c>
      <c r="AU131" s="765">
        <v>13646</v>
      </c>
      <c r="AV131" s="765">
        <v>14640</v>
      </c>
      <c r="AW131" s="765">
        <v>15619</v>
      </c>
      <c r="AX131" s="173">
        <f>BW131-SUM(AW131,AV131,AU131)</f>
        <v>19302</v>
      </c>
      <c r="AY131" s="635"/>
      <c r="AZ131" s="173"/>
      <c r="BA131" s="173"/>
      <c r="BB131" s="173"/>
      <c r="BC131" s="173"/>
      <c r="BD131" s="173"/>
      <c r="BE131" s="173"/>
      <c r="BF131" s="173"/>
      <c r="BG131" s="173"/>
      <c r="BH131" s="878"/>
      <c r="BI131" s="878"/>
      <c r="BJ131" s="878"/>
      <c r="BK131" s="878"/>
      <c r="BL131" s="878"/>
      <c r="BM131" s="878"/>
      <c r="BN131" s="878"/>
      <c r="BO131" s="878"/>
      <c r="BP131" s="879">
        <v>19065</v>
      </c>
      <c r="BQ131" s="879">
        <v>25727</v>
      </c>
      <c r="BR131" s="879">
        <v>32206</v>
      </c>
      <c r="BS131" s="879">
        <v>38433</v>
      </c>
      <c r="BT131" s="879">
        <v>51541</v>
      </c>
      <c r="BU131" s="879">
        <v>50150</v>
      </c>
      <c r="BV131" s="879">
        <v>52888</v>
      </c>
      <c r="BW131" s="880">
        <v>63207</v>
      </c>
      <c r="BX131" s="878"/>
      <c r="BY131" s="878"/>
      <c r="BZ131" s="878"/>
      <c r="CA131" s="878"/>
      <c r="CB131" s="878"/>
      <c r="CC131" s="117"/>
    </row>
    <row r="132" spans="1:81" x14ac:dyDescent="0.55000000000000004">
      <c r="A132" s="116" t="s">
        <v>701</v>
      </c>
      <c r="B132" s="229"/>
      <c r="C132" s="37"/>
      <c r="D132" s="37"/>
      <c r="E132" s="37"/>
      <c r="F132" s="37"/>
      <c r="G132" s="37"/>
      <c r="H132" s="37"/>
      <c r="I132" s="37"/>
      <c r="J132" s="37"/>
      <c r="K132" s="37"/>
      <c r="L132" s="37"/>
      <c r="M132" s="37"/>
      <c r="N132" s="37"/>
      <c r="O132" s="37"/>
      <c r="P132" s="37"/>
      <c r="Q132" s="37"/>
      <c r="R132" s="37"/>
      <c r="S132" s="759">
        <v>1968</v>
      </c>
      <c r="T132" s="759">
        <v>2332</v>
      </c>
      <c r="U132" s="759">
        <v>2546</v>
      </c>
      <c r="V132" s="37">
        <f>BP132-SUM(U132,T132,S132)</f>
        <v>3280</v>
      </c>
      <c r="W132" s="759">
        <v>3027</v>
      </c>
      <c r="X132" s="759">
        <v>3307</v>
      </c>
      <c r="Y132" s="759">
        <v>3234</v>
      </c>
      <c r="Z132" s="37">
        <f>BQ132-SUM(Y132,X132,W132)</f>
        <v>4063</v>
      </c>
      <c r="AA132" s="759">
        <v>3624</v>
      </c>
      <c r="AB132" s="759">
        <v>4097</v>
      </c>
      <c r="AC132" s="759">
        <v>4053</v>
      </c>
      <c r="AD132" s="37">
        <f>BR132-SUM(AC132,AB132,AA132)</f>
        <v>5052</v>
      </c>
      <c r="AE132" s="759">
        <v>4150</v>
      </c>
      <c r="AF132" s="759">
        <v>4249</v>
      </c>
      <c r="AG132" s="759">
        <v>5055</v>
      </c>
      <c r="AH132" s="37">
        <f>BS132-SUM(AG132,AF132,AE132)</f>
        <v>6895</v>
      </c>
      <c r="AI132" s="759">
        <v>6384</v>
      </c>
      <c r="AJ132" s="759">
        <v>7220</v>
      </c>
      <c r="AK132" s="759">
        <v>7018</v>
      </c>
      <c r="AL132" s="37">
        <f>BT132-SUM(AK132,AJ132,AI132)</f>
        <v>8435</v>
      </c>
      <c r="AM132" s="759">
        <v>6638</v>
      </c>
      <c r="AN132" s="759">
        <v>6650</v>
      </c>
      <c r="AO132" s="759">
        <v>5996</v>
      </c>
      <c r="AP132" s="37">
        <f>BU132-SUM(AO132,AN132,AM132)</f>
        <v>7397</v>
      </c>
      <c r="AQ132" s="759">
        <v>6759</v>
      </c>
      <c r="AR132" s="759">
        <v>7515</v>
      </c>
      <c r="AS132" s="759">
        <v>7578</v>
      </c>
      <c r="AT132" s="37">
        <f>BV132-SUM(AS132,AR132,AQ132)</f>
        <v>9358</v>
      </c>
      <c r="AU132" s="759">
        <v>8404</v>
      </c>
      <c r="AV132" s="759">
        <v>9153</v>
      </c>
      <c r="AW132" s="759">
        <v>9205</v>
      </c>
      <c r="AX132" s="37">
        <f>BW132-SUM(AW132,AV132,AU132)</f>
        <v>11599</v>
      </c>
      <c r="AY132" s="273"/>
      <c r="AZ132" s="37"/>
      <c r="BA132" s="37"/>
      <c r="BB132" s="37"/>
      <c r="BC132" s="37"/>
      <c r="BD132" s="37"/>
      <c r="BE132" s="37"/>
      <c r="BF132" s="37"/>
      <c r="BG132" s="37"/>
      <c r="BH132" s="158"/>
      <c r="BI132" s="158"/>
      <c r="BJ132" s="158"/>
      <c r="BK132" s="158"/>
      <c r="BL132" s="158"/>
      <c r="BM132" s="158"/>
      <c r="BN132" s="158"/>
      <c r="BO132" s="158"/>
      <c r="BP132" s="857">
        <v>10126</v>
      </c>
      <c r="BQ132" s="857">
        <v>13631</v>
      </c>
      <c r="BR132" s="857">
        <v>16826</v>
      </c>
      <c r="BS132" s="857">
        <v>20349</v>
      </c>
      <c r="BT132" s="857">
        <v>29057</v>
      </c>
      <c r="BU132" s="857">
        <v>26681</v>
      </c>
      <c r="BV132" s="857">
        <v>31210</v>
      </c>
      <c r="BW132" s="862">
        <v>38361</v>
      </c>
      <c r="BX132" s="158"/>
      <c r="BY132" s="158"/>
      <c r="BZ132" s="158"/>
      <c r="CA132" s="158"/>
      <c r="CB132" s="158"/>
      <c r="CC132" s="117"/>
    </row>
    <row r="133" spans="1:81" x14ac:dyDescent="0.55000000000000004">
      <c r="A133" s="116" t="s">
        <v>702</v>
      </c>
      <c r="B133" s="229"/>
      <c r="C133" s="37"/>
      <c r="D133" s="37"/>
      <c r="E133" s="37"/>
      <c r="F133" s="37"/>
      <c r="G133" s="37"/>
      <c r="H133" s="37"/>
      <c r="I133" s="37"/>
      <c r="J133" s="37"/>
      <c r="K133" s="37"/>
      <c r="L133" s="37"/>
      <c r="M133" s="37"/>
      <c r="N133" s="37"/>
      <c r="O133" s="37"/>
      <c r="P133" s="37"/>
      <c r="Q133" s="37"/>
      <c r="R133" s="37"/>
      <c r="S133" s="759">
        <v>1576</v>
      </c>
      <c r="T133" s="759">
        <v>1806</v>
      </c>
      <c r="U133" s="759">
        <v>2042</v>
      </c>
      <c r="V133" s="37">
        <f>BP133-SUM(U133,T133,S133)</f>
        <v>2497</v>
      </c>
      <c r="W133" s="759">
        <v>2475</v>
      </c>
      <c r="X133" s="759">
        <v>2772</v>
      </c>
      <c r="Y133" s="759">
        <v>3007</v>
      </c>
      <c r="Z133" s="37">
        <f>BQ133-SUM(Y133,X133,W133)</f>
        <v>3479</v>
      </c>
      <c r="AA133" s="759">
        <v>3337</v>
      </c>
      <c r="AB133" s="759">
        <v>3628</v>
      </c>
      <c r="AC133" s="759">
        <v>3958</v>
      </c>
      <c r="AD133" s="37">
        <f>BR133-SUM(AC133,AB133,AA133)</f>
        <v>4483</v>
      </c>
      <c r="AE133" s="759">
        <v>3971</v>
      </c>
      <c r="AF133" s="759">
        <v>4611</v>
      </c>
      <c r="AG133" s="759">
        <v>5311</v>
      </c>
      <c r="AH133" s="37">
        <f>BS133-SUM(AG133,AF133,AE133)</f>
        <v>5955</v>
      </c>
      <c r="AI133" s="759">
        <v>6101</v>
      </c>
      <c r="AJ133" s="759">
        <v>6677</v>
      </c>
      <c r="AK133" s="759">
        <v>6592</v>
      </c>
      <c r="AL133" s="37">
        <f>BT133-SUM(AK133,AJ133,AI133)</f>
        <v>7369</v>
      </c>
      <c r="AM133" s="759">
        <v>6722</v>
      </c>
      <c r="AN133" s="759">
        <v>6960</v>
      </c>
      <c r="AO133" s="759">
        <v>6797</v>
      </c>
      <c r="AP133" s="37">
        <f>BU133-SUM(AO133,AN133,AM133)</f>
        <v>7281</v>
      </c>
      <c r="AQ133" s="759">
        <v>7292</v>
      </c>
      <c r="AR133" s="759">
        <v>8551</v>
      </c>
      <c r="AS133" s="759">
        <v>9790</v>
      </c>
      <c r="AT133" s="37">
        <f>BV133-SUM(AS133,AR133,AQ133)</f>
        <v>10521</v>
      </c>
      <c r="AU133" s="759">
        <v>10312</v>
      </c>
      <c r="AV133" s="759">
        <v>10967</v>
      </c>
      <c r="AW133" s="759">
        <v>11243</v>
      </c>
      <c r="AX133" s="37">
        <f>BW133-SUM(AW133,AV133,AU133)</f>
        <v>12487</v>
      </c>
      <c r="AY133" s="273"/>
      <c r="AZ133" s="37"/>
      <c r="BA133" s="37"/>
      <c r="BB133" s="37"/>
      <c r="BC133" s="37"/>
      <c r="BD133" s="37"/>
      <c r="BE133" s="37"/>
      <c r="BF133" s="37"/>
      <c r="BG133" s="37"/>
      <c r="BH133" s="158"/>
      <c r="BI133" s="158"/>
      <c r="BJ133" s="158"/>
      <c r="BK133" s="158"/>
      <c r="BL133" s="158"/>
      <c r="BM133" s="158"/>
      <c r="BN133" s="158"/>
      <c r="BO133" s="158"/>
      <c r="BP133" s="857">
        <v>7921</v>
      </c>
      <c r="BQ133" s="857">
        <v>11733</v>
      </c>
      <c r="BR133" s="857">
        <v>15406</v>
      </c>
      <c r="BS133" s="857">
        <v>19848</v>
      </c>
      <c r="BT133" s="857">
        <v>26739</v>
      </c>
      <c r="BU133" s="857">
        <v>27760</v>
      </c>
      <c r="BV133" s="857">
        <v>36154</v>
      </c>
      <c r="BW133" s="862">
        <v>45009</v>
      </c>
      <c r="BX133" s="158"/>
      <c r="BY133" s="158"/>
      <c r="BZ133" s="158"/>
      <c r="CA133" s="158"/>
      <c r="CB133" s="158"/>
      <c r="CC133" s="117"/>
    </row>
    <row r="134" spans="1:81" x14ac:dyDescent="0.55000000000000004">
      <c r="A134" s="18" t="s">
        <v>703</v>
      </c>
      <c r="B134" s="230"/>
      <c r="C134" s="763">
        <v>777</v>
      </c>
      <c r="D134" s="763">
        <v>995</v>
      </c>
      <c r="E134" s="763">
        <v>1076</v>
      </c>
      <c r="F134" s="14">
        <f>BL134-SUM(E134,D134,C134)</f>
        <v>1411</v>
      </c>
      <c r="G134" s="763">
        <v>1373</v>
      </c>
      <c r="H134" s="763">
        <v>1650</v>
      </c>
      <c r="I134" s="763">
        <v>1735</v>
      </c>
      <c r="J134" s="14">
        <f>BM134-SUM(I134,H134,G134)</f>
        <v>2059</v>
      </c>
      <c r="K134" s="763">
        <v>1891</v>
      </c>
      <c r="L134" s="763">
        <v>2162</v>
      </c>
      <c r="M134" s="763">
        <v>2335</v>
      </c>
      <c r="N134" s="14">
        <f>BN134-SUM(M134,L134,K134)</f>
        <v>3027</v>
      </c>
      <c r="O134" s="763">
        <v>2873</v>
      </c>
      <c r="P134" s="763">
        <v>3584</v>
      </c>
      <c r="Q134" s="763">
        <v>3827</v>
      </c>
      <c r="R134" s="82">
        <f>BO134-SUM(Q134,P134,O134)</f>
        <v>4775</v>
      </c>
      <c r="S134" s="763">
        <v>698</v>
      </c>
      <c r="T134" s="763">
        <v>824</v>
      </c>
      <c r="U134" s="763">
        <v>917</v>
      </c>
      <c r="V134" s="82">
        <f>BP134-SUM(U134,T134,S134)</f>
        <v>1102</v>
      </c>
      <c r="W134" s="763">
        <v>1022</v>
      </c>
      <c r="X134" s="763">
        <v>1170</v>
      </c>
      <c r="Y134" s="763">
        <v>1161</v>
      </c>
      <c r="Z134" s="82">
        <f>BQ134-SUM(Y134,X134,W134)</f>
        <v>1394</v>
      </c>
      <c r="AA134" s="763">
        <v>1339</v>
      </c>
      <c r="AB134" s="763">
        <v>1529</v>
      </c>
      <c r="AC134" s="763">
        <v>1615</v>
      </c>
      <c r="AD134" s="82">
        <f>BR134-SUM(AC134,AB134,AA134)</f>
        <v>1776</v>
      </c>
      <c r="AE134" s="763">
        <v>1604</v>
      </c>
      <c r="AF134" s="763">
        <v>1535</v>
      </c>
      <c r="AG134" s="763">
        <v>1875</v>
      </c>
      <c r="AH134" s="82">
        <f>BS134-SUM(AG134,AF134,AE134)</f>
        <v>2321</v>
      </c>
      <c r="AI134" s="763">
        <v>2250</v>
      </c>
      <c r="AJ134" s="763">
        <v>2568</v>
      </c>
      <c r="AK134" s="763">
        <v>2732</v>
      </c>
      <c r="AL134" s="82">
        <f>BT134-SUM(AK134,AJ134,AI134)</f>
        <v>3042</v>
      </c>
      <c r="AM134" s="763">
        <v>2768</v>
      </c>
      <c r="AN134" s="763">
        <v>3026</v>
      </c>
      <c r="AO134" s="763">
        <v>2955</v>
      </c>
      <c r="AP134" s="82">
        <f>BU134-SUM(AO134,AN134,AM134)</f>
        <v>3269</v>
      </c>
      <c r="AQ134" s="763">
        <v>3145</v>
      </c>
      <c r="AR134" s="763">
        <v>3529</v>
      </c>
      <c r="AS134" s="763">
        <v>3870</v>
      </c>
      <c r="AT134" s="82">
        <f>BV134-SUM(AS134,AR134,AQ134)</f>
        <v>4106</v>
      </c>
      <c r="AU134" s="763">
        <v>4093</v>
      </c>
      <c r="AV134" s="763">
        <v>4311</v>
      </c>
      <c r="AW134" s="763">
        <v>4522</v>
      </c>
      <c r="AX134" s="82">
        <f>BW134-SUM(AW134,AV134,AU134)</f>
        <v>4998</v>
      </c>
      <c r="AY134" s="406"/>
      <c r="AZ134" s="82"/>
      <c r="BA134" s="82"/>
      <c r="BB134" s="82"/>
      <c r="BC134" s="82"/>
      <c r="BD134" s="82"/>
      <c r="BE134" s="82"/>
      <c r="BF134" s="82"/>
      <c r="BG134" s="82"/>
      <c r="BH134" s="854"/>
      <c r="BI134" s="863">
        <v>751</v>
      </c>
      <c r="BJ134" s="863">
        <v>1644</v>
      </c>
      <c r="BK134" s="863">
        <v>2511</v>
      </c>
      <c r="BL134" s="863">
        <v>4259</v>
      </c>
      <c r="BM134" s="863">
        <v>6817</v>
      </c>
      <c r="BN134" s="863">
        <v>9415</v>
      </c>
      <c r="BO134" s="863">
        <v>15059</v>
      </c>
      <c r="BP134" s="863">
        <v>3541</v>
      </c>
      <c r="BQ134" s="863">
        <v>4747</v>
      </c>
      <c r="BR134" s="863">
        <v>6259</v>
      </c>
      <c r="BS134" s="863">
        <v>7335</v>
      </c>
      <c r="BT134" s="863">
        <v>10592</v>
      </c>
      <c r="BU134" s="863">
        <v>12018</v>
      </c>
      <c r="BV134" s="863">
        <v>14650</v>
      </c>
      <c r="BW134" s="864">
        <v>17924</v>
      </c>
      <c r="BX134" s="854"/>
      <c r="BY134" s="854"/>
      <c r="BZ134" s="854"/>
      <c r="CA134" s="854"/>
      <c r="CB134" s="854"/>
      <c r="CC134" s="117"/>
    </row>
    <row r="135" spans="1:81" x14ac:dyDescent="0.55000000000000004">
      <c r="A135" s="20" t="s">
        <v>856</v>
      </c>
      <c r="B135" s="231"/>
      <c r="C135" s="5">
        <f t="shared" ref="C135:R135" si="182">C134+C133+C132+C131+C129</f>
        <v>1458</v>
      </c>
      <c r="D135" s="5">
        <f t="shared" si="182"/>
        <v>1813</v>
      </c>
      <c r="E135" s="5">
        <f t="shared" si="182"/>
        <v>2016</v>
      </c>
      <c r="F135" s="5">
        <f t="shared" si="182"/>
        <v>2585</v>
      </c>
      <c r="G135" s="5">
        <f t="shared" si="182"/>
        <v>2502</v>
      </c>
      <c r="H135" s="5">
        <f t="shared" si="182"/>
        <v>2910</v>
      </c>
      <c r="I135" s="5">
        <f t="shared" si="182"/>
        <v>3203</v>
      </c>
      <c r="J135" s="5">
        <f t="shared" si="182"/>
        <v>3851</v>
      </c>
      <c r="K135" s="5">
        <f t="shared" si="182"/>
        <v>3543</v>
      </c>
      <c r="L135" s="5">
        <f t="shared" si="182"/>
        <v>4042</v>
      </c>
      <c r="M135" s="5">
        <f t="shared" si="182"/>
        <v>4501</v>
      </c>
      <c r="N135" s="5">
        <f t="shared" si="182"/>
        <v>5842</v>
      </c>
      <c r="O135" s="5">
        <f t="shared" si="182"/>
        <v>5382</v>
      </c>
      <c r="P135" s="5">
        <f t="shared" si="182"/>
        <v>6436</v>
      </c>
      <c r="Q135" s="5">
        <f t="shared" si="182"/>
        <v>7011</v>
      </c>
      <c r="R135" s="33">
        <f t="shared" si="182"/>
        <v>8809</v>
      </c>
      <c r="S135" s="5">
        <f t="shared" ref="S135:AX135" si="183">S134+S133+S132+S131</f>
        <v>8032</v>
      </c>
      <c r="T135" s="5">
        <f t="shared" si="183"/>
        <v>9321</v>
      </c>
      <c r="U135" s="5">
        <f t="shared" si="183"/>
        <v>10328</v>
      </c>
      <c r="V135" s="33">
        <f t="shared" si="183"/>
        <v>12972</v>
      </c>
      <c r="W135" s="5">
        <f t="shared" si="183"/>
        <v>11966</v>
      </c>
      <c r="X135" s="5">
        <f t="shared" si="183"/>
        <v>13231</v>
      </c>
      <c r="Y135" s="5">
        <f t="shared" si="183"/>
        <v>13727</v>
      </c>
      <c r="Z135" s="33">
        <f t="shared" si="183"/>
        <v>16914</v>
      </c>
      <c r="AA135" s="5">
        <f t="shared" si="183"/>
        <v>15077</v>
      </c>
      <c r="AB135" s="5">
        <f t="shared" si="183"/>
        <v>16886</v>
      </c>
      <c r="AC135" s="5">
        <f t="shared" si="183"/>
        <v>17652</v>
      </c>
      <c r="AD135" s="33">
        <f t="shared" si="183"/>
        <v>21082</v>
      </c>
      <c r="AE135" s="5">
        <f t="shared" si="183"/>
        <v>17737</v>
      </c>
      <c r="AF135" s="5">
        <f t="shared" si="183"/>
        <v>18687</v>
      </c>
      <c r="AG135" s="5">
        <f t="shared" si="183"/>
        <v>21470</v>
      </c>
      <c r="AH135" s="33">
        <f t="shared" si="183"/>
        <v>28071</v>
      </c>
      <c r="AI135" s="5">
        <f t="shared" si="183"/>
        <v>26171</v>
      </c>
      <c r="AJ135" s="5">
        <f t="shared" si="183"/>
        <v>29077</v>
      </c>
      <c r="AK135" s="5">
        <f t="shared" si="183"/>
        <v>29010</v>
      </c>
      <c r="AL135" s="33">
        <f t="shared" si="183"/>
        <v>33671</v>
      </c>
      <c r="AM135" s="5">
        <f t="shared" si="183"/>
        <v>27908</v>
      </c>
      <c r="AN135" s="5">
        <f t="shared" si="183"/>
        <v>28822</v>
      </c>
      <c r="AO135" s="5">
        <f t="shared" si="183"/>
        <v>27714</v>
      </c>
      <c r="AP135" s="33">
        <f t="shared" si="183"/>
        <v>32165</v>
      </c>
      <c r="AQ135" s="5">
        <f t="shared" si="183"/>
        <v>28645</v>
      </c>
      <c r="AR135" s="33">
        <f t="shared" si="183"/>
        <v>31999</v>
      </c>
      <c r="AS135" s="33">
        <f t="shared" si="183"/>
        <v>34146</v>
      </c>
      <c r="AT135" s="33">
        <f t="shared" si="183"/>
        <v>40112</v>
      </c>
      <c r="AU135" s="35">
        <f t="shared" si="183"/>
        <v>36455</v>
      </c>
      <c r="AV135" s="33">
        <f t="shared" si="183"/>
        <v>39071</v>
      </c>
      <c r="AW135" s="35">
        <f t="shared" si="183"/>
        <v>40589</v>
      </c>
      <c r="AX135" s="33">
        <f t="shared" si="183"/>
        <v>48386</v>
      </c>
      <c r="AY135" s="272"/>
      <c r="AZ135" s="33"/>
      <c r="BA135" s="33"/>
      <c r="BB135" s="33"/>
      <c r="BC135" s="33"/>
      <c r="BD135" s="33"/>
      <c r="BE135" s="33"/>
      <c r="BF135" s="33"/>
      <c r="BG135" s="33"/>
      <c r="BH135" s="834">
        <f>BH338</f>
        <v>777</v>
      </c>
      <c r="BI135" s="834">
        <f>BI338</f>
        <v>1974</v>
      </c>
      <c r="BJ135" s="834">
        <f t="shared" ref="BJ135:BO135" si="184">BJ134+BJ133+BJ132+BJ131+BJ129</f>
        <v>3711</v>
      </c>
      <c r="BK135" s="834">
        <f t="shared" si="184"/>
        <v>5089</v>
      </c>
      <c r="BL135" s="834">
        <f t="shared" si="184"/>
        <v>7872</v>
      </c>
      <c r="BM135" s="834">
        <f t="shared" si="184"/>
        <v>12466</v>
      </c>
      <c r="BN135" s="834">
        <f t="shared" si="184"/>
        <v>17928</v>
      </c>
      <c r="BO135" s="833">
        <f t="shared" si="184"/>
        <v>27638</v>
      </c>
      <c r="BP135" s="833">
        <f t="shared" ref="BP135:BW135" si="185">BP134+BP133+BP132+BP131</f>
        <v>40653</v>
      </c>
      <c r="BQ135" s="833">
        <f t="shared" si="185"/>
        <v>55838</v>
      </c>
      <c r="BR135" s="833">
        <f t="shared" si="185"/>
        <v>70697</v>
      </c>
      <c r="BS135" s="833">
        <f t="shared" si="185"/>
        <v>85965</v>
      </c>
      <c r="BT135" s="833">
        <f t="shared" si="185"/>
        <v>117929</v>
      </c>
      <c r="BU135" s="833">
        <f t="shared" si="185"/>
        <v>116609</v>
      </c>
      <c r="BV135" s="833">
        <f t="shared" si="185"/>
        <v>134902</v>
      </c>
      <c r="BW135" s="814">
        <f t="shared" si="185"/>
        <v>164501</v>
      </c>
      <c r="BX135" s="833"/>
      <c r="BY135" s="833"/>
      <c r="BZ135" s="833"/>
      <c r="CA135" s="833"/>
      <c r="CB135" s="833"/>
      <c r="CC135" s="6"/>
    </row>
    <row r="136" spans="1:81" outlineLevel="1" x14ac:dyDescent="0.55000000000000004">
      <c r="A136" s="192"/>
      <c r="B136" s="232"/>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272"/>
      <c r="AZ136" s="35"/>
      <c r="BA136" s="35"/>
      <c r="BB136" s="35"/>
      <c r="BC136" s="35"/>
      <c r="BD136" s="35"/>
      <c r="BE136" s="35"/>
      <c r="BF136" s="35"/>
      <c r="BG136" s="35"/>
      <c r="BH136" s="812"/>
      <c r="BI136" s="812"/>
      <c r="BJ136" s="812"/>
      <c r="BK136" s="812"/>
      <c r="BL136" s="812"/>
      <c r="BM136" s="812"/>
      <c r="BN136" s="812"/>
      <c r="BO136" s="812"/>
      <c r="BP136" s="812"/>
      <c r="BQ136" s="812"/>
      <c r="BR136" s="812"/>
      <c r="BS136" s="812"/>
      <c r="BT136" s="812"/>
      <c r="BU136" s="812"/>
      <c r="BV136" s="812"/>
      <c r="BW136" s="814"/>
      <c r="BX136" s="812"/>
      <c r="BY136" s="812"/>
      <c r="BZ136" s="812"/>
      <c r="CA136" s="812"/>
      <c r="CB136" s="812"/>
      <c r="CC136" s="6"/>
    </row>
    <row r="137" spans="1:81" s="709" customFormat="1" outlineLevel="1" x14ac:dyDescent="0.55000000000000004">
      <c r="A137" s="366" t="s">
        <v>704</v>
      </c>
      <c r="B137" s="237"/>
      <c r="C137" s="24">
        <f t="shared" ref="C137:AT137" si="186">C129/C135</f>
        <v>0.46707818930041151</v>
      </c>
      <c r="D137" s="24">
        <f t="shared" si="186"/>
        <v>0.45118587975730834</v>
      </c>
      <c r="E137" s="24">
        <f t="shared" si="186"/>
        <v>0.46626984126984128</v>
      </c>
      <c r="F137" s="24">
        <f t="shared" si="186"/>
        <v>0.45415860735009672</v>
      </c>
      <c r="G137" s="24">
        <f t="shared" si="186"/>
        <v>0.45123900879296563</v>
      </c>
      <c r="H137" s="24">
        <f t="shared" si="186"/>
        <v>0.4329896907216495</v>
      </c>
      <c r="I137" s="24">
        <f t="shared" si="186"/>
        <v>0.45832032469559786</v>
      </c>
      <c r="J137" s="24">
        <f t="shared" si="186"/>
        <v>0.46533367956374966</v>
      </c>
      <c r="K137" s="24">
        <f t="shared" si="186"/>
        <v>0.46627152130962463</v>
      </c>
      <c r="L137" s="24">
        <f t="shared" si="186"/>
        <v>0.46511627906976744</v>
      </c>
      <c r="M137" s="24">
        <f t="shared" si="186"/>
        <v>0.48122639413463675</v>
      </c>
      <c r="N137" s="24">
        <f t="shared" si="186"/>
        <v>0.48185552892844918</v>
      </c>
      <c r="O137" s="24">
        <f t="shared" si="186"/>
        <v>0.46618357487922707</v>
      </c>
      <c r="P137" s="24">
        <f t="shared" si="186"/>
        <v>0.44313238036047237</v>
      </c>
      <c r="Q137" s="24">
        <f t="shared" si="186"/>
        <v>0.45414348880330907</v>
      </c>
      <c r="R137" s="24">
        <f t="shared" si="186"/>
        <v>0.45794074242252242</v>
      </c>
      <c r="S137" s="24">
        <f t="shared" si="186"/>
        <v>0.43949203187250996</v>
      </c>
      <c r="T137" s="24">
        <f t="shared" si="186"/>
        <v>0.43450273575796589</v>
      </c>
      <c r="U137" s="24">
        <f t="shared" si="186"/>
        <v>0.4337722695584818</v>
      </c>
      <c r="V137" s="24">
        <f t="shared" si="186"/>
        <v>0.43709528214616095</v>
      </c>
      <c r="W137" s="24">
        <f t="shared" si="186"/>
        <v>0.42537188701320405</v>
      </c>
      <c r="X137" s="24">
        <f t="shared" si="186"/>
        <v>0.42324843171340037</v>
      </c>
      <c r="Y137" s="24">
        <f t="shared" si="186"/>
        <v>0.43199533765571502</v>
      </c>
      <c r="Z137" s="24">
        <f t="shared" si="186"/>
        <v>0.44223719995270189</v>
      </c>
      <c r="AA137" s="24">
        <f t="shared" si="186"/>
        <v>0.42183458247662003</v>
      </c>
      <c r="AB137" s="24">
        <f t="shared" si="186"/>
        <v>0.422835485017174</v>
      </c>
      <c r="AC137" s="24">
        <f t="shared" si="186"/>
        <v>0.42714706548832992</v>
      </c>
      <c r="AD137" s="24">
        <f t="shared" si="186"/>
        <v>0.43591689593017741</v>
      </c>
      <c r="AE137" s="24">
        <f t="shared" si="186"/>
        <v>0.42566386649377008</v>
      </c>
      <c r="AF137" s="24">
        <f t="shared" si="186"/>
        <v>0.41900786643120885</v>
      </c>
      <c r="AG137" s="24">
        <f t="shared" si="186"/>
        <v>0.40568234746157428</v>
      </c>
      <c r="AH137" s="24">
        <f t="shared" si="186"/>
        <v>0.43318727512379324</v>
      </c>
      <c r="AI137" s="24">
        <f t="shared" si="186"/>
        <v>0.4107600015284093</v>
      </c>
      <c r="AJ137" s="24">
        <f t="shared" si="186"/>
        <v>0.40650686109296008</v>
      </c>
      <c r="AK137" s="24">
        <f t="shared" si="186"/>
        <v>0.40951396070320578</v>
      </c>
      <c r="AL137" s="24">
        <f t="shared" si="186"/>
        <v>0.41370912654806807</v>
      </c>
      <c r="AM137" s="24">
        <f t="shared" si="186"/>
        <v>0.39773541636806653</v>
      </c>
      <c r="AN137" s="24">
        <f t="shared" si="186"/>
        <v>0.39657206300742487</v>
      </c>
      <c r="AO137" s="24">
        <f t="shared" si="186"/>
        <v>0.40737533376632751</v>
      </c>
      <c r="AP137" s="24">
        <f t="shared" si="186"/>
        <v>0.41598010259598944</v>
      </c>
      <c r="AQ137" s="24">
        <f t="shared" si="186"/>
        <v>0.37668004887414908</v>
      </c>
      <c r="AR137" s="55">
        <f t="shared" si="186"/>
        <v>0.36438638707459609</v>
      </c>
      <c r="AS137" s="55">
        <f t="shared" si="186"/>
        <v>0.35611784689275466</v>
      </c>
      <c r="AT137" s="55">
        <f t="shared" si="186"/>
        <v>0.37819106501794975</v>
      </c>
      <c r="AU137" s="55"/>
      <c r="AV137" s="55"/>
      <c r="AW137" s="55"/>
      <c r="AX137" s="55"/>
      <c r="AY137" s="275"/>
      <c r="AZ137" s="55"/>
      <c r="BA137" s="55"/>
      <c r="BB137" s="55"/>
      <c r="BC137" s="55"/>
      <c r="BD137" s="55"/>
      <c r="BE137" s="55"/>
      <c r="BF137" s="55"/>
      <c r="BG137" s="55"/>
      <c r="BH137" s="156"/>
      <c r="BI137" s="156"/>
      <c r="BJ137" s="871">
        <f t="shared" ref="BJ137:BV137" si="187">BJ129/BJ135</f>
        <v>0.5569927243330639</v>
      </c>
      <c r="BK137" s="871">
        <f t="shared" si="187"/>
        <v>0.50658282570249558</v>
      </c>
      <c r="BL137" s="871">
        <f t="shared" si="187"/>
        <v>0.45896849593495936</v>
      </c>
      <c r="BM137" s="871">
        <f t="shared" si="187"/>
        <v>0.4531525750040109</v>
      </c>
      <c r="BN137" s="871">
        <f t="shared" si="187"/>
        <v>0.47484381972333778</v>
      </c>
      <c r="BO137" s="871">
        <f t="shared" si="187"/>
        <v>0.45513423547289961</v>
      </c>
      <c r="BP137" s="871">
        <f t="shared" si="187"/>
        <v>0.43613017489484168</v>
      </c>
      <c r="BQ137" s="871">
        <f t="shared" si="187"/>
        <v>0.43160571653712526</v>
      </c>
      <c r="BR137" s="871">
        <f t="shared" si="187"/>
        <v>0.4275994738107699</v>
      </c>
      <c r="BS137" s="871">
        <f t="shared" si="187"/>
        <v>0.4216832431803641</v>
      </c>
      <c r="BT137" s="871">
        <f t="shared" si="187"/>
        <v>0.41024684343969675</v>
      </c>
      <c r="BU137" s="871">
        <f t="shared" si="187"/>
        <v>0.40477150134209194</v>
      </c>
      <c r="BV137" s="156">
        <f t="shared" si="187"/>
        <v>0.3690086136602867</v>
      </c>
      <c r="BW137" s="856"/>
      <c r="BX137" s="156"/>
      <c r="BY137" s="156"/>
      <c r="BZ137" s="156"/>
      <c r="CA137" s="156"/>
      <c r="CB137" s="156"/>
      <c r="CC137" s="24"/>
    </row>
    <row r="138" spans="1:81" s="709" customFormat="1" outlineLevel="1" x14ac:dyDescent="0.55000000000000004">
      <c r="A138" s="366" t="s">
        <v>705</v>
      </c>
      <c r="B138" s="237"/>
      <c r="C138" s="55"/>
      <c r="D138" s="55"/>
      <c r="E138" s="55"/>
      <c r="F138" s="55"/>
      <c r="G138" s="55"/>
      <c r="H138" s="55"/>
      <c r="I138" s="55"/>
      <c r="J138" s="55"/>
      <c r="K138" s="55"/>
      <c r="L138" s="55"/>
      <c r="M138" s="55"/>
      <c r="N138" s="55"/>
      <c r="O138" s="55"/>
      <c r="P138" s="55"/>
      <c r="Q138" s="55"/>
      <c r="R138" s="55"/>
      <c r="S138" s="24">
        <f t="shared" ref="S138:AT138" si="188">S130/S135</f>
        <v>3.2370517928286852E-2</v>
      </c>
      <c r="T138" s="24">
        <f t="shared" si="188"/>
        <v>3.31509494689411E-2</v>
      </c>
      <c r="U138" s="24">
        <f t="shared" si="188"/>
        <v>3.3210689388071264E-2</v>
      </c>
      <c r="V138" s="24">
        <f t="shared" si="188"/>
        <v>3.2608695652173912E-2</v>
      </c>
      <c r="W138" s="24">
        <f t="shared" si="188"/>
        <v>2.9416680595019222E-2</v>
      </c>
      <c r="X138" s="24">
        <f t="shared" si="188"/>
        <v>2.8871589449021236E-2</v>
      </c>
      <c r="Y138" s="24">
        <f t="shared" si="188"/>
        <v>2.8775406133896699E-2</v>
      </c>
      <c r="Z138" s="24">
        <f t="shared" si="188"/>
        <v>2.9443064916637104E-2</v>
      </c>
      <c r="AA138" s="24">
        <f t="shared" si="188"/>
        <v>2.76580221529482E-2</v>
      </c>
      <c r="AB138" s="24">
        <f t="shared" si="188"/>
        <v>2.9136562833116192E-2</v>
      </c>
      <c r="AC138" s="24">
        <f t="shared" si="188"/>
        <v>2.7532290958531613E-2</v>
      </c>
      <c r="AD138" s="24">
        <f t="shared" si="188"/>
        <v>2.7559055118110236E-2</v>
      </c>
      <c r="AE138" s="24">
        <f t="shared" si="188"/>
        <v>2.6047245870214807E-2</v>
      </c>
      <c r="AF138" s="24">
        <f t="shared" si="188"/>
        <v>2.4723069513565579E-2</v>
      </c>
      <c r="AG138" s="24">
        <f t="shared" si="188"/>
        <v>2.417326502095948E-2</v>
      </c>
      <c r="AH138" s="24">
        <f t="shared" si="188"/>
        <v>2.6361725624309787E-2</v>
      </c>
      <c r="AI138" s="24">
        <f t="shared" si="188"/>
        <v>2.6212219632417561E-2</v>
      </c>
      <c r="AJ138" s="24">
        <f t="shared" si="188"/>
        <v>2.7238023179832857E-2</v>
      </c>
      <c r="AK138" s="24">
        <f t="shared" si="188"/>
        <v>2.7163047225094796E-2</v>
      </c>
      <c r="AL138" s="24">
        <f t="shared" si="188"/>
        <v>2.6580737132844288E-2</v>
      </c>
      <c r="AM138" s="24">
        <f t="shared" si="188"/>
        <v>2.4365773254980651E-2</v>
      </c>
      <c r="AN138" s="24">
        <f t="shared" si="188"/>
        <v>2.622996322253834E-2</v>
      </c>
      <c r="AO138" s="24">
        <f t="shared" si="188"/>
        <v>2.4392004041278777E-2</v>
      </c>
      <c r="AP138" s="24">
        <f t="shared" si="188"/>
        <v>2.6053163376340744E-2</v>
      </c>
      <c r="AQ138" s="24">
        <f t="shared" si="188"/>
        <v>2.3005760167568511E-2</v>
      </c>
      <c r="AR138" s="55">
        <f t="shared" si="188"/>
        <v>2.3250726585205786E-2</v>
      </c>
      <c r="AS138" s="55">
        <f t="shared" si="188"/>
        <v>2.1905933345047736E-2</v>
      </c>
      <c r="AT138" s="55">
        <f t="shared" si="188"/>
        <v>2.3858197048264859E-2</v>
      </c>
      <c r="AU138" s="55"/>
      <c r="AV138" s="55"/>
      <c r="AW138" s="55"/>
      <c r="AX138" s="55"/>
      <c r="AY138" s="275"/>
      <c r="AZ138" s="55"/>
      <c r="BA138" s="55"/>
      <c r="BB138" s="55"/>
      <c r="BC138" s="55"/>
      <c r="BD138" s="55"/>
      <c r="BE138" s="55"/>
      <c r="BF138" s="55"/>
      <c r="BG138" s="55"/>
      <c r="BH138" s="156"/>
      <c r="BI138" s="156"/>
      <c r="BJ138" s="156"/>
      <c r="BK138" s="156"/>
      <c r="BL138" s="156"/>
      <c r="BM138" s="156"/>
      <c r="BN138" s="156"/>
      <c r="BO138" s="156"/>
      <c r="BP138" s="871">
        <f t="shared" ref="BP138:BV138" si="189">BP130/BP135</f>
        <v>3.2838904877868794E-2</v>
      </c>
      <c r="BQ138" s="871">
        <f t="shared" si="189"/>
        <v>2.913786310397937E-2</v>
      </c>
      <c r="BR138" s="871">
        <f t="shared" si="189"/>
        <v>2.7950266630832991E-2</v>
      </c>
      <c r="BS138" s="871">
        <f t="shared" si="189"/>
        <v>2.5394055720351305E-2</v>
      </c>
      <c r="BT138" s="871">
        <f t="shared" si="189"/>
        <v>2.6804263582324957E-2</v>
      </c>
      <c r="BU138" s="871">
        <f t="shared" si="189"/>
        <v>2.5298218833880746E-2</v>
      </c>
      <c r="BV138" s="156">
        <f t="shared" si="189"/>
        <v>2.303894679100384E-2</v>
      </c>
      <c r="BW138" s="856"/>
      <c r="BX138" s="156"/>
      <c r="BY138" s="156"/>
      <c r="BZ138" s="156"/>
      <c r="CA138" s="156"/>
      <c r="CB138" s="156"/>
      <c r="CC138" s="24"/>
    </row>
    <row r="139" spans="1:81" s="709" customFormat="1" outlineLevel="1" x14ac:dyDescent="0.55000000000000004">
      <c r="A139" s="410" t="s">
        <v>706</v>
      </c>
      <c r="B139" s="411"/>
      <c r="C139" s="413"/>
      <c r="D139" s="413"/>
      <c r="E139" s="413"/>
      <c r="F139" s="413"/>
      <c r="G139" s="413"/>
      <c r="H139" s="413"/>
      <c r="I139" s="413"/>
      <c r="J139" s="413"/>
      <c r="K139" s="413"/>
      <c r="L139" s="413"/>
      <c r="M139" s="413"/>
      <c r="N139" s="413"/>
      <c r="O139" s="413"/>
      <c r="P139" s="413"/>
      <c r="Q139" s="413"/>
      <c r="R139" s="413"/>
      <c r="S139" s="412">
        <f t="shared" ref="S139:AX139" si="190">S131/S135</f>
        <v>0.47186254980079684</v>
      </c>
      <c r="T139" s="412">
        <f t="shared" si="190"/>
        <v>0.46765368522690698</v>
      </c>
      <c r="U139" s="412">
        <f t="shared" si="190"/>
        <v>0.46698295894655306</v>
      </c>
      <c r="V139" s="412">
        <f t="shared" si="190"/>
        <v>0.46970397779833489</v>
      </c>
      <c r="W139" s="412">
        <f t="shared" si="190"/>
        <v>0.45478856760822328</v>
      </c>
      <c r="X139" s="412">
        <f t="shared" si="190"/>
        <v>0.45212002116242156</v>
      </c>
      <c r="Y139" s="412">
        <f t="shared" si="190"/>
        <v>0.46077074378961169</v>
      </c>
      <c r="Z139" s="412">
        <f t="shared" si="190"/>
        <v>0.47168026486933901</v>
      </c>
      <c r="AA139" s="412">
        <f t="shared" si="190"/>
        <v>0.44949260462956819</v>
      </c>
      <c r="AB139" s="412">
        <f t="shared" si="190"/>
        <v>0.45197204785029016</v>
      </c>
      <c r="AC139" s="412">
        <f t="shared" si="190"/>
        <v>0.45467935644686153</v>
      </c>
      <c r="AD139" s="412">
        <f t="shared" si="190"/>
        <v>0.46347595104828765</v>
      </c>
      <c r="AE139" s="412">
        <f t="shared" si="190"/>
        <v>0.45171111236398487</v>
      </c>
      <c r="AF139" s="412">
        <f t="shared" si="190"/>
        <v>0.44373093594477442</v>
      </c>
      <c r="AG139" s="412">
        <f t="shared" si="190"/>
        <v>0.42985561248253379</v>
      </c>
      <c r="AH139" s="412">
        <f t="shared" si="190"/>
        <v>0.45954900074810301</v>
      </c>
      <c r="AI139" s="412">
        <f t="shared" si="190"/>
        <v>0.43697222116082685</v>
      </c>
      <c r="AJ139" s="412">
        <f t="shared" si="190"/>
        <v>0.43374488427279295</v>
      </c>
      <c r="AK139" s="412">
        <f t="shared" si="190"/>
        <v>0.43667700792830061</v>
      </c>
      <c r="AL139" s="412">
        <f t="shared" si="190"/>
        <v>0.44028986368091239</v>
      </c>
      <c r="AM139" s="412">
        <f t="shared" si="190"/>
        <v>0.42210118962304716</v>
      </c>
      <c r="AN139" s="412">
        <f t="shared" si="190"/>
        <v>0.42280202622996321</v>
      </c>
      <c r="AO139" s="412">
        <f t="shared" si="190"/>
        <v>0.43176733780760629</v>
      </c>
      <c r="AP139" s="412">
        <f t="shared" si="190"/>
        <v>0.44203326597233017</v>
      </c>
      <c r="AQ139" s="412">
        <f t="shared" si="190"/>
        <v>0.39968580904171758</v>
      </c>
      <c r="AR139" s="413">
        <f t="shared" si="190"/>
        <v>0.38763711365980186</v>
      </c>
      <c r="AS139" s="413">
        <f t="shared" si="190"/>
        <v>0.37802378023780236</v>
      </c>
      <c r="AT139" s="413">
        <f t="shared" si="190"/>
        <v>0.40204926206621461</v>
      </c>
      <c r="AU139" s="413">
        <f t="shared" si="190"/>
        <v>0.37432450966945552</v>
      </c>
      <c r="AV139" s="413">
        <f t="shared" si="190"/>
        <v>0.3747024647436718</v>
      </c>
      <c r="AW139" s="413">
        <f t="shared" si="190"/>
        <v>0.38480869201015055</v>
      </c>
      <c r="AX139" s="413">
        <f t="shared" si="190"/>
        <v>0.39891704211962137</v>
      </c>
      <c r="AY139" s="636"/>
      <c r="AZ139" s="413"/>
      <c r="BA139" s="413"/>
      <c r="BB139" s="413"/>
      <c r="BC139" s="413"/>
      <c r="BD139" s="413"/>
      <c r="BE139" s="413"/>
      <c r="BF139" s="413"/>
      <c r="BG139" s="413"/>
      <c r="BH139" s="881"/>
      <c r="BI139" s="881"/>
      <c r="BJ139" s="881"/>
      <c r="BK139" s="881"/>
      <c r="BL139" s="881"/>
      <c r="BM139" s="881"/>
      <c r="BN139" s="881"/>
      <c r="BO139" s="881"/>
      <c r="BP139" s="882">
        <f t="shared" ref="BP139:BW139" si="191">BP131/BP135</f>
        <v>0.46896907977271052</v>
      </c>
      <c r="BQ139" s="882">
        <f t="shared" si="191"/>
        <v>0.46074357964110463</v>
      </c>
      <c r="BR139" s="882">
        <f t="shared" si="191"/>
        <v>0.4555497404416029</v>
      </c>
      <c r="BS139" s="882">
        <f t="shared" si="191"/>
        <v>0.4470772989007154</v>
      </c>
      <c r="BT139" s="882">
        <f t="shared" si="191"/>
        <v>0.43705110702202171</v>
      </c>
      <c r="BU139" s="882">
        <f t="shared" si="191"/>
        <v>0.43006972017597267</v>
      </c>
      <c r="BV139" s="881">
        <f t="shared" si="191"/>
        <v>0.39204756045129058</v>
      </c>
      <c r="BW139" s="883">
        <f t="shared" si="191"/>
        <v>0.38423474629333559</v>
      </c>
      <c r="BX139" s="881"/>
      <c r="BY139" s="881"/>
      <c r="BZ139" s="881"/>
      <c r="CA139" s="881"/>
      <c r="CB139" s="881"/>
      <c r="CC139" s="24"/>
    </row>
    <row r="140" spans="1:81" s="709" customFormat="1" outlineLevel="1" x14ac:dyDescent="0.55000000000000004">
      <c r="A140" s="130" t="s">
        <v>707</v>
      </c>
      <c r="B140" s="237"/>
      <c r="C140" s="55"/>
      <c r="D140" s="55"/>
      <c r="E140" s="55"/>
      <c r="F140" s="55"/>
      <c r="G140" s="55"/>
      <c r="H140" s="55"/>
      <c r="I140" s="55"/>
      <c r="J140" s="55"/>
      <c r="K140" s="55"/>
      <c r="L140" s="55"/>
      <c r="M140" s="55"/>
      <c r="N140" s="55"/>
      <c r="O140" s="55"/>
      <c r="P140" s="55"/>
      <c r="Q140" s="55"/>
      <c r="R140" s="55"/>
      <c r="S140" s="24">
        <f t="shared" ref="S140:AX140" si="192">S132/S135</f>
        <v>0.2450199203187251</v>
      </c>
      <c r="T140" s="24">
        <f t="shared" si="192"/>
        <v>0.25018774809569788</v>
      </c>
      <c r="U140" s="24">
        <f t="shared" si="192"/>
        <v>0.2465143299767622</v>
      </c>
      <c r="V140" s="24">
        <f t="shared" si="192"/>
        <v>0.25285229725562752</v>
      </c>
      <c r="W140" s="24">
        <f t="shared" si="192"/>
        <v>0.25296673909409995</v>
      </c>
      <c r="X140" s="24">
        <f t="shared" si="192"/>
        <v>0.24994331494218125</v>
      </c>
      <c r="Y140" s="24">
        <f t="shared" si="192"/>
        <v>0.23559408465068843</v>
      </c>
      <c r="Z140" s="24">
        <f t="shared" si="192"/>
        <v>0.24021520633794491</v>
      </c>
      <c r="AA140" s="24">
        <f t="shared" si="192"/>
        <v>0.24036612058101745</v>
      </c>
      <c r="AB140" s="24">
        <f t="shared" si="192"/>
        <v>0.24262702830747365</v>
      </c>
      <c r="AC140" s="24">
        <f t="shared" si="192"/>
        <v>0.22960571040108771</v>
      </c>
      <c r="AD140" s="24">
        <f t="shared" si="192"/>
        <v>0.23963570818707902</v>
      </c>
      <c r="AE140" s="24">
        <f t="shared" si="192"/>
        <v>0.23397417827141004</v>
      </c>
      <c r="AF140" s="24">
        <f t="shared" si="192"/>
        <v>0.227377321132338</v>
      </c>
      <c r="AG140" s="24">
        <f t="shared" si="192"/>
        <v>0.23544480670703308</v>
      </c>
      <c r="AH140" s="24">
        <f t="shared" si="192"/>
        <v>0.24562715970218374</v>
      </c>
      <c r="AI140" s="24">
        <f t="shared" si="192"/>
        <v>0.24393412555882465</v>
      </c>
      <c r="AJ140" s="24">
        <f t="shared" si="192"/>
        <v>0.24830622141211267</v>
      </c>
      <c r="AK140" s="24">
        <f t="shared" si="192"/>
        <v>0.24191658048948639</v>
      </c>
      <c r="AL140" s="24">
        <f t="shared" si="192"/>
        <v>0.25051231029669446</v>
      </c>
      <c r="AM140" s="24">
        <f t="shared" si="192"/>
        <v>0.2378529453920023</v>
      </c>
      <c r="AN140" s="24">
        <f t="shared" si="192"/>
        <v>0.23072652834640206</v>
      </c>
      <c r="AO140" s="24">
        <f t="shared" si="192"/>
        <v>0.21635274590459697</v>
      </c>
      <c r="AP140" s="24">
        <f t="shared" si="192"/>
        <v>0.22997046479092181</v>
      </c>
      <c r="AQ140" s="24">
        <f t="shared" si="192"/>
        <v>0.23595740967009948</v>
      </c>
      <c r="AR140" s="55">
        <f t="shared" si="192"/>
        <v>0.23485108909653427</v>
      </c>
      <c r="AS140" s="55">
        <f t="shared" si="192"/>
        <v>0.22192936215076436</v>
      </c>
      <c r="AT140" s="55">
        <f t="shared" si="192"/>
        <v>0.23329676904666932</v>
      </c>
      <c r="AU140" s="55">
        <f t="shared" si="192"/>
        <v>0.23053079138664107</v>
      </c>
      <c r="AV140" s="55">
        <f t="shared" si="192"/>
        <v>0.23426582375675054</v>
      </c>
      <c r="AW140" s="55">
        <f t="shared" si="192"/>
        <v>0.22678558230062332</v>
      </c>
      <c r="AX140" s="55">
        <f t="shared" si="192"/>
        <v>0.2397181002769396</v>
      </c>
      <c r="AY140" s="275"/>
      <c r="AZ140" s="55"/>
      <c r="BA140" s="55"/>
      <c r="BB140" s="55"/>
      <c r="BC140" s="55"/>
      <c r="BD140" s="55"/>
      <c r="BE140" s="55"/>
      <c r="BF140" s="55"/>
      <c r="BG140" s="55"/>
      <c r="BH140" s="156"/>
      <c r="BI140" s="156"/>
      <c r="BJ140" s="156"/>
      <c r="BK140" s="156"/>
      <c r="BL140" s="156"/>
      <c r="BM140" s="156"/>
      <c r="BN140" s="156"/>
      <c r="BO140" s="156"/>
      <c r="BP140" s="871">
        <f t="shared" ref="BP140:BW140" si="193">BP132/BP135</f>
        <v>0.24908370845940028</v>
      </c>
      <c r="BQ140" s="871">
        <f t="shared" si="193"/>
        <v>0.24411690963143379</v>
      </c>
      <c r="BR140" s="871">
        <f t="shared" si="193"/>
        <v>0.23800161251538254</v>
      </c>
      <c r="BS140" s="871">
        <f t="shared" si="193"/>
        <v>0.23671261559937185</v>
      </c>
      <c r="BT140" s="871">
        <f t="shared" si="193"/>
        <v>0.24639401673888525</v>
      </c>
      <c r="BU140" s="871">
        <f t="shared" si="193"/>
        <v>0.22880738193449907</v>
      </c>
      <c r="BV140" s="156">
        <f t="shared" si="193"/>
        <v>0.23135313042060163</v>
      </c>
      <c r="BW140" s="856">
        <f t="shared" si="193"/>
        <v>0.23319615078327791</v>
      </c>
      <c r="BX140" s="156"/>
      <c r="BY140" s="156"/>
      <c r="BZ140" s="156"/>
      <c r="CA140" s="156"/>
      <c r="CB140" s="156"/>
      <c r="CC140" s="24"/>
    </row>
    <row r="141" spans="1:81" s="709" customFormat="1" outlineLevel="1" x14ac:dyDescent="0.55000000000000004">
      <c r="A141" s="130" t="s">
        <v>708</v>
      </c>
      <c r="B141" s="237"/>
      <c r="C141" s="55"/>
      <c r="D141" s="55"/>
      <c r="E141" s="55"/>
      <c r="F141" s="55"/>
      <c r="G141" s="55"/>
      <c r="H141" s="55"/>
      <c r="I141" s="55"/>
      <c r="J141" s="55"/>
      <c r="K141" s="55"/>
      <c r="L141" s="55"/>
      <c r="M141" s="55"/>
      <c r="N141" s="55"/>
      <c r="O141" s="55"/>
      <c r="P141" s="55"/>
      <c r="Q141" s="55"/>
      <c r="R141" s="55"/>
      <c r="S141" s="24">
        <f t="shared" ref="S141:AX141" si="194">S133/S135</f>
        <v>0.19621513944223107</v>
      </c>
      <c r="T141" s="24">
        <f t="shared" si="194"/>
        <v>0.19375603476021885</v>
      </c>
      <c r="U141" s="24">
        <f t="shared" si="194"/>
        <v>0.19771494965143299</v>
      </c>
      <c r="V141" s="24">
        <f t="shared" si="194"/>
        <v>0.19249152019734814</v>
      </c>
      <c r="W141" s="24">
        <f t="shared" si="194"/>
        <v>0.20683603543372889</v>
      </c>
      <c r="X141" s="24">
        <f t="shared" si="194"/>
        <v>0.20950797369813318</v>
      </c>
      <c r="Y141" s="24">
        <f t="shared" si="194"/>
        <v>0.21905733226487945</v>
      </c>
      <c r="Z141" s="24">
        <f t="shared" si="194"/>
        <v>0.20568759607425802</v>
      </c>
      <c r="AA141" s="24">
        <f t="shared" si="194"/>
        <v>0.22133050341579891</v>
      </c>
      <c r="AB141" s="24">
        <f t="shared" si="194"/>
        <v>0.21485254056614947</v>
      </c>
      <c r="AC141" s="24">
        <f t="shared" si="194"/>
        <v>0.22422388397915249</v>
      </c>
      <c r="AD141" s="24">
        <f t="shared" si="194"/>
        <v>0.21264585902665781</v>
      </c>
      <c r="AE141" s="24">
        <f t="shared" si="194"/>
        <v>0.22388227997970345</v>
      </c>
      <c r="AF141" s="24">
        <f t="shared" si="194"/>
        <v>0.24674907689837855</v>
      </c>
      <c r="AG141" s="24">
        <f t="shared" si="194"/>
        <v>0.24736842105263157</v>
      </c>
      <c r="AH141" s="24">
        <f t="shared" si="194"/>
        <v>0.21214064336860106</v>
      </c>
      <c r="AI141" s="24">
        <f t="shared" si="194"/>
        <v>0.2331206297046349</v>
      </c>
      <c r="AJ141" s="24">
        <f t="shared" si="194"/>
        <v>0.22963166764109089</v>
      </c>
      <c r="AK141" s="24">
        <f t="shared" si="194"/>
        <v>0.22723198896932092</v>
      </c>
      <c r="AL141" s="24">
        <f t="shared" si="194"/>
        <v>0.21885301891835704</v>
      </c>
      <c r="AM141" s="24">
        <f t="shared" si="194"/>
        <v>0.24086283502938224</v>
      </c>
      <c r="AN141" s="24">
        <f t="shared" si="194"/>
        <v>0.24148220109638471</v>
      </c>
      <c r="AO141" s="24">
        <f t="shared" si="194"/>
        <v>0.2452551057227394</v>
      </c>
      <c r="AP141" s="24">
        <f t="shared" si="194"/>
        <v>0.22636406031400591</v>
      </c>
      <c r="AQ141" s="24">
        <f t="shared" si="194"/>
        <v>0.25456449642171408</v>
      </c>
      <c r="AR141" s="55">
        <f t="shared" si="194"/>
        <v>0.26722710084690149</v>
      </c>
      <c r="AS141" s="55">
        <f t="shared" si="194"/>
        <v>0.28671000995724244</v>
      </c>
      <c r="AT141" s="55">
        <f t="shared" si="194"/>
        <v>0.26229058635819708</v>
      </c>
      <c r="AU141" s="55">
        <f t="shared" si="194"/>
        <v>0.28286929090659718</v>
      </c>
      <c r="AV141" s="55">
        <f t="shared" si="194"/>
        <v>0.28069412095927926</v>
      </c>
      <c r="AW141" s="55">
        <f t="shared" si="194"/>
        <v>0.27699623050580208</v>
      </c>
      <c r="AX141" s="55">
        <f t="shared" si="194"/>
        <v>0.25807051626503535</v>
      </c>
      <c r="AY141" s="275"/>
      <c r="AZ141" s="55"/>
      <c r="BA141" s="55"/>
      <c r="BB141" s="55"/>
      <c r="BC141" s="55"/>
      <c r="BD141" s="55"/>
      <c r="BE141" s="55"/>
      <c r="BF141" s="55"/>
      <c r="BG141" s="55"/>
      <c r="BH141" s="156"/>
      <c r="BI141" s="156"/>
      <c r="BJ141" s="156"/>
      <c r="BK141" s="156"/>
      <c r="BL141" s="156"/>
      <c r="BM141" s="156"/>
      <c r="BN141" s="156"/>
      <c r="BO141" s="156"/>
      <c r="BP141" s="871">
        <f t="shared" ref="BP141:BW141" si="195">BP133/BP135</f>
        <v>0.1948441689420215</v>
      </c>
      <c r="BQ141" s="871">
        <f t="shared" si="195"/>
        <v>0.21012572083527348</v>
      </c>
      <c r="BR141" s="871">
        <f t="shared" si="195"/>
        <v>0.21791589459241553</v>
      </c>
      <c r="BS141" s="871">
        <f t="shared" si="195"/>
        <v>0.23088466236258942</v>
      </c>
      <c r="BT141" s="871">
        <f t="shared" si="195"/>
        <v>0.22673812209041033</v>
      </c>
      <c r="BU141" s="871">
        <f t="shared" si="195"/>
        <v>0.23806052706051847</v>
      </c>
      <c r="BV141" s="156">
        <f t="shared" si="195"/>
        <v>0.26800195697617529</v>
      </c>
      <c r="BW141" s="856">
        <f t="shared" si="195"/>
        <v>0.2736092789709485</v>
      </c>
      <c r="BX141" s="156"/>
      <c r="BY141" s="156"/>
      <c r="BZ141" s="156"/>
      <c r="CA141" s="156"/>
      <c r="CB141" s="156"/>
      <c r="CC141" s="24"/>
    </row>
    <row r="142" spans="1:81" s="709" customFormat="1" outlineLevel="1" x14ac:dyDescent="0.55000000000000004">
      <c r="A142" s="130" t="s">
        <v>709</v>
      </c>
      <c r="B142" s="237"/>
      <c r="C142" s="24">
        <f t="shared" ref="C142:AX142" si="196">C134/C135</f>
        <v>0.53292181069958844</v>
      </c>
      <c r="D142" s="24">
        <f t="shared" si="196"/>
        <v>0.54881412024269172</v>
      </c>
      <c r="E142" s="24">
        <f t="shared" si="196"/>
        <v>0.53373015873015872</v>
      </c>
      <c r="F142" s="24">
        <f t="shared" si="196"/>
        <v>0.54584139264990328</v>
      </c>
      <c r="G142" s="24">
        <f t="shared" si="196"/>
        <v>0.54876099120703437</v>
      </c>
      <c r="H142" s="24">
        <f t="shared" si="196"/>
        <v>0.5670103092783505</v>
      </c>
      <c r="I142" s="24">
        <f t="shared" si="196"/>
        <v>0.54167967530440209</v>
      </c>
      <c r="J142" s="24">
        <f t="shared" si="196"/>
        <v>0.53466632043625029</v>
      </c>
      <c r="K142" s="24">
        <f t="shared" si="196"/>
        <v>0.53372847869037543</v>
      </c>
      <c r="L142" s="24">
        <f t="shared" si="196"/>
        <v>0.53488372093023251</v>
      </c>
      <c r="M142" s="24">
        <f t="shared" si="196"/>
        <v>0.51877360586536325</v>
      </c>
      <c r="N142" s="24">
        <f t="shared" si="196"/>
        <v>0.51814447107155082</v>
      </c>
      <c r="O142" s="24">
        <f t="shared" si="196"/>
        <v>0.53381642512077299</v>
      </c>
      <c r="P142" s="24">
        <f t="shared" si="196"/>
        <v>0.55686761963952769</v>
      </c>
      <c r="Q142" s="24">
        <f t="shared" si="196"/>
        <v>0.54585651119669087</v>
      </c>
      <c r="R142" s="24">
        <f t="shared" si="196"/>
        <v>0.54205925757747753</v>
      </c>
      <c r="S142" s="24">
        <f t="shared" si="196"/>
        <v>8.6902390438247018E-2</v>
      </c>
      <c r="T142" s="24">
        <f t="shared" si="196"/>
        <v>8.8402531917176272E-2</v>
      </c>
      <c r="U142" s="24">
        <f t="shared" si="196"/>
        <v>8.8787761425251743E-2</v>
      </c>
      <c r="V142" s="24">
        <f t="shared" si="196"/>
        <v>8.4952204748689489E-2</v>
      </c>
      <c r="W142" s="24">
        <f t="shared" si="196"/>
        <v>8.5408657863947857E-2</v>
      </c>
      <c r="X142" s="24">
        <f t="shared" si="196"/>
        <v>8.8428690197264001E-2</v>
      </c>
      <c r="Y142" s="24">
        <f t="shared" si="196"/>
        <v>8.4577839294820434E-2</v>
      </c>
      <c r="Z142" s="24">
        <f t="shared" si="196"/>
        <v>8.2416932718458083E-2</v>
      </c>
      <c r="AA142" s="24">
        <f t="shared" si="196"/>
        <v>8.8810771373615441E-2</v>
      </c>
      <c r="AB142" s="24">
        <f t="shared" si="196"/>
        <v>9.0548383276086705E-2</v>
      </c>
      <c r="AC142" s="24">
        <f t="shared" si="196"/>
        <v>9.1491049172898256E-2</v>
      </c>
      <c r="AD142" s="24">
        <f t="shared" si="196"/>
        <v>8.4242481737975522E-2</v>
      </c>
      <c r="AE142" s="24">
        <f t="shared" si="196"/>
        <v>9.0432429384901619E-2</v>
      </c>
      <c r="AF142" s="24">
        <f t="shared" si="196"/>
        <v>8.2142666024509023E-2</v>
      </c>
      <c r="AG142" s="24">
        <f t="shared" si="196"/>
        <v>8.7331159757801577E-2</v>
      </c>
      <c r="AH142" s="24">
        <f t="shared" si="196"/>
        <v>8.2683196181112181E-2</v>
      </c>
      <c r="AI142" s="24">
        <f t="shared" si="196"/>
        <v>8.597302357571357E-2</v>
      </c>
      <c r="AJ142" s="24">
        <f t="shared" si="196"/>
        <v>8.8317226674003504E-2</v>
      </c>
      <c r="AK142" s="24">
        <f t="shared" si="196"/>
        <v>9.4174422612892106E-2</v>
      </c>
      <c r="AL142" s="24">
        <f t="shared" si="196"/>
        <v>9.0344807104036112E-2</v>
      </c>
      <c r="AM142" s="24">
        <f t="shared" si="196"/>
        <v>9.9183029955568297E-2</v>
      </c>
      <c r="AN142" s="24">
        <f t="shared" si="196"/>
        <v>0.10498924432725001</v>
      </c>
      <c r="AO142" s="24">
        <f t="shared" si="196"/>
        <v>0.10662481056505738</v>
      </c>
      <c r="AP142" s="24">
        <f t="shared" si="196"/>
        <v>0.10163220892274211</v>
      </c>
      <c r="AQ142" s="24">
        <f t="shared" si="196"/>
        <v>0.10979228486646884</v>
      </c>
      <c r="AR142" s="55">
        <f t="shared" si="196"/>
        <v>0.1102846963967624</v>
      </c>
      <c r="AS142" s="55">
        <f t="shared" si="196"/>
        <v>0.11333684765419083</v>
      </c>
      <c r="AT142" s="55">
        <f t="shared" si="196"/>
        <v>0.10236338252891902</v>
      </c>
      <c r="AU142" s="55">
        <f t="shared" si="196"/>
        <v>0.11227540803730626</v>
      </c>
      <c r="AV142" s="55">
        <f t="shared" si="196"/>
        <v>0.11033759054029843</v>
      </c>
      <c r="AW142" s="55">
        <f t="shared" si="196"/>
        <v>0.11140949518342408</v>
      </c>
      <c r="AX142" s="55">
        <f t="shared" si="196"/>
        <v>0.10329434133840366</v>
      </c>
      <c r="AY142" s="275"/>
      <c r="AZ142" s="55"/>
      <c r="BA142" s="55"/>
      <c r="BB142" s="55"/>
      <c r="BC142" s="55"/>
      <c r="BD142" s="55"/>
      <c r="BE142" s="55"/>
      <c r="BF142" s="55"/>
      <c r="BG142" s="55"/>
      <c r="BH142" s="156"/>
      <c r="BI142" s="156"/>
      <c r="BJ142" s="871">
        <f t="shared" ref="BJ142:BW142" si="197">BJ134/BJ135</f>
        <v>0.44300727566693615</v>
      </c>
      <c r="BK142" s="871">
        <f t="shared" si="197"/>
        <v>0.49341717429750442</v>
      </c>
      <c r="BL142" s="871">
        <f t="shared" si="197"/>
        <v>0.54103150406504064</v>
      </c>
      <c r="BM142" s="871">
        <f t="shared" si="197"/>
        <v>0.54684742499598904</v>
      </c>
      <c r="BN142" s="871">
        <f t="shared" si="197"/>
        <v>0.52515618027666222</v>
      </c>
      <c r="BO142" s="871">
        <f t="shared" si="197"/>
        <v>0.54486576452710034</v>
      </c>
      <c r="BP142" s="871">
        <f t="shared" si="197"/>
        <v>8.7103042825867713E-2</v>
      </c>
      <c r="BQ142" s="871">
        <f t="shared" si="197"/>
        <v>8.5013789892188121E-2</v>
      </c>
      <c r="BR142" s="871">
        <f t="shared" si="197"/>
        <v>8.8532752450599037E-2</v>
      </c>
      <c r="BS142" s="871">
        <f t="shared" si="197"/>
        <v>8.5325423137323331E-2</v>
      </c>
      <c r="BT142" s="871">
        <f t="shared" si="197"/>
        <v>8.9816754148682676E-2</v>
      </c>
      <c r="BU142" s="871">
        <f t="shared" si="197"/>
        <v>0.10306237082900976</v>
      </c>
      <c r="BV142" s="156">
        <f t="shared" si="197"/>
        <v>0.10859735215193252</v>
      </c>
      <c r="BW142" s="856">
        <f t="shared" si="197"/>
        <v>0.10895982395243797</v>
      </c>
      <c r="BX142" s="156"/>
      <c r="BY142" s="156"/>
      <c r="BZ142" s="156"/>
      <c r="CA142" s="156"/>
      <c r="CB142" s="156"/>
      <c r="CC142" s="24"/>
    </row>
    <row r="143" spans="1:81" s="713" customFormat="1" outlineLevel="1" x14ac:dyDescent="0.55000000000000004">
      <c r="A143" s="23" t="s">
        <v>710</v>
      </c>
      <c r="B143" s="296"/>
      <c r="C143" s="297">
        <f t="shared" ref="C143:R143" si="198">C137+C142</f>
        <v>1</v>
      </c>
      <c r="D143" s="297">
        <f t="shared" si="198"/>
        <v>1</v>
      </c>
      <c r="E143" s="297">
        <f t="shared" si="198"/>
        <v>1</v>
      </c>
      <c r="F143" s="297">
        <f t="shared" si="198"/>
        <v>1</v>
      </c>
      <c r="G143" s="297">
        <f t="shared" si="198"/>
        <v>1</v>
      </c>
      <c r="H143" s="297">
        <f t="shared" si="198"/>
        <v>1</v>
      </c>
      <c r="I143" s="297">
        <f t="shared" si="198"/>
        <v>1</v>
      </c>
      <c r="J143" s="297">
        <f t="shared" si="198"/>
        <v>1</v>
      </c>
      <c r="K143" s="297">
        <f t="shared" si="198"/>
        <v>1</v>
      </c>
      <c r="L143" s="297">
        <f t="shared" si="198"/>
        <v>1</v>
      </c>
      <c r="M143" s="297">
        <f t="shared" si="198"/>
        <v>1</v>
      </c>
      <c r="N143" s="297">
        <f t="shared" si="198"/>
        <v>1</v>
      </c>
      <c r="O143" s="297">
        <f t="shared" si="198"/>
        <v>1</v>
      </c>
      <c r="P143" s="297">
        <f t="shared" si="198"/>
        <v>1</v>
      </c>
      <c r="Q143" s="297">
        <f t="shared" si="198"/>
        <v>1</v>
      </c>
      <c r="R143" s="297">
        <f t="shared" si="198"/>
        <v>1</v>
      </c>
      <c r="S143" s="297">
        <f t="shared" ref="S143:AX143" si="199">SUM(S139:S142)</f>
        <v>1.0000000000000002</v>
      </c>
      <c r="T143" s="297">
        <f t="shared" si="199"/>
        <v>1</v>
      </c>
      <c r="U143" s="297">
        <f t="shared" si="199"/>
        <v>1</v>
      </c>
      <c r="V143" s="297">
        <f t="shared" si="199"/>
        <v>1.0000000000000002</v>
      </c>
      <c r="W143" s="297">
        <f t="shared" si="199"/>
        <v>1</v>
      </c>
      <c r="X143" s="297">
        <f t="shared" si="199"/>
        <v>1</v>
      </c>
      <c r="Y143" s="297">
        <f t="shared" si="199"/>
        <v>1</v>
      </c>
      <c r="Z143" s="297">
        <f t="shared" si="199"/>
        <v>1</v>
      </c>
      <c r="AA143" s="297">
        <f t="shared" si="199"/>
        <v>1</v>
      </c>
      <c r="AB143" s="297">
        <f t="shared" si="199"/>
        <v>1</v>
      </c>
      <c r="AC143" s="297">
        <f t="shared" si="199"/>
        <v>1</v>
      </c>
      <c r="AD143" s="297">
        <f t="shared" si="199"/>
        <v>1</v>
      </c>
      <c r="AE143" s="297">
        <f t="shared" si="199"/>
        <v>1</v>
      </c>
      <c r="AF143" s="297">
        <f t="shared" si="199"/>
        <v>1</v>
      </c>
      <c r="AG143" s="297">
        <f t="shared" si="199"/>
        <v>1</v>
      </c>
      <c r="AH143" s="297">
        <f t="shared" si="199"/>
        <v>1</v>
      </c>
      <c r="AI143" s="297">
        <f t="shared" si="199"/>
        <v>0.99999999999999989</v>
      </c>
      <c r="AJ143" s="297">
        <f t="shared" si="199"/>
        <v>1</v>
      </c>
      <c r="AK143" s="297">
        <f t="shared" si="199"/>
        <v>1</v>
      </c>
      <c r="AL143" s="297">
        <f t="shared" si="199"/>
        <v>1</v>
      </c>
      <c r="AM143" s="297">
        <f t="shared" si="199"/>
        <v>1</v>
      </c>
      <c r="AN143" s="297">
        <f t="shared" si="199"/>
        <v>1</v>
      </c>
      <c r="AO143" s="297">
        <f t="shared" si="199"/>
        <v>1</v>
      </c>
      <c r="AP143" s="297">
        <f t="shared" si="199"/>
        <v>1</v>
      </c>
      <c r="AQ143" s="297">
        <f t="shared" si="199"/>
        <v>1</v>
      </c>
      <c r="AR143" s="328">
        <f t="shared" si="199"/>
        <v>1</v>
      </c>
      <c r="AS143" s="328">
        <f t="shared" si="199"/>
        <v>0.99999999999999989</v>
      </c>
      <c r="AT143" s="328">
        <f t="shared" si="199"/>
        <v>1</v>
      </c>
      <c r="AU143" s="328">
        <f t="shared" si="199"/>
        <v>1</v>
      </c>
      <c r="AV143" s="328">
        <f t="shared" si="199"/>
        <v>1</v>
      </c>
      <c r="AW143" s="328">
        <f t="shared" si="199"/>
        <v>1</v>
      </c>
      <c r="AX143" s="328">
        <f t="shared" si="199"/>
        <v>0.99999999999999989</v>
      </c>
      <c r="AY143" s="637"/>
      <c r="AZ143" s="328"/>
      <c r="BA143" s="328"/>
      <c r="BB143" s="328"/>
      <c r="BC143" s="328"/>
      <c r="BD143" s="328"/>
      <c r="BE143" s="328"/>
      <c r="BF143" s="328"/>
      <c r="BG143" s="328"/>
      <c r="BH143" s="873"/>
      <c r="BI143" s="873"/>
      <c r="BJ143" s="874">
        <f t="shared" ref="BJ143:BO143" si="200">BJ137+BJ142</f>
        <v>1</v>
      </c>
      <c r="BK143" s="874">
        <f t="shared" si="200"/>
        <v>1</v>
      </c>
      <c r="BL143" s="874">
        <f t="shared" si="200"/>
        <v>1</v>
      </c>
      <c r="BM143" s="874">
        <f t="shared" si="200"/>
        <v>1</v>
      </c>
      <c r="BN143" s="874">
        <f t="shared" si="200"/>
        <v>1</v>
      </c>
      <c r="BO143" s="874">
        <f t="shared" si="200"/>
        <v>1</v>
      </c>
      <c r="BP143" s="874">
        <f t="shared" ref="BP143:BW143" si="201">SUM(BP139:BP142)</f>
        <v>1</v>
      </c>
      <c r="BQ143" s="874">
        <f t="shared" si="201"/>
        <v>1</v>
      </c>
      <c r="BR143" s="874">
        <f t="shared" si="201"/>
        <v>1</v>
      </c>
      <c r="BS143" s="874">
        <f t="shared" si="201"/>
        <v>1</v>
      </c>
      <c r="BT143" s="874">
        <f t="shared" si="201"/>
        <v>1</v>
      </c>
      <c r="BU143" s="874">
        <f t="shared" si="201"/>
        <v>1</v>
      </c>
      <c r="BV143" s="873">
        <f t="shared" si="201"/>
        <v>1</v>
      </c>
      <c r="BW143" s="884">
        <f t="shared" si="201"/>
        <v>0.99999999999999989</v>
      </c>
      <c r="BX143" s="873"/>
      <c r="BY143" s="873"/>
      <c r="BZ143" s="873"/>
      <c r="CA143" s="873"/>
      <c r="CB143" s="873"/>
      <c r="CC143" s="9"/>
    </row>
    <row r="144" spans="1:81" x14ac:dyDescent="0.55000000000000004">
      <c r="A144" s="192"/>
      <c r="B144" s="232"/>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272"/>
      <c r="AZ144" s="35"/>
      <c r="BA144" s="35"/>
      <c r="BB144" s="35"/>
      <c r="BC144" s="35"/>
      <c r="BD144" s="35"/>
      <c r="BE144" s="35"/>
      <c r="BF144" s="35"/>
      <c r="BG144" s="35"/>
      <c r="BH144" s="812"/>
      <c r="BI144" s="812"/>
      <c r="BJ144" s="812"/>
      <c r="BK144" s="812"/>
      <c r="BL144" s="812"/>
      <c r="BM144" s="812"/>
      <c r="BN144" s="812"/>
      <c r="BO144" s="812"/>
      <c r="BP144" s="812"/>
      <c r="BQ144" s="812"/>
      <c r="BR144" s="812"/>
      <c r="BS144" s="812"/>
      <c r="BT144" s="812"/>
      <c r="BU144" s="812"/>
      <c r="BV144" s="812"/>
      <c r="BW144" s="814"/>
      <c r="BX144" s="812"/>
      <c r="BY144" s="812"/>
      <c r="BZ144" s="812"/>
      <c r="CA144" s="812"/>
      <c r="CB144" s="812"/>
      <c r="CC144" s="6"/>
    </row>
    <row r="145" spans="1:81" x14ac:dyDescent="0.55000000000000004">
      <c r="A145" s="283" t="s">
        <v>513</v>
      </c>
      <c r="B145" s="196"/>
      <c r="C145" s="207"/>
      <c r="D145" s="207"/>
      <c r="E145" s="207"/>
      <c r="F145" s="207"/>
      <c r="G145" s="207"/>
      <c r="H145" s="207"/>
      <c r="I145" s="207"/>
      <c r="J145" s="207"/>
      <c r="K145" s="207"/>
      <c r="L145" s="207"/>
      <c r="M145" s="207"/>
      <c r="N145" s="207"/>
      <c r="O145" s="207"/>
      <c r="P145" s="207"/>
      <c r="Q145" s="207"/>
      <c r="R145" s="207"/>
      <c r="S145" s="207"/>
      <c r="T145" s="207"/>
      <c r="U145" s="207"/>
      <c r="V145" s="207"/>
      <c r="W145" s="207"/>
      <c r="X145" s="207"/>
      <c r="Y145" s="207"/>
      <c r="Z145" s="207"/>
      <c r="AA145" s="207"/>
      <c r="AB145" s="207"/>
      <c r="AC145" s="207"/>
      <c r="AD145" s="207"/>
      <c r="AE145" s="207"/>
      <c r="AF145" s="207"/>
      <c r="AG145" s="207"/>
      <c r="AH145" s="207"/>
      <c r="AI145" s="207"/>
      <c r="AJ145" s="207"/>
      <c r="AK145" s="207"/>
      <c r="AL145" s="207"/>
      <c r="AM145" s="207"/>
      <c r="AN145" s="207"/>
      <c r="AO145" s="207"/>
      <c r="AP145" s="207"/>
      <c r="AQ145" s="207"/>
      <c r="AR145" s="207"/>
      <c r="AS145" s="207"/>
      <c r="AT145" s="207"/>
      <c r="AU145" s="207"/>
      <c r="AV145" s="207"/>
      <c r="AW145" s="207"/>
      <c r="AX145" s="207"/>
      <c r="AY145" s="284"/>
      <c r="AZ145" s="207"/>
      <c r="BA145" s="207"/>
      <c r="BB145" s="207"/>
      <c r="BC145" s="207"/>
      <c r="BD145" s="207"/>
      <c r="BE145" s="207"/>
      <c r="BF145" s="207"/>
      <c r="BG145" s="207"/>
      <c r="BH145" s="207"/>
      <c r="BI145" s="207"/>
      <c r="BJ145" s="207"/>
      <c r="BK145" s="207"/>
      <c r="BL145" s="207"/>
      <c r="BM145" s="207"/>
      <c r="BN145" s="207"/>
      <c r="BO145" s="207"/>
      <c r="BP145" s="207"/>
      <c r="BQ145" s="207"/>
      <c r="BR145" s="207"/>
      <c r="BS145" s="207"/>
      <c r="BT145" s="207"/>
      <c r="BU145" s="207"/>
      <c r="BV145" s="207"/>
      <c r="BW145" s="284"/>
      <c r="BX145" s="207"/>
      <c r="BY145" s="207"/>
      <c r="BZ145" s="207"/>
      <c r="CA145" s="207"/>
      <c r="CB145" s="207"/>
      <c r="CC145" s="6"/>
    </row>
    <row r="146" spans="1:81" s="703" customFormat="1" outlineLevel="1" x14ac:dyDescent="0.55000000000000004">
      <c r="A146" s="192" t="s">
        <v>501</v>
      </c>
      <c r="B146" s="232"/>
      <c r="C146" s="35">
        <f t="shared" ref="C146:AH146" si="202">C338</f>
        <v>1458</v>
      </c>
      <c r="D146" s="35">
        <f t="shared" si="202"/>
        <v>1813</v>
      </c>
      <c r="E146" s="35">
        <f t="shared" si="202"/>
        <v>2016</v>
      </c>
      <c r="F146" s="35">
        <f t="shared" si="202"/>
        <v>2585</v>
      </c>
      <c r="G146" s="35">
        <f t="shared" si="202"/>
        <v>2502</v>
      </c>
      <c r="H146" s="35">
        <f t="shared" si="202"/>
        <v>2910</v>
      </c>
      <c r="I146" s="35">
        <f t="shared" si="202"/>
        <v>3203</v>
      </c>
      <c r="J146" s="35">
        <f t="shared" si="202"/>
        <v>3851</v>
      </c>
      <c r="K146" s="35">
        <f t="shared" si="202"/>
        <v>3543</v>
      </c>
      <c r="L146" s="35">
        <f t="shared" si="202"/>
        <v>4042</v>
      </c>
      <c r="M146" s="35">
        <f t="shared" si="202"/>
        <v>4501</v>
      </c>
      <c r="N146" s="35">
        <f t="shared" si="202"/>
        <v>5841</v>
      </c>
      <c r="O146" s="35">
        <f t="shared" si="202"/>
        <v>5382</v>
      </c>
      <c r="P146" s="35">
        <f t="shared" si="202"/>
        <v>6436</v>
      </c>
      <c r="Q146" s="35">
        <f t="shared" si="202"/>
        <v>7011</v>
      </c>
      <c r="R146" s="35">
        <f t="shared" si="202"/>
        <v>8809</v>
      </c>
      <c r="S146" s="35">
        <f t="shared" si="202"/>
        <v>8032</v>
      </c>
      <c r="T146" s="35">
        <f t="shared" si="202"/>
        <v>9321</v>
      </c>
      <c r="U146" s="35">
        <f t="shared" si="202"/>
        <v>10328</v>
      </c>
      <c r="V146" s="35">
        <f t="shared" si="202"/>
        <v>12972</v>
      </c>
      <c r="W146" s="35">
        <f t="shared" si="202"/>
        <v>11966</v>
      </c>
      <c r="X146" s="35">
        <f t="shared" si="202"/>
        <v>13231</v>
      </c>
      <c r="Y146" s="35">
        <f t="shared" si="202"/>
        <v>13727</v>
      </c>
      <c r="Z146" s="35">
        <f t="shared" si="202"/>
        <v>16914</v>
      </c>
      <c r="AA146" s="35">
        <f t="shared" si="202"/>
        <v>15077</v>
      </c>
      <c r="AB146" s="35">
        <f t="shared" si="202"/>
        <v>16886</v>
      </c>
      <c r="AC146" s="35">
        <f t="shared" si="202"/>
        <v>17652</v>
      </c>
      <c r="AD146" s="35">
        <f t="shared" si="202"/>
        <v>21082</v>
      </c>
      <c r="AE146" s="35">
        <f t="shared" si="202"/>
        <v>17737</v>
      </c>
      <c r="AF146" s="35">
        <f t="shared" si="202"/>
        <v>18687</v>
      </c>
      <c r="AG146" s="35">
        <f t="shared" si="202"/>
        <v>21470</v>
      </c>
      <c r="AH146" s="35">
        <f t="shared" si="202"/>
        <v>28072</v>
      </c>
      <c r="AI146" s="35">
        <f t="shared" ref="AI146:AY146" si="203">AI338</f>
        <v>26171</v>
      </c>
      <c r="AJ146" s="35">
        <f t="shared" si="203"/>
        <v>29077</v>
      </c>
      <c r="AK146" s="35">
        <f t="shared" si="203"/>
        <v>29010</v>
      </c>
      <c r="AL146" s="35">
        <f t="shared" si="203"/>
        <v>33671</v>
      </c>
      <c r="AM146" s="35">
        <f t="shared" si="203"/>
        <v>27908</v>
      </c>
      <c r="AN146" s="35">
        <f t="shared" si="203"/>
        <v>28822</v>
      </c>
      <c r="AO146" s="35">
        <f t="shared" si="203"/>
        <v>27714</v>
      </c>
      <c r="AP146" s="35">
        <f t="shared" si="203"/>
        <v>32165</v>
      </c>
      <c r="AQ146" s="35">
        <f t="shared" si="203"/>
        <v>28645</v>
      </c>
      <c r="AR146" s="35">
        <f t="shared" si="203"/>
        <v>31999</v>
      </c>
      <c r="AS146" s="35">
        <f t="shared" si="203"/>
        <v>34146</v>
      </c>
      <c r="AT146" s="35">
        <f t="shared" si="203"/>
        <v>40111</v>
      </c>
      <c r="AU146" s="35">
        <f t="shared" si="203"/>
        <v>36455</v>
      </c>
      <c r="AV146" s="35">
        <f t="shared" si="203"/>
        <v>39071</v>
      </c>
      <c r="AW146" s="35">
        <f t="shared" si="203"/>
        <v>40589</v>
      </c>
      <c r="AX146" s="35">
        <f t="shared" si="203"/>
        <v>48385</v>
      </c>
      <c r="AY146" s="272">
        <f t="shared" si="203"/>
        <v>42314</v>
      </c>
      <c r="AZ146" s="35">
        <f t="shared" ref="AZ146:BF146" si="204">AZ85</f>
        <v>43477.474999999999</v>
      </c>
      <c r="BA146" s="35">
        <f t="shared" si="204"/>
        <v>45854.762999999999</v>
      </c>
      <c r="BB146" s="35">
        <f t="shared" si="204"/>
        <v>56284.65</v>
      </c>
      <c r="BC146" s="35">
        <f t="shared" si="204"/>
        <v>47899.12</v>
      </c>
      <c r="BD146" s="35">
        <f t="shared" si="204"/>
        <v>48182.601500000004</v>
      </c>
      <c r="BE146" s="35">
        <f t="shared" si="204"/>
        <v>51275.127140000004</v>
      </c>
      <c r="BF146" s="35">
        <f t="shared" si="204"/>
        <v>64519.90398000001</v>
      </c>
      <c r="BG146" s="35"/>
      <c r="BH146" s="812">
        <f t="shared" ref="BH146:BW146" si="205">BH338</f>
        <v>777</v>
      </c>
      <c r="BI146" s="812">
        <f t="shared" si="205"/>
        <v>1974</v>
      </c>
      <c r="BJ146" s="812">
        <f t="shared" si="205"/>
        <v>3711</v>
      </c>
      <c r="BK146" s="812">
        <f t="shared" si="205"/>
        <v>5089</v>
      </c>
      <c r="BL146" s="812">
        <f t="shared" si="205"/>
        <v>7872</v>
      </c>
      <c r="BM146" s="812">
        <f t="shared" si="205"/>
        <v>12466</v>
      </c>
      <c r="BN146" s="812">
        <f t="shared" si="205"/>
        <v>17928</v>
      </c>
      <c r="BO146" s="812">
        <f t="shared" si="205"/>
        <v>27638</v>
      </c>
      <c r="BP146" s="812">
        <f t="shared" si="205"/>
        <v>40653</v>
      </c>
      <c r="BQ146" s="812">
        <f t="shared" si="205"/>
        <v>55838</v>
      </c>
      <c r="BR146" s="812">
        <f t="shared" si="205"/>
        <v>70697</v>
      </c>
      <c r="BS146" s="812">
        <f t="shared" si="205"/>
        <v>85965</v>
      </c>
      <c r="BT146" s="812">
        <f t="shared" si="205"/>
        <v>117929</v>
      </c>
      <c r="BU146" s="812">
        <f t="shared" si="205"/>
        <v>116609</v>
      </c>
      <c r="BV146" s="812">
        <f t="shared" si="205"/>
        <v>134902</v>
      </c>
      <c r="BW146" s="814">
        <f t="shared" si="205"/>
        <v>164501</v>
      </c>
      <c r="BX146" s="812">
        <f>SUM(AY146,AZ146,BA146,BB146)</f>
        <v>187930.88800000001</v>
      </c>
      <c r="BY146" s="812">
        <f>SUM(BC146,BD146,BE146,BF146)</f>
        <v>211876.75262000001</v>
      </c>
      <c r="BZ146" s="812">
        <f>BZ85</f>
        <v>235790.84697054373</v>
      </c>
      <c r="CA146" s="812">
        <f>CA85</f>
        <v>248322.89351273677</v>
      </c>
      <c r="CB146" s="812">
        <f>CB85</f>
        <v>260680.33510576782</v>
      </c>
      <c r="CC146" s="6"/>
    </row>
    <row r="147" spans="1:81" outlineLevel="1" x14ac:dyDescent="0.55000000000000004">
      <c r="A147" s="315" t="s">
        <v>530</v>
      </c>
      <c r="B147" s="230"/>
      <c r="C147" s="82">
        <f t="shared" ref="C147:AH147" si="206">C339</f>
        <v>413</v>
      </c>
      <c r="D147" s="82">
        <f t="shared" si="206"/>
        <v>465</v>
      </c>
      <c r="E147" s="82">
        <f t="shared" si="206"/>
        <v>507</v>
      </c>
      <c r="F147" s="82">
        <f t="shared" si="206"/>
        <v>491</v>
      </c>
      <c r="G147" s="82">
        <f t="shared" si="206"/>
        <v>462</v>
      </c>
      <c r="H147" s="82">
        <f t="shared" si="206"/>
        <v>473</v>
      </c>
      <c r="I147" s="82">
        <f t="shared" si="206"/>
        <v>565</v>
      </c>
      <c r="J147" s="82">
        <f t="shared" si="206"/>
        <v>653</v>
      </c>
      <c r="K147" s="82">
        <f t="shared" si="206"/>
        <v>654</v>
      </c>
      <c r="L147" s="82">
        <f t="shared" si="206"/>
        <v>668</v>
      </c>
      <c r="M147" s="82">
        <f t="shared" si="206"/>
        <v>720</v>
      </c>
      <c r="N147" s="82">
        <f t="shared" si="206"/>
        <v>824</v>
      </c>
      <c r="O147" s="82">
        <f t="shared" si="206"/>
        <v>838</v>
      </c>
      <c r="P147" s="82">
        <f t="shared" si="206"/>
        <v>917</v>
      </c>
      <c r="Q147" s="82">
        <f t="shared" si="206"/>
        <v>987</v>
      </c>
      <c r="R147" s="82">
        <f t="shared" si="206"/>
        <v>1047</v>
      </c>
      <c r="S147" s="82">
        <f t="shared" si="206"/>
        <v>1159</v>
      </c>
      <c r="T147" s="82">
        <f t="shared" si="206"/>
        <v>1237</v>
      </c>
      <c r="U147" s="82">
        <f t="shared" si="206"/>
        <v>1448</v>
      </c>
      <c r="V147" s="82">
        <f t="shared" si="206"/>
        <v>1611</v>
      </c>
      <c r="W147" s="82">
        <f t="shared" si="206"/>
        <v>1927</v>
      </c>
      <c r="X147" s="82">
        <f t="shared" si="206"/>
        <v>2214</v>
      </c>
      <c r="Y147" s="82">
        <f t="shared" si="206"/>
        <v>2418</v>
      </c>
      <c r="Z147" s="82">
        <f t="shared" si="206"/>
        <v>2796</v>
      </c>
      <c r="AA147" s="82">
        <f t="shared" si="206"/>
        <v>2816</v>
      </c>
      <c r="AB147" s="82">
        <f t="shared" si="206"/>
        <v>3307</v>
      </c>
      <c r="AC147" s="82">
        <f t="shared" si="206"/>
        <v>3155</v>
      </c>
      <c r="AD147" s="82">
        <f t="shared" si="206"/>
        <v>3492</v>
      </c>
      <c r="AE147" s="82">
        <f t="shared" si="206"/>
        <v>3459</v>
      </c>
      <c r="AF147" s="82">
        <f t="shared" si="206"/>
        <v>3829</v>
      </c>
      <c r="AG147" s="82">
        <f t="shared" si="206"/>
        <v>4194</v>
      </c>
      <c r="AH147" s="82">
        <f t="shared" si="206"/>
        <v>5210</v>
      </c>
      <c r="AI147" s="82">
        <f t="shared" ref="AI147:AY147" si="207">AI339</f>
        <v>5131</v>
      </c>
      <c r="AJ147" s="82">
        <f t="shared" si="207"/>
        <v>5399</v>
      </c>
      <c r="AK147" s="82">
        <f t="shared" si="207"/>
        <v>5771</v>
      </c>
      <c r="AL147" s="82">
        <f t="shared" si="207"/>
        <v>6348</v>
      </c>
      <c r="AM147" s="82">
        <f t="shared" si="207"/>
        <v>6005</v>
      </c>
      <c r="AN147" s="82">
        <f t="shared" si="207"/>
        <v>5192</v>
      </c>
      <c r="AO147" s="82">
        <f t="shared" si="207"/>
        <v>5716</v>
      </c>
      <c r="AP147" s="82">
        <f t="shared" si="207"/>
        <v>8336</v>
      </c>
      <c r="AQ147" s="82">
        <f t="shared" si="207"/>
        <v>6108</v>
      </c>
      <c r="AR147" s="82">
        <f t="shared" si="207"/>
        <v>5945</v>
      </c>
      <c r="AS147" s="82">
        <f t="shared" si="207"/>
        <v>6210</v>
      </c>
      <c r="AT147" s="82">
        <f t="shared" si="207"/>
        <v>7695</v>
      </c>
      <c r="AU147" s="82">
        <f t="shared" si="207"/>
        <v>6640</v>
      </c>
      <c r="AV147" s="82">
        <f t="shared" si="207"/>
        <v>7308</v>
      </c>
      <c r="AW147" s="82">
        <f t="shared" si="207"/>
        <v>7375</v>
      </c>
      <c r="AX147" s="82">
        <f t="shared" si="207"/>
        <v>8839</v>
      </c>
      <c r="AY147" s="406">
        <f t="shared" si="207"/>
        <v>7572</v>
      </c>
      <c r="AZ147" s="82">
        <f t="shared" ref="AZ147:BF147" si="208">AZ146-AZ148</f>
        <v>10003.236207964233</v>
      </c>
      <c r="BA147" s="82">
        <f t="shared" si="208"/>
        <v>9650.2134580899365</v>
      </c>
      <c r="BB147" s="82">
        <f t="shared" si="208"/>
        <v>16395.586236903211</v>
      </c>
      <c r="BC147" s="82">
        <f t="shared" si="208"/>
        <v>3440.03043099567</v>
      </c>
      <c r="BD147" s="82">
        <f t="shared" si="208"/>
        <v>6766.0287614350236</v>
      </c>
      <c r="BE147" s="82">
        <f t="shared" si="208"/>
        <v>8664.6791284066567</v>
      </c>
      <c r="BF147" s="82">
        <f t="shared" si="208"/>
        <v>16148.76266712723</v>
      </c>
      <c r="BG147" s="82"/>
      <c r="BH147" s="854">
        <f t="shared" ref="BH147:BW147" si="209">BH339</f>
        <v>223</v>
      </c>
      <c r="BI147" s="854">
        <f t="shared" si="209"/>
        <v>493</v>
      </c>
      <c r="BJ147" s="854">
        <f t="shared" si="209"/>
        <v>860</v>
      </c>
      <c r="BK147" s="854">
        <f t="shared" si="209"/>
        <v>1364</v>
      </c>
      <c r="BL147" s="854">
        <f t="shared" si="209"/>
        <v>1875</v>
      </c>
      <c r="BM147" s="854">
        <f t="shared" si="209"/>
        <v>2153</v>
      </c>
      <c r="BN147" s="854">
        <f t="shared" si="209"/>
        <v>2867</v>
      </c>
      <c r="BO147" s="854">
        <f t="shared" si="209"/>
        <v>3789</v>
      </c>
      <c r="BP147" s="854">
        <f t="shared" si="209"/>
        <v>5454</v>
      </c>
      <c r="BQ147" s="854">
        <f t="shared" si="209"/>
        <v>9355</v>
      </c>
      <c r="BR147" s="854">
        <f t="shared" si="209"/>
        <v>12770</v>
      </c>
      <c r="BS147" s="854">
        <f t="shared" si="209"/>
        <v>16692</v>
      </c>
      <c r="BT147" s="854">
        <f t="shared" si="209"/>
        <v>22649</v>
      </c>
      <c r="BU147" s="854">
        <f t="shared" si="209"/>
        <v>25249</v>
      </c>
      <c r="BV147" s="854">
        <f t="shared" si="209"/>
        <v>25959</v>
      </c>
      <c r="BW147" s="855">
        <f t="shared" si="209"/>
        <v>30161</v>
      </c>
      <c r="BX147" s="854">
        <f>BX146-BX148</f>
        <v>43621.035902957403</v>
      </c>
      <c r="BY147" s="854">
        <f>BY146-BY148</f>
        <v>35019.500987964566</v>
      </c>
      <c r="BZ147" s="854">
        <f>BZ146-BZ148</f>
        <v>31793.505842330022</v>
      </c>
      <c r="CA147" s="854">
        <f>CA146-CA148</f>
        <v>25996.211774375115</v>
      </c>
      <c r="CB147" s="854">
        <f>CB146-CB148</f>
        <v>19485.240738566965</v>
      </c>
      <c r="CC147" s="117"/>
    </row>
    <row r="148" spans="1:81" s="703" customFormat="1" x14ac:dyDescent="0.55000000000000004">
      <c r="A148" s="192" t="s">
        <v>502</v>
      </c>
      <c r="B148" s="232"/>
      <c r="C148" s="35">
        <f t="shared" ref="C148:AH148" si="210">C340</f>
        <v>1045</v>
      </c>
      <c r="D148" s="35">
        <f t="shared" si="210"/>
        <v>1348</v>
      </c>
      <c r="E148" s="35">
        <f t="shared" si="210"/>
        <v>1509</v>
      </c>
      <c r="F148" s="35">
        <f t="shared" si="210"/>
        <v>2094</v>
      </c>
      <c r="G148" s="35">
        <f t="shared" si="210"/>
        <v>2040</v>
      </c>
      <c r="H148" s="35">
        <f t="shared" si="210"/>
        <v>2437</v>
      </c>
      <c r="I148" s="35">
        <f t="shared" si="210"/>
        <v>2638</v>
      </c>
      <c r="J148" s="35">
        <f t="shared" si="210"/>
        <v>3198</v>
      </c>
      <c r="K148" s="35">
        <f t="shared" si="210"/>
        <v>2889</v>
      </c>
      <c r="L148" s="35">
        <f t="shared" si="210"/>
        <v>3374</v>
      </c>
      <c r="M148" s="35">
        <f t="shared" si="210"/>
        <v>3781</v>
      </c>
      <c r="N148" s="35">
        <f t="shared" si="210"/>
        <v>5017</v>
      </c>
      <c r="O148" s="35">
        <f t="shared" si="210"/>
        <v>4544</v>
      </c>
      <c r="P148" s="35">
        <f t="shared" si="210"/>
        <v>5519</v>
      </c>
      <c r="Q148" s="35">
        <f t="shared" si="210"/>
        <v>6024</v>
      </c>
      <c r="R148" s="35">
        <f t="shared" si="210"/>
        <v>7762</v>
      </c>
      <c r="S148" s="35">
        <f t="shared" si="210"/>
        <v>6873</v>
      </c>
      <c r="T148" s="35">
        <f t="shared" si="210"/>
        <v>8084</v>
      </c>
      <c r="U148" s="35">
        <f t="shared" si="210"/>
        <v>8880</v>
      </c>
      <c r="V148" s="35">
        <f t="shared" si="210"/>
        <v>11361</v>
      </c>
      <c r="W148" s="35">
        <f t="shared" si="210"/>
        <v>10039</v>
      </c>
      <c r="X148" s="35">
        <f t="shared" si="210"/>
        <v>11017</v>
      </c>
      <c r="Y148" s="35">
        <f t="shared" si="210"/>
        <v>11309</v>
      </c>
      <c r="Z148" s="35">
        <f t="shared" si="210"/>
        <v>14118</v>
      </c>
      <c r="AA148" s="35">
        <f t="shared" si="210"/>
        <v>12261</v>
      </c>
      <c r="AB148" s="35">
        <f t="shared" si="210"/>
        <v>13579</v>
      </c>
      <c r="AC148" s="35">
        <f t="shared" si="210"/>
        <v>14497</v>
      </c>
      <c r="AD148" s="35">
        <f t="shared" si="210"/>
        <v>17590</v>
      </c>
      <c r="AE148" s="35">
        <f t="shared" si="210"/>
        <v>14278</v>
      </c>
      <c r="AF148" s="35">
        <f t="shared" si="210"/>
        <v>14858</v>
      </c>
      <c r="AG148" s="35">
        <f t="shared" si="210"/>
        <v>17276</v>
      </c>
      <c r="AH148" s="35">
        <f t="shared" si="210"/>
        <v>22862</v>
      </c>
      <c r="AI148" s="35">
        <f t="shared" ref="AI148:AY148" si="211">AI340</f>
        <v>21040</v>
      </c>
      <c r="AJ148" s="35">
        <f t="shared" si="211"/>
        <v>23678</v>
      </c>
      <c r="AK148" s="35">
        <f t="shared" si="211"/>
        <v>23239</v>
      </c>
      <c r="AL148" s="35">
        <f t="shared" si="211"/>
        <v>27323</v>
      </c>
      <c r="AM148" s="35">
        <f t="shared" si="211"/>
        <v>21903</v>
      </c>
      <c r="AN148" s="35">
        <f t="shared" si="211"/>
        <v>23630</v>
      </c>
      <c r="AO148" s="35">
        <f t="shared" si="211"/>
        <v>21998</v>
      </c>
      <c r="AP148" s="35">
        <f t="shared" si="211"/>
        <v>23829</v>
      </c>
      <c r="AQ148" s="35">
        <f t="shared" si="211"/>
        <v>22537</v>
      </c>
      <c r="AR148" s="35">
        <f t="shared" si="211"/>
        <v>26054</v>
      </c>
      <c r="AS148" s="35">
        <f t="shared" si="211"/>
        <v>27936</v>
      </c>
      <c r="AT148" s="35">
        <f t="shared" si="211"/>
        <v>32416</v>
      </c>
      <c r="AU148" s="35">
        <f t="shared" si="211"/>
        <v>29815</v>
      </c>
      <c r="AV148" s="35">
        <f t="shared" si="211"/>
        <v>31763</v>
      </c>
      <c r="AW148" s="35">
        <f t="shared" si="211"/>
        <v>33214</v>
      </c>
      <c r="AX148" s="35">
        <f t="shared" si="211"/>
        <v>39546</v>
      </c>
      <c r="AY148" s="272">
        <f t="shared" si="211"/>
        <v>34742</v>
      </c>
      <c r="AZ148" s="35">
        <f t="shared" ref="AZ148:BF148" si="212">AZ169+AZ164+AZ159+AZ154</f>
        <v>33474.238792035765</v>
      </c>
      <c r="BA148" s="35">
        <f t="shared" si="212"/>
        <v>36204.549541910063</v>
      </c>
      <c r="BB148" s="35">
        <f t="shared" si="212"/>
        <v>39889.06376309679</v>
      </c>
      <c r="BC148" s="35">
        <f t="shared" si="212"/>
        <v>44459.089569004333</v>
      </c>
      <c r="BD148" s="35">
        <f t="shared" si="212"/>
        <v>41416.572738564981</v>
      </c>
      <c r="BE148" s="35">
        <f t="shared" si="212"/>
        <v>42610.448011593347</v>
      </c>
      <c r="BF148" s="35">
        <f t="shared" si="212"/>
        <v>48371.14131287278</v>
      </c>
      <c r="BG148" s="35"/>
      <c r="BH148" s="812">
        <f t="shared" ref="BH148:BW148" si="213">BH340</f>
        <v>554</v>
      </c>
      <c r="BI148" s="812">
        <f t="shared" si="213"/>
        <v>1481</v>
      </c>
      <c r="BJ148" s="812">
        <f t="shared" si="213"/>
        <v>2851</v>
      </c>
      <c r="BK148" s="812">
        <f t="shared" si="213"/>
        <v>3725</v>
      </c>
      <c r="BL148" s="812">
        <f t="shared" si="213"/>
        <v>5997</v>
      </c>
      <c r="BM148" s="812">
        <f t="shared" si="213"/>
        <v>10313</v>
      </c>
      <c r="BN148" s="812">
        <f t="shared" si="213"/>
        <v>15061</v>
      </c>
      <c r="BO148" s="812">
        <f t="shared" si="213"/>
        <v>23849</v>
      </c>
      <c r="BP148" s="812">
        <f t="shared" si="213"/>
        <v>35199</v>
      </c>
      <c r="BQ148" s="812">
        <f t="shared" si="213"/>
        <v>46483</v>
      </c>
      <c r="BR148" s="812">
        <f t="shared" si="213"/>
        <v>57927</v>
      </c>
      <c r="BS148" s="812">
        <f t="shared" si="213"/>
        <v>69273</v>
      </c>
      <c r="BT148" s="812">
        <f t="shared" si="213"/>
        <v>95280</v>
      </c>
      <c r="BU148" s="812">
        <f t="shared" si="213"/>
        <v>91360</v>
      </c>
      <c r="BV148" s="812">
        <f t="shared" si="213"/>
        <v>108943</v>
      </c>
      <c r="BW148" s="814">
        <f t="shared" si="213"/>
        <v>134340</v>
      </c>
      <c r="BX148" s="812">
        <f>SUM(AY148,AZ148,BA148,BB148)</f>
        <v>144309.8520970426</v>
      </c>
      <c r="BY148" s="812">
        <f>SUM(BC148,BD148,BE148,BF148)</f>
        <v>176857.25163203545</v>
      </c>
      <c r="BZ148" s="812">
        <f>BZ169+BZ164+BZ159+BZ154</f>
        <v>203997.34112821371</v>
      </c>
      <c r="CA148" s="812">
        <f>CA169+CA164+CA159+CA154</f>
        <v>222326.68173836166</v>
      </c>
      <c r="CB148" s="812">
        <f>CB169+CB164+CB159+CB154</f>
        <v>241195.09436720086</v>
      </c>
      <c r="CC148" s="6"/>
    </row>
    <row r="149" spans="1:81" s="704" customFormat="1" x14ac:dyDescent="0.55000000000000004">
      <c r="A149" s="79" t="s">
        <v>514</v>
      </c>
      <c r="B149" s="298"/>
      <c r="C149" s="54"/>
      <c r="D149" s="54"/>
      <c r="E149" s="54"/>
      <c r="F149" s="54"/>
      <c r="G149" s="54">
        <f t="shared" ref="G149:AL149" si="214">G148/C148-1</f>
        <v>0.95215311004784686</v>
      </c>
      <c r="H149" s="54">
        <f t="shared" si="214"/>
        <v>0.80786350148367947</v>
      </c>
      <c r="I149" s="54">
        <f t="shared" si="214"/>
        <v>0.74817760106030473</v>
      </c>
      <c r="J149" s="54">
        <f t="shared" si="214"/>
        <v>0.52722063037249289</v>
      </c>
      <c r="K149" s="54">
        <f t="shared" si="214"/>
        <v>0.41617647058823537</v>
      </c>
      <c r="L149" s="54">
        <f t="shared" si="214"/>
        <v>0.38448912597455887</v>
      </c>
      <c r="M149" s="54">
        <f t="shared" si="214"/>
        <v>0.43328278999241854</v>
      </c>
      <c r="N149" s="54">
        <f t="shared" si="214"/>
        <v>0.56879299562226393</v>
      </c>
      <c r="O149" s="54">
        <f t="shared" si="214"/>
        <v>0.5728625822083766</v>
      </c>
      <c r="P149" s="54">
        <f t="shared" si="214"/>
        <v>0.63574392412566683</v>
      </c>
      <c r="Q149" s="54">
        <f t="shared" si="214"/>
        <v>0.59322930441682087</v>
      </c>
      <c r="R149" s="54">
        <f t="shared" si="214"/>
        <v>0.54713972493522034</v>
      </c>
      <c r="S149" s="54">
        <f t="shared" si="214"/>
        <v>0.512544014084507</v>
      </c>
      <c r="T149" s="54">
        <f t="shared" si="214"/>
        <v>0.46475810835296238</v>
      </c>
      <c r="U149" s="54">
        <f t="shared" si="214"/>
        <v>0.47410358565737054</v>
      </c>
      <c r="V149" s="54">
        <f t="shared" si="214"/>
        <v>0.46366915743365111</v>
      </c>
      <c r="W149" s="54">
        <f t="shared" si="214"/>
        <v>0.46064309617343224</v>
      </c>
      <c r="X149" s="54">
        <f t="shared" si="214"/>
        <v>0.36281543790202875</v>
      </c>
      <c r="Y149" s="54">
        <f t="shared" si="214"/>
        <v>0.27353603603603593</v>
      </c>
      <c r="Z149" s="54">
        <f t="shared" si="214"/>
        <v>0.24267229997359396</v>
      </c>
      <c r="AA149" s="54">
        <f t="shared" si="214"/>
        <v>0.22133678653252309</v>
      </c>
      <c r="AB149" s="54">
        <f t="shared" si="214"/>
        <v>0.23254969592448038</v>
      </c>
      <c r="AC149" s="54">
        <f t="shared" si="214"/>
        <v>0.28189937218144845</v>
      </c>
      <c r="AD149" s="54">
        <f t="shared" si="214"/>
        <v>0.2459271851537046</v>
      </c>
      <c r="AE149" s="54">
        <f t="shared" si="214"/>
        <v>0.16450534214175017</v>
      </c>
      <c r="AF149" s="54">
        <f t="shared" si="214"/>
        <v>9.418955740481616E-2</v>
      </c>
      <c r="AG149" s="54">
        <f t="shared" si="214"/>
        <v>0.19169483341380977</v>
      </c>
      <c r="AH149" s="54">
        <f t="shared" si="214"/>
        <v>0.29971574758385455</v>
      </c>
      <c r="AI149" s="54">
        <f t="shared" si="214"/>
        <v>0.47359574170051832</v>
      </c>
      <c r="AJ149" s="54">
        <f t="shared" si="214"/>
        <v>0.59361959886929605</v>
      </c>
      <c r="AK149" s="54">
        <f t="shared" si="214"/>
        <v>0.34516091687890715</v>
      </c>
      <c r="AL149" s="54">
        <f t="shared" si="214"/>
        <v>0.19512728545184155</v>
      </c>
      <c r="AM149" s="54">
        <f t="shared" ref="AM149:BF149" si="215">AM148/AI148-1</f>
        <v>4.1017110266159618E-2</v>
      </c>
      <c r="AN149" s="54">
        <f t="shared" si="215"/>
        <v>-2.0271982430948299E-3</v>
      </c>
      <c r="AO149" s="54">
        <f t="shared" si="215"/>
        <v>-5.3401609363569857E-2</v>
      </c>
      <c r="AP149" s="54">
        <f t="shared" si="215"/>
        <v>-0.12787761226805261</v>
      </c>
      <c r="AQ149" s="54">
        <f t="shared" si="215"/>
        <v>2.8945806510523697E-2</v>
      </c>
      <c r="AR149" s="54">
        <f t="shared" si="215"/>
        <v>0.1025814642403724</v>
      </c>
      <c r="AS149" s="54">
        <f t="shared" si="215"/>
        <v>0.26993363033002993</v>
      </c>
      <c r="AT149" s="54">
        <f t="shared" si="215"/>
        <v>0.36035922615300686</v>
      </c>
      <c r="AU149" s="54">
        <f t="shared" si="215"/>
        <v>0.32293561698540185</v>
      </c>
      <c r="AV149" s="54">
        <f t="shared" si="215"/>
        <v>0.21912182390419899</v>
      </c>
      <c r="AW149" s="54">
        <f t="shared" si="215"/>
        <v>0.18893184421534936</v>
      </c>
      <c r="AX149" s="54">
        <f t="shared" si="215"/>
        <v>0.21995310957551828</v>
      </c>
      <c r="AY149" s="623">
        <f t="shared" si="215"/>
        <v>0.16525238973670975</v>
      </c>
      <c r="AZ149" s="54">
        <f t="shared" si="215"/>
        <v>5.387522564102154E-2</v>
      </c>
      <c r="BA149" s="54">
        <f t="shared" si="215"/>
        <v>9.0038825251703036E-2</v>
      </c>
      <c r="BB149" s="54">
        <f t="shared" si="215"/>
        <v>8.6750559625952128E-3</v>
      </c>
      <c r="BC149" s="54">
        <f t="shared" si="215"/>
        <v>0.27969286653054892</v>
      </c>
      <c r="BD149" s="54">
        <f t="shared" si="215"/>
        <v>0.23726705171317786</v>
      </c>
      <c r="BE149" s="54">
        <f t="shared" si="215"/>
        <v>0.17693628427189445</v>
      </c>
      <c r="BF149" s="54">
        <f t="shared" si="215"/>
        <v>0.21264168044032039</v>
      </c>
      <c r="BG149" s="54"/>
      <c r="BH149" s="815"/>
      <c r="BI149" s="815">
        <f t="shared" ref="BI149:CB149" si="216">BI148/BH148-1</f>
        <v>1.6732851985559565</v>
      </c>
      <c r="BJ149" s="815">
        <f t="shared" si="216"/>
        <v>0.92505064145847404</v>
      </c>
      <c r="BK149" s="815">
        <f t="shared" si="216"/>
        <v>0.30655910206944936</v>
      </c>
      <c r="BL149" s="815">
        <f t="shared" si="216"/>
        <v>0.60993288590604022</v>
      </c>
      <c r="BM149" s="815">
        <f t="shared" si="216"/>
        <v>0.71969317992329507</v>
      </c>
      <c r="BN149" s="815">
        <f t="shared" si="216"/>
        <v>0.46038979928245904</v>
      </c>
      <c r="BO149" s="815">
        <f t="shared" si="216"/>
        <v>0.58349379191288753</v>
      </c>
      <c r="BP149" s="815">
        <f t="shared" si="216"/>
        <v>0.47591093966204023</v>
      </c>
      <c r="BQ149" s="815">
        <f t="shared" si="216"/>
        <v>0.32057728912753203</v>
      </c>
      <c r="BR149" s="815">
        <f t="shared" si="216"/>
        <v>0.24619753458253557</v>
      </c>
      <c r="BS149" s="815">
        <f t="shared" si="216"/>
        <v>0.19586721218084824</v>
      </c>
      <c r="BT149" s="815">
        <f t="shared" si="216"/>
        <v>0.37542765579663073</v>
      </c>
      <c r="BU149" s="815">
        <f t="shared" si="216"/>
        <v>-4.1141897565071361E-2</v>
      </c>
      <c r="BV149" s="815">
        <f t="shared" si="216"/>
        <v>0.19245840630472855</v>
      </c>
      <c r="BW149" s="816">
        <f t="shared" si="216"/>
        <v>0.23312190778664066</v>
      </c>
      <c r="BX149" s="815">
        <f t="shared" si="216"/>
        <v>7.4213578212316555E-2</v>
      </c>
      <c r="BY149" s="815">
        <f t="shared" si="216"/>
        <v>0.22553830568065458</v>
      </c>
      <c r="BZ149" s="815">
        <f t="shared" si="216"/>
        <v>0.15345760066794001</v>
      </c>
      <c r="CA149" s="815">
        <f t="shared" si="216"/>
        <v>8.9850879961361096E-2</v>
      </c>
      <c r="CB149" s="815">
        <f t="shared" si="216"/>
        <v>8.4867963131136426E-2</v>
      </c>
      <c r="CC149" s="83"/>
    </row>
    <row r="150" spans="1:81" s="709" customFormat="1" x14ac:dyDescent="0.55000000000000004">
      <c r="A150" s="262" t="s">
        <v>351</v>
      </c>
      <c r="B150" s="237"/>
      <c r="C150" s="55">
        <f t="shared" ref="C150:AH150" si="217">C148/C146</f>
        <v>0.71673525377229086</v>
      </c>
      <c r="D150" s="55">
        <f t="shared" si="217"/>
        <v>0.74351902923331492</v>
      </c>
      <c r="E150" s="55">
        <f t="shared" si="217"/>
        <v>0.74851190476190477</v>
      </c>
      <c r="F150" s="55">
        <f t="shared" si="217"/>
        <v>0.81005802707930363</v>
      </c>
      <c r="G150" s="55">
        <f t="shared" si="217"/>
        <v>0.815347721822542</v>
      </c>
      <c r="H150" s="55">
        <f t="shared" si="217"/>
        <v>0.83745704467353954</v>
      </c>
      <c r="I150" s="55">
        <f t="shared" si="217"/>
        <v>0.82360287230721196</v>
      </c>
      <c r="J150" s="55">
        <f t="shared" si="217"/>
        <v>0.83043365359646848</v>
      </c>
      <c r="K150" s="55">
        <f t="shared" si="217"/>
        <v>0.81541066892464009</v>
      </c>
      <c r="L150" s="55">
        <f t="shared" si="217"/>
        <v>0.83473527956457194</v>
      </c>
      <c r="M150" s="55">
        <f t="shared" si="217"/>
        <v>0.84003554765607646</v>
      </c>
      <c r="N150" s="55">
        <f t="shared" si="217"/>
        <v>0.85892826570792669</v>
      </c>
      <c r="O150" s="55">
        <f t="shared" si="217"/>
        <v>0.84429580081753997</v>
      </c>
      <c r="P150" s="55">
        <f t="shared" si="217"/>
        <v>0.85752019888129272</v>
      </c>
      <c r="Q150" s="55">
        <f t="shared" si="217"/>
        <v>0.85922122379118526</v>
      </c>
      <c r="R150" s="55">
        <f t="shared" si="217"/>
        <v>0.88114428425473945</v>
      </c>
      <c r="S150" s="55">
        <f t="shared" si="217"/>
        <v>0.85570219123505975</v>
      </c>
      <c r="T150" s="55">
        <f t="shared" si="217"/>
        <v>0.86728891749812254</v>
      </c>
      <c r="U150" s="55">
        <f t="shared" si="217"/>
        <v>0.85979860573199074</v>
      </c>
      <c r="V150" s="55">
        <f t="shared" si="217"/>
        <v>0.87580943570767811</v>
      </c>
      <c r="W150" s="55">
        <f t="shared" si="217"/>
        <v>0.8389603877653351</v>
      </c>
      <c r="X150" s="55">
        <f t="shared" si="217"/>
        <v>0.83266570931902351</v>
      </c>
      <c r="Y150" s="55">
        <f t="shared" si="217"/>
        <v>0.82385080498288044</v>
      </c>
      <c r="Z150" s="55">
        <f t="shared" si="217"/>
        <v>0.83469315360056762</v>
      </c>
      <c r="AA150" s="55">
        <f t="shared" si="217"/>
        <v>0.81322544272733299</v>
      </c>
      <c r="AB150" s="55">
        <f t="shared" si="217"/>
        <v>0.80415729006277392</v>
      </c>
      <c r="AC150" s="55">
        <f t="shared" si="217"/>
        <v>0.82126671198731027</v>
      </c>
      <c r="AD150" s="55">
        <f t="shared" si="217"/>
        <v>0.83436106631249407</v>
      </c>
      <c r="AE150" s="55">
        <f t="shared" si="217"/>
        <v>0.80498393189378137</v>
      </c>
      <c r="AF150" s="55">
        <f t="shared" si="217"/>
        <v>0.7950981966072671</v>
      </c>
      <c r="AG150" s="55">
        <f t="shared" si="217"/>
        <v>0.80465766185374943</v>
      </c>
      <c r="AH150" s="55">
        <f t="shared" si="217"/>
        <v>0.81440581362211462</v>
      </c>
      <c r="AI150" s="55">
        <f t="shared" ref="AI150:BF150" si="218">AI148/AI146</f>
        <v>0.80394329601467274</v>
      </c>
      <c r="AJ150" s="55">
        <f t="shared" si="218"/>
        <v>0.81432059703545756</v>
      </c>
      <c r="AK150" s="55">
        <f t="shared" si="218"/>
        <v>0.80106859703550504</v>
      </c>
      <c r="AL150" s="55">
        <f t="shared" si="218"/>
        <v>0.81146981081642955</v>
      </c>
      <c r="AM150" s="55">
        <f t="shared" si="218"/>
        <v>0.78482872294682526</v>
      </c>
      <c r="AN150" s="55">
        <f t="shared" si="218"/>
        <v>0.81985982929706469</v>
      </c>
      <c r="AO150" s="55">
        <f t="shared" si="218"/>
        <v>0.79375045103557773</v>
      </c>
      <c r="AP150" s="55">
        <f t="shared" si="218"/>
        <v>0.74083631276231932</v>
      </c>
      <c r="AQ150" s="55">
        <f t="shared" si="218"/>
        <v>0.7867690696456624</v>
      </c>
      <c r="AR150" s="55">
        <f t="shared" si="218"/>
        <v>0.81421294415450485</v>
      </c>
      <c r="AS150" s="55">
        <f t="shared" si="218"/>
        <v>0.81813389562467054</v>
      </c>
      <c r="AT150" s="55">
        <f t="shared" si="218"/>
        <v>0.80815736331679588</v>
      </c>
      <c r="AU150" s="55">
        <f t="shared" si="218"/>
        <v>0.81785763269784661</v>
      </c>
      <c r="AV150" s="55">
        <f t="shared" si="218"/>
        <v>0.81295590079598679</v>
      </c>
      <c r="AW150" s="55">
        <f t="shared" si="218"/>
        <v>0.81830052477272164</v>
      </c>
      <c r="AX150" s="55">
        <f t="shared" si="218"/>
        <v>0.81731941717474421</v>
      </c>
      <c r="AY150" s="275">
        <f t="shared" si="218"/>
        <v>0.82105213404546962</v>
      </c>
      <c r="AZ150" s="55">
        <f t="shared" si="218"/>
        <v>0.7699214085462821</v>
      </c>
      <c r="BA150" s="55">
        <f t="shared" si="218"/>
        <v>0.78954828622514228</v>
      </c>
      <c r="BB150" s="55">
        <f t="shared" si="218"/>
        <v>0.70870235069591425</v>
      </c>
      <c r="BC150" s="55">
        <f t="shared" si="218"/>
        <v>0.92818176135604014</v>
      </c>
      <c r="BD150" s="55">
        <f t="shared" si="218"/>
        <v>0.85957527093187314</v>
      </c>
      <c r="BE150" s="55">
        <f t="shared" si="218"/>
        <v>0.83101594063825746</v>
      </c>
      <c r="BF150" s="55">
        <f t="shared" si="218"/>
        <v>0.74970882361925006</v>
      </c>
      <c r="BG150" s="55"/>
      <c r="BH150" s="156">
        <f t="shared" ref="BH150:CB150" si="219">BH148/BH146</f>
        <v>0.71299871299871298</v>
      </c>
      <c r="BI150" s="156">
        <f t="shared" si="219"/>
        <v>0.75025329280648434</v>
      </c>
      <c r="BJ150" s="156">
        <f t="shared" si="219"/>
        <v>0.76825653462678523</v>
      </c>
      <c r="BK150" s="156">
        <f t="shared" si="219"/>
        <v>0.73197091766555311</v>
      </c>
      <c r="BL150" s="156">
        <f t="shared" si="219"/>
        <v>0.76181402439024393</v>
      </c>
      <c r="BM150" s="156">
        <f t="shared" si="219"/>
        <v>0.82729022942403341</v>
      </c>
      <c r="BN150" s="156">
        <f t="shared" si="219"/>
        <v>0.84008255243195007</v>
      </c>
      <c r="BO150" s="156">
        <f t="shared" si="219"/>
        <v>0.86290614371517471</v>
      </c>
      <c r="BP150" s="156">
        <f t="shared" si="219"/>
        <v>0.86584015939783043</v>
      </c>
      <c r="BQ150" s="156">
        <f t="shared" si="219"/>
        <v>0.8324617643898421</v>
      </c>
      <c r="BR150" s="156">
        <f t="shared" si="219"/>
        <v>0.81936998741106415</v>
      </c>
      <c r="BS150" s="156">
        <f t="shared" si="219"/>
        <v>0.80582795323678236</v>
      </c>
      <c r="BT150" s="156">
        <f t="shared" si="219"/>
        <v>0.80794376277251567</v>
      </c>
      <c r="BU150" s="156">
        <f t="shared" si="219"/>
        <v>0.78347297378418479</v>
      </c>
      <c r="BV150" s="156">
        <f t="shared" si="219"/>
        <v>0.8075714222176098</v>
      </c>
      <c r="BW150" s="856">
        <f t="shared" si="219"/>
        <v>0.81665157050717019</v>
      </c>
      <c r="BX150" s="156">
        <f t="shared" si="219"/>
        <v>0.7678878849177927</v>
      </c>
      <c r="BY150" s="156">
        <f t="shared" si="219"/>
        <v>0.83471758673415253</v>
      </c>
      <c r="BZ150" s="156">
        <f t="shared" si="219"/>
        <v>0.86516225608069575</v>
      </c>
      <c r="CA150" s="156">
        <f t="shared" si="219"/>
        <v>0.89531286702310542</v>
      </c>
      <c r="CB150" s="156">
        <f t="shared" si="219"/>
        <v>0.92525235656666982</v>
      </c>
      <c r="CC150" s="24"/>
    </row>
    <row r="151" spans="1:81" x14ac:dyDescent="0.55000000000000004">
      <c r="A151" s="53" t="s">
        <v>33</v>
      </c>
      <c r="B151" s="75"/>
      <c r="C151" s="54"/>
      <c r="D151" s="54"/>
      <c r="E151" s="54"/>
      <c r="F151" s="54"/>
      <c r="G151" s="54"/>
      <c r="H151" s="54"/>
      <c r="I151" s="54"/>
      <c r="J151" s="54"/>
      <c r="K151" s="54"/>
      <c r="L151" s="54"/>
      <c r="M151" s="54"/>
      <c r="N151" s="54"/>
      <c r="O151" s="54"/>
      <c r="P151" s="567"/>
      <c r="Q151" s="567"/>
      <c r="R151" s="567"/>
      <c r="S151" s="54"/>
      <c r="T151" s="567"/>
      <c r="U151" s="54"/>
      <c r="V151" s="567"/>
      <c r="W151" s="54"/>
      <c r="X151" s="567"/>
      <c r="Y151" s="54"/>
      <c r="Z151" s="567"/>
      <c r="AA151" s="54"/>
      <c r="AB151" s="567"/>
      <c r="AC151" s="54"/>
      <c r="AD151" s="567"/>
      <c r="AE151" s="54"/>
      <c r="AF151" s="567"/>
      <c r="AG151" s="54"/>
      <c r="AH151" s="567"/>
      <c r="AI151" s="54"/>
      <c r="AJ151" s="567"/>
      <c r="AK151" s="54"/>
      <c r="AL151" s="567"/>
      <c r="AM151" s="54"/>
      <c r="AN151" s="567"/>
      <c r="AO151" s="54"/>
      <c r="AP151" s="567"/>
      <c r="AQ151" s="54"/>
      <c r="AR151" s="567"/>
      <c r="AS151" s="54"/>
      <c r="AT151" s="567"/>
      <c r="AU151" s="54"/>
      <c r="AV151" s="567"/>
      <c r="AW151" s="54"/>
      <c r="AX151" s="567"/>
      <c r="AY151" s="623"/>
      <c r="AZ151" s="224" t="str">
        <f t="shared" ref="AZ151:BF151" ca="1" si="220">AZ321</f>
        <v>N/A</v>
      </c>
      <c r="BA151" s="224" t="str">
        <f t="shared" ca="1" si="220"/>
        <v>N/A</v>
      </c>
      <c r="BB151" s="224" t="str">
        <f t="shared" ca="1" si="220"/>
        <v>N/A</v>
      </c>
      <c r="BC151" s="224" t="str">
        <f t="shared" ca="1" si="220"/>
        <v>N/A</v>
      </c>
      <c r="BD151" s="224" t="str">
        <f t="shared" ca="1" si="220"/>
        <v>N/A</v>
      </c>
      <c r="BE151" s="224" t="str">
        <f t="shared" ca="1" si="220"/>
        <v>N/A</v>
      </c>
      <c r="BF151" s="224" t="str">
        <f t="shared" ca="1" si="220"/>
        <v>N/A</v>
      </c>
      <c r="BG151" s="224"/>
      <c r="BH151" s="815"/>
      <c r="BI151" s="815"/>
      <c r="BJ151" s="815"/>
      <c r="BK151" s="815"/>
      <c r="BL151" s="815"/>
      <c r="BM151" s="815"/>
      <c r="BN151" s="815"/>
      <c r="BO151" s="817"/>
      <c r="BP151" s="817"/>
      <c r="BQ151" s="817"/>
      <c r="BR151" s="817"/>
      <c r="BS151" s="817"/>
      <c r="BT151" s="817"/>
      <c r="BU151" s="817"/>
      <c r="BV151" s="817"/>
      <c r="BW151" s="819"/>
      <c r="BX151" s="817" t="str">
        <f ca="1">BX321</f>
        <v>N/A</v>
      </c>
      <c r="BY151" s="817" t="str">
        <f ca="1">BY321</f>
        <v>N/A</v>
      </c>
      <c r="BZ151" s="817" t="str">
        <f ca="1">BZ321</f>
        <v>N/A</v>
      </c>
      <c r="CA151" s="817" t="str">
        <f ca="1">CA321</f>
        <v>N/A</v>
      </c>
      <c r="CB151" s="817" t="str">
        <f ca="1">CB321</f>
        <v>N/A</v>
      </c>
      <c r="CC151" s="54"/>
    </row>
    <row r="152" spans="1:81" s="706" customFormat="1" x14ac:dyDescent="0.55000000000000004">
      <c r="A152" s="86" t="s">
        <v>503</v>
      </c>
      <c r="B152" s="229"/>
      <c r="C152" s="37"/>
      <c r="D152" s="37"/>
      <c r="E152" s="37"/>
      <c r="F152" s="37"/>
      <c r="G152" s="37">
        <f t="shared" ref="G152:AL152" si="221">(G150-C150)*10000</f>
        <v>986.12468050251141</v>
      </c>
      <c r="H152" s="37">
        <f t="shared" si="221"/>
        <v>939.38015440224615</v>
      </c>
      <c r="I152" s="37">
        <f t="shared" si="221"/>
        <v>750.90967545307194</v>
      </c>
      <c r="J152" s="37">
        <f t="shared" si="221"/>
        <v>203.75626517164847</v>
      </c>
      <c r="K152" s="37">
        <f t="shared" si="221"/>
        <v>0.62947102098087626</v>
      </c>
      <c r="L152" s="37">
        <f t="shared" si="221"/>
        <v>-27.217651089675996</v>
      </c>
      <c r="M152" s="37">
        <f t="shared" si="221"/>
        <v>164.32675348864501</v>
      </c>
      <c r="N152" s="37">
        <f t="shared" si="221"/>
        <v>284.94612111458207</v>
      </c>
      <c r="O152" s="37">
        <f t="shared" si="221"/>
        <v>288.85131892899875</v>
      </c>
      <c r="P152" s="37">
        <f t="shared" si="221"/>
        <v>227.84919316720774</v>
      </c>
      <c r="Q152" s="37">
        <f t="shared" si="221"/>
        <v>191.85676135108798</v>
      </c>
      <c r="R152" s="37">
        <f t="shared" si="221"/>
        <v>222.16018546812765</v>
      </c>
      <c r="S152" s="37">
        <f t="shared" si="221"/>
        <v>114.06390417519785</v>
      </c>
      <c r="T152" s="37">
        <f t="shared" si="221"/>
        <v>97.687186168298183</v>
      </c>
      <c r="U152" s="37">
        <f t="shared" si="221"/>
        <v>5.77381940805477</v>
      </c>
      <c r="V152" s="37">
        <f t="shared" si="221"/>
        <v>-53.34848547061344</v>
      </c>
      <c r="W152" s="37">
        <f t="shared" si="221"/>
        <v>-167.41803469724647</v>
      </c>
      <c r="X152" s="37">
        <f t="shared" si="221"/>
        <v>-346.23208179099032</v>
      </c>
      <c r="Y152" s="37">
        <f t="shared" si="221"/>
        <v>-359.47800749110303</v>
      </c>
      <c r="Z152" s="37">
        <f t="shared" si="221"/>
        <v>-411.16282107110493</v>
      </c>
      <c r="AA152" s="37">
        <f t="shared" si="221"/>
        <v>-257.3494503800211</v>
      </c>
      <c r="AB152" s="37">
        <f t="shared" si="221"/>
        <v>-285.08419256249584</v>
      </c>
      <c r="AC152" s="37">
        <f t="shared" si="221"/>
        <v>-25.84092995570164</v>
      </c>
      <c r="AD152" s="37">
        <f t="shared" si="221"/>
        <v>-3.3208728807354593</v>
      </c>
      <c r="AE152" s="37">
        <f t="shared" si="221"/>
        <v>-82.415108335516237</v>
      </c>
      <c r="AF152" s="37">
        <f t="shared" si="221"/>
        <v>-90.590934555068173</v>
      </c>
      <c r="AG152" s="37">
        <f t="shared" si="221"/>
        <v>-166.09050133560842</v>
      </c>
      <c r="AH152" s="37">
        <f t="shared" si="221"/>
        <v>-199.55252690379456</v>
      </c>
      <c r="AI152" s="37">
        <f t="shared" si="221"/>
        <v>-10.406358791086312</v>
      </c>
      <c r="AJ152" s="37">
        <f t="shared" si="221"/>
        <v>192.22400428190457</v>
      </c>
      <c r="AK152" s="37">
        <f t="shared" si="221"/>
        <v>-35.890648182443918</v>
      </c>
      <c r="AL152" s="37">
        <f t="shared" si="221"/>
        <v>-29.360028056850673</v>
      </c>
      <c r="AM152" s="37">
        <f t="shared" ref="AM152:BF152" si="222">(AM150-AI150)*10000</f>
        <v>-191.14573067847473</v>
      </c>
      <c r="AN152" s="37">
        <f t="shared" si="222"/>
        <v>55.392322616071297</v>
      </c>
      <c r="AO152" s="37">
        <f t="shared" si="222"/>
        <v>-73.181459999273059</v>
      </c>
      <c r="AP152" s="37">
        <f t="shared" si="222"/>
        <v>-706.33498054110237</v>
      </c>
      <c r="AQ152" s="37">
        <f t="shared" si="222"/>
        <v>19.403466988371363</v>
      </c>
      <c r="AR152" s="37">
        <f t="shared" si="222"/>
        <v>-56.46885142559843</v>
      </c>
      <c r="AS152" s="37">
        <f t="shared" si="222"/>
        <v>243.83444589092807</v>
      </c>
      <c r="AT152" s="37">
        <f t="shared" si="222"/>
        <v>673.21050554476574</v>
      </c>
      <c r="AU152" s="37">
        <f t="shared" si="222"/>
        <v>310.88563052184213</v>
      </c>
      <c r="AV152" s="37">
        <f t="shared" si="222"/>
        <v>-12.570433585180618</v>
      </c>
      <c r="AW152" s="37">
        <f t="shared" si="222"/>
        <v>1.6662914805110063</v>
      </c>
      <c r="AX152" s="37">
        <f t="shared" si="222"/>
        <v>91.620538579483267</v>
      </c>
      <c r="AY152" s="273">
        <f t="shared" si="222"/>
        <v>31.945013476230024</v>
      </c>
      <c r="AZ152" s="37">
        <f t="shared" si="222"/>
        <v>-430.34492249704681</v>
      </c>
      <c r="BA152" s="37">
        <f t="shared" si="222"/>
        <v>-287.52238547579356</v>
      </c>
      <c r="BB152" s="37">
        <f t="shared" si="222"/>
        <v>-1086.1706647882995</v>
      </c>
      <c r="BC152" s="37">
        <f t="shared" si="222"/>
        <v>1071.2962731057053</v>
      </c>
      <c r="BD152" s="37">
        <f t="shared" si="222"/>
        <v>896.53862385591037</v>
      </c>
      <c r="BE152" s="37">
        <f t="shared" si="222"/>
        <v>414.67654413115173</v>
      </c>
      <c r="BF152" s="37">
        <f t="shared" si="222"/>
        <v>410.06472923335815</v>
      </c>
      <c r="BG152" s="37"/>
      <c r="BH152" s="158"/>
      <c r="BI152" s="158">
        <f t="shared" ref="BI152:CB152" si="223">(BI150-BH150)*10000</f>
        <v>372.54579807771358</v>
      </c>
      <c r="BJ152" s="158">
        <f t="shared" si="223"/>
        <v>180.03241820300886</v>
      </c>
      <c r="BK152" s="158">
        <f t="shared" si="223"/>
        <v>-362.85616961232114</v>
      </c>
      <c r="BL152" s="158">
        <f t="shared" si="223"/>
        <v>298.43106724690813</v>
      </c>
      <c r="BM152" s="158">
        <f t="shared" si="223"/>
        <v>654.76205033789483</v>
      </c>
      <c r="BN152" s="158">
        <f t="shared" si="223"/>
        <v>127.92323007916661</v>
      </c>
      <c r="BO152" s="158">
        <f t="shared" si="223"/>
        <v>228.23591283224641</v>
      </c>
      <c r="BP152" s="158">
        <f t="shared" si="223"/>
        <v>29.340156826557219</v>
      </c>
      <c r="BQ152" s="158">
        <f t="shared" si="223"/>
        <v>-333.78395007988337</v>
      </c>
      <c r="BR152" s="158">
        <f t="shared" si="223"/>
        <v>-130.91776978777946</v>
      </c>
      <c r="BS152" s="158">
        <f t="shared" si="223"/>
        <v>-135.42034174281793</v>
      </c>
      <c r="BT152" s="158">
        <f t="shared" si="223"/>
        <v>21.158095357333153</v>
      </c>
      <c r="BU152" s="158">
        <f t="shared" si="223"/>
        <v>-244.70788988330884</v>
      </c>
      <c r="BV152" s="158">
        <f t="shared" si="223"/>
        <v>240.98448433425011</v>
      </c>
      <c r="BW152" s="846">
        <f t="shared" si="223"/>
        <v>90.801482895603854</v>
      </c>
      <c r="BX152" s="158">
        <f t="shared" si="223"/>
        <v>-487.63685589377491</v>
      </c>
      <c r="BY152" s="158">
        <f t="shared" si="223"/>
        <v>668.2970181635983</v>
      </c>
      <c r="BZ152" s="158">
        <f t="shared" si="223"/>
        <v>304.44669346543219</v>
      </c>
      <c r="CA152" s="158">
        <f t="shared" si="223"/>
        <v>301.50610942409673</v>
      </c>
      <c r="CB152" s="158">
        <f t="shared" si="223"/>
        <v>299.394895435644</v>
      </c>
      <c r="CC152" s="117"/>
    </row>
    <row r="153" spans="1:81" x14ac:dyDescent="0.55000000000000004">
      <c r="A153" s="322"/>
      <c r="B153" s="75"/>
      <c r="C153" s="54"/>
      <c r="D153" s="54"/>
      <c r="E153" s="54"/>
      <c r="F153" s="54"/>
      <c r="G153" s="54"/>
      <c r="H153" s="54"/>
      <c r="I153" s="54"/>
      <c r="J153" s="54"/>
      <c r="K153" s="54"/>
      <c r="L153" s="54"/>
      <c r="M153" s="54"/>
      <c r="N153" s="54"/>
      <c r="O153" s="54"/>
      <c r="P153" s="567"/>
      <c r="Q153" s="567"/>
      <c r="R153" s="567"/>
      <c r="S153" s="54"/>
      <c r="T153" s="567"/>
      <c r="U153" s="54"/>
      <c r="V153" s="567"/>
      <c r="W153" s="54"/>
      <c r="X153" s="567"/>
      <c r="Y153" s="54"/>
      <c r="Z153" s="567"/>
      <c r="AA153" s="54"/>
      <c r="AB153" s="567"/>
      <c r="AC153" s="54"/>
      <c r="AD153" s="567"/>
      <c r="AE153" s="54"/>
      <c r="AF153" s="567"/>
      <c r="AG153" s="54"/>
      <c r="AH153" s="567"/>
      <c r="AI153" s="54"/>
      <c r="AJ153" s="567"/>
      <c r="AK153" s="54"/>
      <c r="AL153" s="567"/>
      <c r="AM153" s="54"/>
      <c r="AN153" s="567"/>
      <c r="AO153" s="54"/>
      <c r="AP153" s="567"/>
      <c r="AQ153" s="54"/>
      <c r="AR153" s="567"/>
      <c r="AS153" s="54"/>
      <c r="AT153" s="567"/>
      <c r="AU153" s="54"/>
      <c r="AV153" s="567"/>
      <c r="AW153" s="54"/>
      <c r="AX153" s="567"/>
      <c r="AY153" s="623"/>
      <c r="AZ153" s="54"/>
      <c r="BA153" s="54"/>
      <c r="BB153" s="54"/>
      <c r="BC153" s="54"/>
      <c r="BD153" s="54"/>
      <c r="BE153" s="54"/>
      <c r="BF153" s="54"/>
      <c r="BG153" s="54"/>
      <c r="BH153" s="815"/>
      <c r="BI153" s="815"/>
      <c r="BJ153" s="815"/>
      <c r="BK153" s="815"/>
      <c r="BL153" s="815"/>
      <c r="BM153" s="815"/>
      <c r="BN153" s="815"/>
      <c r="BO153" s="817"/>
      <c r="BP153" s="817"/>
      <c r="BQ153" s="817"/>
      <c r="BR153" s="817"/>
      <c r="BS153" s="817"/>
      <c r="BT153" s="817"/>
      <c r="BU153" s="817"/>
      <c r="BV153" s="817"/>
      <c r="BW153" s="819"/>
      <c r="BX153" s="817"/>
      <c r="BY153" s="817"/>
      <c r="BZ153" s="817"/>
      <c r="CA153" s="817"/>
      <c r="CB153" s="817"/>
      <c r="CC153" s="54"/>
    </row>
    <row r="154" spans="1:81" x14ac:dyDescent="0.55000000000000004">
      <c r="A154" s="287" t="s">
        <v>508</v>
      </c>
      <c r="B154" s="229"/>
      <c r="C154" s="37">
        <f t="shared" ref="C154:AH154" si="224">C343</f>
        <v>176</v>
      </c>
      <c r="D154" s="37">
        <f t="shared" si="224"/>
        <v>173</v>
      </c>
      <c r="E154" s="37">
        <f t="shared" si="224"/>
        <v>171</v>
      </c>
      <c r="F154" s="37">
        <f t="shared" si="224"/>
        <v>261</v>
      </c>
      <c r="G154" s="37">
        <f t="shared" si="224"/>
        <v>187</v>
      </c>
      <c r="H154" s="37">
        <f t="shared" si="224"/>
        <v>197</v>
      </c>
      <c r="I154" s="37">
        <f t="shared" si="224"/>
        <v>259</v>
      </c>
      <c r="J154" s="37">
        <f t="shared" si="224"/>
        <v>330</v>
      </c>
      <c r="K154" s="37">
        <f t="shared" si="224"/>
        <v>274</v>
      </c>
      <c r="L154" s="37">
        <f t="shared" si="224"/>
        <v>305</v>
      </c>
      <c r="M154" s="37">
        <f t="shared" si="224"/>
        <v>345</v>
      </c>
      <c r="N154" s="37">
        <f t="shared" si="224"/>
        <v>371</v>
      </c>
      <c r="O154" s="37">
        <f t="shared" si="224"/>
        <v>365</v>
      </c>
      <c r="P154" s="37">
        <f t="shared" si="224"/>
        <v>413</v>
      </c>
      <c r="Q154" s="37">
        <f t="shared" si="224"/>
        <v>439</v>
      </c>
      <c r="R154" s="37">
        <f t="shared" si="224"/>
        <v>515</v>
      </c>
      <c r="S154" s="37">
        <f t="shared" si="224"/>
        <v>655</v>
      </c>
      <c r="T154" s="37">
        <f t="shared" si="224"/>
        <v>640</v>
      </c>
      <c r="U154" s="37">
        <f t="shared" si="224"/>
        <v>536</v>
      </c>
      <c r="V154" s="37">
        <f t="shared" si="224"/>
        <v>686</v>
      </c>
      <c r="W154" s="37">
        <f t="shared" si="224"/>
        <v>757</v>
      </c>
      <c r="X154" s="37">
        <f t="shared" si="224"/>
        <v>776</v>
      </c>
      <c r="Y154" s="37">
        <f t="shared" si="224"/>
        <v>943</v>
      </c>
      <c r="Z154" s="37">
        <f t="shared" si="224"/>
        <v>975</v>
      </c>
      <c r="AA154" s="37">
        <f t="shared" si="224"/>
        <v>4064</v>
      </c>
      <c r="AB154" s="37">
        <f t="shared" si="224"/>
        <v>3224</v>
      </c>
      <c r="AC154" s="37">
        <f t="shared" si="224"/>
        <v>1348</v>
      </c>
      <c r="AD154" s="37">
        <f t="shared" si="224"/>
        <v>1829</v>
      </c>
      <c r="AE154" s="37">
        <f t="shared" si="224"/>
        <v>1583</v>
      </c>
      <c r="AF154" s="37">
        <f t="shared" si="224"/>
        <v>1593</v>
      </c>
      <c r="AG154" s="37">
        <f t="shared" si="224"/>
        <v>1790</v>
      </c>
      <c r="AH154" s="37">
        <f t="shared" si="224"/>
        <v>1599</v>
      </c>
      <c r="AI154" s="37">
        <f t="shared" ref="AI154:AY154" si="225">AI343</f>
        <v>1622</v>
      </c>
      <c r="AJ154" s="37">
        <f t="shared" si="225"/>
        <v>1956</v>
      </c>
      <c r="AK154" s="37">
        <f t="shared" si="225"/>
        <v>2946</v>
      </c>
      <c r="AL154" s="37">
        <f t="shared" si="225"/>
        <v>3305</v>
      </c>
      <c r="AM154" s="37">
        <f t="shared" si="225"/>
        <v>2360</v>
      </c>
      <c r="AN154" s="37">
        <f t="shared" si="225"/>
        <v>2987</v>
      </c>
      <c r="AO154" s="37">
        <f t="shared" si="225"/>
        <v>3384</v>
      </c>
      <c r="AP154" s="37">
        <f t="shared" si="225"/>
        <v>3085</v>
      </c>
      <c r="AQ154" s="37">
        <f t="shared" si="225"/>
        <v>2885</v>
      </c>
      <c r="AR154" s="37">
        <f t="shared" si="225"/>
        <v>4164</v>
      </c>
      <c r="AS154" s="37">
        <f t="shared" si="225"/>
        <v>2070</v>
      </c>
      <c r="AT154" s="37">
        <f t="shared" si="225"/>
        <v>2289</v>
      </c>
      <c r="AU154" s="37">
        <f t="shared" si="225"/>
        <v>3455</v>
      </c>
      <c r="AV154" s="37">
        <f t="shared" si="225"/>
        <v>3658</v>
      </c>
      <c r="AW154" s="37">
        <f t="shared" si="225"/>
        <v>1865</v>
      </c>
      <c r="AX154" s="37">
        <f t="shared" si="225"/>
        <v>761</v>
      </c>
      <c r="AY154" s="273">
        <f t="shared" si="225"/>
        <v>2280</v>
      </c>
      <c r="AZ154" s="37">
        <f t="shared" ref="AZ154:BF154" si="226">AZ156*AZ146</f>
        <v>3635.7789483952292</v>
      </c>
      <c r="BA154" s="37">
        <f t="shared" si="226"/>
        <v>2061.0986725367216</v>
      </c>
      <c r="BB154" s="37">
        <f t="shared" si="226"/>
        <v>828.96116275188581</v>
      </c>
      <c r="BC154" s="37">
        <f t="shared" si="226"/>
        <v>2437.2449664167889</v>
      </c>
      <c r="BD154" s="37">
        <f t="shared" si="226"/>
        <v>3547.4164424475962</v>
      </c>
      <c r="BE154" s="37">
        <f t="shared" si="226"/>
        <v>2253.4602933092483</v>
      </c>
      <c r="BF154" s="37">
        <f t="shared" si="226"/>
        <v>885.7302019352154</v>
      </c>
      <c r="BG154" s="37"/>
      <c r="BH154" s="158">
        <f t="shared" ref="BH154:BW154" si="227">BH343</f>
        <v>90</v>
      </c>
      <c r="BI154" s="158">
        <f t="shared" si="227"/>
        <v>138</v>
      </c>
      <c r="BJ154" s="158">
        <f t="shared" si="227"/>
        <v>314</v>
      </c>
      <c r="BK154" s="158">
        <f t="shared" si="227"/>
        <v>892</v>
      </c>
      <c r="BL154" s="158">
        <f t="shared" si="227"/>
        <v>781</v>
      </c>
      <c r="BM154" s="158">
        <f t="shared" si="227"/>
        <v>973</v>
      </c>
      <c r="BN154" s="158">
        <f t="shared" si="227"/>
        <v>1295</v>
      </c>
      <c r="BO154" s="158">
        <f t="shared" si="227"/>
        <v>1731</v>
      </c>
      <c r="BP154" s="158">
        <f t="shared" si="227"/>
        <v>2517</v>
      </c>
      <c r="BQ154" s="158">
        <f t="shared" si="227"/>
        <v>3451</v>
      </c>
      <c r="BR154" s="158">
        <f t="shared" si="227"/>
        <v>10465</v>
      </c>
      <c r="BS154" s="158">
        <f t="shared" si="227"/>
        <v>6564</v>
      </c>
      <c r="BT154" s="158">
        <f t="shared" si="227"/>
        <v>9829</v>
      </c>
      <c r="BU154" s="158">
        <f t="shared" si="227"/>
        <v>11816</v>
      </c>
      <c r="BV154" s="158">
        <f t="shared" si="227"/>
        <v>11408</v>
      </c>
      <c r="BW154" s="846">
        <f t="shared" si="227"/>
        <v>9740</v>
      </c>
      <c r="BX154" s="158">
        <f>SUM(AY154,AZ154,BA154,BB154)</f>
        <v>8805.8387836838374</v>
      </c>
      <c r="BY154" s="158">
        <f>SUM(BC154,BD154,BE154,BF154)</f>
        <v>9123.8519041088493</v>
      </c>
      <c r="BZ154" s="158">
        <f>BZ156*BZ146</f>
        <v>9564.1652312555525</v>
      </c>
      <c r="CA154" s="158">
        <f>CA156*CA146</f>
        <v>9451.6837673467562</v>
      </c>
      <c r="CB154" s="158">
        <f>CB156*CB146</f>
        <v>9270.3327570129532</v>
      </c>
      <c r="CC154" s="117"/>
    </row>
    <row r="155" spans="1:81" s="704" customFormat="1" x14ac:dyDescent="0.55000000000000004">
      <c r="A155" s="79" t="s">
        <v>519</v>
      </c>
      <c r="B155" s="298"/>
      <c r="C155" s="54"/>
      <c r="D155" s="54"/>
      <c r="E155" s="54"/>
      <c r="F155" s="54"/>
      <c r="G155" s="54">
        <f t="shared" ref="G155:AL155" si="228">G154/C154-1</f>
        <v>6.25E-2</v>
      </c>
      <c r="H155" s="54">
        <f t="shared" si="228"/>
        <v>0.1387283236994219</v>
      </c>
      <c r="I155" s="54">
        <f t="shared" si="228"/>
        <v>0.51461988304093564</v>
      </c>
      <c r="J155" s="54">
        <f t="shared" si="228"/>
        <v>0.26436781609195403</v>
      </c>
      <c r="K155" s="54">
        <f t="shared" si="228"/>
        <v>0.46524064171123003</v>
      </c>
      <c r="L155" s="54">
        <f t="shared" si="228"/>
        <v>0.5482233502538072</v>
      </c>
      <c r="M155" s="54">
        <f t="shared" si="228"/>
        <v>0.33204633204633205</v>
      </c>
      <c r="N155" s="54">
        <f t="shared" si="228"/>
        <v>0.12424242424242427</v>
      </c>
      <c r="O155" s="54">
        <f t="shared" si="228"/>
        <v>0.33211678832116798</v>
      </c>
      <c r="P155" s="54">
        <f t="shared" si="228"/>
        <v>0.35409836065573774</v>
      </c>
      <c r="Q155" s="54">
        <f t="shared" si="228"/>
        <v>0.27246376811594208</v>
      </c>
      <c r="R155" s="54">
        <f t="shared" si="228"/>
        <v>0.38814016172506749</v>
      </c>
      <c r="S155" s="54">
        <f t="shared" si="228"/>
        <v>0.79452054794520555</v>
      </c>
      <c r="T155" s="54">
        <f t="shared" si="228"/>
        <v>0.54963680387409197</v>
      </c>
      <c r="U155" s="54">
        <f t="shared" si="228"/>
        <v>0.22095671981776754</v>
      </c>
      <c r="V155" s="54">
        <f t="shared" si="228"/>
        <v>0.33203883495145625</v>
      </c>
      <c r="W155" s="54">
        <f t="shared" si="228"/>
        <v>0.1557251908396946</v>
      </c>
      <c r="X155" s="54">
        <f t="shared" si="228"/>
        <v>0.21249999999999991</v>
      </c>
      <c r="Y155" s="54">
        <f t="shared" si="228"/>
        <v>0.75932835820895517</v>
      </c>
      <c r="Z155" s="54">
        <f t="shared" si="228"/>
        <v>0.42128279883381925</v>
      </c>
      <c r="AA155" s="54">
        <f t="shared" si="228"/>
        <v>4.3685601056803174</v>
      </c>
      <c r="AB155" s="54">
        <f t="shared" si="228"/>
        <v>3.1546391752577323</v>
      </c>
      <c r="AC155" s="54">
        <f t="shared" si="228"/>
        <v>0.42948038176033942</v>
      </c>
      <c r="AD155" s="54">
        <f t="shared" si="228"/>
        <v>0.87589743589743585</v>
      </c>
      <c r="AE155" s="54">
        <f t="shared" si="228"/>
        <v>-0.6104822834645669</v>
      </c>
      <c r="AF155" s="54">
        <f t="shared" si="228"/>
        <v>-0.50589330024813894</v>
      </c>
      <c r="AG155" s="54">
        <f t="shared" si="228"/>
        <v>0.32789317507418403</v>
      </c>
      <c r="AH155" s="54">
        <f t="shared" si="228"/>
        <v>-0.12575177692728268</v>
      </c>
      <c r="AI155" s="54">
        <f t="shared" si="228"/>
        <v>2.4636765634870494E-2</v>
      </c>
      <c r="AJ155" s="54">
        <f t="shared" si="228"/>
        <v>0.22787193973634645</v>
      </c>
      <c r="AK155" s="54">
        <f t="shared" si="228"/>
        <v>0.64581005586592188</v>
      </c>
      <c r="AL155" s="54">
        <f t="shared" si="228"/>
        <v>1.0669168230143842</v>
      </c>
      <c r="AM155" s="54">
        <f t="shared" ref="AM155:BF155" si="229">AM154/AI154-1</f>
        <v>0.45499383477188649</v>
      </c>
      <c r="AN155" s="54">
        <f t="shared" si="229"/>
        <v>0.52709611451942751</v>
      </c>
      <c r="AO155" s="54">
        <f t="shared" si="229"/>
        <v>0.14867617107942976</v>
      </c>
      <c r="AP155" s="54">
        <f t="shared" si="229"/>
        <v>-6.656580937972767E-2</v>
      </c>
      <c r="AQ155" s="54">
        <f t="shared" si="229"/>
        <v>0.22245762711864403</v>
      </c>
      <c r="AR155" s="54">
        <f t="shared" si="229"/>
        <v>0.39404084365584202</v>
      </c>
      <c r="AS155" s="54">
        <f t="shared" si="229"/>
        <v>-0.38829787234042556</v>
      </c>
      <c r="AT155" s="54">
        <f t="shared" si="229"/>
        <v>-0.25802269043760129</v>
      </c>
      <c r="AU155" s="54">
        <f t="shared" si="229"/>
        <v>0.19757365684575401</v>
      </c>
      <c r="AV155" s="54">
        <f t="shared" si="229"/>
        <v>-0.12151777137367914</v>
      </c>
      <c r="AW155" s="54">
        <f t="shared" si="229"/>
        <v>-9.9033816425120769E-2</v>
      </c>
      <c r="AX155" s="54">
        <f t="shared" si="229"/>
        <v>-0.66754041065967673</v>
      </c>
      <c r="AY155" s="623">
        <f t="shared" si="229"/>
        <v>-0.34008683068017365</v>
      </c>
      <c r="AZ155" s="54">
        <f t="shared" si="229"/>
        <v>-6.0746450532451757E-3</v>
      </c>
      <c r="BA155" s="54">
        <f t="shared" si="229"/>
        <v>0.10514674130655322</v>
      </c>
      <c r="BB155" s="54">
        <f t="shared" si="229"/>
        <v>8.9305075889468899E-2</v>
      </c>
      <c r="BC155" s="54">
        <f t="shared" si="229"/>
        <v>6.8967090533679443E-2</v>
      </c>
      <c r="BD155" s="54">
        <f t="shared" si="229"/>
        <v>-2.4303596891289247E-2</v>
      </c>
      <c r="BE155" s="54">
        <f t="shared" si="229"/>
        <v>9.332965147940997E-2</v>
      </c>
      <c r="BF155" s="54">
        <f t="shared" si="229"/>
        <v>6.8482145767691405E-2</v>
      </c>
      <c r="BG155" s="54"/>
      <c r="BH155" s="815"/>
      <c r="BI155" s="815">
        <f t="shared" ref="BI155:CB155" si="230">BI154/BH154-1</f>
        <v>0.53333333333333344</v>
      </c>
      <c r="BJ155" s="815">
        <f t="shared" si="230"/>
        <v>1.2753623188405796</v>
      </c>
      <c r="BK155" s="815">
        <f t="shared" si="230"/>
        <v>1.8407643312101909</v>
      </c>
      <c r="BL155" s="815">
        <f t="shared" si="230"/>
        <v>-0.12443946188340804</v>
      </c>
      <c r="BM155" s="815">
        <f t="shared" si="230"/>
        <v>0.24583866837387958</v>
      </c>
      <c r="BN155" s="815">
        <f t="shared" si="230"/>
        <v>0.33093525179856109</v>
      </c>
      <c r="BO155" s="815">
        <f t="shared" si="230"/>
        <v>0.33667953667953676</v>
      </c>
      <c r="BP155" s="815">
        <f t="shared" si="230"/>
        <v>0.45407279029462733</v>
      </c>
      <c r="BQ155" s="815">
        <f t="shared" si="230"/>
        <v>0.37107667858561788</v>
      </c>
      <c r="BR155" s="815">
        <f t="shared" si="230"/>
        <v>2.032454361054767</v>
      </c>
      <c r="BS155" s="815">
        <f t="shared" si="230"/>
        <v>-0.37276636407071184</v>
      </c>
      <c r="BT155" s="815">
        <f t="shared" si="230"/>
        <v>0.49741011578305905</v>
      </c>
      <c r="BU155" s="815">
        <f t="shared" si="230"/>
        <v>0.20215688269406851</v>
      </c>
      <c r="BV155" s="815">
        <f t="shared" si="230"/>
        <v>-3.4529451591063021E-2</v>
      </c>
      <c r="BW155" s="816">
        <f t="shared" si="230"/>
        <v>-0.14621318373071523</v>
      </c>
      <c r="BX155" s="815">
        <f t="shared" si="230"/>
        <v>-9.5909775802480723E-2</v>
      </c>
      <c r="BY155" s="815">
        <f t="shared" si="230"/>
        <v>3.6113893092643456E-2</v>
      </c>
      <c r="BZ155" s="815">
        <f t="shared" si="230"/>
        <v>4.8259587263621784E-2</v>
      </c>
      <c r="CA155" s="815">
        <f t="shared" si="230"/>
        <v>-1.1760719434374511E-2</v>
      </c>
      <c r="CB155" s="815">
        <f t="shared" si="230"/>
        <v>-1.9187164403481893E-2</v>
      </c>
      <c r="CC155" s="83"/>
    </row>
    <row r="156" spans="1:81" s="709" customFormat="1" x14ac:dyDescent="0.55000000000000004">
      <c r="A156" s="262" t="s">
        <v>34</v>
      </c>
      <c r="B156" s="237"/>
      <c r="C156" s="55">
        <f t="shared" ref="C156:AH156" si="231">C154/C146</f>
        <v>0.12071330589849108</v>
      </c>
      <c r="D156" s="55">
        <f t="shared" si="231"/>
        <v>9.5421952564809703E-2</v>
      </c>
      <c r="E156" s="55">
        <f t="shared" si="231"/>
        <v>8.4821428571428575E-2</v>
      </c>
      <c r="F156" s="55">
        <f t="shared" si="231"/>
        <v>0.10096711798839458</v>
      </c>
      <c r="G156" s="55">
        <f t="shared" si="231"/>
        <v>7.4740207833733016E-2</v>
      </c>
      <c r="H156" s="55">
        <f t="shared" si="231"/>
        <v>6.7697594501718208E-2</v>
      </c>
      <c r="I156" s="55">
        <f t="shared" si="231"/>
        <v>8.0861692163596621E-2</v>
      </c>
      <c r="J156" s="55">
        <f t="shared" si="231"/>
        <v>8.5692028044663721E-2</v>
      </c>
      <c r="K156" s="55">
        <f t="shared" si="231"/>
        <v>7.7335591306802148E-2</v>
      </c>
      <c r="L156" s="55">
        <f t="shared" si="231"/>
        <v>7.5457694210786741E-2</v>
      </c>
      <c r="M156" s="55">
        <f t="shared" si="231"/>
        <v>7.6649633414796706E-2</v>
      </c>
      <c r="N156" s="55">
        <f t="shared" si="231"/>
        <v>6.3516521143639787E-2</v>
      </c>
      <c r="O156" s="55">
        <f t="shared" si="231"/>
        <v>6.7818654775176512E-2</v>
      </c>
      <c r="P156" s="55">
        <f t="shared" si="231"/>
        <v>6.4170292106898688E-2</v>
      </c>
      <c r="Q156" s="55">
        <f t="shared" si="231"/>
        <v>6.2615889316787909E-2</v>
      </c>
      <c r="R156" s="55">
        <f t="shared" si="231"/>
        <v>5.8462935634010671E-2</v>
      </c>
      <c r="S156" s="55">
        <f t="shared" si="231"/>
        <v>8.1548804780876491E-2</v>
      </c>
      <c r="T156" s="55">
        <f t="shared" si="231"/>
        <v>6.8662160712369913E-2</v>
      </c>
      <c r="U156" s="55">
        <f t="shared" si="231"/>
        <v>5.1897753679318356E-2</v>
      </c>
      <c r="V156" s="55">
        <f t="shared" si="231"/>
        <v>5.2883132901634287E-2</v>
      </c>
      <c r="W156" s="55">
        <f t="shared" si="231"/>
        <v>6.3262577302356682E-2</v>
      </c>
      <c r="X156" s="55">
        <f t="shared" si="231"/>
        <v>5.865013982314262E-2</v>
      </c>
      <c r="Y156" s="55">
        <f t="shared" si="231"/>
        <v>6.8696729074087567E-2</v>
      </c>
      <c r="Z156" s="55">
        <f t="shared" si="231"/>
        <v>5.7644554806669031E-2</v>
      </c>
      <c r="AA156" s="55">
        <f t="shared" si="231"/>
        <v>0.26954964515487168</v>
      </c>
      <c r="AB156" s="55">
        <f t="shared" si="231"/>
        <v>0.19092739547554186</v>
      </c>
      <c r="AC156" s="55">
        <f t="shared" si="231"/>
        <v>7.6365284387038296E-2</v>
      </c>
      <c r="AD156" s="55">
        <f t="shared" si="231"/>
        <v>8.675647471776872E-2</v>
      </c>
      <c r="AE156" s="55">
        <f t="shared" si="231"/>
        <v>8.9248463663528219E-2</v>
      </c>
      <c r="AF156" s="55">
        <f t="shared" si="231"/>
        <v>8.5246427998073526E-2</v>
      </c>
      <c r="AG156" s="55">
        <f t="shared" si="231"/>
        <v>8.3372147182114581E-2</v>
      </c>
      <c r="AH156" s="55">
        <f t="shared" si="231"/>
        <v>5.6960672556283842E-2</v>
      </c>
      <c r="AI156" s="55">
        <f t="shared" ref="AI156:AY156" si="232">AI154/AI146</f>
        <v>6.1976997439914409E-2</v>
      </c>
      <c r="AJ156" s="55">
        <f t="shared" si="232"/>
        <v>6.7269663307769026E-2</v>
      </c>
      <c r="AK156" s="55">
        <f t="shared" si="232"/>
        <v>0.10155118924508789</v>
      </c>
      <c r="AL156" s="55">
        <f t="shared" si="232"/>
        <v>9.8155682931899857E-2</v>
      </c>
      <c r="AM156" s="55">
        <f t="shared" si="232"/>
        <v>8.4563566002579901E-2</v>
      </c>
      <c r="AN156" s="55">
        <f t="shared" si="232"/>
        <v>0.1036361113038651</v>
      </c>
      <c r="AO156" s="55">
        <f t="shared" si="232"/>
        <v>0.12210435159125352</v>
      </c>
      <c r="AP156" s="55">
        <f t="shared" si="232"/>
        <v>9.5911705269703093E-2</v>
      </c>
      <c r="AQ156" s="55">
        <f t="shared" si="232"/>
        <v>0.10071565718275441</v>
      </c>
      <c r="AR156" s="55">
        <f t="shared" si="232"/>
        <v>0.13012906653332917</v>
      </c>
      <c r="AS156" s="55">
        <f t="shared" si="232"/>
        <v>6.062203479177649E-2</v>
      </c>
      <c r="AT156" s="55">
        <f t="shared" si="232"/>
        <v>5.7066640073795215E-2</v>
      </c>
      <c r="AU156" s="55">
        <f t="shared" si="232"/>
        <v>9.4774379371828282E-2</v>
      </c>
      <c r="AV156" s="55">
        <f t="shared" si="232"/>
        <v>9.3624427324614165E-2</v>
      </c>
      <c r="AW156" s="55">
        <f t="shared" si="232"/>
        <v>4.5948409667643943E-2</v>
      </c>
      <c r="AX156" s="55">
        <f t="shared" si="232"/>
        <v>1.5728014880644826E-2</v>
      </c>
      <c r="AY156" s="275">
        <f t="shared" si="232"/>
        <v>5.3882875643994896E-2</v>
      </c>
      <c r="AZ156" s="55">
        <f t="shared" ref="AZ156:BF156" si="233">-AZ157/10000+AV156</f>
        <v>8.362442732461417E-2</v>
      </c>
      <c r="BA156" s="55">
        <f t="shared" si="233"/>
        <v>4.4948409667643942E-2</v>
      </c>
      <c r="BB156" s="55">
        <f t="shared" si="233"/>
        <v>1.4728014880644826E-2</v>
      </c>
      <c r="BC156" s="55">
        <f t="shared" si="233"/>
        <v>5.0882875643994893E-2</v>
      </c>
      <c r="BD156" s="55">
        <f t="shared" si="233"/>
        <v>7.3624427324614175E-2</v>
      </c>
      <c r="BE156" s="55">
        <f t="shared" si="233"/>
        <v>4.3948409667643941E-2</v>
      </c>
      <c r="BF156" s="55">
        <f t="shared" si="233"/>
        <v>1.3728014880644825E-2</v>
      </c>
      <c r="BG156" s="55"/>
      <c r="BH156" s="156">
        <f t="shared" ref="BH156:BY156" si="234">BH154/BH146</f>
        <v>0.11583011583011583</v>
      </c>
      <c r="BI156" s="156">
        <f t="shared" si="234"/>
        <v>6.9908814589665649E-2</v>
      </c>
      <c r="BJ156" s="156">
        <f t="shared" si="234"/>
        <v>8.461331177580167E-2</v>
      </c>
      <c r="BK156" s="156">
        <f t="shared" si="234"/>
        <v>0.17528001572018079</v>
      </c>
      <c r="BL156" s="156">
        <f t="shared" si="234"/>
        <v>9.921239837398374E-2</v>
      </c>
      <c r="BM156" s="156">
        <f t="shared" si="234"/>
        <v>7.8052302262153053E-2</v>
      </c>
      <c r="BN156" s="156">
        <f t="shared" si="234"/>
        <v>7.2233377956269523E-2</v>
      </c>
      <c r="BO156" s="156">
        <f t="shared" si="234"/>
        <v>6.2631159997105432E-2</v>
      </c>
      <c r="BP156" s="156">
        <f t="shared" si="234"/>
        <v>6.1914249870858237E-2</v>
      </c>
      <c r="BQ156" s="156">
        <f t="shared" si="234"/>
        <v>6.1803789534009099E-2</v>
      </c>
      <c r="BR156" s="156">
        <f t="shared" si="234"/>
        <v>0.14802608314355631</v>
      </c>
      <c r="BS156" s="156">
        <f t="shared" si="234"/>
        <v>7.6356656778921658E-2</v>
      </c>
      <c r="BT156" s="156">
        <f t="shared" si="234"/>
        <v>8.3346759490880107E-2</v>
      </c>
      <c r="BU156" s="156">
        <f t="shared" si="234"/>
        <v>0.10133008601394404</v>
      </c>
      <c r="BV156" s="156">
        <f t="shared" si="234"/>
        <v>8.4565091696194278E-2</v>
      </c>
      <c r="BW156" s="856">
        <f t="shared" si="234"/>
        <v>5.9209366508410285E-2</v>
      </c>
      <c r="BX156" s="156">
        <f t="shared" si="234"/>
        <v>4.6856793353117328E-2</v>
      </c>
      <c r="BY156" s="156">
        <f t="shared" si="234"/>
        <v>4.3062071658576132E-2</v>
      </c>
      <c r="BZ156" s="156">
        <f>-BZ157/10000+BY156</f>
        <v>4.0562071658576129E-2</v>
      </c>
      <c r="CA156" s="156">
        <f>-CA157/10000+BZ156</f>
        <v>3.8062071658576127E-2</v>
      </c>
      <c r="CB156" s="156">
        <f>-CB157/10000+CA156</f>
        <v>3.5562071658576125E-2</v>
      </c>
      <c r="CC156" s="24"/>
    </row>
    <row r="157" spans="1:81" x14ac:dyDescent="0.55000000000000004">
      <c r="A157" s="240" t="s">
        <v>504</v>
      </c>
      <c r="B157" s="229"/>
      <c r="C157" s="37"/>
      <c r="D157" s="37"/>
      <c r="E157" s="37"/>
      <c r="F157" s="37"/>
      <c r="G157" s="37">
        <f t="shared" ref="G157:AY157" si="235">-(G156-C156)*10000</f>
        <v>459.73098064758062</v>
      </c>
      <c r="H157" s="37">
        <f t="shared" si="235"/>
        <v>277.24358063091495</v>
      </c>
      <c r="I157" s="37">
        <f t="shared" si="235"/>
        <v>39.597364078319544</v>
      </c>
      <c r="J157" s="37">
        <f t="shared" si="235"/>
        <v>152.75089943730862</v>
      </c>
      <c r="K157" s="37">
        <f t="shared" si="235"/>
        <v>-25.953834730691323</v>
      </c>
      <c r="L157" s="37">
        <f t="shared" si="235"/>
        <v>-77.600997090685325</v>
      </c>
      <c r="M157" s="37">
        <f t="shared" si="235"/>
        <v>42.120587487999153</v>
      </c>
      <c r="N157" s="37">
        <f t="shared" si="235"/>
        <v>221.75506901023934</v>
      </c>
      <c r="O157" s="37">
        <f t="shared" si="235"/>
        <v>95.169365316256361</v>
      </c>
      <c r="P157" s="37">
        <f t="shared" si="235"/>
        <v>112.87402103888053</v>
      </c>
      <c r="Q157" s="37">
        <f t="shared" si="235"/>
        <v>140.33744098008796</v>
      </c>
      <c r="R157" s="37">
        <f t="shared" si="235"/>
        <v>50.535855096291158</v>
      </c>
      <c r="S157" s="37">
        <f t="shared" si="235"/>
        <v>-137.3015000569998</v>
      </c>
      <c r="T157" s="37">
        <f t="shared" si="235"/>
        <v>-44.918686054712246</v>
      </c>
      <c r="U157" s="37">
        <f t="shared" si="235"/>
        <v>107.18135637469553</v>
      </c>
      <c r="V157" s="37">
        <f t="shared" si="235"/>
        <v>55.798027323763833</v>
      </c>
      <c r="W157" s="37">
        <f t="shared" si="235"/>
        <v>182.86227478519808</v>
      </c>
      <c r="X157" s="37">
        <f t="shared" si="235"/>
        <v>100.12020889227293</v>
      </c>
      <c r="Y157" s="37">
        <f t="shared" si="235"/>
        <v>-167.98975394769212</v>
      </c>
      <c r="Z157" s="37">
        <f t="shared" si="235"/>
        <v>-47.614219050347437</v>
      </c>
      <c r="AA157" s="37">
        <f t="shared" si="235"/>
        <v>-2062.8706785251497</v>
      </c>
      <c r="AB157" s="37">
        <f t="shared" si="235"/>
        <v>-1322.7725565239923</v>
      </c>
      <c r="AC157" s="37">
        <f t="shared" si="235"/>
        <v>-76.685553129507284</v>
      </c>
      <c r="AD157" s="37">
        <f t="shared" si="235"/>
        <v>-291.11919911099687</v>
      </c>
      <c r="AE157" s="37">
        <f t="shared" si="235"/>
        <v>1803.0118149134344</v>
      </c>
      <c r="AF157" s="37">
        <f t="shared" si="235"/>
        <v>1056.8096747746833</v>
      </c>
      <c r="AG157" s="37">
        <f t="shared" si="235"/>
        <v>-70.068627950762846</v>
      </c>
      <c r="AH157" s="37">
        <f t="shared" si="235"/>
        <v>297.95802161484875</v>
      </c>
      <c r="AI157" s="37">
        <f t="shared" si="235"/>
        <v>272.71466223613811</v>
      </c>
      <c r="AJ157" s="37">
        <f t="shared" si="235"/>
        <v>179.76764690304501</v>
      </c>
      <c r="AK157" s="37">
        <f t="shared" si="235"/>
        <v>-181.79042062973315</v>
      </c>
      <c r="AL157" s="37">
        <f t="shared" si="235"/>
        <v>-411.95010375616016</v>
      </c>
      <c r="AM157" s="37">
        <f t="shared" si="235"/>
        <v>-225.86568562665491</v>
      </c>
      <c r="AN157" s="37">
        <f t="shared" si="235"/>
        <v>-363.66447996096076</v>
      </c>
      <c r="AO157" s="37">
        <f t="shared" si="235"/>
        <v>-205.53162346165624</v>
      </c>
      <c r="AP157" s="37">
        <f t="shared" si="235"/>
        <v>22.439776621967638</v>
      </c>
      <c r="AQ157" s="37">
        <f t="shared" si="235"/>
        <v>-161.52091180174509</v>
      </c>
      <c r="AR157" s="37">
        <f t="shared" si="235"/>
        <v>-264.9295522946407</v>
      </c>
      <c r="AS157" s="37">
        <f t="shared" si="235"/>
        <v>614.8231679947703</v>
      </c>
      <c r="AT157" s="37">
        <f t="shared" si="235"/>
        <v>388.45065195907875</v>
      </c>
      <c r="AU157" s="37">
        <f t="shared" si="235"/>
        <v>59.412778109261268</v>
      </c>
      <c r="AV157" s="37">
        <f t="shared" si="235"/>
        <v>365.04639208715008</v>
      </c>
      <c r="AW157" s="37">
        <f t="shared" si="235"/>
        <v>146.73625124132548</v>
      </c>
      <c r="AX157" s="37">
        <f t="shared" si="235"/>
        <v>413.38625193150386</v>
      </c>
      <c r="AY157" s="273">
        <f t="shared" si="235"/>
        <v>408.91503727833384</v>
      </c>
      <c r="AZ157" s="759">
        <v>100</v>
      </c>
      <c r="BA157" s="759">
        <v>10</v>
      </c>
      <c r="BB157" s="759">
        <v>10</v>
      </c>
      <c r="BC157" s="759">
        <v>30</v>
      </c>
      <c r="BD157" s="759">
        <v>100</v>
      </c>
      <c r="BE157" s="759">
        <v>10</v>
      </c>
      <c r="BF157" s="759">
        <v>10</v>
      </c>
      <c r="BG157" s="759"/>
      <c r="BH157" s="158"/>
      <c r="BI157" s="158">
        <f t="shared" ref="BI157:BY157" si="236">-(BI156-BH156)*10000</f>
        <v>459.21301240450185</v>
      </c>
      <c r="BJ157" s="158">
        <f t="shared" si="236"/>
        <v>-147.04497186136021</v>
      </c>
      <c r="BK157" s="158">
        <f t="shared" si="236"/>
        <v>-906.66703944379117</v>
      </c>
      <c r="BL157" s="158">
        <f t="shared" si="236"/>
        <v>760.67617346197051</v>
      </c>
      <c r="BM157" s="158">
        <f t="shared" si="236"/>
        <v>211.60096111830686</v>
      </c>
      <c r="BN157" s="158">
        <f t="shared" si="236"/>
        <v>58.189243058835302</v>
      </c>
      <c r="BO157" s="158">
        <f t="shared" si="236"/>
        <v>96.022179591640921</v>
      </c>
      <c r="BP157" s="158">
        <f t="shared" si="236"/>
        <v>7.1691012624719441</v>
      </c>
      <c r="BQ157" s="158">
        <f t="shared" si="236"/>
        <v>1.1046033684913859</v>
      </c>
      <c r="BR157" s="158">
        <f t="shared" si="236"/>
        <v>-862.22293609547205</v>
      </c>
      <c r="BS157" s="158">
        <f t="shared" si="236"/>
        <v>716.69426364634649</v>
      </c>
      <c r="BT157" s="158">
        <f t="shared" si="236"/>
        <v>-69.901027119584484</v>
      </c>
      <c r="BU157" s="158">
        <f t="shared" si="236"/>
        <v>-179.83326523063934</v>
      </c>
      <c r="BV157" s="158">
        <f t="shared" si="236"/>
        <v>167.64994317749762</v>
      </c>
      <c r="BW157" s="846">
        <f t="shared" si="236"/>
        <v>253.55725187783992</v>
      </c>
      <c r="BX157" s="158">
        <f t="shared" si="236"/>
        <v>123.52573155292957</v>
      </c>
      <c r="BY157" s="158">
        <f t="shared" si="236"/>
        <v>37.947216945411959</v>
      </c>
      <c r="BZ157" s="857">
        <v>25</v>
      </c>
      <c r="CA157" s="857">
        <v>25</v>
      </c>
      <c r="CB157" s="857">
        <v>25</v>
      </c>
      <c r="CC157" s="117"/>
    </row>
    <row r="158" spans="1:81" x14ac:dyDescent="0.55000000000000004">
      <c r="A158" s="322"/>
      <c r="B158" s="75"/>
      <c r="C158" s="54"/>
      <c r="D158" s="54"/>
      <c r="E158" s="54"/>
      <c r="F158" s="54"/>
      <c r="G158" s="54"/>
      <c r="H158" s="54"/>
      <c r="I158" s="54"/>
      <c r="J158" s="54"/>
      <c r="K158" s="54"/>
      <c r="L158" s="54"/>
      <c r="M158" s="54"/>
      <c r="N158" s="54"/>
      <c r="O158" s="54"/>
      <c r="P158" s="567"/>
      <c r="Q158" s="567"/>
      <c r="R158" s="567"/>
      <c r="S158" s="54"/>
      <c r="T158" s="567"/>
      <c r="U158" s="54"/>
      <c r="V158" s="567"/>
      <c r="W158" s="54"/>
      <c r="X158" s="567"/>
      <c r="Y158" s="54"/>
      <c r="Z158" s="567"/>
      <c r="AA158" s="54"/>
      <c r="AB158" s="567"/>
      <c r="AC158" s="54"/>
      <c r="AD158" s="567"/>
      <c r="AE158" s="54"/>
      <c r="AF158" s="567"/>
      <c r="AG158" s="54"/>
      <c r="AH158" s="567"/>
      <c r="AI158" s="54"/>
      <c r="AJ158" s="567"/>
      <c r="AK158" s="54"/>
      <c r="AL158" s="567"/>
      <c r="AM158" s="54"/>
      <c r="AN158" s="567"/>
      <c r="AO158" s="54"/>
      <c r="AP158" s="567"/>
      <c r="AQ158" s="54"/>
      <c r="AR158" s="567"/>
      <c r="AS158" s="54"/>
      <c r="AT158" s="567"/>
      <c r="AU158" s="54"/>
      <c r="AV158" s="567"/>
      <c r="AW158" s="54"/>
      <c r="AX158" s="567"/>
      <c r="AY158" s="623"/>
      <c r="AZ158" s="54"/>
      <c r="BA158" s="54"/>
      <c r="BB158" s="54"/>
      <c r="BC158" s="54"/>
      <c r="BD158" s="54"/>
      <c r="BE158" s="54"/>
      <c r="BF158" s="54"/>
      <c r="BG158" s="54"/>
      <c r="BH158" s="815"/>
      <c r="BI158" s="815"/>
      <c r="BJ158" s="815"/>
      <c r="BK158" s="815"/>
      <c r="BL158" s="815"/>
      <c r="BM158" s="815"/>
      <c r="BN158" s="815"/>
      <c r="BO158" s="817"/>
      <c r="BP158" s="817"/>
      <c r="BQ158" s="817"/>
      <c r="BR158" s="817"/>
      <c r="BS158" s="817"/>
      <c r="BT158" s="817"/>
      <c r="BU158" s="817"/>
      <c r="BV158" s="817"/>
      <c r="BW158" s="819"/>
      <c r="BX158" s="817"/>
      <c r="BY158" s="817"/>
      <c r="BZ158" s="817"/>
      <c r="CA158" s="817"/>
      <c r="CB158" s="817"/>
      <c r="CC158" s="54"/>
    </row>
    <row r="159" spans="1:81" x14ac:dyDescent="0.55000000000000004">
      <c r="A159" s="287" t="s">
        <v>509</v>
      </c>
      <c r="B159" s="229"/>
      <c r="C159" s="37">
        <f t="shared" ref="C159:AH159" si="237">C342</f>
        <v>203</v>
      </c>
      <c r="D159" s="37">
        <f t="shared" si="237"/>
        <v>269</v>
      </c>
      <c r="E159" s="37">
        <f t="shared" si="237"/>
        <v>233</v>
      </c>
      <c r="F159" s="37">
        <f t="shared" si="237"/>
        <v>292</v>
      </c>
      <c r="G159" s="37">
        <f t="shared" si="237"/>
        <v>323</v>
      </c>
      <c r="H159" s="37">
        <f t="shared" si="237"/>
        <v>358</v>
      </c>
      <c r="I159" s="37">
        <f t="shared" si="237"/>
        <v>374</v>
      </c>
      <c r="J159" s="37">
        <f t="shared" si="237"/>
        <v>624</v>
      </c>
      <c r="K159" s="37">
        <f t="shared" si="237"/>
        <v>620</v>
      </c>
      <c r="L159" s="37">
        <f t="shared" si="237"/>
        <v>626</v>
      </c>
      <c r="M159" s="37">
        <f t="shared" si="237"/>
        <v>706</v>
      </c>
      <c r="N159" s="37">
        <f t="shared" si="237"/>
        <v>772</v>
      </c>
      <c r="O159" s="37">
        <f t="shared" si="237"/>
        <v>826</v>
      </c>
      <c r="P159" s="37">
        <f t="shared" si="237"/>
        <v>901</v>
      </c>
      <c r="Q159" s="37">
        <f t="shared" si="237"/>
        <v>926</v>
      </c>
      <c r="R159" s="37">
        <f t="shared" si="237"/>
        <v>1118</v>
      </c>
      <c r="S159" s="37">
        <f t="shared" si="237"/>
        <v>1057</v>
      </c>
      <c r="T159" s="37">
        <f t="shared" si="237"/>
        <v>1124</v>
      </c>
      <c r="U159" s="37">
        <f t="shared" si="237"/>
        <v>1170</v>
      </c>
      <c r="V159" s="37">
        <f t="shared" si="237"/>
        <v>1374</v>
      </c>
      <c r="W159" s="37">
        <f t="shared" si="237"/>
        <v>1595</v>
      </c>
      <c r="X159" s="37">
        <f t="shared" si="237"/>
        <v>1855</v>
      </c>
      <c r="Y159" s="37">
        <f t="shared" si="237"/>
        <v>1928</v>
      </c>
      <c r="Z159" s="37">
        <f t="shared" si="237"/>
        <v>2468</v>
      </c>
      <c r="AA159" s="37">
        <f t="shared" si="237"/>
        <v>2020</v>
      </c>
      <c r="AB159" s="37">
        <f t="shared" si="237"/>
        <v>2414</v>
      </c>
      <c r="AC159" s="37">
        <f t="shared" si="237"/>
        <v>2416</v>
      </c>
      <c r="AD159" s="37">
        <f t="shared" si="237"/>
        <v>3026</v>
      </c>
      <c r="AE159" s="37">
        <f t="shared" si="237"/>
        <v>2787</v>
      </c>
      <c r="AF159" s="37">
        <f t="shared" si="237"/>
        <v>2840</v>
      </c>
      <c r="AG159" s="37">
        <f t="shared" si="237"/>
        <v>2683</v>
      </c>
      <c r="AH159" s="37">
        <f t="shared" si="237"/>
        <v>3280</v>
      </c>
      <c r="AI159" s="37">
        <f t="shared" ref="AI159:AY159" si="238">AI342</f>
        <v>2843</v>
      </c>
      <c r="AJ159" s="37">
        <f t="shared" si="238"/>
        <v>3259</v>
      </c>
      <c r="AK159" s="37">
        <f t="shared" si="238"/>
        <v>3554</v>
      </c>
      <c r="AL159" s="37">
        <f t="shared" si="238"/>
        <v>4387</v>
      </c>
      <c r="AM159" s="37">
        <f t="shared" si="238"/>
        <v>3312</v>
      </c>
      <c r="AN159" s="37">
        <f t="shared" si="238"/>
        <v>3595</v>
      </c>
      <c r="AO159" s="37">
        <f t="shared" si="238"/>
        <v>3780</v>
      </c>
      <c r="AP159" s="37">
        <f t="shared" si="238"/>
        <v>4574</v>
      </c>
      <c r="AQ159" s="37">
        <f t="shared" si="238"/>
        <v>3044</v>
      </c>
      <c r="AR159" s="37">
        <f t="shared" si="238"/>
        <v>3154</v>
      </c>
      <c r="AS159" s="37">
        <f t="shared" si="238"/>
        <v>2877</v>
      </c>
      <c r="AT159" s="37">
        <f t="shared" si="238"/>
        <v>3226</v>
      </c>
      <c r="AU159" s="37">
        <f t="shared" si="238"/>
        <v>2564</v>
      </c>
      <c r="AV159" s="37">
        <f t="shared" si="238"/>
        <v>2721</v>
      </c>
      <c r="AW159" s="37">
        <f t="shared" si="238"/>
        <v>2822</v>
      </c>
      <c r="AX159" s="37">
        <f t="shared" si="238"/>
        <v>3240</v>
      </c>
      <c r="AY159" s="273">
        <f t="shared" si="238"/>
        <v>2757</v>
      </c>
      <c r="AZ159" s="37">
        <f t="shared" ref="AZ159:BF159" si="239">AZ161*AZ146</f>
        <v>2984.4002213732692</v>
      </c>
      <c r="BA159" s="37">
        <f t="shared" si="239"/>
        <v>3142.2538670721869</v>
      </c>
      <c r="BB159" s="37">
        <f t="shared" si="239"/>
        <v>3712.6988366177534</v>
      </c>
      <c r="BC159" s="37">
        <f t="shared" si="239"/>
        <v>3073.0035089171433</v>
      </c>
      <c r="BD159" s="37">
        <f t="shared" si="239"/>
        <v>3259.1890106495102</v>
      </c>
      <c r="BE159" s="37">
        <f t="shared" si="239"/>
        <v>3462.415839712954</v>
      </c>
      <c r="BF159" s="37">
        <f t="shared" si="239"/>
        <v>4191.4001816070149</v>
      </c>
      <c r="BG159" s="37"/>
      <c r="BH159" s="158">
        <f t="shared" ref="BH159:BW159" si="240">BH342</f>
        <v>87</v>
      </c>
      <c r="BI159" s="158">
        <f t="shared" si="240"/>
        <v>167</v>
      </c>
      <c r="BJ159" s="158">
        <f t="shared" si="240"/>
        <v>393</v>
      </c>
      <c r="BK159" s="158">
        <f t="shared" si="240"/>
        <v>896</v>
      </c>
      <c r="BL159" s="158">
        <f t="shared" si="240"/>
        <v>997</v>
      </c>
      <c r="BM159" s="158">
        <f t="shared" si="240"/>
        <v>1680</v>
      </c>
      <c r="BN159" s="158">
        <f t="shared" si="240"/>
        <v>2725</v>
      </c>
      <c r="BO159" s="158">
        <f t="shared" si="240"/>
        <v>3772</v>
      </c>
      <c r="BP159" s="158">
        <f t="shared" si="240"/>
        <v>4725</v>
      </c>
      <c r="BQ159" s="158">
        <f t="shared" si="240"/>
        <v>7846</v>
      </c>
      <c r="BR159" s="158">
        <f t="shared" si="240"/>
        <v>9876</v>
      </c>
      <c r="BS159" s="158">
        <f t="shared" si="240"/>
        <v>11591</v>
      </c>
      <c r="BT159" s="158">
        <f t="shared" si="240"/>
        <v>14043</v>
      </c>
      <c r="BU159" s="158">
        <f t="shared" si="240"/>
        <v>15262</v>
      </c>
      <c r="BV159" s="158">
        <f t="shared" si="240"/>
        <v>12301</v>
      </c>
      <c r="BW159" s="846">
        <f t="shared" si="240"/>
        <v>11347</v>
      </c>
      <c r="BX159" s="158">
        <f>SUM(AY159,AZ159,BA159,BB159)</f>
        <v>12596.352925063209</v>
      </c>
      <c r="BY159" s="158">
        <f>SUM(BC159,BD159,BE159,BF159)</f>
        <v>13986.008540886622</v>
      </c>
      <c r="BZ159" s="158">
        <f>BZ161*BZ146</f>
        <v>14975.103511706917</v>
      </c>
      <c r="CA159" s="158">
        <f>CA161*CA146</f>
        <v>15150.207979308097</v>
      </c>
      <c r="CB159" s="158">
        <f>CB161*CB146</f>
        <v>15252.436058761976</v>
      </c>
      <c r="CC159" s="117"/>
    </row>
    <row r="160" spans="1:81" s="704" customFormat="1" x14ac:dyDescent="0.55000000000000004">
      <c r="A160" s="79" t="s">
        <v>520</v>
      </c>
      <c r="B160" s="298"/>
      <c r="C160" s="54"/>
      <c r="D160" s="54"/>
      <c r="E160" s="54"/>
      <c r="F160" s="54"/>
      <c r="G160" s="54">
        <f t="shared" ref="G160:AL160" si="241">G159/C159-1</f>
        <v>0.59113300492610832</v>
      </c>
      <c r="H160" s="54">
        <f t="shared" si="241"/>
        <v>0.33085501858736066</v>
      </c>
      <c r="I160" s="54">
        <f t="shared" si="241"/>
        <v>0.60515021459227469</v>
      </c>
      <c r="J160" s="54">
        <f t="shared" si="241"/>
        <v>1.1369863013698631</v>
      </c>
      <c r="K160" s="54">
        <f t="shared" si="241"/>
        <v>0.91950464396284826</v>
      </c>
      <c r="L160" s="54">
        <f t="shared" si="241"/>
        <v>0.74860335195530725</v>
      </c>
      <c r="M160" s="54">
        <f t="shared" si="241"/>
        <v>0.88770053475935828</v>
      </c>
      <c r="N160" s="54">
        <f t="shared" si="241"/>
        <v>0.23717948717948723</v>
      </c>
      <c r="O160" s="54">
        <f t="shared" si="241"/>
        <v>0.33225806451612905</v>
      </c>
      <c r="P160" s="54">
        <f t="shared" si="241"/>
        <v>0.43929712460063897</v>
      </c>
      <c r="Q160" s="54">
        <f t="shared" si="241"/>
        <v>0.31161473087818692</v>
      </c>
      <c r="R160" s="54">
        <f t="shared" si="241"/>
        <v>0.44818652849740936</v>
      </c>
      <c r="S160" s="54">
        <f t="shared" si="241"/>
        <v>0.27966101694915246</v>
      </c>
      <c r="T160" s="54">
        <f t="shared" si="241"/>
        <v>0.24750277469478354</v>
      </c>
      <c r="U160" s="54">
        <f t="shared" si="241"/>
        <v>0.26349892008639308</v>
      </c>
      <c r="V160" s="54">
        <f t="shared" si="241"/>
        <v>0.22898032200357776</v>
      </c>
      <c r="W160" s="54">
        <f t="shared" si="241"/>
        <v>0.50898770104068114</v>
      </c>
      <c r="X160" s="54">
        <f t="shared" si="241"/>
        <v>0.6503558718861211</v>
      </c>
      <c r="Y160" s="54">
        <f t="shared" si="241"/>
        <v>0.64786324786324778</v>
      </c>
      <c r="Z160" s="54">
        <f t="shared" si="241"/>
        <v>0.79621542940320222</v>
      </c>
      <c r="AA160" s="54">
        <f t="shared" si="241"/>
        <v>0.26645768025078365</v>
      </c>
      <c r="AB160" s="54">
        <f t="shared" si="241"/>
        <v>0.30134770889487861</v>
      </c>
      <c r="AC160" s="54">
        <f t="shared" si="241"/>
        <v>0.25311203319502074</v>
      </c>
      <c r="AD160" s="54">
        <f t="shared" si="241"/>
        <v>0.22609400324149109</v>
      </c>
      <c r="AE160" s="54">
        <f t="shared" si="241"/>
        <v>0.3797029702970296</v>
      </c>
      <c r="AF160" s="54">
        <f t="shared" si="241"/>
        <v>0.17647058823529416</v>
      </c>
      <c r="AG160" s="54">
        <f t="shared" si="241"/>
        <v>0.11051324503311255</v>
      </c>
      <c r="AH160" s="54">
        <f t="shared" si="241"/>
        <v>8.393919365499003E-2</v>
      </c>
      <c r="AI160" s="54">
        <f t="shared" si="241"/>
        <v>2.0093290276282705E-2</v>
      </c>
      <c r="AJ160" s="54">
        <f t="shared" si="241"/>
        <v>0.1475352112676056</v>
      </c>
      <c r="AK160" s="54">
        <f t="shared" si="241"/>
        <v>0.32463660081997769</v>
      </c>
      <c r="AL160" s="54">
        <f t="shared" si="241"/>
        <v>0.33749999999999991</v>
      </c>
      <c r="AM160" s="54">
        <f t="shared" ref="AM160:BF160" si="242">AM159/AI159-1</f>
        <v>0.16496658459373892</v>
      </c>
      <c r="AN160" s="54">
        <f t="shared" si="242"/>
        <v>0.10309911015648976</v>
      </c>
      <c r="AO160" s="54">
        <f t="shared" si="242"/>
        <v>6.3590320765334774E-2</v>
      </c>
      <c r="AP160" s="54">
        <f t="shared" si="242"/>
        <v>4.262594027809441E-2</v>
      </c>
      <c r="AQ160" s="54">
        <f t="shared" si="242"/>
        <v>-8.0917874396135292E-2</v>
      </c>
      <c r="AR160" s="54">
        <f t="shared" si="242"/>
        <v>-0.12267037552155768</v>
      </c>
      <c r="AS160" s="54">
        <f t="shared" si="242"/>
        <v>-0.23888888888888893</v>
      </c>
      <c r="AT160" s="54">
        <f t="shared" si="242"/>
        <v>-0.29470922606034111</v>
      </c>
      <c r="AU160" s="54">
        <f t="shared" si="242"/>
        <v>-0.1576872536136662</v>
      </c>
      <c r="AV160" s="54">
        <f t="shared" si="242"/>
        <v>-0.13728598604946096</v>
      </c>
      <c r="AW160" s="54">
        <f t="shared" si="242"/>
        <v>-1.911713590545705E-2</v>
      </c>
      <c r="AX160" s="54">
        <f t="shared" si="242"/>
        <v>4.3397396156230617E-3</v>
      </c>
      <c r="AY160" s="623">
        <f t="shared" si="242"/>
        <v>7.5273010920436922E-2</v>
      </c>
      <c r="AZ160" s="54">
        <f t="shared" si="242"/>
        <v>9.6802727443318304E-2</v>
      </c>
      <c r="BA160" s="54">
        <f t="shared" si="242"/>
        <v>0.11348471547561556</v>
      </c>
      <c r="BB160" s="54">
        <f t="shared" si="242"/>
        <v>0.14589470265980053</v>
      </c>
      <c r="BC160" s="54">
        <f t="shared" si="242"/>
        <v>0.11461861041608401</v>
      </c>
      <c r="BD160" s="54">
        <f t="shared" si="242"/>
        <v>9.2075046539769057E-2</v>
      </c>
      <c r="BE160" s="54">
        <f t="shared" si="242"/>
        <v>0.10188927635534428</v>
      </c>
      <c r="BF160" s="54">
        <f t="shared" si="242"/>
        <v>0.12893621757517915</v>
      </c>
      <c r="BG160" s="54"/>
      <c r="BH160" s="815"/>
      <c r="BI160" s="815">
        <f t="shared" ref="BI160:CB160" si="243">BI159/BH159-1</f>
        <v>0.91954022988505746</v>
      </c>
      <c r="BJ160" s="815">
        <f t="shared" si="243"/>
        <v>1.3532934131736525</v>
      </c>
      <c r="BK160" s="815">
        <f t="shared" si="243"/>
        <v>1.2798982188295165</v>
      </c>
      <c r="BL160" s="815">
        <f t="shared" si="243"/>
        <v>0.11272321428571419</v>
      </c>
      <c r="BM160" s="815">
        <f t="shared" si="243"/>
        <v>0.68505516549648937</v>
      </c>
      <c r="BN160" s="815">
        <f t="shared" si="243"/>
        <v>0.62202380952380953</v>
      </c>
      <c r="BO160" s="815">
        <f t="shared" si="243"/>
        <v>0.38422018348623843</v>
      </c>
      <c r="BP160" s="815">
        <f t="shared" si="243"/>
        <v>0.25265111346765634</v>
      </c>
      <c r="BQ160" s="815">
        <f t="shared" si="243"/>
        <v>0.66052910052910052</v>
      </c>
      <c r="BR160" s="815">
        <f t="shared" si="243"/>
        <v>0.25873056334437927</v>
      </c>
      <c r="BS160" s="815">
        <f t="shared" si="243"/>
        <v>0.17365330093155129</v>
      </c>
      <c r="BT160" s="815">
        <f t="shared" si="243"/>
        <v>0.21154343887498928</v>
      </c>
      <c r="BU160" s="815">
        <f t="shared" si="243"/>
        <v>8.6804813786228063E-2</v>
      </c>
      <c r="BV160" s="815">
        <f t="shared" si="243"/>
        <v>-0.19401126982046912</v>
      </c>
      <c r="BW160" s="816">
        <f t="shared" si="243"/>
        <v>-7.7554670352003918E-2</v>
      </c>
      <c r="BX160" s="815">
        <f t="shared" si="243"/>
        <v>0.11010425002760282</v>
      </c>
      <c r="BY160" s="815">
        <f t="shared" si="243"/>
        <v>0.11032206100373609</v>
      </c>
      <c r="BZ160" s="815">
        <f t="shared" si="243"/>
        <v>7.0720317946952438E-2</v>
      </c>
      <c r="CA160" s="815">
        <f t="shared" si="243"/>
        <v>1.1693038880451923E-2</v>
      </c>
      <c r="CB160" s="815">
        <f t="shared" si="243"/>
        <v>6.7476353851709803E-3</v>
      </c>
      <c r="CC160" s="83"/>
    </row>
    <row r="161" spans="1:81" s="709" customFormat="1" x14ac:dyDescent="0.55000000000000004">
      <c r="A161" s="262" t="s">
        <v>35</v>
      </c>
      <c r="B161" s="237"/>
      <c r="C161" s="55">
        <f t="shared" ref="C161:AH161" si="244">C159/C146</f>
        <v>0.1392318244170096</v>
      </c>
      <c r="D161" s="55">
        <f t="shared" si="244"/>
        <v>0.14837286265857694</v>
      </c>
      <c r="E161" s="55">
        <f t="shared" si="244"/>
        <v>0.11557539682539683</v>
      </c>
      <c r="F161" s="55">
        <f t="shared" si="244"/>
        <v>0.11295938104448743</v>
      </c>
      <c r="G161" s="55">
        <f t="shared" si="244"/>
        <v>0.12909672262190247</v>
      </c>
      <c r="H161" s="55">
        <f t="shared" si="244"/>
        <v>0.12302405498281786</v>
      </c>
      <c r="I161" s="55">
        <f t="shared" si="244"/>
        <v>0.11676553231345614</v>
      </c>
      <c r="J161" s="55">
        <f t="shared" si="244"/>
        <v>0.16203583484809139</v>
      </c>
      <c r="K161" s="55">
        <f t="shared" si="244"/>
        <v>0.17499294383290998</v>
      </c>
      <c r="L161" s="55">
        <f t="shared" si="244"/>
        <v>0.15487382483918852</v>
      </c>
      <c r="M161" s="55">
        <f t="shared" si="244"/>
        <v>0.15685403243723617</v>
      </c>
      <c r="N161" s="55">
        <f t="shared" si="244"/>
        <v>0.13216914911830166</v>
      </c>
      <c r="O161" s="55">
        <f t="shared" si="244"/>
        <v>0.15347454477889261</v>
      </c>
      <c r="P161" s="55">
        <f t="shared" si="244"/>
        <v>0.13999378495960224</v>
      </c>
      <c r="Q161" s="55">
        <f t="shared" si="244"/>
        <v>0.13207816288689203</v>
      </c>
      <c r="R161" s="55">
        <f t="shared" si="244"/>
        <v>0.12691565444431832</v>
      </c>
      <c r="S161" s="55">
        <f t="shared" si="244"/>
        <v>0.13159860557768924</v>
      </c>
      <c r="T161" s="55">
        <f t="shared" si="244"/>
        <v>0.12058791975109967</v>
      </c>
      <c r="U161" s="55">
        <f t="shared" si="244"/>
        <v>0.11328427575522851</v>
      </c>
      <c r="V161" s="55">
        <f t="shared" si="244"/>
        <v>0.1059204440333025</v>
      </c>
      <c r="W161" s="55">
        <f t="shared" si="244"/>
        <v>0.13329433394618084</v>
      </c>
      <c r="X161" s="55">
        <f t="shared" si="244"/>
        <v>0.14020104300506386</v>
      </c>
      <c r="Y161" s="55">
        <f t="shared" si="244"/>
        <v>0.14045312158519704</v>
      </c>
      <c r="Z161" s="55">
        <f t="shared" si="244"/>
        <v>0.14591462693626581</v>
      </c>
      <c r="AA161" s="55">
        <f t="shared" si="244"/>
        <v>0.13397890827087616</v>
      </c>
      <c r="AB161" s="55">
        <f t="shared" si="244"/>
        <v>0.14295866398199691</v>
      </c>
      <c r="AC161" s="55">
        <f t="shared" si="244"/>
        <v>0.13686834353047814</v>
      </c>
      <c r="AD161" s="55">
        <f t="shared" si="244"/>
        <v>0.14353476899724885</v>
      </c>
      <c r="AE161" s="55">
        <f t="shared" si="244"/>
        <v>0.15712916502226984</v>
      </c>
      <c r="AF161" s="55">
        <f t="shared" si="244"/>
        <v>0.15197731042971049</v>
      </c>
      <c r="AG161" s="55">
        <f t="shared" si="244"/>
        <v>0.12496506753609687</v>
      </c>
      <c r="AH161" s="55">
        <f t="shared" si="244"/>
        <v>0.11684240524365916</v>
      </c>
      <c r="AI161" s="55">
        <f t="shared" ref="AI161:AY161" si="245">AI159/AI146</f>
        <v>0.10863169156700164</v>
      </c>
      <c r="AJ161" s="55">
        <f t="shared" si="245"/>
        <v>0.1120817140695395</v>
      </c>
      <c r="AK161" s="55">
        <f t="shared" si="245"/>
        <v>0.1225094794898311</v>
      </c>
      <c r="AL161" s="55">
        <f t="shared" si="245"/>
        <v>0.13029016067238872</v>
      </c>
      <c r="AM161" s="55">
        <f t="shared" si="245"/>
        <v>0.11867564855955282</v>
      </c>
      <c r="AN161" s="55">
        <f t="shared" si="245"/>
        <v>0.12473110818125044</v>
      </c>
      <c r="AO161" s="55">
        <f t="shared" si="245"/>
        <v>0.13639315869235766</v>
      </c>
      <c r="AP161" s="55">
        <f t="shared" si="245"/>
        <v>0.142204259288046</v>
      </c>
      <c r="AQ161" s="55">
        <f t="shared" si="245"/>
        <v>0.10626636411241054</v>
      </c>
      <c r="AR161" s="55">
        <f t="shared" si="245"/>
        <v>9.8565580174380454E-2</v>
      </c>
      <c r="AS161" s="55">
        <f t="shared" si="245"/>
        <v>8.4255842558425581E-2</v>
      </c>
      <c r="AT161" s="55">
        <f t="shared" si="245"/>
        <v>8.0426815586746775E-2</v>
      </c>
      <c r="AU161" s="55">
        <f t="shared" si="245"/>
        <v>7.0333287614867651E-2</v>
      </c>
      <c r="AV161" s="55">
        <f t="shared" si="245"/>
        <v>6.9642445803793099E-2</v>
      </c>
      <c r="AW161" s="55">
        <f t="shared" si="245"/>
        <v>6.9526226317475182E-2</v>
      </c>
      <c r="AX161" s="55">
        <f t="shared" si="245"/>
        <v>6.6962901725741444E-2</v>
      </c>
      <c r="AY161" s="275">
        <f t="shared" si="245"/>
        <v>6.5155740416883295E-2</v>
      </c>
      <c r="AZ161" s="55">
        <f t="shared" ref="AZ161:BF161" si="246">-AZ162/10000+AV161</f>
        <v>6.8642445803793098E-2</v>
      </c>
      <c r="BA161" s="55">
        <f t="shared" si="246"/>
        <v>6.8526226317475181E-2</v>
      </c>
      <c r="BB161" s="55">
        <f t="shared" si="246"/>
        <v>6.5962901725741444E-2</v>
      </c>
      <c r="BC161" s="55">
        <f t="shared" si="246"/>
        <v>6.4155740416883295E-2</v>
      </c>
      <c r="BD161" s="55">
        <f t="shared" si="246"/>
        <v>6.7642445803793097E-2</v>
      </c>
      <c r="BE161" s="55">
        <f t="shared" si="246"/>
        <v>6.752622631747518E-2</v>
      </c>
      <c r="BF161" s="55">
        <f t="shared" si="246"/>
        <v>6.4962901725741443E-2</v>
      </c>
      <c r="BG161" s="55"/>
      <c r="BH161" s="156">
        <f t="shared" ref="BH161:BY161" si="247">BH159/BH146</f>
        <v>0.11196911196911197</v>
      </c>
      <c r="BI161" s="156">
        <f t="shared" si="247"/>
        <v>8.4599797365754806E-2</v>
      </c>
      <c r="BJ161" s="156">
        <f t="shared" si="247"/>
        <v>0.1059013742926435</v>
      </c>
      <c r="BK161" s="156">
        <f t="shared" si="247"/>
        <v>0.17606602475928473</v>
      </c>
      <c r="BL161" s="156">
        <f t="shared" si="247"/>
        <v>0.12665142276422764</v>
      </c>
      <c r="BM161" s="156">
        <f t="shared" si="247"/>
        <v>0.13476656505695492</v>
      </c>
      <c r="BN161" s="156">
        <f t="shared" si="247"/>
        <v>0.15199687639446677</v>
      </c>
      <c r="BO161" s="156">
        <f t="shared" si="247"/>
        <v>0.13647876112598595</v>
      </c>
      <c r="BP161" s="156">
        <f t="shared" si="247"/>
        <v>0.1162275846800974</v>
      </c>
      <c r="BQ161" s="156">
        <f t="shared" si="247"/>
        <v>0.14051362871163006</v>
      </c>
      <c r="BR161" s="156">
        <f t="shared" si="247"/>
        <v>0.139694753667058</v>
      </c>
      <c r="BS161" s="156">
        <f t="shared" si="247"/>
        <v>0.13483394404699586</v>
      </c>
      <c r="BT161" s="156">
        <f t="shared" si="247"/>
        <v>0.11908012448167965</v>
      </c>
      <c r="BU161" s="156">
        <f t="shared" si="247"/>
        <v>0.13088183587887728</v>
      </c>
      <c r="BV161" s="156">
        <f t="shared" si="247"/>
        <v>9.118471186490934E-2</v>
      </c>
      <c r="BW161" s="856">
        <f t="shared" si="247"/>
        <v>6.8978304083257849E-2</v>
      </c>
      <c r="BX161" s="156">
        <f t="shared" si="247"/>
        <v>6.7026517349629125E-2</v>
      </c>
      <c r="BY161" s="156">
        <f t="shared" si="247"/>
        <v>6.6010113747450458E-2</v>
      </c>
      <c r="BZ161" s="156">
        <f>-BZ162/10000+BY161</f>
        <v>6.3510113747450456E-2</v>
      </c>
      <c r="CA161" s="156">
        <f>-CA162/10000+BZ161</f>
        <v>6.1010113747450453E-2</v>
      </c>
      <c r="CB161" s="156">
        <f>-CB162/10000+CA161</f>
        <v>5.8510113747450451E-2</v>
      </c>
      <c r="CC161" s="24"/>
    </row>
    <row r="162" spans="1:81" x14ac:dyDescent="0.55000000000000004">
      <c r="A162" s="240" t="s">
        <v>505</v>
      </c>
      <c r="B162" s="229"/>
      <c r="C162" s="37"/>
      <c r="D162" s="37"/>
      <c r="E162" s="37"/>
      <c r="F162" s="37"/>
      <c r="G162" s="37">
        <f t="shared" ref="G162:AY162" si="248">-(G161-C161)*10000</f>
        <v>101.35101795107127</v>
      </c>
      <c r="H162" s="37">
        <f t="shared" si="248"/>
        <v>253.48807675759073</v>
      </c>
      <c r="I162" s="37">
        <f t="shared" si="248"/>
        <v>-11.901354880593102</v>
      </c>
      <c r="J162" s="37">
        <f t="shared" si="248"/>
        <v>-490.76453803603965</v>
      </c>
      <c r="K162" s="37">
        <f t="shared" si="248"/>
        <v>-458.96221211007503</v>
      </c>
      <c r="L162" s="37">
        <f t="shared" si="248"/>
        <v>-318.49769856370654</v>
      </c>
      <c r="M162" s="37">
        <f t="shared" si="248"/>
        <v>-400.88500123780028</v>
      </c>
      <c r="N162" s="37">
        <f t="shared" si="248"/>
        <v>298.66685729789731</v>
      </c>
      <c r="O162" s="37">
        <f t="shared" si="248"/>
        <v>215.18399054017368</v>
      </c>
      <c r="P162" s="37">
        <f t="shared" si="248"/>
        <v>148.80039879586278</v>
      </c>
      <c r="Q162" s="37">
        <f t="shared" si="248"/>
        <v>247.75869550344137</v>
      </c>
      <c r="R162" s="37">
        <f t="shared" si="248"/>
        <v>52.534946739833387</v>
      </c>
      <c r="S162" s="37">
        <f t="shared" si="248"/>
        <v>218.75939201203371</v>
      </c>
      <c r="T162" s="37">
        <f t="shared" si="248"/>
        <v>194.0586520850257</v>
      </c>
      <c r="U162" s="37">
        <f t="shared" si="248"/>
        <v>187.93887131663521</v>
      </c>
      <c r="V162" s="37">
        <f t="shared" si="248"/>
        <v>209.95210411015819</v>
      </c>
      <c r="W162" s="37">
        <f t="shared" si="248"/>
        <v>-16.957283684916057</v>
      </c>
      <c r="X162" s="37">
        <f t="shared" si="248"/>
        <v>-196.13123253964193</v>
      </c>
      <c r="Y162" s="37">
        <f t="shared" si="248"/>
        <v>-271.68845829968535</v>
      </c>
      <c r="Z162" s="37">
        <f t="shared" si="248"/>
        <v>-399.94182902963303</v>
      </c>
      <c r="AA162" s="37">
        <f t="shared" si="248"/>
        <v>-6.8457432469531954</v>
      </c>
      <c r="AB162" s="37">
        <f t="shared" si="248"/>
        <v>-27.576209769330507</v>
      </c>
      <c r="AC162" s="37">
        <f t="shared" si="248"/>
        <v>35.847780547189068</v>
      </c>
      <c r="AD162" s="37">
        <f t="shared" si="248"/>
        <v>23.798579390169607</v>
      </c>
      <c r="AE162" s="37">
        <f t="shared" si="248"/>
        <v>-231.50256751393678</v>
      </c>
      <c r="AF162" s="37">
        <f t="shared" si="248"/>
        <v>-90.1864644771358</v>
      </c>
      <c r="AG162" s="37">
        <f t="shared" si="248"/>
        <v>119.03275994381262</v>
      </c>
      <c r="AH162" s="37">
        <f t="shared" si="248"/>
        <v>266.92363753589689</v>
      </c>
      <c r="AI162" s="37">
        <f t="shared" si="248"/>
        <v>484.97473455268198</v>
      </c>
      <c r="AJ162" s="37">
        <f t="shared" si="248"/>
        <v>398.95596360170998</v>
      </c>
      <c r="AK162" s="37">
        <f t="shared" si="248"/>
        <v>24.555880462657775</v>
      </c>
      <c r="AL162" s="37">
        <f t="shared" si="248"/>
        <v>-134.47755428729556</v>
      </c>
      <c r="AM162" s="37">
        <f t="shared" si="248"/>
        <v>-100.43956992551173</v>
      </c>
      <c r="AN162" s="37">
        <f t="shared" si="248"/>
        <v>-126.4939411171094</v>
      </c>
      <c r="AO162" s="37">
        <f t="shared" si="248"/>
        <v>-138.83679202526562</v>
      </c>
      <c r="AP162" s="37">
        <f t="shared" si="248"/>
        <v>-119.14098615657286</v>
      </c>
      <c r="AQ162" s="37">
        <f t="shared" si="248"/>
        <v>124.09284447142274</v>
      </c>
      <c r="AR162" s="37">
        <f t="shared" si="248"/>
        <v>261.65528006869982</v>
      </c>
      <c r="AS162" s="37">
        <f t="shared" si="248"/>
        <v>521.37316133932075</v>
      </c>
      <c r="AT162" s="37">
        <f t="shared" si="248"/>
        <v>617.77443701299228</v>
      </c>
      <c r="AU162" s="37">
        <f t="shared" si="248"/>
        <v>359.33076497542891</v>
      </c>
      <c r="AV162" s="37">
        <f t="shared" si="248"/>
        <v>289.23134370587354</v>
      </c>
      <c r="AW162" s="37">
        <f t="shared" si="248"/>
        <v>147.29616240950401</v>
      </c>
      <c r="AX162" s="37">
        <f t="shared" si="248"/>
        <v>134.63913861005329</v>
      </c>
      <c r="AY162" s="273">
        <f t="shared" si="248"/>
        <v>51.775471979843559</v>
      </c>
      <c r="AZ162" s="759">
        <v>10</v>
      </c>
      <c r="BA162" s="759">
        <v>10</v>
      </c>
      <c r="BB162" s="759">
        <v>10</v>
      </c>
      <c r="BC162" s="759">
        <v>10</v>
      </c>
      <c r="BD162" s="759">
        <v>10</v>
      </c>
      <c r="BE162" s="759">
        <v>10</v>
      </c>
      <c r="BF162" s="759">
        <v>10</v>
      </c>
      <c r="BG162" s="759"/>
      <c r="BH162" s="158"/>
      <c r="BI162" s="158">
        <f t="shared" ref="BI162:BY162" si="249">-(BI161-BH161)*10000</f>
        <v>273.69314603357162</v>
      </c>
      <c r="BJ162" s="158">
        <f t="shared" si="249"/>
        <v>-213.01576926888694</v>
      </c>
      <c r="BK162" s="158">
        <f t="shared" si="249"/>
        <v>-701.6465046664124</v>
      </c>
      <c r="BL162" s="158">
        <f t="shared" si="249"/>
        <v>494.14601995057097</v>
      </c>
      <c r="BM162" s="158">
        <f t="shared" si="249"/>
        <v>-81.15142292727279</v>
      </c>
      <c r="BN162" s="158">
        <f t="shared" si="249"/>
        <v>-172.3031133751185</v>
      </c>
      <c r="BO162" s="158">
        <f t="shared" si="249"/>
        <v>155.18115268480821</v>
      </c>
      <c r="BP162" s="158">
        <f t="shared" si="249"/>
        <v>202.51176445888544</v>
      </c>
      <c r="BQ162" s="158">
        <f t="shared" si="249"/>
        <v>-242.86044031532657</v>
      </c>
      <c r="BR162" s="158">
        <f t="shared" si="249"/>
        <v>8.1887504457206504</v>
      </c>
      <c r="BS162" s="158">
        <f t="shared" si="249"/>
        <v>48.60809620062134</v>
      </c>
      <c r="BT162" s="158">
        <f t="shared" si="249"/>
        <v>157.53819565316212</v>
      </c>
      <c r="BU162" s="158">
        <f t="shared" si="249"/>
        <v>-118.01711397197629</v>
      </c>
      <c r="BV162" s="158">
        <f t="shared" si="249"/>
        <v>396.97124013967937</v>
      </c>
      <c r="BW162" s="846">
        <f t="shared" si="249"/>
        <v>222.0640778165149</v>
      </c>
      <c r="BX162" s="158">
        <f t="shared" si="249"/>
        <v>19.517867336287242</v>
      </c>
      <c r="BY162" s="158">
        <f t="shared" si="249"/>
        <v>10.164036021786671</v>
      </c>
      <c r="BZ162" s="857">
        <v>25</v>
      </c>
      <c r="CA162" s="857">
        <v>25</v>
      </c>
      <c r="CB162" s="857">
        <v>25</v>
      </c>
      <c r="CC162" s="117"/>
    </row>
    <row r="163" spans="1:81" x14ac:dyDescent="0.55000000000000004">
      <c r="A163" s="322"/>
      <c r="B163" s="75"/>
      <c r="C163" s="54"/>
      <c r="D163" s="54"/>
      <c r="E163" s="54"/>
      <c r="F163" s="54"/>
      <c r="G163" s="54"/>
      <c r="H163" s="54"/>
      <c r="I163" s="54"/>
      <c r="J163" s="54"/>
      <c r="K163" s="54"/>
      <c r="L163" s="54"/>
      <c r="M163" s="54"/>
      <c r="N163" s="54"/>
      <c r="O163" s="54"/>
      <c r="P163" s="567"/>
      <c r="Q163" s="567"/>
      <c r="R163" s="567"/>
      <c r="S163" s="54"/>
      <c r="T163" s="567"/>
      <c r="U163" s="54"/>
      <c r="V163" s="567"/>
      <c r="W163" s="54"/>
      <c r="X163" s="567"/>
      <c r="Y163" s="54"/>
      <c r="Z163" s="567"/>
      <c r="AA163" s="54"/>
      <c r="AB163" s="567"/>
      <c r="AC163" s="54"/>
      <c r="AD163" s="567"/>
      <c r="AE163" s="54"/>
      <c r="AF163" s="567"/>
      <c r="AG163" s="54"/>
      <c r="AH163" s="567"/>
      <c r="AI163" s="54"/>
      <c r="AJ163" s="567"/>
      <c r="AK163" s="54"/>
      <c r="AL163" s="567"/>
      <c r="AM163" s="54"/>
      <c r="AN163" s="567"/>
      <c r="AO163" s="54"/>
      <c r="AP163" s="567"/>
      <c r="AQ163" s="54"/>
      <c r="AR163" s="567"/>
      <c r="AS163" s="54"/>
      <c r="AT163" s="567"/>
      <c r="AU163" s="54"/>
      <c r="AV163" s="567"/>
      <c r="AW163" s="54"/>
      <c r="AX163" s="567"/>
      <c r="AY163" s="623"/>
      <c r="AZ163" s="54"/>
      <c r="BA163" s="54"/>
      <c r="BB163" s="54"/>
      <c r="BC163" s="54"/>
      <c r="BD163" s="54"/>
      <c r="BE163" s="54"/>
      <c r="BF163" s="54"/>
      <c r="BG163" s="54"/>
      <c r="BH163" s="815"/>
      <c r="BI163" s="815"/>
      <c r="BJ163" s="815"/>
      <c r="BK163" s="815"/>
      <c r="BL163" s="815"/>
      <c r="BM163" s="815"/>
      <c r="BN163" s="815"/>
      <c r="BO163" s="817"/>
      <c r="BP163" s="817"/>
      <c r="BQ163" s="817"/>
      <c r="BR163" s="817"/>
      <c r="BS163" s="817"/>
      <c r="BT163" s="817"/>
      <c r="BU163" s="817"/>
      <c r="BV163" s="817"/>
      <c r="BW163" s="819"/>
      <c r="BX163" s="817"/>
      <c r="BY163" s="817"/>
      <c r="BZ163" s="817"/>
      <c r="CA163" s="817"/>
      <c r="CB163" s="817"/>
      <c r="CC163" s="54"/>
    </row>
    <row r="164" spans="1:81" x14ac:dyDescent="0.55000000000000004">
      <c r="A164" s="287" t="s">
        <v>510</v>
      </c>
      <c r="B164" s="229"/>
      <c r="C164" s="37">
        <f t="shared" ref="C164:AH164" si="250">C341</f>
        <v>293</v>
      </c>
      <c r="D164" s="37">
        <f t="shared" si="250"/>
        <v>344</v>
      </c>
      <c r="E164" s="37">
        <f t="shared" si="250"/>
        <v>369</v>
      </c>
      <c r="F164" s="37">
        <f t="shared" si="250"/>
        <v>408</v>
      </c>
      <c r="G164" s="37">
        <f t="shared" si="250"/>
        <v>455</v>
      </c>
      <c r="H164" s="37">
        <f t="shared" si="250"/>
        <v>492</v>
      </c>
      <c r="I164" s="37">
        <f t="shared" si="250"/>
        <v>608</v>
      </c>
      <c r="J164" s="37">
        <f t="shared" si="250"/>
        <v>1111</v>
      </c>
      <c r="K164" s="37">
        <f t="shared" si="250"/>
        <v>1062</v>
      </c>
      <c r="L164" s="37">
        <f t="shared" si="250"/>
        <v>1170</v>
      </c>
      <c r="M164" s="37">
        <f t="shared" si="250"/>
        <v>1271</v>
      </c>
      <c r="N164" s="37">
        <f t="shared" si="250"/>
        <v>1314</v>
      </c>
      <c r="O164" s="37">
        <f t="shared" si="250"/>
        <v>1343</v>
      </c>
      <c r="P164" s="37">
        <f t="shared" si="250"/>
        <v>1471</v>
      </c>
      <c r="Q164" s="37">
        <f t="shared" si="250"/>
        <v>1542</v>
      </c>
      <c r="R164" s="37">
        <f t="shared" si="250"/>
        <v>1563</v>
      </c>
      <c r="S164" s="37">
        <f t="shared" si="250"/>
        <v>1834</v>
      </c>
      <c r="T164" s="37">
        <f t="shared" si="250"/>
        <v>1919</v>
      </c>
      <c r="U164" s="37">
        <f t="shared" si="250"/>
        <v>2052</v>
      </c>
      <c r="V164" s="37">
        <f t="shared" si="250"/>
        <v>1949</v>
      </c>
      <c r="W164" s="37">
        <f t="shared" si="250"/>
        <v>2238</v>
      </c>
      <c r="X164" s="37">
        <f t="shared" si="250"/>
        <v>2523</v>
      </c>
      <c r="Y164" s="37">
        <f t="shared" si="250"/>
        <v>2657</v>
      </c>
      <c r="Z164" s="37">
        <f t="shared" si="250"/>
        <v>2855</v>
      </c>
      <c r="AA164" s="37">
        <f t="shared" si="250"/>
        <v>2860</v>
      </c>
      <c r="AB164" s="37">
        <f t="shared" si="250"/>
        <v>3315</v>
      </c>
      <c r="AC164" s="37">
        <f t="shared" si="250"/>
        <v>3548</v>
      </c>
      <c r="AD164" s="37">
        <f t="shared" si="250"/>
        <v>3877</v>
      </c>
      <c r="AE164" s="37">
        <f t="shared" si="250"/>
        <v>4015</v>
      </c>
      <c r="AF164" s="37">
        <f t="shared" si="250"/>
        <v>4462</v>
      </c>
      <c r="AG164" s="37">
        <f t="shared" si="250"/>
        <v>4763</v>
      </c>
      <c r="AH164" s="37">
        <f t="shared" si="250"/>
        <v>5208</v>
      </c>
      <c r="AI164" s="37">
        <f t="shared" ref="AI164:AY164" si="251">AI341</f>
        <v>5197</v>
      </c>
      <c r="AJ164" s="37">
        <f t="shared" si="251"/>
        <v>6096</v>
      </c>
      <c r="AK164" s="37">
        <f t="shared" si="251"/>
        <v>6316</v>
      </c>
      <c r="AL164" s="37">
        <f t="shared" si="251"/>
        <v>7046</v>
      </c>
      <c r="AM164" s="37">
        <f t="shared" si="251"/>
        <v>7707</v>
      </c>
      <c r="AN164" s="37">
        <f t="shared" si="251"/>
        <v>8690</v>
      </c>
      <c r="AO164" s="37">
        <f t="shared" si="251"/>
        <v>9170</v>
      </c>
      <c r="AP164" s="37">
        <f t="shared" si="251"/>
        <v>9771</v>
      </c>
      <c r="AQ164" s="37">
        <f t="shared" si="251"/>
        <v>9381</v>
      </c>
      <c r="AR164" s="37">
        <f t="shared" si="251"/>
        <v>9344</v>
      </c>
      <c r="AS164" s="37">
        <f t="shared" si="251"/>
        <v>9241</v>
      </c>
      <c r="AT164" s="37">
        <f t="shared" si="251"/>
        <v>10517</v>
      </c>
      <c r="AU164" s="37">
        <f t="shared" si="251"/>
        <v>9978</v>
      </c>
      <c r="AV164" s="37">
        <f t="shared" si="251"/>
        <v>10537</v>
      </c>
      <c r="AW164" s="37">
        <f t="shared" si="251"/>
        <v>11177</v>
      </c>
      <c r="AX164" s="37">
        <f t="shared" si="251"/>
        <v>12180</v>
      </c>
      <c r="AY164" s="273">
        <f t="shared" si="251"/>
        <v>12150</v>
      </c>
      <c r="AZ164" s="37">
        <f t="shared" ref="AZ164:BF164" si="252">AZ166*AZ146</f>
        <v>11681.898227567122</v>
      </c>
      <c r="BA164" s="37">
        <f t="shared" si="252"/>
        <v>12581.179311527581</v>
      </c>
      <c r="BB164" s="37">
        <f t="shared" si="252"/>
        <v>14112.301420063035</v>
      </c>
      <c r="BC164" s="37">
        <f t="shared" si="252"/>
        <v>13705.806698405255</v>
      </c>
      <c r="BD164" s="37">
        <f t="shared" si="252"/>
        <v>12897.929081904407</v>
      </c>
      <c r="BE164" s="37">
        <f t="shared" si="252"/>
        <v>14017.090437626182</v>
      </c>
      <c r="BF164" s="37">
        <f t="shared" si="252"/>
        <v>16112.614226893778</v>
      </c>
      <c r="BG164" s="37"/>
      <c r="BH164" s="158">
        <f t="shared" ref="BH164:BW164" si="253">BH341</f>
        <v>115</v>
      </c>
      <c r="BI164" s="158">
        <f t="shared" si="253"/>
        <v>144</v>
      </c>
      <c r="BJ164" s="158">
        <f t="shared" si="253"/>
        <v>388</v>
      </c>
      <c r="BK164" s="158">
        <f t="shared" si="253"/>
        <v>1399</v>
      </c>
      <c r="BL164" s="158">
        <f t="shared" si="253"/>
        <v>1415</v>
      </c>
      <c r="BM164" s="158">
        <f t="shared" si="253"/>
        <v>2666</v>
      </c>
      <c r="BN164" s="158">
        <f t="shared" si="253"/>
        <v>4816</v>
      </c>
      <c r="BO164" s="158">
        <f t="shared" si="253"/>
        <v>5919</v>
      </c>
      <c r="BP164" s="158">
        <f t="shared" si="253"/>
        <v>7754</v>
      </c>
      <c r="BQ164" s="158">
        <f t="shared" si="253"/>
        <v>10273</v>
      </c>
      <c r="BR164" s="158">
        <f t="shared" si="253"/>
        <v>13600</v>
      </c>
      <c r="BS164" s="158">
        <f t="shared" si="253"/>
        <v>18447</v>
      </c>
      <c r="BT164" s="158">
        <f t="shared" si="253"/>
        <v>24655</v>
      </c>
      <c r="BU164" s="158">
        <f t="shared" si="253"/>
        <v>35338</v>
      </c>
      <c r="BV164" s="158">
        <f t="shared" si="253"/>
        <v>38483</v>
      </c>
      <c r="BW164" s="846">
        <f t="shared" si="253"/>
        <v>43873</v>
      </c>
      <c r="BX164" s="158">
        <f>SUM(AY164,AZ164,BA164,BB164)</f>
        <v>50525.378959157737</v>
      </c>
      <c r="BY164" s="158">
        <f>SUM(BC164,BD164,BE164,BF164)</f>
        <v>56733.440444829619</v>
      </c>
      <c r="BZ164" s="158">
        <f>BZ166*BZ146</f>
        <v>62547.350347695639</v>
      </c>
      <c r="CA164" s="158">
        <f>CA166*CA146</f>
        <v>65250.871923615639</v>
      </c>
      <c r="CB164" s="158">
        <f>CB166*CB146</f>
        <v>67846.289494001816</v>
      </c>
      <c r="CC164" s="117"/>
    </row>
    <row r="165" spans="1:81" s="704" customFormat="1" x14ac:dyDescent="0.55000000000000004">
      <c r="A165" s="79" t="s">
        <v>521</v>
      </c>
      <c r="B165" s="298"/>
      <c r="C165" s="54"/>
      <c r="D165" s="54"/>
      <c r="E165" s="54"/>
      <c r="F165" s="54"/>
      <c r="G165" s="54">
        <f t="shared" ref="G165:AL165" si="254">G164/C164-1</f>
        <v>0.55290102389078499</v>
      </c>
      <c r="H165" s="54">
        <f t="shared" si="254"/>
        <v>0.43023255813953498</v>
      </c>
      <c r="I165" s="54">
        <f t="shared" si="254"/>
        <v>0.64769647696476973</v>
      </c>
      <c r="J165" s="54">
        <f t="shared" si="254"/>
        <v>1.7230392156862746</v>
      </c>
      <c r="K165" s="54">
        <f t="shared" si="254"/>
        <v>1.3340659340659342</v>
      </c>
      <c r="L165" s="54">
        <f t="shared" si="254"/>
        <v>1.3780487804878048</v>
      </c>
      <c r="M165" s="54">
        <f t="shared" si="254"/>
        <v>1.0904605263157894</v>
      </c>
      <c r="N165" s="54">
        <f t="shared" si="254"/>
        <v>0.1827182718271827</v>
      </c>
      <c r="O165" s="54">
        <f t="shared" si="254"/>
        <v>0.26459510357815441</v>
      </c>
      <c r="P165" s="54">
        <f t="shared" si="254"/>
        <v>0.25726495726495724</v>
      </c>
      <c r="Q165" s="54">
        <f t="shared" si="254"/>
        <v>0.21321793863099914</v>
      </c>
      <c r="R165" s="54">
        <f t="shared" si="254"/>
        <v>0.18949771689497719</v>
      </c>
      <c r="S165" s="54">
        <f t="shared" si="254"/>
        <v>0.36559940431868942</v>
      </c>
      <c r="T165" s="54">
        <f t="shared" si="254"/>
        <v>0.30455472467709033</v>
      </c>
      <c r="U165" s="54">
        <f t="shared" si="254"/>
        <v>0.33073929961089488</v>
      </c>
      <c r="V165" s="54">
        <f t="shared" si="254"/>
        <v>0.24696097248880355</v>
      </c>
      <c r="W165" s="54">
        <f t="shared" si="254"/>
        <v>0.22028353326063255</v>
      </c>
      <c r="X165" s="54">
        <f t="shared" si="254"/>
        <v>0.31474726420010413</v>
      </c>
      <c r="Y165" s="54">
        <f t="shared" si="254"/>
        <v>0.29483430799220267</v>
      </c>
      <c r="Z165" s="54">
        <f t="shared" si="254"/>
        <v>0.46485377116469984</v>
      </c>
      <c r="AA165" s="54">
        <f t="shared" si="254"/>
        <v>0.27792672028596965</v>
      </c>
      <c r="AB165" s="54">
        <f t="shared" si="254"/>
        <v>0.31391200951248521</v>
      </c>
      <c r="AC165" s="54">
        <f t="shared" si="254"/>
        <v>0.33534060971019941</v>
      </c>
      <c r="AD165" s="54">
        <f t="shared" si="254"/>
        <v>0.35796847635726792</v>
      </c>
      <c r="AE165" s="54">
        <f t="shared" si="254"/>
        <v>0.40384615384615374</v>
      </c>
      <c r="AF165" s="54">
        <f t="shared" si="254"/>
        <v>0.34600301659125199</v>
      </c>
      <c r="AG165" s="54">
        <f t="shared" si="254"/>
        <v>0.34244644870349483</v>
      </c>
      <c r="AH165" s="54">
        <f t="shared" si="254"/>
        <v>0.34330668042300738</v>
      </c>
      <c r="AI165" s="54">
        <f t="shared" si="254"/>
        <v>0.29439601494396017</v>
      </c>
      <c r="AJ165" s="54">
        <f t="shared" si="254"/>
        <v>0.36620349619004933</v>
      </c>
      <c r="AK165" s="54">
        <f t="shared" si="254"/>
        <v>0.32605500734830994</v>
      </c>
      <c r="AL165" s="54">
        <f t="shared" si="254"/>
        <v>0.35291858678955457</v>
      </c>
      <c r="AM165" s="54">
        <f t="shared" ref="AM165:BF165" si="255">AM164/AI164-1</f>
        <v>0.48297094477583213</v>
      </c>
      <c r="AN165" s="54">
        <f t="shared" si="255"/>
        <v>0.42552493438320216</v>
      </c>
      <c r="AO165" s="54">
        <f t="shared" si="255"/>
        <v>0.45186827105763139</v>
      </c>
      <c r="AP165" s="54">
        <f t="shared" si="255"/>
        <v>0.38674425205790519</v>
      </c>
      <c r="AQ165" s="54">
        <f t="shared" si="255"/>
        <v>0.21720513818606468</v>
      </c>
      <c r="AR165" s="54">
        <f t="shared" si="255"/>
        <v>7.5258918296893018E-2</v>
      </c>
      <c r="AS165" s="54">
        <f t="shared" si="255"/>
        <v>7.7426390403489975E-3</v>
      </c>
      <c r="AT165" s="54">
        <f t="shared" si="255"/>
        <v>7.6348377852829774E-2</v>
      </c>
      <c r="AU165" s="54">
        <f t="shared" si="255"/>
        <v>6.3639270866645337E-2</v>
      </c>
      <c r="AV165" s="54">
        <f t="shared" si="255"/>
        <v>0.12767551369863006</v>
      </c>
      <c r="AW165" s="54">
        <f t="shared" si="255"/>
        <v>0.20950113624066669</v>
      </c>
      <c r="AX165" s="54">
        <f t="shared" si="255"/>
        <v>0.15812494057240656</v>
      </c>
      <c r="AY165" s="623">
        <f t="shared" si="255"/>
        <v>0.21767889356584491</v>
      </c>
      <c r="AZ165" s="54">
        <f t="shared" si="255"/>
        <v>0.1086550467464289</v>
      </c>
      <c r="BA165" s="54">
        <f t="shared" si="255"/>
        <v>0.12563114534558295</v>
      </c>
      <c r="BB165" s="54">
        <f t="shared" si="255"/>
        <v>0.15864543678678444</v>
      </c>
      <c r="BC165" s="54">
        <f t="shared" si="255"/>
        <v>0.12804993402512377</v>
      </c>
      <c r="BD165" s="54">
        <f t="shared" si="255"/>
        <v>0.10409531316303333</v>
      </c>
      <c r="BE165" s="54">
        <f t="shared" si="255"/>
        <v>0.11413167959405346</v>
      </c>
      <c r="BF165" s="54">
        <f t="shared" si="255"/>
        <v>0.14174249452941523</v>
      </c>
      <c r="BG165" s="54"/>
      <c r="BH165" s="815"/>
      <c r="BI165" s="815">
        <f t="shared" ref="BI165:CB165" si="256">BI164/BH164-1</f>
        <v>0.25217391304347836</v>
      </c>
      <c r="BJ165" s="815">
        <f t="shared" si="256"/>
        <v>1.6944444444444446</v>
      </c>
      <c r="BK165" s="815">
        <f t="shared" si="256"/>
        <v>2.6056701030927836</v>
      </c>
      <c r="BL165" s="815">
        <f t="shared" si="256"/>
        <v>1.1436740528949274E-2</v>
      </c>
      <c r="BM165" s="815">
        <f t="shared" si="256"/>
        <v>0.88409893992932864</v>
      </c>
      <c r="BN165" s="815">
        <f t="shared" si="256"/>
        <v>0.80645161290322576</v>
      </c>
      <c r="BO165" s="815">
        <f t="shared" si="256"/>
        <v>0.22902823920265791</v>
      </c>
      <c r="BP165" s="815">
        <f t="shared" si="256"/>
        <v>0.31001858422030759</v>
      </c>
      <c r="BQ165" s="815">
        <f t="shared" si="256"/>
        <v>0.3248645860201187</v>
      </c>
      <c r="BR165" s="815">
        <f t="shared" si="256"/>
        <v>0.32385865861968277</v>
      </c>
      <c r="BS165" s="815">
        <f t="shared" si="256"/>
        <v>0.35639705882352946</v>
      </c>
      <c r="BT165" s="815">
        <f t="shared" si="256"/>
        <v>0.33653168536889466</v>
      </c>
      <c r="BU165" s="815">
        <f t="shared" si="256"/>
        <v>0.43329953356317175</v>
      </c>
      <c r="BV165" s="815">
        <f t="shared" si="256"/>
        <v>8.8997679551757303E-2</v>
      </c>
      <c r="BW165" s="816">
        <f t="shared" si="256"/>
        <v>0.1400618454902165</v>
      </c>
      <c r="BX165" s="815">
        <f t="shared" si="256"/>
        <v>0.15162808467981992</v>
      </c>
      <c r="BY165" s="815">
        <f t="shared" si="256"/>
        <v>0.12287016175950272</v>
      </c>
      <c r="BZ165" s="815">
        <f t="shared" si="256"/>
        <v>0.10247765440066603</v>
      </c>
      <c r="CA165" s="815">
        <f t="shared" si="256"/>
        <v>4.3223598775828931E-2</v>
      </c>
      <c r="CB165" s="815">
        <f t="shared" si="256"/>
        <v>3.9775982969613599E-2</v>
      </c>
      <c r="CC165" s="83"/>
    </row>
    <row r="166" spans="1:81" s="709" customFormat="1" x14ac:dyDescent="0.55000000000000004">
      <c r="A166" s="262" t="s">
        <v>36</v>
      </c>
      <c r="B166" s="237"/>
      <c r="C166" s="55">
        <f t="shared" ref="C166:AH166" si="257">C164/C146</f>
        <v>0.20096021947873799</v>
      </c>
      <c r="D166" s="55">
        <f t="shared" si="257"/>
        <v>0.18974076116933261</v>
      </c>
      <c r="E166" s="55">
        <f t="shared" si="257"/>
        <v>0.18303571428571427</v>
      </c>
      <c r="F166" s="55">
        <f t="shared" si="257"/>
        <v>0.15783365570599614</v>
      </c>
      <c r="G166" s="55">
        <f t="shared" si="257"/>
        <v>0.18185451638689049</v>
      </c>
      <c r="H166" s="55">
        <f t="shared" si="257"/>
        <v>0.16907216494845362</v>
      </c>
      <c r="I166" s="55">
        <f t="shared" si="257"/>
        <v>0.18982204183577897</v>
      </c>
      <c r="J166" s="55">
        <f t="shared" si="257"/>
        <v>0.28849649441703451</v>
      </c>
      <c r="K166" s="55">
        <f t="shared" si="257"/>
        <v>0.29974597798475866</v>
      </c>
      <c r="L166" s="55">
        <f t="shared" si="257"/>
        <v>0.28946066303809997</v>
      </c>
      <c r="M166" s="55">
        <f t="shared" si="257"/>
        <v>0.28238169295712062</v>
      </c>
      <c r="N166" s="55">
        <f t="shared" si="257"/>
        <v>0.22496147919876733</v>
      </c>
      <c r="O166" s="55">
        <f t="shared" si="257"/>
        <v>0.24953548866592346</v>
      </c>
      <c r="P166" s="55">
        <f t="shared" si="257"/>
        <v>0.22855811062771908</v>
      </c>
      <c r="Q166" s="55">
        <f t="shared" si="257"/>
        <v>0.21994009413778348</v>
      </c>
      <c r="R166" s="55">
        <f t="shared" si="257"/>
        <v>0.17743217164263822</v>
      </c>
      <c r="S166" s="55">
        <f t="shared" si="257"/>
        <v>0.22833665338645417</v>
      </c>
      <c r="T166" s="55">
        <f t="shared" si="257"/>
        <v>0.20587919751099668</v>
      </c>
      <c r="U166" s="55">
        <f t="shared" si="257"/>
        <v>0.19868319132455461</v>
      </c>
      <c r="V166" s="55">
        <f t="shared" si="257"/>
        <v>0.15024668516805428</v>
      </c>
      <c r="W166" s="55">
        <f t="shared" si="257"/>
        <v>0.18702991810128697</v>
      </c>
      <c r="X166" s="55">
        <f t="shared" si="257"/>
        <v>0.19068853450230519</v>
      </c>
      <c r="Y166" s="55">
        <f t="shared" si="257"/>
        <v>0.19356013695636337</v>
      </c>
      <c r="Z166" s="55">
        <f t="shared" si="257"/>
        <v>0.16879508099798984</v>
      </c>
      <c r="AA166" s="55">
        <f t="shared" si="257"/>
        <v>0.1896929097300524</v>
      </c>
      <c r="AB166" s="55">
        <f t="shared" si="257"/>
        <v>0.19631647518654508</v>
      </c>
      <c r="AC166" s="55">
        <f t="shared" si="257"/>
        <v>0.20099705415816904</v>
      </c>
      <c r="AD166" s="55">
        <f t="shared" si="257"/>
        <v>0.1839009581633621</v>
      </c>
      <c r="AE166" s="55">
        <f t="shared" si="257"/>
        <v>0.22636297006258105</v>
      </c>
      <c r="AF166" s="55">
        <f t="shared" si="257"/>
        <v>0.23877561941456626</v>
      </c>
      <c r="AG166" s="55">
        <f t="shared" si="257"/>
        <v>0.22184443409408477</v>
      </c>
      <c r="AH166" s="55">
        <f t="shared" si="257"/>
        <v>0.18552294100883443</v>
      </c>
      <c r="AI166" s="55">
        <f t="shared" ref="AI166:AY166" si="258">AI164/AI146</f>
        <v>0.19857857934354819</v>
      </c>
      <c r="AJ166" s="55">
        <f t="shared" si="258"/>
        <v>0.2096502390205317</v>
      </c>
      <c r="AK166" s="55">
        <f t="shared" si="258"/>
        <v>0.21771802826611514</v>
      </c>
      <c r="AL166" s="55">
        <f t="shared" si="258"/>
        <v>0.20926019423242553</v>
      </c>
      <c r="AM166" s="55">
        <f t="shared" si="258"/>
        <v>0.27615737422961156</v>
      </c>
      <c r="AN166" s="55">
        <f t="shared" si="258"/>
        <v>0.30150579418499757</v>
      </c>
      <c r="AO166" s="55">
        <f t="shared" si="258"/>
        <v>0.33087969979071952</v>
      </c>
      <c r="AP166" s="55">
        <f t="shared" si="258"/>
        <v>0.30377739779263174</v>
      </c>
      <c r="AQ166" s="55">
        <f t="shared" si="258"/>
        <v>0.32749170884971202</v>
      </c>
      <c r="AR166" s="55">
        <f t="shared" si="258"/>
        <v>0.29200912528516515</v>
      </c>
      <c r="AS166" s="55">
        <f t="shared" si="258"/>
        <v>0.27063199203420607</v>
      </c>
      <c r="AT166" s="55">
        <f t="shared" si="258"/>
        <v>0.26219740220887039</v>
      </c>
      <c r="AU166" s="55">
        <f t="shared" si="258"/>
        <v>0.27370731038266355</v>
      </c>
      <c r="AV166" s="55">
        <f t="shared" si="258"/>
        <v>0.26968851577896652</v>
      </c>
      <c r="AW166" s="55">
        <f t="shared" si="258"/>
        <v>0.27537017418512405</v>
      </c>
      <c r="AX166" s="55">
        <f t="shared" si="258"/>
        <v>0.25173090833936135</v>
      </c>
      <c r="AY166" s="275">
        <f t="shared" si="258"/>
        <v>0.28713900836602541</v>
      </c>
      <c r="AZ166" s="55">
        <f t="shared" ref="AZ166:BF166" si="259">-AZ167/10000+AV166</f>
        <v>0.26868851577896652</v>
      </c>
      <c r="BA166" s="55">
        <f t="shared" si="259"/>
        <v>0.27437017418512405</v>
      </c>
      <c r="BB166" s="55">
        <f t="shared" si="259"/>
        <v>0.25073090833936135</v>
      </c>
      <c r="BC166" s="55">
        <f t="shared" si="259"/>
        <v>0.2861390083660254</v>
      </c>
      <c r="BD166" s="55">
        <f t="shared" si="259"/>
        <v>0.26768851577896652</v>
      </c>
      <c r="BE166" s="55">
        <f t="shared" si="259"/>
        <v>0.27337017418512405</v>
      </c>
      <c r="BF166" s="55">
        <f t="shared" si="259"/>
        <v>0.24973090833936135</v>
      </c>
      <c r="BG166" s="55"/>
      <c r="BH166" s="156">
        <f t="shared" ref="BH166:BY166" si="260">BH164/BH146</f>
        <v>0.148005148005148</v>
      </c>
      <c r="BI166" s="156">
        <f t="shared" si="260"/>
        <v>7.29483282674772E-2</v>
      </c>
      <c r="BJ166" s="156">
        <f t="shared" si="260"/>
        <v>0.10455402856372946</v>
      </c>
      <c r="BK166" s="156">
        <f t="shared" si="260"/>
        <v>0.27490666142660641</v>
      </c>
      <c r="BL166" s="156">
        <f t="shared" si="260"/>
        <v>0.1797510162601626</v>
      </c>
      <c r="BM166" s="156">
        <f t="shared" si="260"/>
        <v>0.21386170383442965</v>
      </c>
      <c r="BN166" s="156">
        <f t="shared" si="260"/>
        <v>0.26863007585899151</v>
      </c>
      <c r="BO166" s="156">
        <f t="shared" si="260"/>
        <v>0.21416166148057023</v>
      </c>
      <c r="BP166" s="156">
        <f t="shared" si="260"/>
        <v>0.19073623102846038</v>
      </c>
      <c r="BQ166" s="156">
        <f t="shared" si="260"/>
        <v>0.18397865253053475</v>
      </c>
      <c r="BR166" s="156">
        <f t="shared" si="260"/>
        <v>0.19237025616362788</v>
      </c>
      <c r="BS166" s="156">
        <f t="shared" si="260"/>
        <v>0.21458733205374281</v>
      </c>
      <c r="BT166" s="156">
        <f t="shared" si="260"/>
        <v>0.20906647219937419</v>
      </c>
      <c r="BU166" s="156">
        <f t="shared" si="260"/>
        <v>0.30304693462768739</v>
      </c>
      <c r="BV166" s="156">
        <f t="shared" si="260"/>
        <v>0.28526634149234259</v>
      </c>
      <c r="BW166" s="856">
        <f t="shared" si="260"/>
        <v>0.26670354587510109</v>
      </c>
      <c r="BX166" s="156">
        <f t="shared" si="260"/>
        <v>0.26885084988880453</v>
      </c>
      <c r="BY166" s="156">
        <f t="shared" si="260"/>
        <v>0.26776623552740958</v>
      </c>
      <c r="BZ166" s="156">
        <f>-BZ167/10000+BY166</f>
        <v>0.26526623552740958</v>
      </c>
      <c r="CA166" s="156">
        <f>-CA167/10000+BZ166</f>
        <v>0.26276623552740958</v>
      </c>
      <c r="CB166" s="156">
        <f>-CB167/10000+CA166</f>
        <v>0.26026623552740957</v>
      </c>
      <c r="CC166" s="24"/>
    </row>
    <row r="167" spans="1:81" x14ac:dyDescent="0.55000000000000004">
      <c r="A167" s="240" t="s">
        <v>506</v>
      </c>
      <c r="B167" s="229"/>
      <c r="C167" s="37"/>
      <c r="D167" s="37"/>
      <c r="E167" s="37"/>
      <c r="F167" s="37"/>
      <c r="G167" s="37">
        <f t="shared" ref="G167:AY167" si="261">-(G166-C166)*10000</f>
        <v>191.05703091847502</v>
      </c>
      <c r="H167" s="37">
        <f t="shared" si="261"/>
        <v>206.68596220878993</v>
      </c>
      <c r="I167" s="37">
        <f t="shared" si="261"/>
        <v>-67.863275500646964</v>
      </c>
      <c r="J167" s="37">
        <f t="shared" si="261"/>
        <v>-1306.6283871103838</v>
      </c>
      <c r="K167" s="37">
        <f t="shared" si="261"/>
        <v>-1178.9146159786817</v>
      </c>
      <c r="L167" s="37">
        <f t="shared" si="261"/>
        <v>-1203.8849808964635</v>
      </c>
      <c r="M167" s="37">
        <f t="shared" si="261"/>
        <v>-925.59651121341653</v>
      </c>
      <c r="N167" s="37">
        <f t="shared" si="261"/>
        <v>635.35015218267188</v>
      </c>
      <c r="O167" s="37">
        <f t="shared" si="261"/>
        <v>502.10489318835204</v>
      </c>
      <c r="P167" s="37">
        <f t="shared" si="261"/>
        <v>609.02552410380895</v>
      </c>
      <c r="Q167" s="37">
        <f t="shared" si="261"/>
        <v>624.41598819337139</v>
      </c>
      <c r="R167" s="37">
        <f t="shared" si="261"/>
        <v>475.29307556129106</v>
      </c>
      <c r="S167" s="37">
        <f t="shared" si="261"/>
        <v>211.98835279469282</v>
      </c>
      <c r="T167" s="37">
        <f t="shared" si="261"/>
        <v>226.78913116722404</v>
      </c>
      <c r="U167" s="37">
        <f t="shared" si="261"/>
        <v>212.56902813228868</v>
      </c>
      <c r="V167" s="37">
        <f t="shared" si="261"/>
        <v>271.85486474583934</v>
      </c>
      <c r="W167" s="37">
        <f t="shared" si="261"/>
        <v>413.06735285167207</v>
      </c>
      <c r="X167" s="37">
        <f t="shared" si="261"/>
        <v>151.90663008691484</v>
      </c>
      <c r="Y167" s="37">
        <f t="shared" si="261"/>
        <v>51.23054368191243</v>
      </c>
      <c r="Z167" s="37">
        <f t="shared" si="261"/>
        <v>-185.48395829935561</v>
      </c>
      <c r="AA167" s="37">
        <f t="shared" si="261"/>
        <v>-26.629916287654321</v>
      </c>
      <c r="AB167" s="37">
        <f t="shared" si="261"/>
        <v>-56.279406842398849</v>
      </c>
      <c r="AC167" s="37">
        <f t="shared" si="261"/>
        <v>-74.369172018056702</v>
      </c>
      <c r="AD167" s="37">
        <f t="shared" si="261"/>
        <v>-151.0587716537226</v>
      </c>
      <c r="AE167" s="37">
        <f t="shared" si="261"/>
        <v>-366.70060332528647</v>
      </c>
      <c r="AF167" s="37">
        <f t="shared" si="261"/>
        <v>-424.59144228021188</v>
      </c>
      <c r="AG167" s="37">
        <f t="shared" si="261"/>
        <v>-208.47379935915734</v>
      </c>
      <c r="AH167" s="37">
        <f t="shared" si="261"/>
        <v>-16.219828454723249</v>
      </c>
      <c r="AI167" s="37">
        <f t="shared" si="261"/>
        <v>277.84390719032854</v>
      </c>
      <c r="AJ167" s="37">
        <f t="shared" si="261"/>
        <v>291.25380394034562</v>
      </c>
      <c r="AK167" s="37">
        <f t="shared" si="261"/>
        <v>41.264058279696371</v>
      </c>
      <c r="AL167" s="37">
        <f t="shared" si="261"/>
        <v>-237.37253223591102</v>
      </c>
      <c r="AM167" s="37">
        <f t="shared" si="261"/>
        <v>-775.78794886063372</v>
      </c>
      <c r="AN167" s="37">
        <f t="shared" si="261"/>
        <v>-918.55555164465864</v>
      </c>
      <c r="AO167" s="37">
        <f t="shared" si="261"/>
        <v>-1131.6167152460439</v>
      </c>
      <c r="AP167" s="37">
        <f t="shared" si="261"/>
        <v>-945.17203560206212</v>
      </c>
      <c r="AQ167" s="37">
        <f t="shared" si="261"/>
        <v>-513.34334620100458</v>
      </c>
      <c r="AR167" s="37">
        <f t="shared" si="261"/>
        <v>94.966688998324173</v>
      </c>
      <c r="AS167" s="37">
        <f t="shared" si="261"/>
        <v>602.47707756513444</v>
      </c>
      <c r="AT167" s="37">
        <f t="shared" si="261"/>
        <v>415.79995583761354</v>
      </c>
      <c r="AU167" s="37">
        <f t="shared" si="261"/>
        <v>537.8439846704847</v>
      </c>
      <c r="AV167" s="37">
        <f t="shared" si="261"/>
        <v>223.2060950619863</v>
      </c>
      <c r="AW167" s="37">
        <f t="shared" si="261"/>
        <v>-47.381821509179801</v>
      </c>
      <c r="AX167" s="37">
        <f t="shared" si="261"/>
        <v>104.66493869509041</v>
      </c>
      <c r="AY167" s="273">
        <f t="shared" si="261"/>
        <v>-134.31697983361857</v>
      </c>
      <c r="AZ167" s="759">
        <v>10</v>
      </c>
      <c r="BA167" s="759">
        <v>10</v>
      </c>
      <c r="BB167" s="759">
        <v>10</v>
      </c>
      <c r="BC167" s="759">
        <v>10</v>
      </c>
      <c r="BD167" s="759">
        <v>10</v>
      </c>
      <c r="BE167" s="759">
        <v>10</v>
      </c>
      <c r="BF167" s="759">
        <v>10</v>
      </c>
      <c r="BG167" s="759"/>
      <c r="BH167" s="158"/>
      <c r="BI167" s="158">
        <f t="shared" ref="BI167:BY167" si="262">-(BI166-BH166)*10000</f>
        <v>750.56819737670799</v>
      </c>
      <c r="BJ167" s="158">
        <f t="shared" si="262"/>
        <v>-316.05700296252257</v>
      </c>
      <c r="BK167" s="158">
        <f t="shared" si="262"/>
        <v>-1703.5263286287693</v>
      </c>
      <c r="BL167" s="158">
        <f t="shared" si="262"/>
        <v>951.5564516644381</v>
      </c>
      <c r="BM167" s="158">
        <f t="shared" si="262"/>
        <v>-341.10687574267052</v>
      </c>
      <c r="BN167" s="158">
        <f t="shared" si="262"/>
        <v>-547.68372024561859</v>
      </c>
      <c r="BO167" s="158">
        <f t="shared" si="262"/>
        <v>544.68414378421289</v>
      </c>
      <c r="BP167" s="158">
        <f t="shared" si="262"/>
        <v>234.25430452109848</v>
      </c>
      <c r="BQ167" s="158">
        <f t="shared" si="262"/>
        <v>67.575784979256312</v>
      </c>
      <c r="BR167" s="158">
        <f t="shared" si="262"/>
        <v>-83.916036330931306</v>
      </c>
      <c r="BS167" s="158">
        <f t="shared" si="262"/>
        <v>-222.1707589011493</v>
      </c>
      <c r="BT167" s="158">
        <f t="shared" si="262"/>
        <v>55.208598543686207</v>
      </c>
      <c r="BU167" s="158">
        <f t="shared" si="262"/>
        <v>-939.80462428313206</v>
      </c>
      <c r="BV167" s="158">
        <f t="shared" si="262"/>
        <v>177.80593135344802</v>
      </c>
      <c r="BW167" s="846">
        <f t="shared" si="262"/>
        <v>185.627956172415</v>
      </c>
      <c r="BX167" s="158">
        <f t="shared" si="262"/>
        <v>-21.473040137034438</v>
      </c>
      <c r="BY167" s="158">
        <f t="shared" si="262"/>
        <v>10.846143613949533</v>
      </c>
      <c r="BZ167" s="857">
        <v>25</v>
      </c>
      <c r="CA167" s="857">
        <v>25</v>
      </c>
      <c r="CB167" s="857">
        <v>25</v>
      </c>
      <c r="CC167" s="117"/>
    </row>
    <row r="168" spans="1:81" x14ac:dyDescent="0.55000000000000004">
      <c r="A168" s="322"/>
      <c r="B168" s="75"/>
      <c r="C168" s="54"/>
      <c r="D168" s="54"/>
      <c r="E168" s="54"/>
      <c r="F168" s="54"/>
      <c r="G168" s="54"/>
      <c r="H168" s="54"/>
      <c r="I168" s="54"/>
      <c r="J168" s="54"/>
      <c r="K168" s="54"/>
      <c r="L168" s="54"/>
      <c r="M168" s="54"/>
      <c r="N168" s="54"/>
      <c r="O168" s="54"/>
      <c r="P168" s="567"/>
      <c r="Q168" s="567"/>
      <c r="R168" s="567"/>
      <c r="S168" s="54"/>
      <c r="T168" s="567"/>
      <c r="U168" s="54"/>
      <c r="V168" s="567"/>
      <c r="W168" s="54"/>
      <c r="X168" s="567"/>
      <c r="Y168" s="54"/>
      <c r="Z168" s="567"/>
      <c r="AA168" s="54"/>
      <c r="AB168" s="567"/>
      <c r="AC168" s="54"/>
      <c r="AD168" s="567"/>
      <c r="AE168" s="54"/>
      <c r="AF168" s="567"/>
      <c r="AG168" s="54"/>
      <c r="AH168" s="567"/>
      <c r="AI168" s="54"/>
      <c r="AJ168" s="567"/>
      <c r="AK168" s="54"/>
      <c r="AL168" s="567"/>
      <c r="AM168" s="54"/>
      <c r="AN168" s="567"/>
      <c r="AO168" s="54"/>
      <c r="AP168" s="567"/>
      <c r="AQ168" s="54"/>
      <c r="AR168" s="567"/>
      <c r="AS168" s="54"/>
      <c r="AT168" s="567"/>
      <c r="AU168" s="54"/>
      <c r="AV168" s="567"/>
      <c r="AW168" s="54"/>
      <c r="AX168" s="567"/>
      <c r="AY168" s="623"/>
      <c r="AZ168" s="54"/>
      <c r="BA168" s="54"/>
      <c r="BB168" s="54"/>
      <c r="BC168" s="54"/>
      <c r="BD168" s="54"/>
      <c r="BE168" s="54"/>
      <c r="BF168" s="54"/>
      <c r="BG168" s="54"/>
      <c r="BH168" s="815"/>
      <c r="BI168" s="815"/>
      <c r="BJ168" s="815"/>
      <c r="BK168" s="815"/>
      <c r="BL168" s="815"/>
      <c r="BM168" s="815"/>
      <c r="BN168" s="815"/>
      <c r="BO168" s="817"/>
      <c r="BP168" s="817"/>
      <c r="BQ168" s="817"/>
      <c r="BR168" s="817"/>
      <c r="BS168" s="817"/>
      <c r="BT168" s="817"/>
      <c r="BU168" s="817"/>
      <c r="BV168" s="817"/>
      <c r="BW168" s="819"/>
      <c r="BX168" s="817"/>
      <c r="BY168" s="817"/>
      <c r="BZ168" s="817"/>
      <c r="CA168" s="817"/>
      <c r="CB168" s="817"/>
      <c r="CC168" s="54"/>
    </row>
    <row r="169" spans="1:81" s="703" customFormat="1" x14ac:dyDescent="0.55000000000000004">
      <c r="A169" s="194" t="s">
        <v>511</v>
      </c>
      <c r="B169" s="231"/>
      <c r="C169" s="33">
        <f t="shared" ref="C169:AH169" si="263">C388</f>
        <v>373</v>
      </c>
      <c r="D169" s="33">
        <f t="shared" si="263"/>
        <v>562</v>
      </c>
      <c r="E169" s="33">
        <f t="shared" si="263"/>
        <v>736</v>
      </c>
      <c r="F169" s="33">
        <f t="shared" si="263"/>
        <v>1133</v>
      </c>
      <c r="G169" s="33">
        <f t="shared" si="263"/>
        <v>1075</v>
      </c>
      <c r="H169" s="33">
        <f t="shared" si="263"/>
        <v>1390</v>
      </c>
      <c r="I169" s="33">
        <f t="shared" si="263"/>
        <v>1397</v>
      </c>
      <c r="J169" s="33">
        <f t="shared" si="263"/>
        <v>1133</v>
      </c>
      <c r="K169" s="33">
        <f t="shared" si="263"/>
        <v>933</v>
      </c>
      <c r="L169" s="33">
        <f t="shared" si="263"/>
        <v>1273</v>
      </c>
      <c r="M169" s="33">
        <f t="shared" si="263"/>
        <v>1459</v>
      </c>
      <c r="N169" s="33">
        <f t="shared" si="263"/>
        <v>2560</v>
      </c>
      <c r="O169" s="33">
        <f t="shared" si="263"/>
        <v>2010</v>
      </c>
      <c r="P169" s="33">
        <f t="shared" si="263"/>
        <v>2734</v>
      </c>
      <c r="Q169" s="33">
        <f t="shared" si="263"/>
        <v>3117</v>
      </c>
      <c r="R169" s="33">
        <f t="shared" si="263"/>
        <v>4566</v>
      </c>
      <c r="S169" s="33">
        <f t="shared" si="263"/>
        <v>3327</v>
      </c>
      <c r="T169" s="33">
        <f t="shared" si="263"/>
        <v>4401</v>
      </c>
      <c r="U169" s="33">
        <f t="shared" si="263"/>
        <v>5122</v>
      </c>
      <c r="V169" s="33">
        <f t="shared" si="263"/>
        <v>7352</v>
      </c>
      <c r="W169" s="33">
        <f t="shared" si="263"/>
        <v>5449</v>
      </c>
      <c r="X169" s="33">
        <f t="shared" si="263"/>
        <v>5863</v>
      </c>
      <c r="Y169" s="33">
        <f t="shared" si="263"/>
        <v>5781</v>
      </c>
      <c r="Z169" s="33">
        <f t="shared" si="263"/>
        <v>7820</v>
      </c>
      <c r="AA169" s="33">
        <f t="shared" si="263"/>
        <v>3317</v>
      </c>
      <c r="AB169" s="33">
        <f t="shared" si="263"/>
        <v>4626</v>
      </c>
      <c r="AC169" s="33">
        <f t="shared" si="263"/>
        <v>7185</v>
      </c>
      <c r="AD169" s="33">
        <f t="shared" si="263"/>
        <v>8858</v>
      </c>
      <c r="AE169" s="33">
        <f t="shared" si="263"/>
        <v>5893</v>
      </c>
      <c r="AF169" s="33">
        <f t="shared" si="263"/>
        <v>5963</v>
      </c>
      <c r="AG169" s="33">
        <f t="shared" si="263"/>
        <v>8040</v>
      </c>
      <c r="AH169" s="33">
        <f t="shared" si="263"/>
        <v>12775</v>
      </c>
      <c r="AI169" s="33">
        <f t="shared" ref="AI169:AY169" si="264">AI388</f>
        <v>11378</v>
      </c>
      <c r="AJ169" s="33">
        <f t="shared" si="264"/>
        <v>12367</v>
      </c>
      <c r="AK169" s="33">
        <f t="shared" si="264"/>
        <v>10423</v>
      </c>
      <c r="AL169" s="33">
        <f t="shared" si="264"/>
        <v>12585</v>
      </c>
      <c r="AM169" s="33">
        <f t="shared" si="264"/>
        <v>8524</v>
      </c>
      <c r="AN169" s="33">
        <f t="shared" si="264"/>
        <v>8358</v>
      </c>
      <c r="AO169" s="33">
        <f t="shared" si="264"/>
        <v>5664</v>
      </c>
      <c r="AP169" s="33">
        <f t="shared" si="264"/>
        <v>6399</v>
      </c>
      <c r="AQ169" s="33">
        <f t="shared" si="264"/>
        <v>7227</v>
      </c>
      <c r="AR169" s="33">
        <f t="shared" si="264"/>
        <v>9392</v>
      </c>
      <c r="AS169" s="33">
        <f t="shared" si="264"/>
        <v>13748</v>
      </c>
      <c r="AT169" s="33">
        <f t="shared" si="264"/>
        <v>16384</v>
      </c>
      <c r="AU169" s="33">
        <f t="shared" si="264"/>
        <v>13818</v>
      </c>
      <c r="AV169" s="33">
        <f t="shared" si="264"/>
        <v>14847</v>
      </c>
      <c r="AW169" s="33">
        <f t="shared" si="264"/>
        <v>17350</v>
      </c>
      <c r="AX169" s="33">
        <f t="shared" si="264"/>
        <v>23365</v>
      </c>
      <c r="AY169" s="409">
        <f t="shared" si="264"/>
        <v>17555</v>
      </c>
      <c r="AZ169" s="33">
        <f t="shared" ref="AZ169:BF169" si="265">AZ95</f>
        <v>15172.161394700142</v>
      </c>
      <c r="BA169" s="33">
        <f t="shared" si="265"/>
        <v>18420.01769077358</v>
      </c>
      <c r="BB169" s="33">
        <f t="shared" si="265"/>
        <v>21235.102343664119</v>
      </c>
      <c r="BC169" s="33">
        <f t="shared" si="265"/>
        <v>25243.034395265146</v>
      </c>
      <c r="BD169" s="33">
        <f t="shared" si="265"/>
        <v>21712.038203563465</v>
      </c>
      <c r="BE169" s="33">
        <f t="shared" si="265"/>
        <v>22877.481440944972</v>
      </c>
      <c r="BF169" s="33">
        <f t="shared" si="265"/>
        <v>27181.396702436774</v>
      </c>
      <c r="BG169" s="33"/>
      <c r="BH169" s="833">
        <f t="shared" ref="BH169:BW169" si="266">BH388</f>
        <v>262</v>
      </c>
      <c r="BI169" s="833">
        <f t="shared" si="266"/>
        <v>1032</v>
      </c>
      <c r="BJ169" s="833">
        <f t="shared" si="266"/>
        <v>1756</v>
      </c>
      <c r="BK169" s="833">
        <f t="shared" si="266"/>
        <v>538</v>
      </c>
      <c r="BL169" s="833">
        <f t="shared" si="266"/>
        <v>2804</v>
      </c>
      <c r="BM169" s="833">
        <f t="shared" si="266"/>
        <v>4994</v>
      </c>
      <c r="BN169" s="833">
        <f t="shared" si="266"/>
        <v>6225</v>
      </c>
      <c r="BO169" s="833">
        <f t="shared" si="266"/>
        <v>12427</v>
      </c>
      <c r="BP169" s="833">
        <f t="shared" si="266"/>
        <v>20203</v>
      </c>
      <c r="BQ169" s="833">
        <f t="shared" si="266"/>
        <v>24913</v>
      </c>
      <c r="BR169" s="833">
        <f t="shared" si="266"/>
        <v>23986</v>
      </c>
      <c r="BS169" s="833">
        <f t="shared" si="266"/>
        <v>32671</v>
      </c>
      <c r="BT169" s="833">
        <f t="shared" si="266"/>
        <v>46753</v>
      </c>
      <c r="BU169" s="833">
        <f t="shared" si="266"/>
        <v>28944</v>
      </c>
      <c r="BV169" s="833">
        <f t="shared" si="266"/>
        <v>46751</v>
      </c>
      <c r="BW169" s="835">
        <f t="shared" si="266"/>
        <v>69380</v>
      </c>
      <c r="BX169" s="833">
        <f>SUM(AY169,AZ169,BA169,BB169)</f>
        <v>72382.281429137831</v>
      </c>
      <c r="BY169" s="833">
        <f>SUM(BC169,BD169,BE169,BF169)</f>
        <v>97013.950742210363</v>
      </c>
      <c r="BZ169" s="833">
        <f>BZ95</f>
        <v>116910.72203755559</v>
      </c>
      <c r="CA169" s="833">
        <f>CA95</f>
        <v>132473.91806809118</v>
      </c>
      <c r="CB169" s="833">
        <f>CB95</f>
        <v>148826.03605742412</v>
      </c>
      <c r="CC169" s="6"/>
    </row>
    <row r="170" spans="1:81" s="704" customFormat="1" x14ac:dyDescent="0.55000000000000004">
      <c r="A170" s="79" t="s">
        <v>522</v>
      </c>
      <c r="B170" s="298"/>
      <c r="C170" s="54"/>
      <c r="D170" s="54"/>
      <c r="E170" s="54"/>
      <c r="F170" s="54"/>
      <c r="G170" s="54">
        <f t="shared" ref="G170:AL170" si="267">G169/C169-1</f>
        <v>1.8820375335120643</v>
      </c>
      <c r="H170" s="54">
        <f t="shared" si="267"/>
        <v>1.4733096085409252</v>
      </c>
      <c r="I170" s="54">
        <f t="shared" si="267"/>
        <v>0.89809782608695654</v>
      </c>
      <c r="J170" s="54">
        <f t="shared" si="267"/>
        <v>0</v>
      </c>
      <c r="K170" s="54">
        <f t="shared" si="267"/>
        <v>-0.13209302325581396</v>
      </c>
      <c r="L170" s="54">
        <f t="shared" si="267"/>
        <v>-8.4172661870503651E-2</v>
      </c>
      <c r="M170" s="54">
        <f t="shared" si="267"/>
        <v>4.4380816034359283E-2</v>
      </c>
      <c r="N170" s="54">
        <f t="shared" si="267"/>
        <v>1.259488084730803</v>
      </c>
      <c r="O170" s="54">
        <f t="shared" si="267"/>
        <v>1.1543408360128615</v>
      </c>
      <c r="P170" s="54">
        <f t="shared" si="267"/>
        <v>1.1476826394344068</v>
      </c>
      <c r="Q170" s="54">
        <f t="shared" si="267"/>
        <v>1.1363947909527075</v>
      </c>
      <c r="R170" s="54">
        <f t="shared" si="267"/>
        <v>0.78359375000000009</v>
      </c>
      <c r="S170" s="54">
        <f t="shared" si="267"/>
        <v>0.65522388059701497</v>
      </c>
      <c r="T170" s="54">
        <f t="shared" si="267"/>
        <v>0.60972933430870513</v>
      </c>
      <c r="U170" s="54">
        <f t="shared" si="267"/>
        <v>0.64324671158164892</v>
      </c>
      <c r="V170" s="54">
        <f t="shared" si="267"/>
        <v>0.61016206745510293</v>
      </c>
      <c r="W170" s="54">
        <f t="shared" si="267"/>
        <v>0.63781184250075151</v>
      </c>
      <c r="X170" s="54">
        <f t="shared" si="267"/>
        <v>0.33219722790274941</v>
      </c>
      <c r="Y170" s="54">
        <f t="shared" si="267"/>
        <v>0.1286606794221008</v>
      </c>
      <c r="Z170" s="54">
        <f t="shared" si="267"/>
        <v>6.3656147986942413E-2</v>
      </c>
      <c r="AA170" s="54">
        <f t="shared" si="267"/>
        <v>-0.39126445219306294</v>
      </c>
      <c r="AB170" s="54">
        <f t="shared" si="267"/>
        <v>-0.21098413781340608</v>
      </c>
      <c r="AC170" s="54">
        <f t="shared" si="267"/>
        <v>0.24286455630513748</v>
      </c>
      <c r="AD170" s="54">
        <f t="shared" si="267"/>
        <v>0.13273657289002561</v>
      </c>
      <c r="AE170" s="54">
        <f t="shared" si="267"/>
        <v>0.77660536629484467</v>
      </c>
      <c r="AF170" s="54">
        <f t="shared" si="267"/>
        <v>0.28901859057501089</v>
      </c>
      <c r="AG170" s="54">
        <f t="shared" si="267"/>
        <v>0.1189979123173277</v>
      </c>
      <c r="AH170" s="54">
        <f t="shared" si="267"/>
        <v>0.44219914201851429</v>
      </c>
      <c r="AI170" s="54">
        <f t="shared" si="267"/>
        <v>0.93076531478024771</v>
      </c>
      <c r="AJ170" s="54">
        <f t="shared" si="267"/>
        <v>1.0739560623847058</v>
      </c>
      <c r="AK170" s="54">
        <f t="shared" si="267"/>
        <v>0.29639303482587054</v>
      </c>
      <c r="AL170" s="54">
        <f t="shared" si="267"/>
        <v>-1.4872798434442225E-2</v>
      </c>
      <c r="AM170" s="54">
        <f t="shared" ref="AM170:BF170" si="268">AM169/AI169-1</f>
        <v>-0.25083494462998768</v>
      </c>
      <c r="AN170" s="54">
        <f t="shared" si="268"/>
        <v>-0.32416915986092021</v>
      </c>
      <c r="AO170" s="54">
        <f t="shared" si="268"/>
        <v>-0.45658639547155333</v>
      </c>
      <c r="AP170" s="54">
        <f t="shared" si="268"/>
        <v>-0.4915375446960667</v>
      </c>
      <c r="AQ170" s="54">
        <f t="shared" si="268"/>
        <v>-0.15215861098076022</v>
      </c>
      <c r="AR170" s="54">
        <f t="shared" si="268"/>
        <v>0.12371380713089253</v>
      </c>
      <c r="AS170" s="54">
        <f t="shared" si="268"/>
        <v>1.4272598870056497</v>
      </c>
      <c r="AT170" s="54">
        <f t="shared" si="268"/>
        <v>1.5604000625097671</v>
      </c>
      <c r="AU170" s="54">
        <f t="shared" si="268"/>
        <v>0.91199667911996674</v>
      </c>
      <c r="AV170" s="54">
        <f t="shared" si="268"/>
        <v>0.58081345826235098</v>
      </c>
      <c r="AW170" s="54">
        <f t="shared" si="268"/>
        <v>0.26200174570846668</v>
      </c>
      <c r="AX170" s="54">
        <f t="shared" si="268"/>
        <v>0.42608642578125</v>
      </c>
      <c r="AY170" s="623">
        <f t="shared" si="268"/>
        <v>0.27044434795194672</v>
      </c>
      <c r="AZ170" s="54">
        <f t="shared" si="268"/>
        <v>2.190081462249216E-2</v>
      </c>
      <c r="BA170" s="54">
        <f t="shared" si="268"/>
        <v>6.1672489381762619E-2</v>
      </c>
      <c r="BB170" s="54">
        <f t="shared" si="268"/>
        <v>-9.1157614223662753E-2</v>
      </c>
      <c r="BC170" s="54">
        <f t="shared" si="268"/>
        <v>0.43793986871348034</v>
      </c>
      <c r="BD170" s="54">
        <f t="shared" si="268"/>
        <v>0.43104450570554809</v>
      </c>
      <c r="BE170" s="54">
        <f t="shared" si="268"/>
        <v>0.24199019919530773</v>
      </c>
      <c r="BF170" s="54">
        <f t="shared" si="268"/>
        <v>0.28002193078889692</v>
      </c>
      <c r="BG170" s="54"/>
      <c r="BH170" s="815"/>
      <c r="BI170" s="815">
        <f t="shared" ref="BI170:CB170" si="269">BI169/BH169-1</f>
        <v>2.9389312977099236</v>
      </c>
      <c r="BJ170" s="815">
        <f t="shared" si="269"/>
        <v>0.70155038759689914</v>
      </c>
      <c r="BK170" s="815">
        <f t="shared" si="269"/>
        <v>-0.69362186788154889</v>
      </c>
      <c r="BL170" s="815">
        <f t="shared" si="269"/>
        <v>4.2118959107806688</v>
      </c>
      <c r="BM170" s="815">
        <f t="shared" si="269"/>
        <v>0.7810271041369472</v>
      </c>
      <c r="BN170" s="815">
        <f t="shared" si="269"/>
        <v>0.2464957949539448</v>
      </c>
      <c r="BO170" s="815">
        <f t="shared" si="269"/>
        <v>0.99630522088353413</v>
      </c>
      <c r="BP170" s="815">
        <f t="shared" si="269"/>
        <v>0.62573428824334121</v>
      </c>
      <c r="BQ170" s="815">
        <f t="shared" si="269"/>
        <v>0.23313369301588871</v>
      </c>
      <c r="BR170" s="815">
        <f t="shared" si="269"/>
        <v>-3.7209489021795883E-2</v>
      </c>
      <c r="BS170" s="815">
        <f t="shared" si="269"/>
        <v>0.36208621695989329</v>
      </c>
      <c r="BT170" s="815">
        <f t="shared" si="269"/>
        <v>0.43102445593951821</v>
      </c>
      <c r="BU170" s="815">
        <f t="shared" si="269"/>
        <v>-0.38091673261608883</v>
      </c>
      <c r="BV170" s="815">
        <f t="shared" si="269"/>
        <v>0.61522249861802103</v>
      </c>
      <c r="BW170" s="816">
        <f t="shared" si="269"/>
        <v>0.48403242711385852</v>
      </c>
      <c r="BX170" s="815">
        <f t="shared" si="269"/>
        <v>4.3273009932802475E-2</v>
      </c>
      <c r="BY170" s="815">
        <f t="shared" si="269"/>
        <v>0.3402997090826283</v>
      </c>
      <c r="BZ170" s="815">
        <f t="shared" si="269"/>
        <v>0.2050918568218687</v>
      </c>
      <c r="CA170" s="815">
        <f t="shared" si="269"/>
        <v>0.13312034823919894</v>
      </c>
      <c r="CB170" s="815">
        <f t="shared" si="269"/>
        <v>0.12343650907137804</v>
      </c>
      <c r="CC170" s="83"/>
    </row>
    <row r="171" spans="1:81" s="709" customFormat="1" x14ac:dyDescent="0.55000000000000004">
      <c r="A171" s="262" t="s">
        <v>454</v>
      </c>
      <c r="B171" s="237"/>
      <c r="C171" s="55">
        <f t="shared" ref="C171:AH171" si="270">C169/C146</f>
        <v>0.25582990397805211</v>
      </c>
      <c r="D171" s="55">
        <f t="shared" si="270"/>
        <v>0.3099834528405957</v>
      </c>
      <c r="E171" s="55">
        <f t="shared" si="270"/>
        <v>0.36507936507936506</v>
      </c>
      <c r="F171" s="55">
        <f t="shared" si="270"/>
        <v>0.43829787234042555</v>
      </c>
      <c r="G171" s="55">
        <f t="shared" si="270"/>
        <v>0.42965627498001596</v>
      </c>
      <c r="H171" s="55">
        <f t="shared" si="270"/>
        <v>0.47766323024054985</v>
      </c>
      <c r="I171" s="55">
        <f t="shared" si="270"/>
        <v>0.43615360599438024</v>
      </c>
      <c r="J171" s="55">
        <f t="shared" si="270"/>
        <v>0.2942092962866788</v>
      </c>
      <c r="K171" s="55">
        <f t="shared" si="270"/>
        <v>0.26333615580016934</v>
      </c>
      <c r="L171" s="55">
        <f t="shared" si="270"/>
        <v>0.31494309747649679</v>
      </c>
      <c r="M171" s="55">
        <f t="shared" si="270"/>
        <v>0.32415018884692293</v>
      </c>
      <c r="N171" s="55">
        <f t="shared" si="270"/>
        <v>0.43828111624721794</v>
      </c>
      <c r="O171" s="55">
        <f t="shared" si="270"/>
        <v>0.37346711259754739</v>
      </c>
      <c r="P171" s="55">
        <f t="shared" si="270"/>
        <v>0.42479801118707272</v>
      </c>
      <c r="Q171" s="55">
        <f t="shared" si="270"/>
        <v>0.44458707744972187</v>
      </c>
      <c r="R171" s="55">
        <f t="shared" si="270"/>
        <v>0.5183335225337723</v>
      </c>
      <c r="S171" s="55">
        <f t="shared" si="270"/>
        <v>0.41421812749003983</v>
      </c>
      <c r="T171" s="55">
        <f t="shared" si="270"/>
        <v>0.47215963952365625</v>
      </c>
      <c r="U171" s="55">
        <f t="shared" si="270"/>
        <v>0.49593338497288925</v>
      </c>
      <c r="V171" s="55">
        <f t="shared" si="270"/>
        <v>0.56675917360468697</v>
      </c>
      <c r="W171" s="55">
        <f t="shared" si="270"/>
        <v>0.45537355841551064</v>
      </c>
      <c r="X171" s="55">
        <f t="shared" si="270"/>
        <v>0.44312599198851182</v>
      </c>
      <c r="Y171" s="55">
        <f t="shared" si="270"/>
        <v>0.42114081736723247</v>
      </c>
      <c r="Z171" s="55">
        <f t="shared" si="270"/>
        <v>0.46233889085964291</v>
      </c>
      <c r="AA171" s="55">
        <f t="shared" si="270"/>
        <v>0.22000397957153281</v>
      </c>
      <c r="AB171" s="55">
        <f t="shared" si="270"/>
        <v>0.27395475541869002</v>
      </c>
      <c r="AC171" s="55">
        <f t="shared" si="270"/>
        <v>0.40703602991162474</v>
      </c>
      <c r="AD171" s="55">
        <f t="shared" si="270"/>
        <v>0.42016886443411439</v>
      </c>
      <c r="AE171" s="55">
        <f t="shared" si="270"/>
        <v>0.33224333314540228</v>
      </c>
      <c r="AF171" s="55">
        <f t="shared" si="270"/>
        <v>0.31909883876491679</v>
      </c>
      <c r="AG171" s="55">
        <f t="shared" si="270"/>
        <v>0.37447601304145317</v>
      </c>
      <c r="AH171" s="55">
        <f t="shared" si="270"/>
        <v>0.45507979481333716</v>
      </c>
      <c r="AI171" s="55">
        <f t="shared" ref="AI171:BF171" si="271">AI169/AI146</f>
        <v>0.43475602766420846</v>
      </c>
      <c r="AJ171" s="55">
        <f t="shared" si="271"/>
        <v>0.42531898063761736</v>
      </c>
      <c r="AK171" s="55">
        <f t="shared" si="271"/>
        <v>0.35928990003447087</v>
      </c>
      <c r="AL171" s="55">
        <f t="shared" si="271"/>
        <v>0.37376377297971547</v>
      </c>
      <c r="AM171" s="55">
        <f t="shared" si="271"/>
        <v>0.30543213415508097</v>
      </c>
      <c r="AN171" s="55">
        <f t="shared" si="271"/>
        <v>0.28998681562695161</v>
      </c>
      <c r="AO171" s="55">
        <f t="shared" si="271"/>
        <v>0.20437324096124701</v>
      </c>
      <c r="AP171" s="55">
        <f t="shared" si="271"/>
        <v>0.19894295041193844</v>
      </c>
      <c r="AQ171" s="55">
        <f t="shared" si="271"/>
        <v>0.25229533950078548</v>
      </c>
      <c r="AR171" s="55">
        <f t="shared" si="271"/>
        <v>0.29350917216163003</v>
      </c>
      <c r="AS171" s="55">
        <f t="shared" si="271"/>
        <v>0.40262402624026239</v>
      </c>
      <c r="AT171" s="55">
        <f t="shared" si="271"/>
        <v>0.4084665054473835</v>
      </c>
      <c r="AU171" s="55">
        <f t="shared" si="271"/>
        <v>0.37904265532848719</v>
      </c>
      <c r="AV171" s="55">
        <f t="shared" si="271"/>
        <v>0.38000051188861306</v>
      </c>
      <c r="AW171" s="55">
        <f t="shared" si="271"/>
        <v>0.4274557146024785</v>
      </c>
      <c r="AX171" s="55">
        <f t="shared" si="271"/>
        <v>0.48289759222899659</v>
      </c>
      <c r="AY171" s="275">
        <f t="shared" si="271"/>
        <v>0.41487450961856598</v>
      </c>
      <c r="AZ171" s="55">
        <f t="shared" si="271"/>
        <v>0.34896601963890828</v>
      </c>
      <c r="BA171" s="55">
        <f t="shared" si="271"/>
        <v>0.40170347605489926</v>
      </c>
      <c r="BB171" s="55">
        <f t="shared" si="271"/>
        <v>0.37728052575016668</v>
      </c>
      <c r="BC171" s="55">
        <f t="shared" si="271"/>
        <v>0.52700413692913661</v>
      </c>
      <c r="BD171" s="55">
        <f t="shared" si="271"/>
        <v>0.45061988202449932</v>
      </c>
      <c r="BE171" s="55">
        <f t="shared" si="271"/>
        <v>0.44617113046801449</v>
      </c>
      <c r="BF171" s="55">
        <f t="shared" si="271"/>
        <v>0.4212869986735025</v>
      </c>
      <c r="BG171" s="55"/>
      <c r="BH171" s="156">
        <f t="shared" ref="BH171:CB171" si="272">BH169/BH146</f>
        <v>0.33719433719433717</v>
      </c>
      <c r="BI171" s="156">
        <f t="shared" si="272"/>
        <v>0.52279635258358659</v>
      </c>
      <c r="BJ171" s="156">
        <f t="shared" si="272"/>
        <v>0.47318781999461063</v>
      </c>
      <c r="BK171" s="156">
        <f t="shared" si="272"/>
        <v>0.10571821575948123</v>
      </c>
      <c r="BL171" s="156">
        <f t="shared" si="272"/>
        <v>0.35619918699186992</v>
      </c>
      <c r="BM171" s="156">
        <f t="shared" si="272"/>
        <v>0.40060965827049577</v>
      </c>
      <c r="BN171" s="156">
        <f t="shared" si="272"/>
        <v>0.34722222222222221</v>
      </c>
      <c r="BO171" s="156">
        <f t="shared" si="272"/>
        <v>0.44963456111151312</v>
      </c>
      <c r="BP171" s="156">
        <f t="shared" si="272"/>
        <v>0.49696209381841439</v>
      </c>
      <c r="BQ171" s="156">
        <f t="shared" si="272"/>
        <v>0.44616569361366809</v>
      </c>
      <c r="BR171" s="156">
        <f t="shared" si="272"/>
        <v>0.33927889443682191</v>
      </c>
      <c r="BS171" s="156">
        <f t="shared" si="272"/>
        <v>0.3800500203571221</v>
      </c>
      <c r="BT171" s="156">
        <f t="shared" si="272"/>
        <v>0.39645040660058173</v>
      </c>
      <c r="BU171" s="156">
        <f t="shared" si="272"/>
        <v>0.24821411726367604</v>
      </c>
      <c r="BV171" s="156">
        <f t="shared" si="272"/>
        <v>0.34655527716416362</v>
      </c>
      <c r="BW171" s="856">
        <f t="shared" si="272"/>
        <v>0.42176035404040096</v>
      </c>
      <c r="BX171" s="156">
        <f t="shared" si="272"/>
        <v>0.38515372432624184</v>
      </c>
      <c r="BY171" s="156">
        <f t="shared" si="272"/>
        <v>0.45787916580071641</v>
      </c>
      <c r="BZ171" s="156">
        <f t="shared" si="272"/>
        <v>0.49582383514725958</v>
      </c>
      <c r="CA171" s="156">
        <f t="shared" si="272"/>
        <v>0.53347444608966932</v>
      </c>
      <c r="CB171" s="156">
        <f t="shared" si="272"/>
        <v>0.57091393563323367</v>
      </c>
      <c r="CC171" s="24"/>
    </row>
    <row r="172" spans="1:81" x14ac:dyDescent="0.55000000000000004">
      <c r="A172" s="240" t="s">
        <v>507</v>
      </c>
      <c r="B172" s="229"/>
      <c r="C172" s="37"/>
      <c r="D172" s="37"/>
      <c r="E172" s="37"/>
      <c r="F172" s="37"/>
      <c r="G172" s="37">
        <f t="shared" ref="G172:AL172" si="273">(G171-C171)*10000</f>
        <v>1738.2637100196384</v>
      </c>
      <c r="H172" s="37">
        <f t="shared" si="273"/>
        <v>1676.7977739995415</v>
      </c>
      <c r="I172" s="37">
        <f t="shared" si="273"/>
        <v>710.74240915015184</v>
      </c>
      <c r="J172" s="37">
        <f t="shared" si="273"/>
        <v>-1440.8857605374676</v>
      </c>
      <c r="K172" s="37">
        <f t="shared" si="273"/>
        <v>-1663.2011917984662</v>
      </c>
      <c r="L172" s="37">
        <f t="shared" si="273"/>
        <v>-1627.2013276405305</v>
      </c>
      <c r="M172" s="37">
        <f t="shared" si="273"/>
        <v>-1120.0341714745732</v>
      </c>
      <c r="N172" s="37">
        <f t="shared" si="273"/>
        <v>1440.7181996053914</v>
      </c>
      <c r="O172" s="37">
        <f t="shared" si="273"/>
        <v>1101.3095679737805</v>
      </c>
      <c r="P172" s="37">
        <f t="shared" si="273"/>
        <v>1098.5491371057592</v>
      </c>
      <c r="Q172" s="37">
        <f t="shared" si="273"/>
        <v>1204.3688860279894</v>
      </c>
      <c r="R172" s="37">
        <f t="shared" si="273"/>
        <v>800.52406286554356</v>
      </c>
      <c r="S172" s="37">
        <f t="shared" si="273"/>
        <v>407.51014892492441</v>
      </c>
      <c r="T172" s="37">
        <f t="shared" si="273"/>
        <v>473.61628336583527</v>
      </c>
      <c r="U172" s="37">
        <f t="shared" si="273"/>
        <v>513.46307523167377</v>
      </c>
      <c r="V172" s="37">
        <f t="shared" si="273"/>
        <v>484.25651070914677</v>
      </c>
      <c r="W172" s="37">
        <f t="shared" si="273"/>
        <v>411.55430925470802</v>
      </c>
      <c r="X172" s="37">
        <f t="shared" si="273"/>
        <v>-290.33647535144422</v>
      </c>
      <c r="Y172" s="37">
        <f t="shared" si="273"/>
        <v>-747.9256760565678</v>
      </c>
      <c r="Z172" s="37">
        <f t="shared" si="273"/>
        <v>-1044.2028274504405</v>
      </c>
      <c r="AA172" s="37">
        <f t="shared" si="273"/>
        <v>-2353.6957884397784</v>
      </c>
      <c r="AB172" s="37">
        <f t="shared" si="273"/>
        <v>-1691.712365698218</v>
      </c>
      <c r="AC172" s="37">
        <f t="shared" si="273"/>
        <v>-141.04787455607726</v>
      </c>
      <c r="AD172" s="37">
        <f t="shared" si="273"/>
        <v>-421.70026425528528</v>
      </c>
      <c r="AE172" s="37">
        <f t="shared" si="273"/>
        <v>1122.3935357386947</v>
      </c>
      <c r="AF172" s="37">
        <f t="shared" si="273"/>
        <v>451.44083346226773</v>
      </c>
      <c r="AG172" s="37">
        <f t="shared" si="273"/>
        <v>-325.60016870171569</v>
      </c>
      <c r="AH172" s="37">
        <f t="shared" si="273"/>
        <v>349.10930379222771</v>
      </c>
      <c r="AI172" s="37">
        <f t="shared" si="273"/>
        <v>1025.1269451880619</v>
      </c>
      <c r="AJ172" s="37">
        <f t="shared" si="273"/>
        <v>1062.2014187270056</v>
      </c>
      <c r="AK172" s="37">
        <f t="shared" si="273"/>
        <v>-151.86113006982305</v>
      </c>
      <c r="AL172" s="37">
        <f t="shared" si="273"/>
        <v>-813.16021833621687</v>
      </c>
      <c r="AM172" s="37">
        <f t="shared" ref="AM172:BF172" si="274">(AM171-AI171)*10000</f>
        <v>-1293.2389350912749</v>
      </c>
      <c r="AN172" s="37">
        <f t="shared" si="274"/>
        <v>-1353.3216501066574</v>
      </c>
      <c r="AO172" s="37">
        <f t="shared" si="274"/>
        <v>-1549.1665907322385</v>
      </c>
      <c r="AP172" s="37">
        <f t="shared" si="274"/>
        <v>-1748.2082256777703</v>
      </c>
      <c r="AQ172" s="37">
        <f t="shared" si="274"/>
        <v>-531.36794654295488</v>
      </c>
      <c r="AR172" s="37">
        <f t="shared" si="274"/>
        <v>35.22356534678417</v>
      </c>
      <c r="AS172" s="37">
        <f t="shared" si="274"/>
        <v>1982.5078527901537</v>
      </c>
      <c r="AT172" s="37">
        <f t="shared" si="274"/>
        <v>2095.2355503544504</v>
      </c>
      <c r="AU172" s="37">
        <f t="shared" si="274"/>
        <v>1267.4731582770171</v>
      </c>
      <c r="AV172" s="37">
        <f t="shared" si="274"/>
        <v>864.91339726983028</v>
      </c>
      <c r="AW172" s="37">
        <f t="shared" si="274"/>
        <v>248.3168836221611</v>
      </c>
      <c r="AX172" s="37">
        <f t="shared" si="274"/>
        <v>744.31086781613089</v>
      </c>
      <c r="AY172" s="273">
        <f t="shared" si="274"/>
        <v>358.31854290078792</v>
      </c>
      <c r="AZ172" s="37">
        <f t="shared" si="274"/>
        <v>-310.34492249704783</v>
      </c>
      <c r="BA172" s="37">
        <f t="shared" si="274"/>
        <v>-257.52238547579242</v>
      </c>
      <c r="BB172" s="37">
        <f t="shared" si="274"/>
        <v>-1056.1706647882991</v>
      </c>
      <c r="BC172" s="37">
        <f t="shared" si="274"/>
        <v>1121.2962731057064</v>
      </c>
      <c r="BD172" s="37">
        <f t="shared" si="274"/>
        <v>1016.5386238559104</v>
      </c>
      <c r="BE172" s="37">
        <f t="shared" si="274"/>
        <v>444.6765441311523</v>
      </c>
      <c r="BF172" s="37">
        <f t="shared" si="274"/>
        <v>440.06472923335815</v>
      </c>
      <c r="BG172" s="37"/>
      <c r="BH172" s="158"/>
      <c r="BI172" s="158">
        <f t="shared" ref="BI172:CB172" si="275">(BI171-BH171)*10000</f>
        <v>1856.0201538924941</v>
      </c>
      <c r="BJ172" s="158">
        <f t="shared" si="275"/>
        <v>-496.08532588975964</v>
      </c>
      <c r="BK172" s="158">
        <f t="shared" si="275"/>
        <v>-3674.6960423512942</v>
      </c>
      <c r="BL172" s="158">
        <f t="shared" si="275"/>
        <v>2504.8097123238867</v>
      </c>
      <c r="BM172" s="158">
        <f t="shared" si="275"/>
        <v>444.10471278625852</v>
      </c>
      <c r="BN172" s="158">
        <f t="shared" si="275"/>
        <v>-533.8743604827356</v>
      </c>
      <c r="BO172" s="158">
        <f t="shared" si="275"/>
        <v>1024.1233888929091</v>
      </c>
      <c r="BP172" s="158">
        <f t="shared" si="275"/>
        <v>473.27532706901263</v>
      </c>
      <c r="BQ172" s="158">
        <f t="shared" si="275"/>
        <v>-507.96400204746294</v>
      </c>
      <c r="BR172" s="158">
        <f t="shared" si="275"/>
        <v>-1068.8679917684617</v>
      </c>
      <c r="BS172" s="158">
        <f t="shared" si="275"/>
        <v>407.71125920300187</v>
      </c>
      <c r="BT172" s="158">
        <f t="shared" si="275"/>
        <v>164.0038624345963</v>
      </c>
      <c r="BU172" s="158">
        <f t="shared" si="275"/>
        <v>-1482.362893369057</v>
      </c>
      <c r="BV172" s="158">
        <f t="shared" si="275"/>
        <v>983.41159900487582</v>
      </c>
      <c r="BW172" s="846">
        <f t="shared" si="275"/>
        <v>752.05076876237342</v>
      </c>
      <c r="BX172" s="158">
        <f t="shared" si="275"/>
        <v>-366.06629714159124</v>
      </c>
      <c r="BY172" s="158">
        <f t="shared" si="275"/>
        <v>727.25441474474576</v>
      </c>
      <c r="BZ172" s="158">
        <f t="shared" si="275"/>
        <v>379.44669346543168</v>
      </c>
      <c r="CA172" s="158">
        <f t="shared" si="275"/>
        <v>376.50610942409736</v>
      </c>
      <c r="CB172" s="158">
        <f t="shared" si="275"/>
        <v>374.39489543564355</v>
      </c>
      <c r="CC172" s="117"/>
    </row>
    <row r="173" spans="1:81" x14ac:dyDescent="0.55000000000000004">
      <c r="A173" s="322"/>
      <c r="B173" s="75"/>
      <c r="C173" s="54"/>
      <c r="D173" s="54"/>
      <c r="E173" s="54"/>
      <c r="F173" s="54"/>
      <c r="G173" s="54"/>
      <c r="H173" s="54"/>
      <c r="I173" s="54"/>
      <c r="J173" s="54"/>
      <c r="K173" s="54"/>
      <c r="L173" s="54"/>
      <c r="M173" s="54"/>
      <c r="N173" s="54"/>
      <c r="O173" s="54"/>
      <c r="P173" s="567"/>
      <c r="Q173" s="567"/>
      <c r="R173" s="567"/>
      <c r="S173" s="54"/>
      <c r="T173" s="567"/>
      <c r="U173" s="54"/>
      <c r="V173" s="567"/>
      <c r="W173" s="54"/>
      <c r="X173" s="567"/>
      <c r="Y173" s="54"/>
      <c r="Z173" s="567"/>
      <c r="AA173" s="54"/>
      <c r="AB173" s="567"/>
      <c r="AC173" s="54"/>
      <c r="AD173" s="567"/>
      <c r="AE173" s="54"/>
      <c r="AF173" s="567"/>
      <c r="AG173" s="54"/>
      <c r="AH173" s="567"/>
      <c r="AI173" s="54"/>
      <c r="AJ173" s="567"/>
      <c r="AK173" s="54"/>
      <c r="AL173" s="567"/>
      <c r="AM173" s="54"/>
      <c r="AN173" s="567"/>
      <c r="AO173" s="54"/>
      <c r="AP173" s="567"/>
      <c r="AQ173" s="54"/>
      <c r="AR173" s="567"/>
      <c r="AS173" s="54"/>
      <c r="AT173" s="567"/>
      <c r="AU173" s="54"/>
      <c r="AV173" s="567"/>
      <c r="AW173" s="54"/>
      <c r="AX173" s="567"/>
      <c r="AY173" s="623"/>
      <c r="AZ173" s="54"/>
      <c r="BA173" s="54"/>
      <c r="BB173" s="54"/>
      <c r="BC173" s="54"/>
      <c r="BD173" s="54"/>
      <c r="BE173" s="54"/>
      <c r="BF173" s="54"/>
      <c r="BG173" s="54"/>
      <c r="BH173" s="815"/>
      <c r="BI173" s="815"/>
      <c r="BJ173" s="815"/>
      <c r="BK173" s="815"/>
      <c r="BL173" s="815"/>
      <c r="BM173" s="815"/>
      <c r="BN173" s="815"/>
      <c r="BO173" s="817"/>
      <c r="BP173" s="817"/>
      <c r="BQ173" s="817"/>
      <c r="BR173" s="817"/>
      <c r="BS173" s="817"/>
      <c r="BT173" s="817"/>
      <c r="BU173" s="817"/>
      <c r="BV173" s="817"/>
      <c r="BW173" s="819"/>
      <c r="BX173" s="817"/>
      <c r="BY173" s="817"/>
      <c r="BZ173" s="817"/>
      <c r="CA173" s="817"/>
      <c r="CB173" s="817"/>
      <c r="CC173" s="54"/>
    </row>
    <row r="174" spans="1:81" s="703" customFormat="1" x14ac:dyDescent="0.55000000000000004">
      <c r="A174" s="192" t="s">
        <v>512</v>
      </c>
      <c r="B174" s="232"/>
      <c r="C174" s="35">
        <f t="shared" ref="C174:AH174" si="276">C389</f>
        <v>373</v>
      </c>
      <c r="D174" s="35">
        <f t="shared" si="276"/>
        <v>562</v>
      </c>
      <c r="E174" s="35">
        <f t="shared" si="276"/>
        <v>736</v>
      </c>
      <c r="F174" s="35">
        <f t="shared" si="276"/>
        <v>1133</v>
      </c>
      <c r="G174" s="35">
        <f t="shared" si="276"/>
        <v>1075</v>
      </c>
      <c r="H174" s="35">
        <f t="shared" si="276"/>
        <v>1390</v>
      </c>
      <c r="I174" s="35">
        <f t="shared" si="276"/>
        <v>1397</v>
      </c>
      <c r="J174" s="35">
        <f t="shared" si="276"/>
        <v>1133</v>
      </c>
      <c r="K174" s="35">
        <f t="shared" si="276"/>
        <v>933</v>
      </c>
      <c r="L174" s="35">
        <f t="shared" si="276"/>
        <v>1273</v>
      </c>
      <c r="M174" s="35">
        <f t="shared" si="276"/>
        <v>1459</v>
      </c>
      <c r="N174" s="35">
        <f t="shared" si="276"/>
        <v>2560</v>
      </c>
      <c r="O174" s="35">
        <f t="shared" si="276"/>
        <v>2010</v>
      </c>
      <c r="P174" s="35">
        <f t="shared" si="276"/>
        <v>2734</v>
      </c>
      <c r="Q174" s="35">
        <f t="shared" si="276"/>
        <v>3117</v>
      </c>
      <c r="R174" s="35">
        <f t="shared" si="276"/>
        <v>4566</v>
      </c>
      <c r="S174" s="35">
        <f t="shared" si="276"/>
        <v>3327</v>
      </c>
      <c r="T174" s="35">
        <f t="shared" si="276"/>
        <v>4401</v>
      </c>
      <c r="U174" s="35">
        <f t="shared" si="276"/>
        <v>5122</v>
      </c>
      <c r="V174" s="35">
        <f t="shared" si="276"/>
        <v>7352</v>
      </c>
      <c r="W174" s="35">
        <f t="shared" si="276"/>
        <v>5449</v>
      </c>
      <c r="X174" s="35">
        <f t="shared" si="276"/>
        <v>5863</v>
      </c>
      <c r="Y174" s="35">
        <f t="shared" si="276"/>
        <v>5781</v>
      </c>
      <c r="Z174" s="35">
        <f t="shared" si="276"/>
        <v>7820</v>
      </c>
      <c r="AA174" s="35">
        <f t="shared" si="276"/>
        <v>3317</v>
      </c>
      <c r="AB174" s="35">
        <f t="shared" si="276"/>
        <v>4626</v>
      </c>
      <c r="AC174" s="35">
        <f t="shared" si="276"/>
        <v>7185</v>
      </c>
      <c r="AD174" s="35">
        <f t="shared" si="276"/>
        <v>8858</v>
      </c>
      <c r="AE174" s="35">
        <f t="shared" si="276"/>
        <v>5893</v>
      </c>
      <c r="AF174" s="35">
        <f t="shared" si="276"/>
        <v>5963</v>
      </c>
      <c r="AG174" s="35">
        <f t="shared" si="276"/>
        <v>8040</v>
      </c>
      <c r="AH174" s="35">
        <f t="shared" si="276"/>
        <v>12775</v>
      </c>
      <c r="AI174" s="35">
        <f t="shared" ref="AI174:AY174" si="277">AI389</f>
        <v>11378</v>
      </c>
      <c r="AJ174" s="35">
        <f t="shared" si="277"/>
        <v>12367</v>
      </c>
      <c r="AK174" s="35">
        <f t="shared" si="277"/>
        <v>10423</v>
      </c>
      <c r="AL174" s="35">
        <f t="shared" si="277"/>
        <v>12585</v>
      </c>
      <c r="AM174" s="35">
        <f t="shared" si="277"/>
        <v>8524</v>
      </c>
      <c r="AN174" s="35">
        <f t="shared" si="277"/>
        <v>8358</v>
      </c>
      <c r="AO174" s="35">
        <f t="shared" si="277"/>
        <v>5664</v>
      </c>
      <c r="AP174" s="35">
        <f t="shared" si="277"/>
        <v>6399</v>
      </c>
      <c r="AQ174" s="35">
        <f t="shared" si="277"/>
        <v>7227</v>
      </c>
      <c r="AR174" s="35">
        <f t="shared" si="277"/>
        <v>9392</v>
      </c>
      <c r="AS174" s="35">
        <f t="shared" si="277"/>
        <v>13748</v>
      </c>
      <c r="AT174" s="35">
        <f t="shared" si="277"/>
        <v>16384</v>
      </c>
      <c r="AU174" s="35">
        <f t="shared" si="277"/>
        <v>13818</v>
      </c>
      <c r="AV174" s="35">
        <f t="shared" si="277"/>
        <v>14847</v>
      </c>
      <c r="AW174" s="35">
        <f t="shared" si="277"/>
        <v>17350</v>
      </c>
      <c r="AX174" s="35">
        <f t="shared" si="277"/>
        <v>23365</v>
      </c>
      <c r="AY174" s="272">
        <f t="shared" si="277"/>
        <v>17555</v>
      </c>
      <c r="AZ174" s="35">
        <f t="shared" ref="AZ174:BF174" si="278">AZ169</f>
        <v>15172.161394700142</v>
      </c>
      <c r="BA174" s="35">
        <f t="shared" si="278"/>
        <v>18420.01769077358</v>
      </c>
      <c r="BB174" s="35">
        <f t="shared" si="278"/>
        <v>21235.102343664119</v>
      </c>
      <c r="BC174" s="35">
        <f t="shared" si="278"/>
        <v>25243.034395265146</v>
      </c>
      <c r="BD174" s="35">
        <f t="shared" si="278"/>
        <v>21712.038203563465</v>
      </c>
      <c r="BE174" s="35">
        <f t="shared" si="278"/>
        <v>22877.481440944972</v>
      </c>
      <c r="BF174" s="35">
        <f t="shared" si="278"/>
        <v>27181.396702436774</v>
      </c>
      <c r="BG174" s="35"/>
      <c r="BH174" s="812">
        <f t="shared" ref="BH174:BW174" si="279">BH389</f>
        <v>262</v>
      </c>
      <c r="BI174" s="812">
        <f t="shared" si="279"/>
        <v>1032</v>
      </c>
      <c r="BJ174" s="812">
        <f t="shared" si="279"/>
        <v>1756</v>
      </c>
      <c r="BK174" s="812">
        <f t="shared" si="279"/>
        <v>538</v>
      </c>
      <c r="BL174" s="812">
        <f t="shared" si="279"/>
        <v>2804</v>
      </c>
      <c r="BM174" s="812">
        <f t="shared" si="279"/>
        <v>4994</v>
      </c>
      <c r="BN174" s="812">
        <f t="shared" si="279"/>
        <v>6225</v>
      </c>
      <c r="BO174" s="812">
        <f t="shared" si="279"/>
        <v>12427</v>
      </c>
      <c r="BP174" s="812">
        <f t="shared" si="279"/>
        <v>20203</v>
      </c>
      <c r="BQ174" s="812">
        <f t="shared" si="279"/>
        <v>24913</v>
      </c>
      <c r="BR174" s="812">
        <f t="shared" si="279"/>
        <v>23986</v>
      </c>
      <c r="BS174" s="812">
        <f t="shared" si="279"/>
        <v>32671</v>
      </c>
      <c r="BT174" s="812">
        <f t="shared" si="279"/>
        <v>46753</v>
      </c>
      <c r="BU174" s="812">
        <f t="shared" si="279"/>
        <v>28944</v>
      </c>
      <c r="BV174" s="812">
        <f t="shared" si="279"/>
        <v>46751</v>
      </c>
      <c r="BW174" s="814">
        <f t="shared" si="279"/>
        <v>69380</v>
      </c>
      <c r="BX174" s="812">
        <f>SUM(AY174,AZ174,BA174,BB174)</f>
        <v>72382.281429137831</v>
      </c>
      <c r="BY174" s="812">
        <f>SUM(BC174,BD174,BE174,BF174)</f>
        <v>97013.950742210363</v>
      </c>
      <c r="BZ174" s="812">
        <f>BZ169</f>
        <v>116910.72203755559</v>
      </c>
      <c r="CA174" s="812">
        <f>CA169</f>
        <v>132473.91806809118</v>
      </c>
      <c r="CB174" s="812">
        <f>CB169</f>
        <v>148826.03605742412</v>
      </c>
      <c r="CC174" s="6"/>
    </row>
    <row r="175" spans="1:81" s="705" customFormat="1" x14ac:dyDescent="0.55000000000000004">
      <c r="A175" s="325" t="str">
        <f>A390</f>
        <v>Consensus Estimates - Adjusted EBIT</v>
      </c>
      <c r="B175" s="326"/>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627"/>
      <c r="AZ175" s="342" t="str">
        <f t="shared" ref="AZ175:BF175" ca="1" si="280">AZ390</f>
        <v>N/A</v>
      </c>
      <c r="BA175" s="342" t="str">
        <f t="shared" ca="1" si="280"/>
        <v>N/A</v>
      </c>
      <c r="BB175" s="342" t="str">
        <f t="shared" ca="1" si="280"/>
        <v>N/A</v>
      </c>
      <c r="BC175" s="342" t="str">
        <f t="shared" ca="1" si="280"/>
        <v>N/A</v>
      </c>
      <c r="BD175" s="342" t="str">
        <f t="shared" ca="1" si="280"/>
        <v>N/A</v>
      </c>
      <c r="BE175" s="342" t="str">
        <f t="shared" ca="1" si="280"/>
        <v>N/A</v>
      </c>
      <c r="BF175" s="342" t="str">
        <f t="shared" ca="1" si="280"/>
        <v>N/A</v>
      </c>
      <c r="BG175" s="342"/>
      <c r="BH175" s="836"/>
      <c r="BI175" s="836"/>
      <c r="BJ175" s="836"/>
      <c r="BK175" s="836"/>
      <c r="BL175" s="836"/>
      <c r="BM175" s="836"/>
      <c r="BN175" s="836"/>
      <c r="BO175" s="836"/>
      <c r="BP175" s="836"/>
      <c r="BQ175" s="836"/>
      <c r="BR175" s="836"/>
      <c r="BS175" s="836"/>
      <c r="BT175" s="836"/>
      <c r="BU175" s="836"/>
      <c r="BV175" s="836"/>
      <c r="BW175" s="885"/>
      <c r="BX175" s="837" t="str">
        <f ca="1">BX390</f>
        <v>N/A</v>
      </c>
      <c r="BY175" s="837" t="str">
        <f ca="1">BY390</f>
        <v>N/A</v>
      </c>
      <c r="BZ175" s="837" t="str">
        <f ca="1">BZ390</f>
        <v>N/A</v>
      </c>
      <c r="CA175" s="837" t="str">
        <f ca="1">CA390</f>
        <v>N/A</v>
      </c>
      <c r="CB175" s="837" t="str">
        <f ca="1">CB390</f>
        <v>N/A</v>
      </c>
      <c r="CC175" s="8"/>
    </row>
    <row r="176" spans="1:81" s="704" customFormat="1" x14ac:dyDescent="0.55000000000000004">
      <c r="A176" s="79" t="s">
        <v>523</v>
      </c>
      <c r="B176" s="298"/>
      <c r="C176" s="54"/>
      <c r="D176" s="54"/>
      <c r="E176" s="54"/>
      <c r="F176" s="54"/>
      <c r="G176" s="54">
        <f t="shared" ref="G176:AL176" si="281">G174/C174-1</f>
        <v>1.8820375335120643</v>
      </c>
      <c r="H176" s="54">
        <f t="shared" si="281"/>
        <v>1.4733096085409252</v>
      </c>
      <c r="I176" s="54">
        <f t="shared" si="281"/>
        <v>0.89809782608695654</v>
      </c>
      <c r="J176" s="54">
        <f t="shared" si="281"/>
        <v>0</v>
      </c>
      <c r="K176" s="54">
        <f t="shared" si="281"/>
        <v>-0.13209302325581396</v>
      </c>
      <c r="L176" s="54">
        <f t="shared" si="281"/>
        <v>-8.4172661870503651E-2</v>
      </c>
      <c r="M176" s="54">
        <f t="shared" si="281"/>
        <v>4.4380816034359283E-2</v>
      </c>
      <c r="N176" s="54">
        <f t="shared" si="281"/>
        <v>1.259488084730803</v>
      </c>
      <c r="O176" s="54">
        <f t="shared" si="281"/>
        <v>1.1543408360128615</v>
      </c>
      <c r="P176" s="54">
        <f t="shared" si="281"/>
        <v>1.1476826394344068</v>
      </c>
      <c r="Q176" s="54">
        <f t="shared" si="281"/>
        <v>1.1363947909527075</v>
      </c>
      <c r="R176" s="54">
        <f t="shared" si="281"/>
        <v>0.78359375000000009</v>
      </c>
      <c r="S176" s="54">
        <f t="shared" si="281"/>
        <v>0.65522388059701497</v>
      </c>
      <c r="T176" s="54">
        <f t="shared" si="281"/>
        <v>0.60972933430870513</v>
      </c>
      <c r="U176" s="54">
        <f t="shared" si="281"/>
        <v>0.64324671158164892</v>
      </c>
      <c r="V176" s="54">
        <f t="shared" si="281"/>
        <v>0.61016206745510293</v>
      </c>
      <c r="W176" s="54">
        <f t="shared" si="281"/>
        <v>0.63781184250075151</v>
      </c>
      <c r="X176" s="54">
        <f t="shared" si="281"/>
        <v>0.33219722790274941</v>
      </c>
      <c r="Y176" s="54">
        <f t="shared" si="281"/>
        <v>0.1286606794221008</v>
      </c>
      <c r="Z176" s="54">
        <f t="shared" si="281"/>
        <v>6.3656147986942413E-2</v>
      </c>
      <c r="AA176" s="54">
        <f t="shared" si="281"/>
        <v>-0.39126445219306294</v>
      </c>
      <c r="AB176" s="54">
        <f t="shared" si="281"/>
        <v>-0.21098413781340608</v>
      </c>
      <c r="AC176" s="54">
        <f t="shared" si="281"/>
        <v>0.24286455630513748</v>
      </c>
      <c r="AD176" s="54">
        <f t="shared" si="281"/>
        <v>0.13273657289002561</v>
      </c>
      <c r="AE176" s="54">
        <f t="shared" si="281"/>
        <v>0.77660536629484467</v>
      </c>
      <c r="AF176" s="54">
        <f t="shared" si="281"/>
        <v>0.28901859057501089</v>
      </c>
      <c r="AG176" s="54">
        <f t="shared" si="281"/>
        <v>0.1189979123173277</v>
      </c>
      <c r="AH176" s="54">
        <f t="shared" si="281"/>
        <v>0.44219914201851429</v>
      </c>
      <c r="AI176" s="54">
        <f t="shared" si="281"/>
        <v>0.93076531478024771</v>
      </c>
      <c r="AJ176" s="54">
        <f t="shared" si="281"/>
        <v>1.0739560623847058</v>
      </c>
      <c r="AK176" s="54">
        <f t="shared" si="281"/>
        <v>0.29639303482587054</v>
      </c>
      <c r="AL176" s="54">
        <f t="shared" si="281"/>
        <v>-1.4872798434442225E-2</v>
      </c>
      <c r="AM176" s="54">
        <f t="shared" ref="AM176:BF176" si="282">AM174/AI174-1</f>
        <v>-0.25083494462998768</v>
      </c>
      <c r="AN176" s="54">
        <f t="shared" si="282"/>
        <v>-0.32416915986092021</v>
      </c>
      <c r="AO176" s="54">
        <f t="shared" si="282"/>
        <v>-0.45658639547155333</v>
      </c>
      <c r="AP176" s="54">
        <f t="shared" si="282"/>
        <v>-0.4915375446960667</v>
      </c>
      <c r="AQ176" s="54">
        <f t="shared" si="282"/>
        <v>-0.15215861098076022</v>
      </c>
      <c r="AR176" s="54">
        <f t="shared" si="282"/>
        <v>0.12371380713089253</v>
      </c>
      <c r="AS176" s="54">
        <f t="shared" si="282"/>
        <v>1.4272598870056497</v>
      </c>
      <c r="AT176" s="54">
        <f t="shared" si="282"/>
        <v>1.5604000625097671</v>
      </c>
      <c r="AU176" s="54">
        <f t="shared" si="282"/>
        <v>0.91199667911996674</v>
      </c>
      <c r="AV176" s="54">
        <f t="shared" si="282"/>
        <v>0.58081345826235098</v>
      </c>
      <c r="AW176" s="54">
        <f t="shared" si="282"/>
        <v>0.26200174570846668</v>
      </c>
      <c r="AX176" s="54">
        <f t="shared" si="282"/>
        <v>0.42608642578125</v>
      </c>
      <c r="AY176" s="623">
        <f t="shared" si="282"/>
        <v>0.27044434795194672</v>
      </c>
      <c r="AZ176" s="54">
        <f t="shared" si="282"/>
        <v>2.190081462249216E-2</v>
      </c>
      <c r="BA176" s="54">
        <f t="shared" si="282"/>
        <v>6.1672489381762619E-2</v>
      </c>
      <c r="BB176" s="54">
        <f t="shared" si="282"/>
        <v>-9.1157614223662753E-2</v>
      </c>
      <c r="BC176" s="54">
        <f t="shared" si="282"/>
        <v>0.43793986871348034</v>
      </c>
      <c r="BD176" s="54">
        <f t="shared" si="282"/>
        <v>0.43104450570554809</v>
      </c>
      <c r="BE176" s="54">
        <f t="shared" si="282"/>
        <v>0.24199019919530773</v>
      </c>
      <c r="BF176" s="54">
        <f t="shared" si="282"/>
        <v>0.28002193078889692</v>
      </c>
      <c r="BG176" s="54"/>
      <c r="BH176" s="815"/>
      <c r="BI176" s="815">
        <f t="shared" ref="BI176:CB176" si="283">BI174/BH174-1</f>
        <v>2.9389312977099236</v>
      </c>
      <c r="BJ176" s="815">
        <f t="shared" si="283"/>
        <v>0.70155038759689914</v>
      </c>
      <c r="BK176" s="815">
        <f t="shared" si="283"/>
        <v>-0.69362186788154889</v>
      </c>
      <c r="BL176" s="815">
        <f t="shared" si="283"/>
        <v>4.2118959107806688</v>
      </c>
      <c r="BM176" s="815">
        <f t="shared" si="283"/>
        <v>0.7810271041369472</v>
      </c>
      <c r="BN176" s="815">
        <f t="shared" si="283"/>
        <v>0.2464957949539448</v>
      </c>
      <c r="BO176" s="815">
        <f t="shared" si="283"/>
        <v>0.99630522088353413</v>
      </c>
      <c r="BP176" s="815">
        <f t="shared" si="283"/>
        <v>0.62573428824334121</v>
      </c>
      <c r="BQ176" s="815">
        <f t="shared" si="283"/>
        <v>0.23313369301588871</v>
      </c>
      <c r="BR176" s="815">
        <f t="shared" si="283"/>
        <v>-3.7209489021795883E-2</v>
      </c>
      <c r="BS176" s="815">
        <f t="shared" si="283"/>
        <v>0.36208621695989329</v>
      </c>
      <c r="BT176" s="815">
        <f t="shared" si="283"/>
        <v>0.43102445593951821</v>
      </c>
      <c r="BU176" s="815">
        <f t="shared" si="283"/>
        <v>-0.38091673261608883</v>
      </c>
      <c r="BV176" s="815">
        <f t="shared" si="283"/>
        <v>0.61522249861802103</v>
      </c>
      <c r="BW176" s="816">
        <f t="shared" si="283"/>
        <v>0.48403242711385852</v>
      </c>
      <c r="BX176" s="815">
        <f t="shared" si="283"/>
        <v>4.3273009932802475E-2</v>
      </c>
      <c r="BY176" s="815">
        <f t="shared" si="283"/>
        <v>0.3402997090826283</v>
      </c>
      <c r="BZ176" s="815">
        <f t="shared" si="283"/>
        <v>0.2050918568218687</v>
      </c>
      <c r="CA176" s="815">
        <f t="shared" si="283"/>
        <v>0.13312034823919894</v>
      </c>
      <c r="CB176" s="815">
        <f t="shared" si="283"/>
        <v>0.12343650907137804</v>
      </c>
      <c r="CC176" s="83"/>
    </row>
    <row r="177" spans="1:81" s="709" customFormat="1" x14ac:dyDescent="0.55000000000000004">
      <c r="A177" s="262" t="s">
        <v>500</v>
      </c>
      <c r="B177" s="237"/>
      <c r="C177" s="55">
        <f t="shared" ref="C177:AH177" si="284">C174/C146</f>
        <v>0.25582990397805211</v>
      </c>
      <c r="D177" s="55">
        <f t="shared" si="284"/>
        <v>0.3099834528405957</v>
      </c>
      <c r="E177" s="55">
        <f t="shared" si="284"/>
        <v>0.36507936507936506</v>
      </c>
      <c r="F177" s="55">
        <f t="shared" si="284"/>
        <v>0.43829787234042555</v>
      </c>
      <c r="G177" s="55">
        <f t="shared" si="284"/>
        <v>0.42965627498001596</v>
      </c>
      <c r="H177" s="55">
        <f t="shared" si="284"/>
        <v>0.47766323024054985</v>
      </c>
      <c r="I177" s="55">
        <f t="shared" si="284"/>
        <v>0.43615360599438024</v>
      </c>
      <c r="J177" s="55">
        <f t="shared" si="284"/>
        <v>0.2942092962866788</v>
      </c>
      <c r="K177" s="55">
        <f t="shared" si="284"/>
        <v>0.26333615580016934</v>
      </c>
      <c r="L177" s="55">
        <f t="shared" si="284"/>
        <v>0.31494309747649679</v>
      </c>
      <c r="M177" s="55">
        <f t="shared" si="284"/>
        <v>0.32415018884692293</v>
      </c>
      <c r="N177" s="55">
        <f t="shared" si="284"/>
        <v>0.43828111624721794</v>
      </c>
      <c r="O177" s="55">
        <f t="shared" si="284"/>
        <v>0.37346711259754739</v>
      </c>
      <c r="P177" s="55">
        <f t="shared" si="284"/>
        <v>0.42479801118707272</v>
      </c>
      <c r="Q177" s="55">
        <f t="shared" si="284"/>
        <v>0.44458707744972187</v>
      </c>
      <c r="R177" s="55">
        <f t="shared" si="284"/>
        <v>0.5183335225337723</v>
      </c>
      <c r="S177" s="55">
        <f t="shared" si="284"/>
        <v>0.41421812749003983</v>
      </c>
      <c r="T177" s="55">
        <f t="shared" si="284"/>
        <v>0.47215963952365625</v>
      </c>
      <c r="U177" s="55">
        <f t="shared" si="284"/>
        <v>0.49593338497288925</v>
      </c>
      <c r="V177" s="55">
        <f t="shared" si="284"/>
        <v>0.56675917360468697</v>
      </c>
      <c r="W177" s="55">
        <f t="shared" si="284"/>
        <v>0.45537355841551064</v>
      </c>
      <c r="X177" s="55">
        <f t="shared" si="284"/>
        <v>0.44312599198851182</v>
      </c>
      <c r="Y177" s="55">
        <f t="shared" si="284"/>
        <v>0.42114081736723247</v>
      </c>
      <c r="Z177" s="55">
        <f t="shared" si="284"/>
        <v>0.46233889085964291</v>
      </c>
      <c r="AA177" s="55">
        <f t="shared" si="284"/>
        <v>0.22000397957153281</v>
      </c>
      <c r="AB177" s="55">
        <f t="shared" si="284"/>
        <v>0.27395475541869002</v>
      </c>
      <c r="AC177" s="55">
        <f t="shared" si="284"/>
        <v>0.40703602991162474</v>
      </c>
      <c r="AD177" s="55">
        <f t="shared" si="284"/>
        <v>0.42016886443411439</v>
      </c>
      <c r="AE177" s="55">
        <f t="shared" si="284"/>
        <v>0.33224333314540228</v>
      </c>
      <c r="AF177" s="55">
        <f t="shared" si="284"/>
        <v>0.31909883876491679</v>
      </c>
      <c r="AG177" s="55">
        <f t="shared" si="284"/>
        <v>0.37447601304145317</v>
      </c>
      <c r="AH177" s="55">
        <f t="shared" si="284"/>
        <v>0.45507979481333716</v>
      </c>
      <c r="AI177" s="55">
        <f t="shared" ref="AI177:BF177" si="285">AI174/AI146</f>
        <v>0.43475602766420846</v>
      </c>
      <c r="AJ177" s="55">
        <f t="shared" si="285"/>
        <v>0.42531898063761736</v>
      </c>
      <c r="AK177" s="55">
        <f t="shared" si="285"/>
        <v>0.35928990003447087</v>
      </c>
      <c r="AL177" s="55">
        <f t="shared" si="285"/>
        <v>0.37376377297971547</v>
      </c>
      <c r="AM177" s="55">
        <f t="shared" si="285"/>
        <v>0.30543213415508097</v>
      </c>
      <c r="AN177" s="55">
        <f t="shared" si="285"/>
        <v>0.28998681562695161</v>
      </c>
      <c r="AO177" s="55">
        <f t="shared" si="285"/>
        <v>0.20437324096124701</v>
      </c>
      <c r="AP177" s="55">
        <f t="shared" si="285"/>
        <v>0.19894295041193844</v>
      </c>
      <c r="AQ177" s="55">
        <f t="shared" si="285"/>
        <v>0.25229533950078548</v>
      </c>
      <c r="AR177" s="55">
        <f t="shared" si="285"/>
        <v>0.29350917216163003</v>
      </c>
      <c r="AS177" s="55">
        <f t="shared" si="285"/>
        <v>0.40262402624026239</v>
      </c>
      <c r="AT177" s="55">
        <f t="shared" si="285"/>
        <v>0.4084665054473835</v>
      </c>
      <c r="AU177" s="55">
        <f t="shared" si="285"/>
        <v>0.37904265532848719</v>
      </c>
      <c r="AV177" s="55">
        <f t="shared" si="285"/>
        <v>0.38000051188861306</v>
      </c>
      <c r="AW177" s="55">
        <f t="shared" si="285"/>
        <v>0.4274557146024785</v>
      </c>
      <c r="AX177" s="55">
        <f t="shared" si="285"/>
        <v>0.48289759222899659</v>
      </c>
      <c r="AY177" s="275">
        <f t="shared" si="285"/>
        <v>0.41487450961856598</v>
      </c>
      <c r="AZ177" s="55">
        <f t="shared" si="285"/>
        <v>0.34896601963890828</v>
      </c>
      <c r="BA177" s="55">
        <f t="shared" si="285"/>
        <v>0.40170347605489926</v>
      </c>
      <c r="BB177" s="55">
        <f t="shared" si="285"/>
        <v>0.37728052575016668</v>
      </c>
      <c r="BC177" s="55">
        <f t="shared" si="285"/>
        <v>0.52700413692913661</v>
      </c>
      <c r="BD177" s="55">
        <f t="shared" si="285"/>
        <v>0.45061988202449932</v>
      </c>
      <c r="BE177" s="55">
        <f t="shared" si="285"/>
        <v>0.44617113046801449</v>
      </c>
      <c r="BF177" s="55">
        <f t="shared" si="285"/>
        <v>0.4212869986735025</v>
      </c>
      <c r="BG177" s="55"/>
      <c r="BH177" s="156">
        <f t="shared" ref="BH177:CB177" si="286">BH174/BH146</f>
        <v>0.33719433719433717</v>
      </c>
      <c r="BI177" s="156">
        <f t="shared" si="286"/>
        <v>0.52279635258358659</v>
      </c>
      <c r="BJ177" s="156">
        <f t="shared" si="286"/>
        <v>0.47318781999461063</v>
      </c>
      <c r="BK177" s="156">
        <f t="shared" si="286"/>
        <v>0.10571821575948123</v>
      </c>
      <c r="BL177" s="156">
        <f t="shared" si="286"/>
        <v>0.35619918699186992</v>
      </c>
      <c r="BM177" s="156">
        <f t="shared" si="286"/>
        <v>0.40060965827049577</v>
      </c>
      <c r="BN177" s="156">
        <f t="shared" si="286"/>
        <v>0.34722222222222221</v>
      </c>
      <c r="BO177" s="156">
        <f t="shared" si="286"/>
        <v>0.44963456111151312</v>
      </c>
      <c r="BP177" s="156">
        <f t="shared" si="286"/>
        <v>0.49696209381841439</v>
      </c>
      <c r="BQ177" s="156">
        <f t="shared" si="286"/>
        <v>0.44616569361366809</v>
      </c>
      <c r="BR177" s="156">
        <f t="shared" si="286"/>
        <v>0.33927889443682191</v>
      </c>
      <c r="BS177" s="156">
        <f t="shared" si="286"/>
        <v>0.3800500203571221</v>
      </c>
      <c r="BT177" s="156">
        <f t="shared" si="286"/>
        <v>0.39645040660058173</v>
      </c>
      <c r="BU177" s="156">
        <f t="shared" si="286"/>
        <v>0.24821411726367604</v>
      </c>
      <c r="BV177" s="156">
        <f t="shared" si="286"/>
        <v>0.34655527716416362</v>
      </c>
      <c r="BW177" s="856">
        <f t="shared" si="286"/>
        <v>0.42176035404040096</v>
      </c>
      <c r="BX177" s="156">
        <f t="shared" si="286"/>
        <v>0.38515372432624184</v>
      </c>
      <c r="BY177" s="156">
        <f t="shared" si="286"/>
        <v>0.45787916580071641</v>
      </c>
      <c r="BZ177" s="156">
        <f t="shared" si="286"/>
        <v>0.49582383514725958</v>
      </c>
      <c r="CA177" s="156">
        <f t="shared" si="286"/>
        <v>0.53347444608966932</v>
      </c>
      <c r="CB177" s="156">
        <f t="shared" si="286"/>
        <v>0.57091393563323367</v>
      </c>
      <c r="CC177" s="24"/>
    </row>
    <row r="178" spans="1:81" x14ac:dyDescent="0.55000000000000004">
      <c r="A178" s="53" t="s">
        <v>456</v>
      </c>
      <c r="B178" s="75"/>
      <c r="C178" s="54"/>
      <c r="D178" s="54"/>
      <c r="E178" s="54"/>
      <c r="F178" s="54"/>
      <c r="G178" s="54"/>
      <c r="H178" s="54"/>
      <c r="I178" s="54"/>
      <c r="J178" s="54"/>
      <c r="K178" s="54"/>
      <c r="L178" s="54"/>
      <c r="M178" s="54"/>
      <c r="N178" s="54"/>
      <c r="O178" s="54"/>
      <c r="P178" s="567"/>
      <c r="Q178" s="567"/>
      <c r="R178" s="567"/>
      <c r="S178" s="54"/>
      <c r="T178" s="567"/>
      <c r="U178" s="54"/>
      <c r="V178" s="567"/>
      <c r="W178" s="54"/>
      <c r="X178" s="567"/>
      <c r="Y178" s="54"/>
      <c r="Z178" s="567"/>
      <c r="AA178" s="54"/>
      <c r="AB178" s="567"/>
      <c r="AC178" s="54"/>
      <c r="AD178" s="567"/>
      <c r="AE178" s="54"/>
      <c r="AF178" s="567"/>
      <c r="AG178" s="54"/>
      <c r="AH178" s="567"/>
      <c r="AI178" s="54"/>
      <c r="AJ178" s="567"/>
      <c r="AK178" s="54"/>
      <c r="AL178" s="567"/>
      <c r="AM178" s="54"/>
      <c r="AN178" s="567"/>
      <c r="AO178" s="54"/>
      <c r="AP178" s="567"/>
      <c r="AQ178" s="54"/>
      <c r="AR178" s="567"/>
      <c r="AS178" s="54"/>
      <c r="AT178" s="567"/>
      <c r="AU178" s="54"/>
      <c r="AV178" s="567"/>
      <c r="AW178" s="54"/>
      <c r="AX178" s="567"/>
      <c r="AY178" s="623"/>
      <c r="AZ178" s="224">
        <f t="shared" ref="AZ178:BF178" ca="1" si="287">AZ328</f>
        <v>0</v>
      </c>
      <c r="BA178" s="224">
        <f t="shared" ca="1" si="287"/>
        <v>0</v>
      </c>
      <c r="BB178" s="224">
        <f t="shared" ca="1" si="287"/>
        <v>0</v>
      </c>
      <c r="BC178" s="224">
        <f t="shared" ca="1" si="287"/>
        <v>0</v>
      </c>
      <c r="BD178" s="224">
        <f t="shared" ca="1" si="287"/>
        <v>0</v>
      </c>
      <c r="BE178" s="224">
        <f t="shared" ca="1" si="287"/>
        <v>0</v>
      </c>
      <c r="BF178" s="224">
        <f t="shared" ca="1" si="287"/>
        <v>0</v>
      </c>
      <c r="BG178" s="224"/>
      <c r="BH178" s="815"/>
      <c r="BI178" s="815"/>
      <c r="BJ178" s="815"/>
      <c r="BK178" s="815"/>
      <c r="BL178" s="815"/>
      <c r="BM178" s="815"/>
      <c r="BN178" s="815"/>
      <c r="BO178" s="817"/>
      <c r="BP178" s="817"/>
      <c r="BQ178" s="817"/>
      <c r="BR178" s="817"/>
      <c r="BS178" s="817"/>
      <c r="BT178" s="817"/>
      <c r="BU178" s="817"/>
      <c r="BV178" s="817"/>
      <c r="BW178" s="819"/>
      <c r="BX178" s="817">
        <f ca="1">BX328</f>
        <v>0</v>
      </c>
      <c r="BY178" s="817">
        <f ca="1">BY328</f>
        <v>0</v>
      </c>
      <c r="BZ178" s="817">
        <f ca="1">BZ328</f>
        <v>0</v>
      </c>
      <c r="CA178" s="817">
        <f ca="1">CA328</f>
        <v>0</v>
      </c>
      <c r="CB178" s="817">
        <f ca="1">CB328</f>
        <v>0</v>
      </c>
      <c r="CC178" s="54"/>
    </row>
    <row r="179" spans="1:81" x14ac:dyDescent="0.55000000000000004">
      <c r="A179" s="240" t="s">
        <v>515</v>
      </c>
      <c r="B179" s="229"/>
      <c r="C179" s="37"/>
      <c r="D179" s="37"/>
      <c r="E179" s="37"/>
      <c r="F179" s="37"/>
      <c r="G179" s="37">
        <f t="shared" ref="G179:AL179" si="288">(G177-C177)*10000</f>
        <v>1738.2637100196384</v>
      </c>
      <c r="H179" s="37">
        <f t="shared" si="288"/>
        <v>1676.7977739995415</v>
      </c>
      <c r="I179" s="37">
        <f t="shared" si="288"/>
        <v>710.74240915015184</v>
      </c>
      <c r="J179" s="37">
        <f t="shared" si="288"/>
        <v>-1440.8857605374676</v>
      </c>
      <c r="K179" s="37">
        <f t="shared" si="288"/>
        <v>-1663.2011917984662</v>
      </c>
      <c r="L179" s="37">
        <f t="shared" si="288"/>
        <v>-1627.2013276405305</v>
      </c>
      <c r="M179" s="37">
        <f t="shared" si="288"/>
        <v>-1120.0341714745732</v>
      </c>
      <c r="N179" s="37">
        <f t="shared" si="288"/>
        <v>1440.7181996053914</v>
      </c>
      <c r="O179" s="37">
        <f t="shared" si="288"/>
        <v>1101.3095679737805</v>
      </c>
      <c r="P179" s="37">
        <f t="shared" si="288"/>
        <v>1098.5491371057592</v>
      </c>
      <c r="Q179" s="37">
        <f t="shared" si="288"/>
        <v>1204.3688860279894</v>
      </c>
      <c r="R179" s="37">
        <f t="shared" si="288"/>
        <v>800.52406286554356</v>
      </c>
      <c r="S179" s="37">
        <f t="shared" si="288"/>
        <v>407.51014892492441</v>
      </c>
      <c r="T179" s="37">
        <f t="shared" si="288"/>
        <v>473.61628336583527</v>
      </c>
      <c r="U179" s="37">
        <f t="shared" si="288"/>
        <v>513.46307523167377</v>
      </c>
      <c r="V179" s="37">
        <f t="shared" si="288"/>
        <v>484.25651070914677</v>
      </c>
      <c r="W179" s="37">
        <f t="shared" si="288"/>
        <v>411.55430925470802</v>
      </c>
      <c r="X179" s="37">
        <f t="shared" si="288"/>
        <v>-290.33647535144422</v>
      </c>
      <c r="Y179" s="37">
        <f t="shared" si="288"/>
        <v>-747.9256760565678</v>
      </c>
      <c r="Z179" s="37">
        <f t="shared" si="288"/>
        <v>-1044.2028274504405</v>
      </c>
      <c r="AA179" s="37">
        <f t="shared" si="288"/>
        <v>-2353.6957884397784</v>
      </c>
      <c r="AB179" s="37">
        <f t="shared" si="288"/>
        <v>-1691.712365698218</v>
      </c>
      <c r="AC179" s="37">
        <f t="shared" si="288"/>
        <v>-141.04787455607726</v>
      </c>
      <c r="AD179" s="37">
        <f t="shared" si="288"/>
        <v>-421.70026425528528</v>
      </c>
      <c r="AE179" s="37">
        <f t="shared" si="288"/>
        <v>1122.3935357386947</v>
      </c>
      <c r="AF179" s="37">
        <f t="shared" si="288"/>
        <v>451.44083346226773</v>
      </c>
      <c r="AG179" s="37">
        <f t="shared" si="288"/>
        <v>-325.60016870171569</v>
      </c>
      <c r="AH179" s="37">
        <f t="shared" si="288"/>
        <v>349.10930379222771</v>
      </c>
      <c r="AI179" s="37">
        <f t="shared" si="288"/>
        <v>1025.1269451880619</v>
      </c>
      <c r="AJ179" s="37">
        <f t="shared" si="288"/>
        <v>1062.2014187270056</v>
      </c>
      <c r="AK179" s="37">
        <f t="shared" si="288"/>
        <v>-151.86113006982305</v>
      </c>
      <c r="AL179" s="37">
        <f t="shared" si="288"/>
        <v>-813.16021833621687</v>
      </c>
      <c r="AM179" s="37">
        <f t="shared" ref="AM179:BF179" si="289">(AM177-AI177)*10000</f>
        <v>-1293.2389350912749</v>
      </c>
      <c r="AN179" s="37">
        <f t="shared" si="289"/>
        <v>-1353.3216501066574</v>
      </c>
      <c r="AO179" s="37">
        <f t="shared" si="289"/>
        <v>-1549.1665907322385</v>
      </c>
      <c r="AP179" s="37">
        <f t="shared" si="289"/>
        <v>-1748.2082256777703</v>
      </c>
      <c r="AQ179" s="37">
        <f t="shared" si="289"/>
        <v>-531.36794654295488</v>
      </c>
      <c r="AR179" s="37">
        <f t="shared" si="289"/>
        <v>35.22356534678417</v>
      </c>
      <c r="AS179" s="37">
        <f t="shared" si="289"/>
        <v>1982.5078527901537</v>
      </c>
      <c r="AT179" s="37">
        <f t="shared" si="289"/>
        <v>2095.2355503544504</v>
      </c>
      <c r="AU179" s="37">
        <f t="shared" si="289"/>
        <v>1267.4731582770171</v>
      </c>
      <c r="AV179" s="37">
        <f t="shared" si="289"/>
        <v>864.91339726983028</v>
      </c>
      <c r="AW179" s="37">
        <f t="shared" si="289"/>
        <v>248.3168836221611</v>
      </c>
      <c r="AX179" s="37">
        <f t="shared" si="289"/>
        <v>744.31086781613089</v>
      </c>
      <c r="AY179" s="273">
        <f t="shared" si="289"/>
        <v>358.31854290078792</v>
      </c>
      <c r="AZ179" s="37">
        <f t="shared" si="289"/>
        <v>-310.34492249704783</v>
      </c>
      <c r="BA179" s="37">
        <f t="shared" si="289"/>
        <v>-257.52238547579242</v>
      </c>
      <c r="BB179" s="37">
        <f t="shared" si="289"/>
        <v>-1056.1706647882991</v>
      </c>
      <c r="BC179" s="37">
        <f t="shared" si="289"/>
        <v>1121.2962731057064</v>
      </c>
      <c r="BD179" s="37">
        <f t="shared" si="289"/>
        <v>1016.5386238559104</v>
      </c>
      <c r="BE179" s="37">
        <f t="shared" si="289"/>
        <v>444.6765441311523</v>
      </c>
      <c r="BF179" s="37">
        <f t="shared" si="289"/>
        <v>440.06472923335815</v>
      </c>
      <c r="BG179" s="37"/>
      <c r="BH179" s="158"/>
      <c r="BI179" s="158">
        <f t="shared" ref="BI179:CB179" si="290">(BI177-BH177)*10000</f>
        <v>1856.0201538924941</v>
      </c>
      <c r="BJ179" s="158">
        <f t="shared" si="290"/>
        <v>-496.08532588975964</v>
      </c>
      <c r="BK179" s="158">
        <f t="shared" si="290"/>
        <v>-3674.6960423512942</v>
      </c>
      <c r="BL179" s="158">
        <f t="shared" si="290"/>
        <v>2504.8097123238867</v>
      </c>
      <c r="BM179" s="158">
        <f t="shared" si="290"/>
        <v>444.10471278625852</v>
      </c>
      <c r="BN179" s="158">
        <f t="shared" si="290"/>
        <v>-533.8743604827356</v>
      </c>
      <c r="BO179" s="158">
        <f t="shared" si="290"/>
        <v>1024.1233888929091</v>
      </c>
      <c r="BP179" s="158">
        <f t="shared" si="290"/>
        <v>473.27532706901263</v>
      </c>
      <c r="BQ179" s="158">
        <f t="shared" si="290"/>
        <v>-507.96400204746294</v>
      </c>
      <c r="BR179" s="158">
        <f t="shared" si="290"/>
        <v>-1068.8679917684617</v>
      </c>
      <c r="BS179" s="158">
        <f t="shared" si="290"/>
        <v>407.71125920300187</v>
      </c>
      <c r="BT179" s="158">
        <f t="shared" si="290"/>
        <v>164.0038624345963</v>
      </c>
      <c r="BU179" s="158">
        <f t="shared" si="290"/>
        <v>-1482.362893369057</v>
      </c>
      <c r="BV179" s="158">
        <f t="shared" si="290"/>
        <v>983.41159900487582</v>
      </c>
      <c r="BW179" s="846">
        <f t="shared" si="290"/>
        <v>752.05076876237342</v>
      </c>
      <c r="BX179" s="158">
        <f t="shared" si="290"/>
        <v>-366.06629714159124</v>
      </c>
      <c r="BY179" s="158">
        <f t="shared" si="290"/>
        <v>727.25441474474576</v>
      </c>
      <c r="BZ179" s="158">
        <f t="shared" si="290"/>
        <v>379.44669346543168</v>
      </c>
      <c r="CA179" s="158">
        <f t="shared" si="290"/>
        <v>376.50610942409736</v>
      </c>
      <c r="CB179" s="158">
        <f t="shared" si="290"/>
        <v>374.39489543564355</v>
      </c>
      <c r="CC179" s="117"/>
    </row>
    <row r="180" spans="1:81" x14ac:dyDescent="0.55000000000000004">
      <c r="A180" s="287"/>
      <c r="B180" s="229"/>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273"/>
      <c r="AZ180" s="37"/>
      <c r="BA180" s="37"/>
      <c r="BB180" s="37"/>
      <c r="BC180" s="37"/>
      <c r="BD180" s="37"/>
      <c r="BE180" s="37"/>
      <c r="BF180" s="37"/>
      <c r="BG180" s="37"/>
      <c r="BH180" s="158"/>
      <c r="BI180" s="158"/>
      <c r="BJ180" s="158"/>
      <c r="BK180" s="158"/>
      <c r="BL180" s="158"/>
      <c r="BM180" s="158"/>
      <c r="BN180" s="158"/>
      <c r="BO180" s="158"/>
      <c r="BP180" s="158"/>
      <c r="BQ180" s="158"/>
      <c r="BR180" s="158"/>
      <c r="BS180" s="158"/>
      <c r="BT180" s="158"/>
      <c r="BU180" s="158"/>
      <c r="BV180" s="158"/>
      <c r="BW180" s="846"/>
      <c r="BX180" s="158"/>
      <c r="BY180" s="158"/>
      <c r="BZ180" s="158"/>
      <c r="CA180" s="158"/>
      <c r="CB180" s="158"/>
      <c r="CC180" s="117"/>
    </row>
    <row r="181" spans="1:81" x14ac:dyDescent="0.55000000000000004">
      <c r="A181" s="192" t="s">
        <v>772</v>
      </c>
      <c r="B181" s="193"/>
      <c r="C181" s="35">
        <f t="shared" ref="C181:AH181" si="291">SUM(C147,C154,C159,C164)</f>
        <v>1085</v>
      </c>
      <c r="D181" s="35">
        <f t="shared" si="291"/>
        <v>1251</v>
      </c>
      <c r="E181" s="35">
        <f t="shared" si="291"/>
        <v>1280</v>
      </c>
      <c r="F181" s="35">
        <f t="shared" si="291"/>
        <v>1452</v>
      </c>
      <c r="G181" s="35">
        <f t="shared" si="291"/>
        <v>1427</v>
      </c>
      <c r="H181" s="35">
        <f t="shared" si="291"/>
        <v>1520</v>
      </c>
      <c r="I181" s="35">
        <f t="shared" si="291"/>
        <v>1806</v>
      </c>
      <c r="J181" s="35">
        <f t="shared" si="291"/>
        <v>2718</v>
      </c>
      <c r="K181" s="35">
        <f t="shared" si="291"/>
        <v>2610</v>
      </c>
      <c r="L181" s="35">
        <f t="shared" si="291"/>
        <v>2769</v>
      </c>
      <c r="M181" s="35">
        <f t="shared" si="291"/>
        <v>3042</v>
      </c>
      <c r="N181" s="35">
        <f t="shared" si="291"/>
        <v>3281</v>
      </c>
      <c r="O181" s="35">
        <f t="shared" si="291"/>
        <v>3372</v>
      </c>
      <c r="P181" s="35">
        <f t="shared" si="291"/>
        <v>3702</v>
      </c>
      <c r="Q181" s="35">
        <f t="shared" si="291"/>
        <v>3894</v>
      </c>
      <c r="R181" s="35">
        <f t="shared" si="291"/>
        <v>4243</v>
      </c>
      <c r="S181" s="35">
        <f t="shared" si="291"/>
        <v>4705</v>
      </c>
      <c r="T181" s="35">
        <f t="shared" si="291"/>
        <v>4920</v>
      </c>
      <c r="U181" s="35">
        <f t="shared" si="291"/>
        <v>5206</v>
      </c>
      <c r="V181" s="35">
        <f t="shared" si="291"/>
        <v>5620</v>
      </c>
      <c r="W181" s="35">
        <f t="shared" si="291"/>
        <v>6517</v>
      </c>
      <c r="X181" s="35">
        <f t="shared" si="291"/>
        <v>7368</v>
      </c>
      <c r="Y181" s="35">
        <f t="shared" si="291"/>
        <v>7946</v>
      </c>
      <c r="Z181" s="35">
        <f t="shared" si="291"/>
        <v>9094</v>
      </c>
      <c r="AA181" s="35">
        <f t="shared" si="291"/>
        <v>11760</v>
      </c>
      <c r="AB181" s="35">
        <f t="shared" si="291"/>
        <v>12260</v>
      </c>
      <c r="AC181" s="35">
        <f t="shared" si="291"/>
        <v>10467</v>
      </c>
      <c r="AD181" s="35">
        <f t="shared" si="291"/>
        <v>12224</v>
      </c>
      <c r="AE181" s="35">
        <f t="shared" si="291"/>
        <v>11844</v>
      </c>
      <c r="AF181" s="35">
        <f t="shared" si="291"/>
        <v>12724</v>
      </c>
      <c r="AG181" s="35">
        <f t="shared" si="291"/>
        <v>13430</v>
      </c>
      <c r="AH181" s="35">
        <f t="shared" si="291"/>
        <v>15297</v>
      </c>
      <c r="AI181" s="35">
        <f t="shared" ref="AI181:BF181" si="292">SUM(AI147,AI154,AI159,AI164)</f>
        <v>14793</v>
      </c>
      <c r="AJ181" s="35">
        <f t="shared" si="292"/>
        <v>16710</v>
      </c>
      <c r="AK181" s="35">
        <f t="shared" si="292"/>
        <v>18587</v>
      </c>
      <c r="AL181" s="35">
        <f t="shared" si="292"/>
        <v>21086</v>
      </c>
      <c r="AM181" s="35">
        <f t="shared" si="292"/>
        <v>19384</v>
      </c>
      <c r="AN181" s="35">
        <f t="shared" si="292"/>
        <v>20464</v>
      </c>
      <c r="AO181" s="35">
        <f t="shared" si="292"/>
        <v>22050</v>
      </c>
      <c r="AP181" s="35">
        <f t="shared" si="292"/>
        <v>25766</v>
      </c>
      <c r="AQ181" s="35">
        <f t="shared" si="292"/>
        <v>21418</v>
      </c>
      <c r="AR181" s="35">
        <f t="shared" si="292"/>
        <v>22607</v>
      </c>
      <c r="AS181" s="35">
        <f t="shared" si="292"/>
        <v>20398</v>
      </c>
      <c r="AT181" s="35">
        <f t="shared" si="292"/>
        <v>23727</v>
      </c>
      <c r="AU181" s="35">
        <f t="shared" si="292"/>
        <v>22637</v>
      </c>
      <c r="AV181" s="35">
        <f t="shared" si="292"/>
        <v>24224</v>
      </c>
      <c r="AW181" s="35">
        <f t="shared" si="292"/>
        <v>23239</v>
      </c>
      <c r="AX181" s="35">
        <f t="shared" si="292"/>
        <v>25020</v>
      </c>
      <c r="AY181" s="272">
        <f t="shared" si="292"/>
        <v>24759</v>
      </c>
      <c r="AZ181" s="35">
        <f t="shared" si="292"/>
        <v>28305.313605299852</v>
      </c>
      <c r="BA181" s="35">
        <f t="shared" si="292"/>
        <v>27434.745309226426</v>
      </c>
      <c r="BB181" s="35">
        <f t="shared" si="292"/>
        <v>35049.547656335882</v>
      </c>
      <c r="BC181" s="35">
        <f t="shared" si="292"/>
        <v>22656.085604734857</v>
      </c>
      <c r="BD181" s="35">
        <f t="shared" si="292"/>
        <v>26470.563296436536</v>
      </c>
      <c r="BE181" s="35">
        <f t="shared" si="292"/>
        <v>28397.645699055043</v>
      </c>
      <c r="BF181" s="35">
        <f t="shared" si="292"/>
        <v>37338.507277563236</v>
      </c>
      <c r="BG181" s="35"/>
      <c r="BH181" s="812">
        <f t="shared" ref="BH181:CB181" si="293">SUM(BH147,BH154,BH159,BH164)</f>
        <v>515</v>
      </c>
      <c r="BI181" s="812">
        <f t="shared" si="293"/>
        <v>942</v>
      </c>
      <c r="BJ181" s="812">
        <f t="shared" si="293"/>
        <v>1955</v>
      </c>
      <c r="BK181" s="812">
        <f t="shared" si="293"/>
        <v>4551</v>
      </c>
      <c r="BL181" s="812">
        <f t="shared" si="293"/>
        <v>5068</v>
      </c>
      <c r="BM181" s="812">
        <f t="shared" si="293"/>
        <v>7472</v>
      </c>
      <c r="BN181" s="812">
        <f t="shared" si="293"/>
        <v>11703</v>
      </c>
      <c r="BO181" s="812">
        <f t="shared" si="293"/>
        <v>15211</v>
      </c>
      <c r="BP181" s="812">
        <f t="shared" si="293"/>
        <v>20450</v>
      </c>
      <c r="BQ181" s="812">
        <f t="shared" si="293"/>
        <v>30925</v>
      </c>
      <c r="BR181" s="812">
        <f t="shared" si="293"/>
        <v>46711</v>
      </c>
      <c r="BS181" s="812">
        <f t="shared" si="293"/>
        <v>53294</v>
      </c>
      <c r="BT181" s="812">
        <f t="shared" si="293"/>
        <v>71176</v>
      </c>
      <c r="BU181" s="812">
        <f t="shared" si="293"/>
        <v>87665</v>
      </c>
      <c r="BV181" s="812">
        <f t="shared" si="293"/>
        <v>88151</v>
      </c>
      <c r="BW181" s="814">
        <f t="shared" si="293"/>
        <v>95121</v>
      </c>
      <c r="BX181" s="812">
        <f t="shared" si="293"/>
        <v>115548.60657086219</v>
      </c>
      <c r="BY181" s="812">
        <f t="shared" si="293"/>
        <v>114862.80187778967</v>
      </c>
      <c r="BZ181" s="812">
        <f t="shared" si="293"/>
        <v>118880.12493298814</v>
      </c>
      <c r="CA181" s="812">
        <f t="shared" si="293"/>
        <v>115848.97544464561</v>
      </c>
      <c r="CB181" s="812">
        <f t="shared" si="293"/>
        <v>111854.2990483437</v>
      </c>
      <c r="CC181" s="6"/>
    </row>
    <row r="182" spans="1:81" x14ac:dyDescent="0.55000000000000004">
      <c r="A182" s="325" t="str">
        <f>CONCATENATE("Guidance - ",IFERROR(LEFT(A181,FIND("(",A181)-1),A181))</f>
        <v>Guidance - Total Expenses, mm</v>
      </c>
      <c r="B182" s="76"/>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f>AD574</f>
        <v>12513</v>
      </c>
      <c r="AE182" s="342"/>
      <c r="AF182" s="342"/>
      <c r="AG182" s="342"/>
      <c r="AH182" s="342">
        <f>AH574</f>
        <v>15502</v>
      </c>
      <c r="AI182" s="342"/>
      <c r="AJ182" s="342"/>
      <c r="AK182" s="342"/>
      <c r="AL182" s="342">
        <f>AL574</f>
        <v>20410</v>
      </c>
      <c r="AM182" s="342"/>
      <c r="AN182" s="342"/>
      <c r="AO182" s="342"/>
      <c r="AP182" s="342">
        <f>AP574</f>
        <v>24102</v>
      </c>
      <c r="AQ182" s="342"/>
      <c r="AR182" s="342"/>
      <c r="AS182" s="342"/>
      <c r="AT182" s="342">
        <f>AT574</f>
        <v>23577</v>
      </c>
      <c r="AU182" s="342"/>
      <c r="AV182" s="342"/>
      <c r="AW182" s="342"/>
      <c r="AX182" s="342">
        <f>AX574</f>
        <v>26900</v>
      </c>
      <c r="AY182" s="630"/>
      <c r="AZ182" s="342">
        <f t="shared" ref="AZ182:BF182" si="294">IFERROR(IF(LEFT(AZ$5)="Q",INDEX(MO_GuidanceAnalysis_AllExpenses_Q,0,MATCH(AZ$5,MO_SNA_Guidance_ApplicablePeriod_Q,0)),INDEX(MO_GuidanceAnalysis_AllExpenses_FY,0,MATCH(AZ$5,MO_SNA_Guidance_ApplicablePeriod_FY_Latest,0))),0)</f>
        <v>0</v>
      </c>
      <c r="BA182" s="342">
        <f t="shared" si="294"/>
        <v>0</v>
      </c>
      <c r="BB182" s="342">
        <f t="shared" si="294"/>
        <v>0</v>
      </c>
      <c r="BC182" s="342">
        <f t="shared" si="294"/>
        <v>0</v>
      </c>
      <c r="BD182" s="342">
        <f t="shared" si="294"/>
        <v>0</v>
      </c>
      <c r="BE182" s="342">
        <f t="shared" si="294"/>
        <v>0</v>
      </c>
      <c r="BF182" s="342">
        <f t="shared" si="294"/>
        <v>0</v>
      </c>
      <c r="BG182" s="342"/>
      <c r="BH182" s="837"/>
      <c r="BI182" s="837"/>
      <c r="BJ182" s="837"/>
      <c r="BK182" s="837"/>
      <c r="BL182" s="837"/>
      <c r="BM182" s="837"/>
      <c r="BN182" s="837"/>
      <c r="BO182" s="837"/>
      <c r="BP182" s="837"/>
      <c r="BQ182" s="837"/>
      <c r="BR182" s="837">
        <f t="shared" ref="BR182:BW182" si="295">BR574</f>
        <v>47000</v>
      </c>
      <c r="BS182" s="837">
        <f t="shared" si="295"/>
        <v>53500</v>
      </c>
      <c r="BT182" s="837">
        <f t="shared" si="295"/>
        <v>70500</v>
      </c>
      <c r="BU182" s="837">
        <f t="shared" si="295"/>
        <v>86000</v>
      </c>
      <c r="BV182" s="837">
        <f t="shared" si="295"/>
        <v>88000</v>
      </c>
      <c r="BW182" s="838">
        <f t="shared" si="295"/>
        <v>97000</v>
      </c>
      <c r="BX182" s="837">
        <f>IFERROR(IF(LEFT(BX$5)="Q",INDEX(MO_GuidanceAnalysis_AllExpenses_Q,0,MATCH(BX$5,MO_SNA_Guidance_ApplicablePeriod_Q,0)),INDEX(MO_GuidanceAnalysis_AllExpenses_FY,0,MATCH(BX$5,MO_SNA_Guidance_ApplicablePeriod_FY_Latest,0))),0)</f>
        <v>115500</v>
      </c>
      <c r="BY182" s="837">
        <f>IFERROR(IF(LEFT(BY$5)="Q",INDEX(MO_GuidanceAnalysis_AllExpenses_Q,0,MATCH(BY$5,MO_SNA_Guidance_ApplicablePeriod_Q,0)),INDEX(MO_GuidanceAnalysis_AllExpenses_FY,0,MATCH(BY$5,MO_SNA_Guidance_ApplicablePeriod_FY_Latest,0))),0)</f>
        <v>0</v>
      </c>
      <c r="BZ182" s="837">
        <f>IFERROR(IF(LEFT(BZ$5)="Q",INDEX(MO_GuidanceAnalysis_AllExpenses_Q,0,MATCH(BZ$5,MO_SNA_Guidance_ApplicablePeriod_Q,0)),INDEX(MO_GuidanceAnalysis_AllExpenses_FY,0,MATCH(BZ$5,MO_SNA_Guidance_ApplicablePeriod_FY_Latest,0))),0)</f>
        <v>0</v>
      </c>
      <c r="CA182" s="837">
        <f>IFERROR(IF(LEFT(CA$5)="Q",INDEX(MO_GuidanceAnalysis_AllExpenses_Q,0,MATCH(CA$5,MO_SNA_Guidance_ApplicablePeriod_Q,0)),INDEX(MO_GuidanceAnalysis_AllExpenses_FY,0,MATCH(CA$5,MO_SNA_Guidance_ApplicablePeriod_FY_Latest,0))),0)</f>
        <v>0</v>
      </c>
      <c r="CB182" s="837">
        <f>IFERROR(IF(LEFT(CB$5)="Q",INDEX(MO_GuidanceAnalysis_AllExpenses_Q,0,MATCH(CB$5,MO_SNA_Guidance_ApplicablePeriod_Q,0)),INDEX(MO_GuidanceAnalysis_AllExpenses_FY,0,MATCH(CB$5,MO_SNA_Guidance_ApplicablePeriod_FY_Latest,0))),0)</f>
        <v>0</v>
      </c>
      <c r="CC182" s="6"/>
    </row>
    <row r="183" spans="1:81" x14ac:dyDescent="0.55000000000000004">
      <c r="A183" s="437"/>
      <c r="B183" s="76"/>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627"/>
      <c r="AZ183" s="45"/>
      <c r="BA183" s="45"/>
      <c r="BB183" s="45"/>
      <c r="BC183" s="45"/>
      <c r="BD183" s="45"/>
      <c r="BE183" s="45"/>
      <c r="BF183" s="45"/>
      <c r="BG183" s="45"/>
      <c r="BH183" s="836"/>
      <c r="BI183" s="836"/>
      <c r="BJ183" s="836"/>
      <c r="BK183" s="836"/>
      <c r="BL183" s="836"/>
      <c r="BM183" s="836"/>
      <c r="BN183" s="836"/>
      <c r="BO183" s="836"/>
      <c r="BP183" s="836"/>
      <c r="BQ183" s="836"/>
      <c r="BR183" s="836"/>
      <c r="BS183" s="836"/>
      <c r="BT183" s="836"/>
      <c r="BU183" s="836"/>
      <c r="BV183" s="836"/>
      <c r="BW183" s="885"/>
      <c r="BX183" s="836"/>
      <c r="BY183" s="836"/>
      <c r="BZ183" s="836"/>
      <c r="CA183" s="836"/>
      <c r="CB183" s="836"/>
      <c r="CC183" s="6"/>
    </row>
    <row r="184" spans="1:81" x14ac:dyDescent="0.55000000000000004">
      <c r="A184" s="283" t="s">
        <v>516</v>
      </c>
      <c r="B184" s="196"/>
      <c r="C184" s="207"/>
      <c r="D184" s="207"/>
      <c r="E184" s="207"/>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c r="AK184" s="207"/>
      <c r="AL184" s="207"/>
      <c r="AM184" s="207"/>
      <c r="AN184" s="207"/>
      <c r="AO184" s="207"/>
      <c r="AP184" s="207"/>
      <c r="AQ184" s="207"/>
      <c r="AR184" s="207"/>
      <c r="AS184" s="207"/>
      <c r="AT184" s="207"/>
      <c r="AU184" s="207"/>
      <c r="AV184" s="207"/>
      <c r="AW184" s="207"/>
      <c r="AX184" s="207"/>
      <c r="AY184" s="284"/>
      <c r="AZ184" s="207"/>
      <c r="BA184" s="207"/>
      <c r="BB184" s="207"/>
      <c r="BC184" s="207"/>
      <c r="BD184" s="207"/>
      <c r="BE184" s="207"/>
      <c r="BF184" s="207"/>
      <c r="BG184" s="207"/>
      <c r="BH184" s="207"/>
      <c r="BI184" s="207"/>
      <c r="BJ184" s="207"/>
      <c r="BK184" s="207"/>
      <c r="BL184" s="207"/>
      <c r="BM184" s="207"/>
      <c r="BN184" s="207"/>
      <c r="BO184" s="207"/>
      <c r="BP184" s="207"/>
      <c r="BQ184" s="207"/>
      <c r="BR184" s="207"/>
      <c r="BS184" s="207"/>
      <c r="BT184" s="207"/>
      <c r="BU184" s="207"/>
      <c r="BV184" s="207"/>
      <c r="BW184" s="284"/>
      <c r="BX184" s="207"/>
      <c r="BY184" s="207"/>
      <c r="BZ184" s="207"/>
      <c r="CA184" s="207"/>
      <c r="CB184" s="207"/>
      <c r="CC184" s="6"/>
    </row>
    <row r="185" spans="1:81" outlineLevel="1" x14ac:dyDescent="0.55000000000000004">
      <c r="A185" s="86" t="s">
        <v>524</v>
      </c>
      <c r="B185" s="87"/>
      <c r="C185" s="759">
        <v>8</v>
      </c>
      <c r="D185" s="759">
        <v>11</v>
      </c>
      <c r="E185" s="759">
        <v>12</v>
      </c>
      <c r="F185" s="759">
        <v>11</v>
      </c>
      <c r="G185" s="759">
        <v>12</v>
      </c>
      <c r="H185" s="759">
        <v>16</v>
      </c>
      <c r="I185" s="759">
        <v>16</v>
      </c>
      <c r="J185" s="759">
        <v>18</v>
      </c>
      <c r="K185" s="759">
        <v>17</v>
      </c>
      <c r="L185" s="759">
        <v>21</v>
      </c>
      <c r="M185" s="759">
        <v>21</v>
      </c>
      <c r="N185" s="759">
        <v>22</v>
      </c>
      <c r="O185" s="759">
        <v>22</v>
      </c>
      <c r="P185" s="759">
        <v>29</v>
      </c>
      <c r="Q185" s="759">
        <v>30</v>
      </c>
      <c r="R185" s="759">
        <v>32</v>
      </c>
      <c r="S185" s="759">
        <v>34</v>
      </c>
      <c r="T185" s="759">
        <v>47</v>
      </c>
      <c r="U185" s="759">
        <v>47</v>
      </c>
      <c r="V185" s="759">
        <v>50</v>
      </c>
      <c r="W185" s="759">
        <v>56</v>
      </c>
      <c r="X185" s="759">
        <v>74</v>
      </c>
      <c r="Y185" s="759">
        <v>72</v>
      </c>
      <c r="Z185" s="37">
        <f>BQ185-Y185-X185-W185</f>
        <v>82</v>
      </c>
      <c r="AA185" s="759">
        <v>87</v>
      </c>
      <c r="AB185" s="759">
        <v>109</v>
      </c>
      <c r="AC185" s="759">
        <v>91</v>
      </c>
      <c r="AD185" s="37">
        <f>BR185-AC185-AB185-AA185</f>
        <v>90</v>
      </c>
      <c r="AE185" s="759">
        <v>94</v>
      </c>
      <c r="AF185" s="759">
        <v>117</v>
      </c>
      <c r="AG185" s="759">
        <v>116</v>
      </c>
      <c r="AH185" s="37">
        <f>BS185-AG185-AF185-AE185</f>
        <v>120</v>
      </c>
      <c r="AI185" s="759">
        <v>118</v>
      </c>
      <c r="AJ185" s="759">
        <v>163</v>
      </c>
      <c r="AK185" s="759">
        <v>147</v>
      </c>
      <c r="AL185" s="759">
        <v>149</v>
      </c>
      <c r="AM185" s="759">
        <v>160</v>
      </c>
      <c r="AN185" s="759">
        <v>213</v>
      </c>
      <c r="AO185" s="759">
        <v>209</v>
      </c>
      <c r="AP185" s="759">
        <v>186</v>
      </c>
      <c r="AQ185" s="759">
        <v>160</v>
      </c>
      <c r="AR185" s="759">
        <v>193</v>
      </c>
      <c r="AS185" s="759">
        <v>183</v>
      </c>
      <c r="AT185" s="37">
        <f>BV185-SUM(AQ185,AR185,AS185)</f>
        <v>204</v>
      </c>
      <c r="AU185" s="759">
        <v>221</v>
      </c>
      <c r="AV185" s="759">
        <v>288</v>
      </c>
      <c r="AW185" s="759">
        <v>266</v>
      </c>
      <c r="AX185" s="37">
        <f>BW185-SUM(AU185,AV185,AW185)</f>
        <v>280</v>
      </c>
      <c r="AY185" s="273"/>
      <c r="AZ185" s="37"/>
      <c r="BA185" s="37"/>
      <c r="BB185" s="37"/>
      <c r="BC185" s="37"/>
      <c r="BD185" s="37"/>
      <c r="BE185" s="37"/>
      <c r="BF185" s="37"/>
      <c r="BG185" s="37"/>
      <c r="BH185" s="158"/>
      <c r="BI185" s="158"/>
      <c r="BJ185" s="857">
        <v>9</v>
      </c>
      <c r="BK185" s="857">
        <v>88</v>
      </c>
      <c r="BL185" s="857">
        <v>42</v>
      </c>
      <c r="BM185" s="857">
        <v>62</v>
      </c>
      <c r="BN185" s="857">
        <v>81</v>
      </c>
      <c r="BO185" s="857">
        <v>113</v>
      </c>
      <c r="BP185" s="857">
        <v>178</v>
      </c>
      <c r="BQ185" s="857">
        <v>284</v>
      </c>
      <c r="BR185" s="857">
        <v>377</v>
      </c>
      <c r="BS185" s="857">
        <v>447</v>
      </c>
      <c r="BT185" s="857">
        <v>577</v>
      </c>
      <c r="BU185" s="857">
        <v>768</v>
      </c>
      <c r="BV185" s="857">
        <v>740</v>
      </c>
      <c r="BW185" s="862">
        <v>1055</v>
      </c>
      <c r="BX185" s="158"/>
      <c r="BY185" s="158"/>
      <c r="BZ185" s="158"/>
      <c r="CA185" s="158"/>
      <c r="CB185" s="158"/>
      <c r="CC185" s="117"/>
    </row>
    <row r="186" spans="1:81" outlineLevel="1" x14ac:dyDescent="0.55000000000000004">
      <c r="A186" s="116" t="s">
        <v>525</v>
      </c>
      <c r="B186" s="87"/>
      <c r="C186" s="759">
        <v>117</v>
      </c>
      <c r="D186" s="759">
        <v>151</v>
      </c>
      <c r="E186" s="759">
        <v>164</v>
      </c>
      <c r="F186" s="759">
        <v>172</v>
      </c>
      <c r="G186" s="759">
        <v>181</v>
      </c>
      <c r="H186" s="759">
        <v>219</v>
      </c>
      <c r="I186" s="759">
        <v>243</v>
      </c>
      <c r="J186" s="759">
        <v>685</v>
      </c>
      <c r="K186" s="759">
        <v>566</v>
      </c>
      <c r="L186" s="759">
        <v>603</v>
      </c>
      <c r="M186" s="759">
        <v>598</v>
      </c>
      <c r="N186" s="759">
        <v>583</v>
      </c>
      <c r="O186" s="759">
        <v>586</v>
      </c>
      <c r="P186" s="759">
        <v>631</v>
      </c>
      <c r="Q186" s="759">
        <v>636</v>
      </c>
      <c r="R186" s="759">
        <v>641</v>
      </c>
      <c r="S186" s="759">
        <v>670</v>
      </c>
      <c r="T186" s="759">
        <v>787</v>
      </c>
      <c r="U186" s="759">
        <v>776</v>
      </c>
      <c r="V186" s="759">
        <v>587</v>
      </c>
      <c r="W186" s="759">
        <v>718</v>
      </c>
      <c r="X186" s="759">
        <v>881</v>
      </c>
      <c r="Y186" s="759">
        <v>748</v>
      </c>
      <c r="Z186" s="117">
        <f>BQ186-Y186-X186-W186</f>
        <v>675</v>
      </c>
      <c r="AA186" s="759">
        <v>723</v>
      </c>
      <c r="AB186" s="759">
        <v>927</v>
      </c>
      <c r="AC186" s="759">
        <v>907</v>
      </c>
      <c r="AD186" s="117">
        <f>BR186-AC186-AB186-AA186</f>
        <v>931</v>
      </c>
      <c r="AE186" s="759">
        <v>999</v>
      </c>
      <c r="AF186" s="759">
        <v>1261</v>
      </c>
      <c r="AG186" s="759">
        <v>1297</v>
      </c>
      <c r="AH186" s="117">
        <f>BS186-AG186-AF186-AE186</f>
        <v>1361</v>
      </c>
      <c r="AI186" s="759">
        <v>1408</v>
      </c>
      <c r="AJ186" s="759">
        <v>1967</v>
      </c>
      <c r="AK186" s="759">
        <v>1849</v>
      </c>
      <c r="AL186" s="759">
        <v>1882</v>
      </c>
      <c r="AM186" s="759">
        <v>1941</v>
      </c>
      <c r="AN186" s="759">
        <v>2606</v>
      </c>
      <c r="AO186" s="759">
        <v>2447</v>
      </c>
      <c r="AP186" s="759">
        <v>2366</v>
      </c>
      <c r="AQ186" s="759">
        <v>2449</v>
      </c>
      <c r="AR186" s="759">
        <v>3305</v>
      </c>
      <c r="AS186" s="759">
        <v>2881</v>
      </c>
      <c r="AT186" s="37">
        <f>BV186-SUM(AQ186,AR186,AS186)</f>
        <v>2794</v>
      </c>
      <c r="AU186" s="759">
        <v>2911</v>
      </c>
      <c r="AV186" s="759">
        <v>3780</v>
      </c>
      <c r="AW186" s="759">
        <v>3486</v>
      </c>
      <c r="AX186" s="37">
        <f>BW186-SUM(AU186,AV186,AW186)</f>
        <v>3506</v>
      </c>
      <c r="AY186" s="273"/>
      <c r="AZ186" s="37"/>
      <c r="BA186" s="37"/>
      <c r="BB186" s="37"/>
      <c r="BC186" s="37"/>
      <c r="BD186" s="37"/>
      <c r="BE186" s="37"/>
      <c r="BF186" s="37"/>
      <c r="BG186" s="37"/>
      <c r="BH186" s="158"/>
      <c r="BI186" s="158"/>
      <c r="BJ186" s="857">
        <v>114</v>
      </c>
      <c r="BK186" s="857">
        <v>843</v>
      </c>
      <c r="BL186" s="857">
        <v>604</v>
      </c>
      <c r="BM186" s="857">
        <v>1328</v>
      </c>
      <c r="BN186" s="857">
        <v>2350</v>
      </c>
      <c r="BO186" s="857">
        <v>2494</v>
      </c>
      <c r="BP186" s="857">
        <v>2820</v>
      </c>
      <c r="BQ186" s="857">
        <v>3022</v>
      </c>
      <c r="BR186" s="857">
        <v>3488</v>
      </c>
      <c r="BS186" s="857">
        <v>4918</v>
      </c>
      <c r="BT186" s="857">
        <v>7106</v>
      </c>
      <c r="BU186" s="857">
        <v>9361</v>
      </c>
      <c r="BV186" s="857">
        <v>11429</v>
      </c>
      <c r="BW186" s="862">
        <v>13683</v>
      </c>
      <c r="BX186" s="158"/>
      <c r="BY186" s="158"/>
      <c r="BZ186" s="158"/>
      <c r="CA186" s="158"/>
      <c r="CB186" s="158"/>
      <c r="CC186" s="117"/>
    </row>
    <row r="187" spans="1:81" outlineLevel="1" x14ac:dyDescent="0.55000000000000004">
      <c r="A187" s="116" t="s">
        <v>526</v>
      </c>
      <c r="B187" s="87"/>
      <c r="C187" s="759">
        <v>24</v>
      </c>
      <c r="D187" s="759">
        <v>33</v>
      </c>
      <c r="E187" s="759">
        <v>34</v>
      </c>
      <c r="F187" s="759">
        <v>42</v>
      </c>
      <c r="G187" s="759">
        <v>43</v>
      </c>
      <c r="H187" s="759">
        <v>50</v>
      </c>
      <c r="I187" s="759">
        <v>53</v>
      </c>
      <c r="J187" s="759">
        <v>103</v>
      </c>
      <c r="K187" s="759">
        <v>72</v>
      </c>
      <c r="L187" s="759">
        <v>82</v>
      </c>
      <c r="M187" s="759">
        <v>82</v>
      </c>
      <c r="N187" s="759">
        <v>84</v>
      </c>
      <c r="O187" s="759">
        <v>82</v>
      </c>
      <c r="P187" s="759">
        <v>95</v>
      </c>
      <c r="Q187" s="759">
        <v>95</v>
      </c>
      <c r="R187" s="759">
        <v>96</v>
      </c>
      <c r="S187" s="759">
        <v>96</v>
      </c>
      <c r="T187" s="759">
        <v>120</v>
      </c>
      <c r="U187" s="759">
        <v>114</v>
      </c>
      <c r="V187" s="759">
        <v>106</v>
      </c>
      <c r="W187" s="759">
        <v>109</v>
      </c>
      <c r="X187" s="759">
        <v>139</v>
      </c>
      <c r="Y187" s="759">
        <v>133</v>
      </c>
      <c r="Z187" s="117">
        <f>BQ187-Y187-X187-W187</f>
        <v>130</v>
      </c>
      <c r="AA187" s="759">
        <v>113</v>
      </c>
      <c r="AB187" s="759">
        <v>160</v>
      </c>
      <c r="AC187" s="759">
        <v>148</v>
      </c>
      <c r="AD187" s="117">
        <f>BR187-AC187-AB187-AA187</f>
        <v>148</v>
      </c>
      <c r="AE187" s="759">
        <v>149</v>
      </c>
      <c r="AF187" s="759">
        <v>187</v>
      </c>
      <c r="AG187" s="759">
        <v>180</v>
      </c>
      <c r="AH187" s="117">
        <f>BS187-AG187-AF187-AE187</f>
        <v>175</v>
      </c>
      <c r="AI187" s="759">
        <v>174</v>
      </c>
      <c r="AJ187" s="759">
        <v>239</v>
      </c>
      <c r="AK187" s="759">
        <v>218</v>
      </c>
      <c r="AL187" s="759">
        <v>206</v>
      </c>
      <c r="AM187" s="759">
        <v>216</v>
      </c>
      <c r="AN187" s="759">
        <v>289</v>
      </c>
      <c r="AO187" s="759">
        <v>260</v>
      </c>
      <c r="AP187" s="759">
        <v>239</v>
      </c>
      <c r="AQ187" s="759">
        <v>219</v>
      </c>
      <c r="AR187" s="759">
        <v>289</v>
      </c>
      <c r="AS187" s="759">
        <v>219</v>
      </c>
      <c r="AT187" s="37">
        <f>BV187-SUM(AQ187,AR187,AS187)</f>
        <v>225</v>
      </c>
      <c r="AU187" s="759">
        <v>226</v>
      </c>
      <c r="AV187" s="759">
        <v>287</v>
      </c>
      <c r="AW187" s="759">
        <v>260</v>
      </c>
      <c r="AX187" s="37">
        <f>BW187-SUM(AU187,AV187,AW187)</f>
        <v>253</v>
      </c>
      <c r="AY187" s="273"/>
      <c r="AZ187" s="37"/>
      <c r="BA187" s="37"/>
      <c r="BB187" s="37"/>
      <c r="BC187" s="37"/>
      <c r="BD187" s="37"/>
      <c r="BE187" s="37"/>
      <c r="BF187" s="37"/>
      <c r="BG187" s="37"/>
      <c r="BH187" s="158"/>
      <c r="BI187" s="158"/>
      <c r="BJ187" s="857">
        <v>37</v>
      </c>
      <c r="BK187" s="857">
        <v>306</v>
      </c>
      <c r="BL187" s="857">
        <v>133</v>
      </c>
      <c r="BM187" s="857">
        <v>249</v>
      </c>
      <c r="BN187" s="857">
        <v>320</v>
      </c>
      <c r="BO187" s="857">
        <v>368</v>
      </c>
      <c r="BP187" s="857">
        <v>436</v>
      </c>
      <c r="BQ187" s="857">
        <v>511</v>
      </c>
      <c r="BR187" s="857">
        <v>569</v>
      </c>
      <c r="BS187" s="857">
        <v>691</v>
      </c>
      <c r="BT187" s="857">
        <v>837</v>
      </c>
      <c r="BU187" s="857">
        <v>1004</v>
      </c>
      <c r="BV187" s="857">
        <v>952</v>
      </c>
      <c r="BW187" s="862">
        <v>1026</v>
      </c>
      <c r="BX187" s="158"/>
      <c r="BY187" s="158"/>
      <c r="BZ187" s="158"/>
      <c r="CA187" s="158"/>
      <c r="CB187" s="158"/>
      <c r="CC187" s="117"/>
    </row>
    <row r="188" spans="1:81" outlineLevel="1" x14ac:dyDescent="0.55000000000000004">
      <c r="A188" s="116" t="s">
        <v>527</v>
      </c>
      <c r="B188" s="87"/>
      <c r="C188" s="759">
        <v>21</v>
      </c>
      <c r="D188" s="759">
        <v>29</v>
      </c>
      <c r="E188" s="759">
        <v>29</v>
      </c>
      <c r="F188" s="759">
        <v>48</v>
      </c>
      <c r="G188" s="759">
        <v>38</v>
      </c>
      <c r="H188" s="759">
        <v>29</v>
      </c>
      <c r="I188" s="759">
        <v>41</v>
      </c>
      <c r="J188" s="759">
        <v>90</v>
      </c>
      <c r="K188" s="759">
        <v>48</v>
      </c>
      <c r="L188" s="759">
        <v>57</v>
      </c>
      <c r="M188" s="759">
        <v>56</v>
      </c>
      <c r="N188" s="759">
        <v>57</v>
      </c>
      <c r="O188" s="759">
        <v>56</v>
      </c>
      <c r="P188" s="759">
        <v>62</v>
      </c>
      <c r="Q188" s="759">
        <v>63</v>
      </c>
      <c r="R188" s="759">
        <v>62</v>
      </c>
      <c r="S188" s="759">
        <v>67</v>
      </c>
      <c r="T188" s="759">
        <v>78</v>
      </c>
      <c r="U188" s="759">
        <v>73</v>
      </c>
      <c r="V188" s="759">
        <v>71</v>
      </c>
      <c r="W188" s="759">
        <v>72</v>
      </c>
      <c r="X188" s="759">
        <v>92</v>
      </c>
      <c r="Y188" s="759">
        <v>87</v>
      </c>
      <c r="Z188" s="117">
        <f>BQ188-Y188-X188-W188</f>
        <v>84</v>
      </c>
      <c r="AA188" s="759">
        <v>87</v>
      </c>
      <c r="AB188" s="759">
        <v>107</v>
      </c>
      <c r="AC188" s="759">
        <v>103</v>
      </c>
      <c r="AD188" s="117">
        <f>BR188-AC188-AB188-AA188</f>
        <v>105</v>
      </c>
      <c r="AE188" s="759">
        <v>93</v>
      </c>
      <c r="AF188" s="759">
        <v>130</v>
      </c>
      <c r="AG188" s="759">
        <v>129</v>
      </c>
      <c r="AH188" s="117">
        <f>BS188-AG188-AF188-AE188</f>
        <v>128</v>
      </c>
      <c r="AI188" s="759">
        <v>130</v>
      </c>
      <c r="AJ188" s="759">
        <v>179</v>
      </c>
      <c r="AK188" s="759">
        <v>165</v>
      </c>
      <c r="AL188" s="759">
        <v>169</v>
      </c>
      <c r="AM188" s="759">
        <v>181</v>
      </c>
      <c r="AN188" s="759">
        <v>243</v>
      </c>
      <c r="AO188" s="759">
        <v>218</v>
      </c>
      <c r="AP188" s="759">
        <v>217</v>
      </c>
      <c r="AQ188" s="759">
        <v>223</v>
      </c>
      <c r="AR188" s="759">
        <v>273</v>
      </c>
      <c r="AS188" s="759">
        <v>209</v>
      </c>
      <c r="AT188" s="37">
        <f>BV188-SUM(AQ188,AR188,AS188)</f>
        <v>201</v>
      </c>
      <c r="AU188" s="763">
        <v>204</v>
      </c>
      <c r="AV188" s="759">
        <v>261</v>
      </c>
      <c r="AW188" s="763">
        <v>238</v>
      </c>
      <c r="AX188" s="37">
        <f>BW188-SUM(AU188,AV188,AW188)</f>
        <v>223</v>
      </c>
      <c r="AY188" s="406"/>
      <c r="AZ188" s="37"/>
      <c r="BA188" s="37"/>
      <c r="BB188" s="37"/>
      <c r="BC188" s="37"/>
      <c r="BD188" s="37"/>
      <c r="BE188" s="37"/>
      <c r="BF188" s="37"/>
      <c r="BG188" s="37"/>
      <c r="BH188" s="158"/>
      <c r="BI188" s="158"/>
      <c r="BJ188" s="857">
        <v>57</v>
      </c>
      <c r="BK188" s="857">
        <v>335</v>
      </c>
      <c r="BL188" s="857">
        <v>127</v>
      </c>
      <c r="BM188" s="857">
        <v>198</v>
      </c>
      <c r="BN188" s="857">
        <v>218</v>
      </c>
      <c r="BO188" s="857">
        <v>243</v>
      </c>
      <c r="BP188" s="857">
        <v>289</v>
      </c>
      <c r="BQ188" s="857">
        <v>335</v>
      </c>
      <c r="BR188" s="857">
        <v>402</v>
      </c>
      <c r="BS188" s="857">
        <v>480</v>
      </c>
      <c r="BT188" s="857">
        <v>644</v>
      </c>
      <c r="BU188" s="857">
        <v>859</v>
      </c>
      <c r="BV188" s="857">
        <v>906</v>
      </c>
      <c r="BW188" s="864">
        <v>926</v>
      </c>
      <c r="BX188" s="158"/>
      <c r="BY188" s="158"/>
      <c r="BZ188" s="158"/>
      <c r="CA188" s="158"/>
      <c r="CB188" s="158"/>
      <c r="CC188" s="117"/>
    </row>
    <row r="189" spans="1:81" outlineLevel="1" x14ac:dyDescent="0.55000000000000004">
      <c r="A189" s="20" t="s">
        <v>528</v>
      </c>
      <c r="B189" s="195"/>
      <c r="C189" s="5">
        <f t="shared" ref="C189:AX189" si="296">SUM(C185:C188)</f>
        <v>170</v>
      </c>
      <c r="D189" s="5">
        <f t="shared" si="296"/>
        <v>224</v>
      </c>
      <c r="E189" s="5">
        <f t="shared" si="296"/>
        <v>239</v>
      </c>
      <c r="F189" s="5">
        <f t="shared" si="296"/>
        <v>273</v>
      </c>
      <c r="G189" s="5">
        <f t="shared" si="296"/>
        <v>274</v>
      </c>
      <c r="H189" s="5">
        <f t="shared" si="296"/>
        <v>314</v>
      </c>
      <c r="I189" s="5">
        <f t="shared" si="296"/>
        <v>353</v>
      </c>
      <c r="J189" s="5">
        <f t="shared" si="296"/>
        <v>896</v>
      </c>
      <c r="K189" s="5">
        <f t="shared" si="296"/>
        <v>703</v>
      </c>
      <c r="L189" s="5">
        <f t="shared" si="296"/>
        <v>763</v>
      </c>
      <c r="M189" s="5">
        <f t="shared" si="296"/>
        <v>757</v>
      </c>
      <c r="N189" s="5">
        <f t="shared" si="296"/>
        <v>746</v>
      </c>
      <c r="O189" s="5">
        <f t="shared" si="296"/>
        <v>746</v>
      </c>
      <c r="P189" s="5">
        <f t="shared" si="296"/>
        <v>817</v>
      </c>
      <c r="Q189" s="5">
        <f t="shared" si="296"/>
        <v>824</v>
      </c>
      <c r="R189" s="33">
        <f t="shared" si="296"/>
        <v>831</v>
      </c>
      <c r="S189" s="5">
        <f t="shared" si="296"/>
        <v>867</v>
      </c>
      <c r="T189" s="5">
        <f t="shared" si="296"/>
        <v>1032</v>
      </c>
      <c r="U189" s="5">
        <f t="shared" si="296"/>
        <v>1010</v>
      </c>
      <c r="V189" s="33">
        <f t="shared" si="296"/>
        <v>814</v>
      </c>
      <c r="W189" s="5">
        <f t="shared" si="296"/>
        <v>955</v>
      </c>
      <c r="X189" s="5">
        <f t="shared" si="296"/>
        <v>1186</v>
      </c>
      <c r="Y189" s="5">
        <f t="shared" si="296"/>
        <v>1040</v>
      </c>
      <c r="Z189" s="33">
        <f t="shared" si="296"/>
        <v>971</v>
      </c>
      <c r="AA189" s="5">
        <f t="shared" si="296"/>
        <v>1010</v>
      </c>
      <c r="AB189" s="5">
        <f t="shared" si="296"/>
        <v>1303</v>
      </c>
      <c r="AC189" s="5">
        <f t="shared" si="296"/>
        <v>1249</v>
      </c>
      <c r="AD189" s="33">
        <f t="shared" si="296"/>
        <v>1274</v>
      </c>
      <c r="AE189" s="5">
        <f t="shared" si="296"/>
        <v>1335</v>
      </c>
      <c r="AF189" s="5">
        <f t="shared" si="296"/>
        <v>1695</v>
      </c>
      <c r="AG189" s="5">
        <f t="shared" si="296"/>
        <v>1722</v>
      </c>
      <c r="AH189" s="33">
        <f t="shared" si="296"/>
        <v>1784</v>
      </c>
      <c r="AI189" s="5">
        <f t="shared" si="296"/>
        <v>1830</v>
      </c>
      <c r="AJ189" s="5">
        <f t="shared" si="296"/>
        <v>2548</v>
      </c>
      <c r="AK189" s="5">
        <f t="shared" si="296"/>
        <v>2379</v>
      </c>
      <c r="AL189" s="33">
        <f t="shared" si="296"/>
        <v>2406</v>
      </c>
      <c r="AM189" s="5">
        <f t="shared" si="296"/>
        <v>2498</v>
      </c>
      <c r="AN189" s="5">
        <f t="shared" si="296"/>
        <v>3351</v>
      </c>
      <c r="AO189" s="5">
        <f t="shared" si="296"/>
        <v>3134</v>
      </c>
      <c r="AP189" s="33">
        <f t="shared" si="296"/>
        <v>3008</v>
      </c>
      <c r="AQ189" s="5">
        <f t="shared" si="296"/>
        <v>3051</v>
      </c>
      <c r="AR189" s="5">
        <f t="shared" si="296"/>
        <v>4060</v>
      </c>
      <c r="AS189" s="5">
        <f t="shared" si="296"/>
        <v>3492</v>
      </c>
      <c r="AT189" s="33">
        <f t="shared" si="296"/>
        <v>3424</v>
      </c>
      <c r="AU189" s="6">
        <f t="shared" si="296"/>
        <v>3562</v>
      </c>
      <c r="AV189" s="5">
        <f t="shared" si="296"/>
        <v>4616</v>
      </c>
      <c r="AW189" s="6">
        <f t="shared" si="296"/>
        <v>4250</v>
      </c>
      <c r="AX189" s="33">
        <f t="shared" si="296"/>
        <v>4262</v>
      </c>
      <c r="AY189" s="272">
        <f t="shared" ref="AY189:BF189" si="297">+AY677</f>
        <v>4147</v>
      </c>
      <c r="AZ189" s="33">
        <f t="shared" si="297"/>
        <v>4347.7475000000004</v>
      </c>
      <c r="BA189" s="33">
        <f t="shared" si="297"/>
        <v>4585.4763000000003</v>
      </c>
      <c r="BB189" s="33">
        <f t="shared" si="297"/>
        <v>5628.4650000000001</v>
      </c>
      <c r="BC189" s="33">
        <f t="shared" si="297"/>
        <v>4789.9120000000003</v>
      </c>
      <c r="BD189" s="33">
        <f t="shared" si="297"/>
        <v>4818.260150000001</v>
      </c>
      <c r="BE189" s="33">
        <f t="shared" si="297"/>
        <v>5127.5127140000004</v>
      </c>
      <c r="BF189" s="33">
        <f t="shared" si="297"/>
        <v>6451.9903980000017</v>
      </c>
      <c r="BG189" s="33"/>
      <c r="BH189" s="833"/>
      <c r="BI189" s="833"/>
      <c r="BJ189" s="834">
        <f t="shared" ref="BJ189:BW189" si="298">SUM(BJ185:BJ188)</f>
        <v>217</v>
      </c>
      <c r="BK189" s="834">
        <f t="shared" si="298"/>
        <v>1572</v>
      </c>
      <c r="BL189" s="834">
        <f t="shared" si="298"/>
        <v>906</v>
      </c>
      <c r="BM189" s="834">
        <f t="shared" si="298"/>
        <v>1837</v>
      </c>
      <c r="BN189" s="834">
        <f t="shared" si="298"/>
        <v>2969</v>
      </c>
      <c r="BO189" s="833">
        <f t="shared" si="298"/>
        <v>3218</v>
      </c>
      <c r="BP189" s="833">
        <f t="shared" si="298"/>
        <v>3723</v>
      </c>
      <c r="BQ189" s="833">
        <f t="shared" si="298"/>
        <v>4152</v>
      </c>
      <c r="BR189" s="833">
        <f t="shared" si="298"/>
        <v>4836</v>
      </c>
      <c r="BS189" s="833">
        <f t="shared" si="298"/>
        <v>6536</v>
      </c>
      <c r="BT189" s="833">
        <f t="shared" si="298"/>
        <v>9164</v>
      </c>
      <c r="BU189" s="833">
        <f t="shared" si="298"/>
        <v>11992</v>
      </c>
      <c r="BV189" s="833">
        <f t="shared" si="298"/>
        <v>14027</v>
      </c>
      <c r="BW189" s="814">
        <f t="shared" si="298"/>
        <v>16690</v>
      </c>
      <c r="BX189" s="833">
        <f>SUM(AY189,AZ189,BA189,BB189)</f>
        <v>18708.688800000004</v>
      </c>
      <c r="BY189" s="833">
        <f>SUM(BC189,BD189,BE189,BF189)</f>
        <v>21187.675262000004</v>
      </c>
      <c r="BZ189" s="833">
        <f>+BZ677</f>
        <v>23579.084697054375</v>
      </c>
      <c r="CA189" s="833">
        <f>+CA677</f>
        <v>24832.289351273677</v>
      </c>
      <c r="CB189" s="833">
        <f>+CB677</f>
        <v>26068.033510576784</v>
      </c>
      <c r="CC189" s="6"/>
    </row>
    <row r="190" spans="1:81" outlineLevel="1" x14ac:dyDescent="0.55000000000000004">
      <c r="A190" s="192"/>
      <c r="B190" s="193"/>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272"/>
      <c r="AZ190" s="35"/>
      <c r="BA190" s="35"/>
      <c r="BB190" s="35"/>
      <c r="BC190" s="35"/>
      <c r="BD190" s="35"/>
      <c r="BE190" s="35"/>
      <c r="BF190" s="35"/>
      <c r="BG190" s="35"/>
      <c r="BH190" s="812"/>
      <c r="BI190" s="812"/>
      <c r="BJ190" s="812"/>
      <c r="BK190" s="812"/>
      <c r="BL190" s="812"/>
      <c r="BM190" s="812"/>
      <c r="BN190" s="812"/>
      <c r="BO190" s="812"/>
      <c r="BP190" s="812"/>
      <c r="BQ190" s="812"/>
      <c r="BR190" s="812"/>
      <c r="BS190" s="812"/>
      <c r="BT190" s="812"/>
      <c r="BU190" s="812"/>
      <c r="BV190" s="812"/>
      <c r="BW190" s="814"/>
      <c r="BX190" s="812"/>
      <c r="BY190" s="812"/>
      <c r="BZ190" s="812"/>
      <c r="CA190" s="812"/>
      <c r="CB190" s="812"/>
      <c r="CC190" s="6"/>
    </row>
    <row r="191" spans="1:81" outlineLevel="1" x14ac:dyDescent="0.55000000000000004">
      <c r="A191" s="336" t="s">
        <v>1080</v>
      </c>
      <c r="B191" s="8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f t="shared" ref="AM191:AY191" si="299">AM193-AM192</f>
        <v>760</v>
      </c>
      <c r="AN191" s="37">
        <f t="shared" si="299"/>
        <v>730</v>
      </c>
      <c r="AO191" s="37">
        <f t="shared" si="299"/>
        <v>770</v>
      </c>
      <c r="AP191" s="37">
        <f t="shared" si="299"/>
        <v>950</v>
      </c>
      <c r="AQ191" s="37">
        <f t="shared" si="299"/>
        <v>970</v>
      </c>
      <c r="AR191" s="37">
        <f t="shared" si="299"/>
        <v>870</v>
      </c>
      <c r="AS191" s="37">
        <f t="shared" si="299"/>
        <v>890</v>
      </c>
      <c r="AT191" s="37">
        <f t="shared" si="299"/>
        <v>970</v>
      </c>
      <c r="AU191" s="37">
        <f t="shared" si="299"/>
        <v>980</v>
      </c>
      <c r="AV191" s="37">
        <f t="shared" si="299"/>
        <v>940</v>
      </c>
      <c r="AW191" s="37">
        <f t="shared" si="299"/>
        <v>990</v>
      </c>
      <c r="AX191" s="37">
        <f t="shared" si="299"/>
        <v>1040</v>
      </c>
      <c r="AY191" s="273">
        <f t="shared" si="299"/>
        <v>1040</v>
      </c>
      <c r="AZ191" s="37"/>
      <c r="BA191" s="37"/>
      <c r="BB191" s="37"/>
      <c r="BC191" s="37"/>
      <c r="BD191" s="37"/>
      <c r="BE191" s="37"/>
      <c r="BF191" s="37"/>
      <c r="BG191" s="37"/>
      <c r="BH191" s="158"/>
      <c r="BI191" s="158"/>
      <c r="BJ191" s="158"/>
      <c r="BK191" s="158"/>
      <c r="BL191" s="158"/>
      <c r="BM191" s="158"/>
      <c r="BN191" s="158"/>
      <c r="BO191" s="158"/>
      <c r="BP191" s="158"/>
      <c r="BQ191" s="158">
        <f t="shared" ref="BQ191:BW191" si="300">BQ193-BQ192</f>
        <v>740</v>
      </c>
      <c r="BR191" s="158">
        <f t="shared" si="300"/>
        <v>1350</v>
      </c>
      <c r="BS191" s="158">
        <f t="shared" si="300"/>
        <v>2010</v>
      </c>
      <c r="BT191" s="158">
        <f t="shared" si="300"/>
        <v>2620</v>
      </c>
      <c r="BU191" s="158">
        <f t="shared" si="300"/>
        <v>3210</v>
      </c>
      <c r="BV191" s="158">
        <f t="shared" si="300"/>
        <v>3700</v>
      </c>
      <c r="BW191" s="846">
        <f t="shared" si="300"/>
        <v>3950</v>
      </c>
      <c r="BX191" s="158"/>
      <c r="BY191" s="158"/>
      <c r="BZ191" s="158"/>
      <c r="CA191" s="158"/>
      <c r="CB191" s="158"/>
      <c r="CC191" s="117"/>
    </row>
    <row r="192" spans="1:81" outlineLevel="1" x14ac:dyDescent="0.55000000000000004">
      <c r="A192" s="594" t="s">
        <v>1077</v>
      </c>
      <c r="B192" s="244"/>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763">
        <v>1360</v>
      </c>
      <c r="AN192" s="763">
        <v>1200</v>
      </c>
      <c r="AO192" s="763">
        <v>1360</v>
      </c>
      <c r="AP192" s="82">
        <f>BU192-SUM(AO192,AN192,AM192)</f>
        <v>1370</v>
      </c>
      <c r="AQ192" s="763">
        <v>1510</v>
      </c>
      <c r="AR192" s="763">
        <v>1710</v>
      </c>
      <c r="AS192" s="763">
        <v>1940</v>
      </c>
      <c r="AT192" s="82">
        <f>BV192-SUM(AS192,AR192,AQ192)</f>
        <v>2160</v>
      </c>
      <c r="AU192" s="763">
        <v>2350</v>
      </c>
      <c r="AV192" s="763">
        <v>2640</v>
      </c>
      <c r="AW192" s="763">
        <v>2970</v>
      </c>
      <c r="AX192" s="14">
        <f>BW192-SUM(AW192,AV192,AU192)</f>
        <v>3380</v>
      </c>
      <c r="AY192" s="764">
        <v>3380</v>
      </c>
      <c r="AZ192" s="82"/>
      <c r="BA192" s="82"/>
      <c r="BB192" s="82"/>
      <c r="BC192" s="82"/>
      <c r="BD192" s="82"/>
      <c r="BE192" s="82"/>
      <c r="BF192" s="82"/>
      <c r="BG192" s="82"/>
      <c r="BH192" s="854"/>
      <c r="BI192" s="854"/>
      <c r="BJ192" s="854"/>
      <c r="BK192" s="854"/>
      <c r="BL192" s="854"/>
      <c r="BM192" s="854"/>
      <c r="BN192" s="854"/>
      <c r="BO192" s="854"/>
      <c r="BP192" s="854"/>
      <c r="BQ192" s="863">
        <v>2940</v>
      </c>
      <c r="BR192" s="863">
        <v>3830</v>
      </c>
      <c r="BS192" s="863">
        <v>4380</v>
      </c>
      <c r="BT192" s="863">
        <v>4940</v>
      </c>
      <c r="BU192" s="863">
        <v>5290</v>
      </c>
      <c r="BV192" s="863">
        <v>7320</v>
      </c>
      <c r="BW192" s="864">
        <v>11340</v>
      </c>
      <c r="BX192" s="854"/>
      <c r="BY192" s="854"/>
      <c r="BZ192" s="854"/>
      <c r="CA192" s="854"/>
      <c r="CB192" s="854"/>
      <c r="CC192" s="117"/>
    </row>
    <row r="193" spans="1:81" outlineLevel="1" x14ac:dyDescent="0.55000000000000004">
      <c r="A193" s="86" t="s">
        <v>1079</v>
      </c>
      <c r="B193" s="87"/>
      <c r="C193" s="37">
        <f t="shared" ref="C193:Z193" si="301">C196-C195-C194</f>
        <v>197.75</v>
      </c>
      <c r="D193" s="37">
        <f t="shared" si="301"/>
        <v>191.75</v>
      </c>
      <c r="E193" s="37">
        <f t="shared" si="301"/>
        <v>234.75</v>
      </c>
      <c r="F193" s="37">
        <f t="shared" si="301"/>
        <v>232.75</v>
      </c>
      <c r="G193" s="37">
        <f t="shared" si="301"/>
        <v>222.75</v>
      </c>
      <c r="H193" s="37">
        <f t="shared" si="301"/>
        <v>215.75</v>
      </c>
      <c r="I193" s="37">
        <f t="shared" si="301"/>
        <v>229.75</v>
      </c>
      <c r="J193" s="37">
        <f t="shared" si="301"/>
        <v>254.75</v>
      </c>
      <c r="K193" s="37">
        <f t="shared" si="301"/>
        <v>279.25</v>
      </c>
      <c r="L193" s="37">
        <f t="shared" si="301"/>
        <v>280.25</v>
      </c>
      <c r="M193" s="37">
        <f t="shared" si="301"/>
        <v>307.25</v>
      </c>
      <c r="N193" s="37">
        <f t="shared" si="301"/>
        <v>353.25</v>
      </c>
      <c r="O193" s="37">
        <f t="shared" si="301"/>
        <v>371.75</v>
      </c>
      <c r="P193" s="37">
        <f t="shared" si="301"/>
        <v>391.75</v>
      </c>
      <c r="Q193" s="37">
        <f t="shared" si="301"/>
        <v>395.75</v>
      </c>
      <c r="R193" s="37">
        <f t="shared" si="301"/>
        <v>430.75</v>
      </c>
      <c r="S193" s="37">
        <f t="shared" si="301"/>
        <v>495.25</v>
      </c>
      <c r="T193" s="37">
        <f t="shared" si="301"/>
        <v>554.25</v>
      </c>
      <c r="U193" s="37">
        <f t="shared" si="301"/>
        <v>598.25</v>
      </c>
      <c r="V193" s="37">
        <f t="shared" si="301"/>
        <v>682.25</v>
      </c>
      <c r="W193" s="37">
        <f t="shared" si="301"/>
        <v>781.25</v>
      </c>
      <c r="X193" s="37">
        <f t="shared" si="301"/>
        <v>877.25</v>
      </c>
      <c r="Y193" s="37">
        <f t="shared" si="301"/>
        <v>952.25</v>
      </c>
      <c r="Z193" s="37">
        <f t="shared" si="301"/>
        <v>1069.25</v>
      </c>
      <c r="AA193" s="759">
        <v>1200</v>
      </c>
      <c r="AB193" s="759">
        <v>1340</v>
      </c>
      <c r="AC193" s="759">
        <v>1270</v>
      </c>
      <c r="AD193" s="37">
        <f>BR193-SUM(AC193,AB193,AA193)</f>
        <v>1370</v>
      </c>
      <c r="AE193" s="759">
        <v>1490</v>
      </c>
      <c r="AF193" s="759">
        <v>1580</v>
      </c>
      <c r="AG193" s="759">
        <v>1580</v>
      </c>
      <c r="AH193" s="37">
        <f>BS193-SUM(AG193,AF193,AE193)</f>
        <v>1740</v>
      </c>
      <c r="AI193" s="759">
        <v>1850</v>
      </c>
      <c r="AJ193" s="759">
        <v>1860</v>
      </c>
      <c r="AK193" s="759">
        <v>1870</v>
      </c>
      <c r="AL193" s="37">
        <f>BT193-SUM(AK193,AJ193,AI193)</f>
        <v>1980</v>
      </c>
      <c r="AM193" s="759">
        <v>2120</v>
      </c>
      <c r="AN193" s="759">
        <v>1930</v>
      </c>
      <c r="AO193" s="759">
        <v>2130</v>
      </c>
      <c r="AP193" s="37">
        <f>BU193-SUM(AO193,AN193,AM193)</f>
        <v>2320</v>
      </c>
      <c r="AQ193" s="759">
        <v>2480</v>
      </c>
      <c r="AR193" s="759">
        <v>2580</v>
      </c>
      <c r="AS193" s="759">
        <v>2830</v>
      </c>
      <c r="AT193" s="37">
        <f>BV193-SUM(AS193,AR193,AQ193)</f>
        <v>3130</v>
      </c>
      <c r="AU193" s="759">
        <v>3330</v>
      </c>
      <c r="AV193" s="759">
        <v>3580</v>
      </c>
      <c r="AW193" s="759">
        <v>3960</v>
      </c>
      <c r="AX193" s="117">
        <f>BW193-SUM(AW193,AV193,AU193)</f>
        <v>4420</v>
      </c>
      <c r="AY193" s="762">
        <v>4420</v>
      </c>
      <c r="AZ193" s="37">
        <f t="shared" ref="AZ193:BF193" si="302">-AZ881</f>
        <v>4162.5332191780826</v>
      </c>
      <c r="BA193" s="37">
        <f t="shared" si="302"/>
        <v>4561.5448437793202</v>
      </c>
      <c r="BB193" s="37">
        <f t="shared" si="302"/>
        <v>4902.2427459616156</v>
      </c>
      <c r="BC193" s="37">
        <f t="shared" si="302"/>
        <v>5118.4627147935917</v>
      </c>
      <c r="BD193" s="37">
        <f t="shared" si="302"/>
        <v>5325.5448970349835</v>
      </c>
      <c r="BE193" s="37">
        <f t="shared" si="302"/>
        <v>5529.4038990723348</v>
      </c>
      <c r="BF193" s="37">
        <f t="shared" si="302"/>
        <v>5668.3174748549873</v>
      </c>
      <c r="BG193" s="37"/>
      <c r="BH193" s="158"/>
      <c r="BI193" s="857">
        <v>129</v>
      </c>
      <c r="BJ193" s="857">
        <v>303</v>
      </c>
      <c r="BK193" s="857">
        <v>566</v>
      </c>
      <c r="BL193" s="857">
        <v>857</v>
      </c>
      <c r="BM193" s="857">
        <v>923</v>
      </c>
      <c r="BN193" s="857">
        <v>1220</v>
      </c>
      <c r="BO193" s="857">
        <v>1590</v>
      </c>
      <c r="BP193" s="857">
        <v>2330</v>
      </c>
      <c r="BQ193" s="857">
        <v>3680</v>
      </c>
      <c r="BR193" s="857">
        <v>5180</v>
      </c>
      <c r="BS193" s="857">
        <v>6390</v>
      </c>
      <c r="BT193" s="857">
        <v>7560</v>
      </c>
      <c r="BU193" s="857">
        <v>8500</v>
      </c>
      <c r="BV193" s="857">
        <v>11020</v>
      </c>
      <c r="BW193" s="862">
        <v>15290</v>
      </c>
      <c r="BX193" s="158">
        <f>-BX881</f>
        <v>18046.320808919019</v>
      </c>
      <c r="BY193" s="158">
        <f>-BY881</f>
        <v>21641.728985755897</v>
      </c>
      <c r="BZ193" s="158">
        <f>-BZ881</f>
        <v>23022.19377566563</v>
      </c>
      <c r="CA193" s="158">
        <f>-CA881</f>
        <v>25113.619553707427</v>
      </c>
      <c r="CB193" s="158">
        <f>-CB881</f>
        <v>26943.617109494</v>
      </c>
      <c r="CC193" s="117"/>
    </row>
    <row r="194" spans="1:81" outlineLevel="1" x14ac:dyDescent="0.55000000000000004">
      <c r="A194" s="86" t="s">
        <v>529</v>
      </c>
      <c r="B194" s="87"/>
      <c r="C194" s="759">
        <v>33</v>
      </c>
      <c r="D194" s="759">
        <v>36</v>
      </c>
      <c r="E194" s="759">
        <v>37</v>
      </c>
      <c r="F194" s="37">
        <f>BL194-SUM(C194,D194,E194)</f>
        <v>39</v>
      </c>
      <c r="G194" s="759">
        <v>41</v>
      </c>
      <c r="H194" s="759">
        <v>41</v>
      </c>
      <c r="I194" s="759">
        <v>59</v>
      </c>
      <c r="J194" s="37">
        <f>BM194-SUM(G194,H194,I194)</f>
        <v>178</v>
      </c>
      <c r="K194" s="759">
        <v>179</v>
      </c>
      <c r="L194" s="759">
        <v>180</v>
      </c>
      <c r="M194" s="759">
        <v>180</v>
      </c>
      <c r="N194" s="37">
        <f>BN194-SUM(K194,L194,M194)</f>
        <v>191</v>
      </c>
      <c r="O194" s="759">
        <v>180</v>
      </c>
      <c r="P194" s="759">
        <v>193</v>
      </c>
      <c r="Q194" s="759">
        <v>195</v>
      </c>
      <c r="R194" s="37">
        <f>BO194-SUM(O194,P194,Q194)</f>
        <v>183</v>
      </c>
      <c r="S194" s="759">
        <v>175</v>
      </c>
      <c r="T194" s="759">
        <v>174</v>
      </c>
      <c r="U194" s="759">
        <v>173</v>
      </c>
      <c r="V194" s="37">
        <f>BP194-SUM(S194,T194,U194)</f>
        <v>170</v>
      </c>
      <c r="W194" s="759">
        <v>169</v>
      </c>
      <c r="X194" s="759">
        <v>158</v>
      </c>
      <c r="Y194" s="759">
        <v>156</v>
      </c>
      <c r="Z194" s="37">
        <f>BQ194-SUM(W194,X194,Y194)</f>
        <v>157</v>
      </c>
      <c r="AA194" s="759">
        <v>156</v>
      </c>
      <c r="AB194" s="759">
        <v>156</v>
      </c>
      <c r="AC194" s="759">
        <v>145</v>
      </c>
      <c r="AD194" s="37">
        <f>BR194-SUM(AA194,AB194,AC194)</f>
        <v>105</v>
      </c>
      <c r="AE194" s="759">
        <v>111</v>
      </c>
      <c r="AF194" s="759">
        <v>118</v>
      </c>
      <c r="AG194" s="759">
        <v>123</v>
      </c>
      <c r="AH194" s="37">
        <f>BS194-SUM(AE194,AF194,AG194)</f>
        <v>121</v>
      </c>
      <c r="AI194" s="759">
        <v>118</v>
      </c>
      <c r="AJ194" s="759">
        <v>122</v>
      </c>
      <c r="AK194" s="759">
        <v>124</v>
      </c>
      <c r="AL194" s="37">
        <f>BT194-SUM(AI194,AJ194,AK194)</f>
        <v>43</v>
      </c>
      <c r="AM194" s="759">
        <v>40</v>
      </c>
      <c r="AN194" s="759">
        <v>53</v>
      </c>
      <c r="AO194" s="759">
        <v>45</v>
      </c>
      <c r="AP194" s="37">
        <f>BU194-SUM(AM194,AN194,AO194)</f>
        <v>47</v>
      </c>
      <c r="AQ194" s="759">
        <v>47</v>
      </c>
      <c r="AR194" s="759">
        <v>45</v>
      </c>
      <c r="AS194" s="759">
        <v>32</v>
      </c>
      <c r="AT194" s="37">
        <f>BV194-SUM(AQ194,AR194,AS194)</f>
        <v>37</v>
      </c>
      <c r="AU194" s="37">
        <f>AU196-AU195-AU193</f>
        <v>44</v>
      </c>
      <c r="AV194" s="37">
        <f>AV196-AV195-AV193</f>
        <v>57</v>
      </c>
      <c r="AW194" s="37">
        <f>AW196-AW195-AW193</f>
        <v>67</v>
      </c>
      <c r="AX194" s="117">
        <f>BW194-SUM(AU194,AV194,AW194)</f>
        <v>43</v>
      </c>
      <c r="AY194" s="273">
        <f>AY196-AY195-AY193</f>
        <v>-520</v>
      </c>
      <c r="AZ194" s="37">
        <f t="shared" ref="AZ194:BF194" si="303">-AZ887</f>
        <v>41.062191780821912</v>
      </c>
      <c r="BA194" s="37">
        <f t="shared" si="303"/>
        <v>50.992904394820791</v>
      </c>
      <c r="BB194" s="37">
        <f t="shared" si="303"/>
        <v>60.021829061181812</v>
      </c>
      <c r="BC194" s="37">
        <f t="shared" si="303"/>
        <v>67.148914551132719</v>
      </c>
      <c r="BD194" s="37">
        <f t="shared" si="303"/>
        <v>72.133667792529494</v>
      </c>
      <c r="BE194" s="37">
        <f t="shared" si="303"/>
        <v>76.985420697170241</v>
      </c>
      <c r="BF194" s="37">
        <f t="shared" si="303"/>
        <v>80.824372569101371</v>
      </c>
      <c r="BG194" s="37"/>
      <c r="BH194" s="158"/>
      <c r="BI194" s="857">
        <v>9</v>
      </c>
      <c r="BJ194" s="857">
        <v>20</v>
      </c>
      <c r="BK194" s="857">
        <v>78</v>
      </c>
      <c r="BL194" s="857">
        <v>145</v>
      </c>
      <c r="BM194" s="857">
        <v>319</v>
      </c>
      <c r="BN194" s="857">
        <v>730</v>
      </c>
      <c r="BO194" s="857">
        <v>751</v>
      </c>
      <c r="BP194" s="857">
        <v>692</v>
      </c>
      <c r="BQ194" s="857">
        <v>640</v>
      </c>
      <c r="BR194" s="857">
        <v>562</v>
      </c>
      <c r="BS194" s="857">
        <v>473</v>
      </c>
      <c r="BT194" s="857">
        <v>407</v>
      </c>
      <c r="BU194" s="857">
        <v>185</v>
      </c>
      <c r="BV194" s="857">
        <v>161</v>
      </c>
      <c r="BW194" s="862">
        <v>211</v>
      </c>
      <c r="BX194" s="158">
        <f>-BX887</f>
        <v>-367.92307476317546</v>
      </c>
      <c r="BY194" s="158">
        <f>-BY887</f>
        <v>297.09237560993381</v>
      </c>
      <c r="BZ194" s="158">
        <f>-BZ887</f>
        <v>335.20152584758347</v>
      </c>
      <c r="CA194" s="158">
        <f>-CA887</f>
        <v>391.21725119501843</v>
      </c>
      <c r="CB194" s="158">
        <f>-CB887</f>
        <v>437.15014597991512</v>
      </c>
      <c r="CC194" s="117"/>
    </row>
    <row r="195" spans="1:81" outlineLevel="1" x14ac:dyDescent="0.55000000000000004">
      <c r="A195" s="315" t="s">
        <v>1078</v>
      </c>
      <c r="B195" s="244"/>
      <c r="C195" s="82">
        <f>BL195/4</f>
        <v>2.25</v>
      </c>
      <c r="D195" s="82">
        <f>BL195/4</f>
        <v>2.25</v>
      </c>
      <c r="E195" s="82">
        <f>BL195/4</f>
        <v>2.25</v>
      </c>
      <c r="F195" s="82">
        <f>BL195/4</f>
        <v>2.25</v>
      </c>
      <c r="G195" s="82">
        <f>BM195/4</f>
        <v>0.25</v>
      </c>
      <c r="H195" s="82">
        <f>BM195/4</f>
        <v>0.25</v>
      </c>
      <c r="I195" s="82">
        <f>BM195/4</f>
        <v>0.25</v>
      </c>
      <c r="J195" s="82">
        <f>BM195/4</f>
        <v>0.25</v>
      </c>
      <c r="K195" s="82">
        <f>BN195/4</f>
        <v>-1.25</v>
      </c>
      <c r="L195" s="82">
        <f>BN195/4</f>
        <v>-1.25</v>
      </c>
      <c r="M195" s="82">
        <f>BN195/4</f>
        <v>-1.25</v>
      </c>
      <c r="N195" s="82">
        <f>BN195/4</f>
        <v>-1.25</v>
      </c>
      <c r="O195" s="82">
        <f>BO195/4</f>
        <v>0.25</v>
      </c>
      <c r="P195" s="82">
        <f>BO195/4</f>
        <v>0.25</v>
      </c>
      <c r="Q195" s="82">
        <f>BO195/4</f>
        <v>0.25</v>
      </c>
      <c r="R195" s="82">
        <f>BO195/4</f>
        <v>0.25</v>
      </c>
      <c r="S195" s="82">
        <f>BP195/4</f>
        <v>0.75</v>
      </c>
      <c r="T195" s="82">
        <f>BP195/4</f>
        <v>0.75</v>
      </c>
      <c r="U195" s="82">
        <f>BP195/4</f>
        <v>0.75</v>
      </c>
      <c r="V195" s="82">
        <f>BP195/4</f>
        <v>0.75</v>
      </c>
      <c r="W195" s="82">
        <f>BQ195/4</f>
        <v>-1.25</v>
      </c>
      <c r="X195" s="82">
        <f>BQ195/4</f>
        <v>-1.25</v>
      </c>
      <c r="Y195" s="82">
        <f>BQ195/4</f>
        <v>-1.25</v>
      </c>
      <c r="Z195" s="82">
        <f>BQ195/4</f>
        <v>-1.25</v>
      </c>
      <c r="AA195" s="82">
        <f t="shared" ref="AA195:AT195" si="304">AA196-AA194-AA193</f>
        <v>-1</v>
      </c>
      <c r="AB195" s="82">
        <f t="shared" si="304"/>
        <v>6</v>
      </c>
      <c r="AC195" s="82">
        <f t="shared" si="304"/>
        <v>1</v>
      </c>
      <c r="AD195" s="82">
        <f t="shared" si="304"/>
        <v>-7</v>
      </c>
      <c r="AE195" s="82">
        <f t="shared" si="304"/>
        <v>-4</v>
      </c>
      <c r="AF195" s="82">
        <f t="shared" si="304"/>
        <v>6</v>
      </c>
      <c r="AG195" s="82">
        <f t="shared" si="304"/>
        <v>-5</v>
      </c>
      <c r="AH195" s="82">
        <f t="shared" si="304"/>
        <v>2</v>
      </c>
      <c r="AI195" s="82">
        <f t="shared" si="304"/>
        <v>4</v>
      </c>
      <c r="AJ195" s="82">
        <f t="shared" si="304"/>
        <v>4</v>
      </c>
      <c r="AK195" s="82">
        <f t="shared" si="304"/>
        <v>1</v>
      </c>
      <c r="AL195" s="82">
        <f t="shared" si="304"/>
        <v>-9</v>
      </c>
      <c r="AM195" s="82">
        <f t="shared" si="304"/>
        <v>-4</v>
      </c>
      <c r="AN195" s="82">
        <f t="shared" si="304"/>
        <v>-4</v>
      </c>
      <c r="AO195" s="82">
        <f t="shared" si="304"/>
        <v>0</v>
      </c>
      <c r="AP195" s="82">
        <f t="shared" si="304"/>
        <v>9</v>
      </c>
      <c r="AQ195" s="82">
        <f t="shared" si="304"/>
        <v>-3</v>
      </c>
      <c r="AR195" s="82">
        <f t="shared" si="304"/>
        <v>-2</v>
      </c>
      <c r="AS195" s="82">
        <f t="shared" si="304"/>
        <v>-3</v>
      </c>
      <c r="AT195" s="82">
        <f t="shared" si="304"/>
        <v>5</v>
      </c>
      <c r="AU195" s="763">
        <v>0</v>
      </c>
      <c r="AV195" s="763">
        <v>0</v>
      </c>
      <c r="AW195" s="763">
        <v>0</v>
      </c>
      <c r="AX195" s="14">
        <f>AX196-AX194-AX193</f>
        <v>-3</v>
      </c>
      <c r="AY195" s="764">
        <v>0</v>
      </c>
      <c r="AZ195" s="763">
        <v>0</v>
      </c>
      <c r="BA195" s="763">
        <v>0</v>
      </c>
      <c r="BB195" s="763">
        <v>0</v>
      </c>
      <c r="BC195" s="763">
        <v>0</v>
      </c>
      <c r="BD195" s="763">
        <v>0</v>
      </c>
      <c r="BE195" s="763">
        <v>0</v>
      </c>
      <c r="BF195" s="763">
        <v>0</v>
      </c>
      <c r="BG195" s="763"/>
      <c r="BH195" s="854"/>
      <c r="BI195" s="854">
        <f t="shared" ref="BI195:BW195" si="305">BI196-BI194-BI193</f>
        <v>1</v>
      </c>
      <c r="BJ195" s="854">
        <f t="shared" si="305"/>
        <v>0</v>
      </c>
      <c r="BK195" s="854">
        <f t="shared" si="305"/>
        <v>5</v>
      </c>
      <c r="BL195" s="854">
        <f t="shared" si="305"/>
        <v>9</v>
      </c>
      <c r="BM195" s="854">
        <f t="shared" si="305"/>
        <v>1</v>
      </c>
      <c r="BN195" s="854">
        <f t="shared" si="305"/>
        <v>-5</v>
      </c>
      <c r="BO195" s="854">
        <f t="shared" si="305"/>
        <v>1</v>
      </c>
      <c r="BP195" s="854">
        <f t="shared" si="305"/>
        <v>3</v>
      </c>
      <c r="BQ195" s="854">
        <f t="shared" si="305"/>
        <v>-5</v>
      </c>
      <c r="BR195" s="854">
        <f t="shared" si="305"/>
        <v>-1</v>
      </c>
      <c r="BS195" s="854">
        <f t="shared" si="305"/>
        <v>-1</v>
      </c>
      <c r="BT195" s="854">
        <f t="shared" si="305"/>
        <v>0</v>
      </c>
      <c r="BU195" s="854">
        <f t="shared" si="305"/>
        <v>1</v>
      </c>
      <c r="BV195" s="854">
        <f t="shared" si="305"/>
        <v>-3</v>
      </c>
      <c r="BW195" s="855">
        <f t="shared" si="305"/>
        <v>-3</v>
      </c>
      <c r="BX195" s="854">
        <f>SUM(AY195,AZ195,BA195,BB195)</f>
        <v>0</v>
      </c>
      <c r="BY195" s="854">
        <f>SUM(BC195,BD195,BE195,BF195)</f>
        <v>0</v>
      </c>
      <c r="BZ195" s="863">
        <v>0</v>
      </c>
      <c r="CA195" s="863">
        <v>0</v>
      </c>
      <c r="CB195" s="863">
        <v>0</v>
      </c>
      <c r="CC195" s="117"/>
    </row>
    <row r="196" spans="1:81" outlineLevel="1" x14ac:dyDescent="0.55000000000000004">
      <c r="A196" s="192" t="s">
        <v>1076</v>
      </c>
      <c r="B196" s="193"/>
      <c r="C196" s="35">
        <f t="shared" ref="C196:AH196" si="306">+C804</f>
        <v>233</v>
      </c>
      <c r="D196" s="35">
        <f t="shared" si="306"/>
        <v>230</v>
      </c>
      <c r="E196" s="35">
        <f t="shared" si="306"/>
        <v>274</v>
      </c>
      <c r="F196" s="35">
        <f t="shared" si="306"/>
        <v>274</v>
      </c>
      <c r="G196" s="35">
        <f t="shared" si="306"/>
        <v>264</v>
      </c>
      <c r="H196" s="35">
        <f t="shared" si="306"/>
        <v>257</v>
      </c>
      <c r="I196" s="35">
        <f t="shared" si="306"/>
        <v>289</v>
      </c>
      <c r="J196" s="35">
        <f t="shared" si="306"/>
        <v>433</v>
      </c>
      <c r="K196" s="35">
        <f t="shared" si="306"/>
        <v>457</v>
      </c>
      <c r="L196" s="35">
        <f t="shared" si="306"/>
        <v>459</v>
      </c>
      <c r="M196" s="35">
        <f t="shared" si="306"/>
        <v>486</v>
      </c>
      <c r="N196" s="35">
        <f t="shared" si="306"/>
        <v>543</v>
      </c>
      <c r="O196" s="35">
        <f t="shared" si="306"/>
        <v>552</v>
      </c>
      <c r="P196" s="35">
        <f t="shared" si="306"/>
        <v>585</v>
      </c>
      <c r="Q196" s="35">
        <f t="shared" si="306"/>
        <v>591</v>
      </c>
      <c r="R196" s="35">
        <f t="shared" si="306"/>
        <v>614</v>
      </c>
      <c r="S196" s="35">
        <f t="shared" si="306"/>
        <v>671</v>
      </c>
      <c r="T196" s="35">
        <f t="shared" si="306"/>
        <v>729</v>
      </c>
      <c r="U196" s="35">
        <f t="shared" si="306"/>
        <v>772</v>
      </c>
      <c r="V196" s="35">
        <f t="shared" si="306"/>
        <v>853</v>
      </c>
      <c r="W196" s="35">
        <f t="shared" si="306"/>
        <v>949</v>
      </c>
      <c r="X196" s="35">
        <f t="shared" si="306"/>
        <v>1034</v>
      </c>
      <c r="Y196" s="35">
        <f t="shared" si="306"/>
        <v>1107</v>
      </c>
      <c r="Z196" s="35">
        <f t="shared" si="306"/>
        <v>1225</v>
      </c>
      <c r="AA196" s="35">
        <f t="shared" si="306"/>
        <v>1355</v>
      </c>
      <c r="AB196" s="35">
        <f t="shared" si="306"/>
        <v>1502</v>
      </c>
      <c r="AC196" s="35">
        <f t="shared" si="306"/>
        <v>1416</v>
      </c>
      <c r="AD196" s="35">
        <f t="shared" si="306"/>
        <v>1468</v>
      </c>
      <c r="AE196" s="35">
        <f t="shared" si="306"/>
        <v>1597</v>
      </c>
      <c r="AF196" s="35">
        <f t="shared" si="306"/>
        <v>1704</v>
      </c>
      <c r="AG196" s="35">
        <f t="shared" si="306"/>
        <v>1698</v>
      </c>
      <c r="AH196" s="35">
        <f t="shared" si="306"/>
        <v>1863</v>
      </c>
      <c r="AI196" s="35">
        <f t="shared" ref="AI196:AY196" si="307">+AI804</f>
        <v>1972</v>
      </c>
      <c r="AJ196" s="35">
        <f t="shared" si="307"/>
        <v>1986</v>
      </c>
      <c r="AK196" s="35">
        <f t="shared" si="307"/>
        <v>1995</v>
      </c>
      <c r="AL196" s="35">
        <f t="shared" si="307"/>
        <v>2014</v>
      </c>
      <c r="AM196" s="35">
        <f t="shared" si="307"/>
        <v>2156</v>
      </c>
      <c r="AN196" s="35">
        <f t="shared" si="307"/>
        <v>1979</v>
      </c>
      <c r="AO196" s="35">
        <f t="shared" si="307"/>
        <v>2175</v>
      </c>
      <c r="AP196" s="35">
        <f t="shared" si="307"/>
        <v>2376</v>
      </c>
      <c r="AQ196" s="35">
        <f t="shared" si="307"/>
        <v>2524</v>
      </c>
      <c r="AR196" s="35">
        <f t="shared" si="307"/>
        <v>2623</v>
      </c>
      <c r="AS196" s="35">
        <f t="shared" si="307"/>
        <v>2859</v>
      </c>
      <c r="AT196" s="35">
        <f t="shared" si="307"/>
        <v>3172</v>
      </c>
      <c r="AU196" s="35">
        <f t="shared" si="307"/>
        <v>3374</v>
      </c>
      <c r="AV196" s="35">
        <f t="shared" si="307"/>
        <v>3637</v>
      </c>
      <c r="AW196" s="35">
        <f t="shared" si="307"/>
        <v>4027</v>
      </c>
      <c r="AX196" s="35">
        <f t="shared" si="307"/>
        <v>4460</v>
      </c>
      <c r="AY196" s="272">
        <f t="shared" si="307"/>
        <v>3900</v>
      </c>
      <c r="AZ196" s="35">
        <f t="shared" ref="AZ196:BF196" si="308">AZ193+AZ194+AZ195</f>
        <v>4203.5954109589047</v>
      </c>
      <c r="BA196" s="35">
        <f t="shared" si="308"/>
        <v>4612.5377481741407</v>
      </c>
      <c r="BB196" s="35">
        <f t="shared" si="308"/>
        <v>4962.2645750227975</v>
      </c>
      <c r="BC196" s="35">
        <f t="shared" si="308"/>
        <v>5185.611629344724</v>
      </c>
      <c r="BD196" s="35">
        <f t="shared" si="308"/>
        <v>5397.6785648275127</v>
      </c>
      <c r="BE196" s="35">
        <f t="shared" si="308"/>
        <v>5606.3893197695052</v>
      </c>
      <c r="BF196" s="35">
        <f t="shared" si="308"/>
        <v>5749.1418474240891</v>
      </c>
      <c r="BG196" s="35"/>
      <c r="BH196" s="812"/>
      <c r="BI196" s="812">
        <f t="shared" ref="BI196:BW196" si="309">+BI804</f>
        <v>139</v>
      </c>
      <c r="BJ196" s="812">
        <f t="shared" si="309"/>
        <v>323</v>
      </c>
      <c r="BK196" s="812">
        <f t="shared" si="309"/>
        <v>649</v>
      </c>
      <c r="BL196" s="812">
        <f t="shared" si="309"/>
        <v>1011</v>
      </c>
      <c r="BM196" s="812">
        <f t="shared" si="309"/>
        <v>1243</v>
      </c>
      <c r="BN196" s="812">
        <f t="shared" si="309"/>
        <v>1945</v>
      </c>
      <c r="BO196" s="812">
        <f t="shared" si="309"/>
        <v>2342</v>
      </c>
      <c r="BP196" s="812">
        <f t="shared" si="309"/>
        <v>3025</v>
      </c>
      <c r="BQ196" s="812">
        <f t="shared" si="309"/>
        <v>4315</v>
      </c>
      <c r="BR196" s="812">
        <f t="shared" si="309"/>
        <v>5741</v>
      </c>
      <c r="BS196" s="812">
        <f t="shared" si="309"/>
        <v>6862</v>
      </c>
      <c r="BT196" s="812">
        <f t="shared" si="309"/>
        <v>7967</v>
      </c>
      <c r="BU196" s="812">
        <f t="shared" si="309"/>
        <v>8686</v>
      </c>
      <c r="BV196" s="812">
        <f t="shared" si="309"/>
        <v>11178</v>
      </c>
      <c r="BW196" s="814">
        <f t="shared" si="309"/>
        <v>15498</v>
      </c>
      <c r="BX196" s="812">
        <f>BX193+BX194+BX195</f>
        <v>17678.397734155842</v>
      </c>
      <c r="BY196" s="812">
        <f>BY193+BY194+BY195</f>
        <v>21938.82136136583</v>
      </c>
      <c r="BZ196" s="812">
        <f>BZ193+BZ194+BZ195</f>
        <v>23357.395301513214</v>
      </c>
      <c r="CA196" s="812">
        <f>CA193+CA194+CA195</f>
        <v>25504.836804902447</v>
      </c>
      <c r="CB196" s="812">
        <f>CB193+CB194+CB195</f>
        <v>27380.767255473915</v>
      </c>
      <c r="CC196" s="6"/>
    </row>
    <row r="197" spans="1:81" x14ac:dyDescent="0.55000000000000004">
      <c r="A197" s="192"/>
      <c r="B197" s="193"/>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272"/>
      <c r="AZ197" s="35"/>
      <c r="BA197" s="35"/>
      <c r="BB197" s="35"/>
      <c r="BC197" s="35"/>
      <c r="BD197" s="35"/>
      <c r="BE197" s="35"/>
      <c r="BF197" s="35"/>
      <c r="BG197" s="35"/>
      <c r="BH197" s="812"/>
      <c r="BI197" s="812"/>
      <c r="BJ197" s="812"/>
      <c r="BK197" s="812"/>
      <c r="BL197" s="812"/>
      <c r="BM197" s="812"/>
      <c r="BN197" s="812"/>
      <c r="BO197" s="812"/>
      <c r="BP197" s="812"/>
      <c r="BQ197" s="812"/>
      <c r="BR197" s="812"/>
      <c r="BS197" s="812"/>
      <c r="BT197" s="812"/>
      <c r="BU197" s="812"/>
      <c r="BV197" s="812"/>
      <c r="BW197" s="814"/>
      <c r="BX197" s="812"/>
      <c r="BY197" s="812"/>
      <c r="BZ197" s="812"/>
      <c r="CA197" s="812"/>
      <c r="CB197" s="812"/>
      <c r="CC197" s="6"/>
    </row>
    <row r="198" spans="1:81" x14ac:dyDescent="0.55000000000000004">
      <c r="A198" s="283" t="s">
        <v>1093</v>
      </c>
      <c r="B198" s="196"/>
      <c r="C198" s="207"/>
      <c r="D198" s="207"/>
      <c r="E198" s="207"/>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c r="AK198" s="207"/>
      <c r="AL198" s="207"/>
      <c r="AM198" s="207"/>
      <c r="AN198" s="207"/>
      <c r="AO198" s="207"/>
      <c r="AP198" s="207"/>
      <c r="AQ198" s="207"/>
      <c r="AR198" s="207"/>
      <c r="AS198" s="207"/>
      <c r="AT198" s="207"/>
      <c r="AU198" s="207"/>
      <c r="AV198" s="207"/>
      <c r="AW198" s="207"/>
      <c r="AX198" s="207"/>
      <c r="AY198" s="284"/>
      <c r="AZ198" s="207"/>
      <c r="BA198" s="207"/>
      <c r="BB198" s="207"/>
      <c r="BC198" s="207"/>
      <c r="BD198" s="207"/>
      <c r="BE198" s="207"/>
      <c r="BF198" s="207"/>
      <c r="BG198" s="207"/>
      <c r="BH198" s="207"/>
      <c r="BI198" s="207"/>
      <c r="BJ198" s="207"/>
      <c r="BK198" s="207"/>
      <c r="BL198" s="207"/>
      <c r="BM198" s="207"/>
      <c r="BN198" s="207"/>
      <c r="BO198" s="207"/>
      <c r="BP198" s="207"/>
      <c r="BQ198" s="207"/>
      <c r="BR198" s="207"/>
      <c r="BS198" s="207"/>
      <c r="BT198" s="207"/>
      <c r="BU198" s="207"/>
      <c r="BV198" s="207"/>
      <c r="BW198" s="284"/>
      <c r="BX198" s="207"/>
      <c r="BY198" s="207"/>
      <c r="BZ198" s="207"/>
      <c r="CA198" s="207"/>
      <c r="CB198" s="207"/>
      <c r="CC198" s="6"/>
    </row>
    <row r="199" spans="1:81" s="703" customFormat="1" outlineLevel="1" x14ac:dyDescent="0.55000000000000004">
      <c r="A199" s="192" t="s">
        <v>539</v>
      </c>
      <c r="B199" s="193"/>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272"/>
      <c r="AZ199" s="35"/>
      <c r="BA199" s="35"/>
      <c r="BB199" s="35"/>
      <c r="BC199" s="35"/>
      <c r="BD199" s="35"/>
      <c r="BE199" s="35"/>
      <c r="BF199" s="35"/>
      <c r="BG199" s="35"/>
      <c r="BH199" s="812"/>
      <c r="BI199" s="812"/>
      <c r="BJ199" s="812"/>
      <c r="BK199" s="812"/>
      <c r="BL199" s="812"/>
      <c r="BM199" s="812"/>
      <c r="BN199" s="812"/>
      <c r="BO199" s="812"/>
      <c r="BP199" s="812"/>
      <c r="BQ199" s="812"/>
      <c r="BR199" s="812"/>
      <c r="BS199" s="812"/>
      <c r="BT199" s="812"/>
      <c r="BU199" s="812">
        <f>BU83</f>
        <v>114450</v>
      </c>
      <c r="BV199" s="812">
        <f>BV83</f>
        <v>133006</v>
      </c>
      <c r="BW199" s="814">
        <f>BW83</f>
        <v>162355</v>
      </c>
      <c r="BX199" s="812"/>
      <c r="BY199" s="812"/>
      <c r="BZ199" s="812"/>
      <c r="CA199" s="812"/>
      <c r="CB199" s="812"/>
      <c r="CC199" s="6"/>
    </row>
    <row r="200" spans="1:81" outlineLevel="1" x14ac:dyDescent="0.55000000000000004">
      <c r="A200" s="86" t="s">
        <v>1087</v>
      </c>
      <c r="B200" s="8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273"/>
      <c r="AZ200" s="37"/>
      <c r="BA200" s="37"/>
      <c r="BB200" s="37"/>
      <c r="BC200" s="37"/>
      <c r="BD200" s="37"/>
      <c r="BE200" s="37"/>
      <c r="BF200" s="37"/>
      <c r="BG200" s="37"/>
      <c r="BH200" s="158"/>
      <c r="BI200" s="158"/>
      <c r="BJ200" s="158"/>
      <c r="BK200" s="158"/>
      <c r="BL200" s="158"/>
      <c r="BM200" s="158"/>
      <c r="BN200" s="158"/>
      <c r="BO200" s="158"/>
      <c r="BP200" s="158"/>
      <c r="BQ200" s="158"/>
      <c r="BR200" s="158"/>
      <c r="BS200" s="158"/>
      <c r="BT200" s="158"/>
      <c r="BU200" s="857">
        <v>-28545</v>
      </c>
      <c r="BV200" s="857">
        <v>-28878</v>
      </c>
      <c r="BW200" s="862">
        <v>-31116</v>
      </c>
      <c r="BX200" s="158"/>
      <c r="BY200" s="158"/>
      <c r="BZ200" s="158"/>
      <c r="CA200" s="158"/>
      <c r="CB200" s="158"/>
      <c r="CC200" s="6"/>
    </row>
    <row r="201" spans="1:81" outlineLevel="1" x14ac:dyDescent="0.55000000000000004">
      <c r="A201" s="86" t="s">
        <v>1088</v>
      </c>
      <c r="B201" s="8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273"/>
      <c r="AZ201" s="37"/>
      <c r="BA201" s="37"/>
      <c r="BB201" s="37"/>
      <c r="BC201" s="37"/>
      <c r="BD201" s="37"/>
      <c r="BE201" s="37"/>
      <c r="BF201" s="37"/>
      <c r="BG201" s="37"/>
      <c r="BH201" s="158"/>
      <c r="BI201" s="158"/>
      <c r="BJ201" s="158"/>
      <c r="BK201" s="158"/>
      <c r="BL201" s="158"/>
      <c r="BM201" s="158"/>
      <c r="BN201" s="158"/>
      <c r="BO201" s="158"/>
      <c r="BP201" s="158"/>
      <c r="BQ201" s="158"/>
      <c r="BR201" s="158"/>
      <c r="BS201" s="158"/>
      <c r="BT201" s="158"/>
      <c r="BU201" s="857">
        <v>-43244</v>
      </c>
      <c r="BV201" s="857">
        <v>-41257</v>
      </c>
      <c r="BW201" s="862">
        <v>-44130</v>
      </c>
      <c r="BX201" s="158"/>
      <c r="BY201" s="158"/>
      <c r="BZ201" s="158"/>
      <c r="CA201" s="158"/>
      <c r="CB201" s="158"/>
      <c r="CC201" s="6"/>
    </row>
    <row r="202" spans="1:81" s="703" customFormat="1" outlineLevel="1" x14ac:dyDescent="0.55000000000000004">
      <c r="A202" s="194" t="s">
        <v>548</v>
      </c>
      <c r="B202" s="195"/>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409"/>
      <c r="AZ202" s="33"/>
      <c r="BA202" s="33"/>
      <c r="BB202" s="33"/>
      <c r="BC202" s="33"/>
      <c r="BD202" s="33"/>
      <c r="BE202" s="33"/>
      <c r="BF202" s="33"/>
      <c r="BG202" s="33"/>
      <c r="BH202" s="833"/>
      <c r="BI202" s="833"/>
      <c r="BJ202" s="833"/>
      <c r="BK202" s="833"/>
      <c r="BL202" s="833"/>
      <c r="BM202" s="833"/>
      <c r="BN202" s="833"/>
      <c r="BO202" s="833"/>
      <c r="BP202" s="833"/>
      <c r="BQ202" s="833"/>
      <c r="BR202" s="833"/>
      <c r="BS202" s="833"/>
      <c r="BT202" s="833"/>
      <c r="BU202" s="833">
        <f>SUM(BU199:BU201)</f>
        <v>42661</v>
      </c>
      <c r="BV202" s="833">
        <f>SUM(BV199:BV201)</f>
        <v>62871</v>
      </c>
      <c r="BW202" s="835">
        <f>SUM(BW199:BW201)</f>
        <v>87109</v>
      </c>
      <c r="BX202" s="833"/>
      <c r="BY202" s="833"/>
      <c r="BZ202" s="833"/>
      <c r="CA202" s="833"/>
      <c r="CB202" s="833"/>
      <c r="CC202" s="6"/>
    </row>
    <row r="203" spans="1:81" outlineLevel="1" x14ac:dyDescent="0.55000000000000004">
      <c r="A203" s="336"/>
      <c r="B203" s="8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273"/>
      <c r="AZ203" s="37"/>
      <c r="BA203" s="37"/>
      <c r="BB203" s="37"/>
      <c r="BC203" s="37"/>
      <c r="BD203" s="37"/>
      <c r="BE203" s="37"/>
      <c r="BF203" s="37"/>
      <c r="BG203" s="37"/>
      <c r="BH203" s="158"/>
      <c r="BI203" s="158"/>
      <c r="BJ203" s="158"/>
      <c r="BK203" s="158"/>
      <c r="BL203" s="158"/>
      <c r="BM203" s="158"/>
      <c r="BN203" s="158"/>
      <c r="BO203" s="158"/>
      <c r="BP203" s="158"/>
      <c r="BQ203" s="158"/>
      <c r="BR203" s="158"/>
      <c r="BS203" s="158"/>
      <c r="BT203" s="158"/>
      <c r="BU203" s="158"/>
      <c r="BV203" s="158"/>
      <c r="BW203" s="846"/>
      <c r="BX203" s="158"/>
      <c r="BY203" s="158"/>
      <c r="BZ203" s="158"/>
      <c r="CA203" s="158"/>
      <c r="CB203" s="158"/>
      <c r="CC203" s="6"/>
    </row>
    <row r="204" spans="1:81" s="703" customFormat="1" outlineLevel="1" x14ac:dyDescent="0.55000000000000004">
      <c r="A204" s="192" t="s">
        <v>540</v>
      </c>
      <c r="B204" s="193"/>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272"/>
      <c r="AZ204" s="35"/>
      <c r="BA204" s="35"/>
      <c r="BB204" s="35"/>
      <c r="BC204" s="35"/>
      <c r="BD204" s="35"/>
      <c r="BE204" s="35"/>
      <c r="BF204" s="35"/>
      <c r="BG204" s="35"/>
      <c r="BH204" s="812"/>
      <c r="BI204" s="812"/>
      <c r="BJ204" s="812"/>
      <c r="BK204" s="812"/>
      <c r="BL204" s="812"/>
      <c r="BM204" s="812"/>
      <c r="BN204" s="812"/>
      <c r="BO204" s="812"/>
      <c r="BP204" s="812"/>
      <c r="BQ204" s="812"/>
      <c r="BR204" s="812"/>
      <c r="BS204" s="812"/>
      <c r="BT204" s="812"/>
      <c r="BU204" s="812">
        <f>BU84</f>
        <v>2159</v>
      </c>
      <c r="BV204" s="812">
        <f>BV84</f>
        <v>1896</v>
      </c>
      <c r="BW204" s="814">
        <f>BW84</f>
        <v>2146</v>
      </c>
      <c r="BX204" s="812"/>
      <c r="BY204" s="812"/>
      <c r="BZ204" s="812"/>
      <c r="CA204" s="812"/>
      <c r="CB204" s="812"/>
      <c r="CC204" s="6"/>
    </row>
    <row r="205" spans="1:81" outlineLevel="1" x14ac:dyDescent="0.55000000000000004">
      <c r="A205" s="86" t="s">
        <v>1089</v>
      </c>
      <c r="B205" s="8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273"/>
      <c r="AZ205" s="37"/>
      <c r="BA205" s="37"/>
      <c r="BB205" s="37"/>
      <c r="BC205" s="37"/>
      <c r="BD205" s="37"/>
      <c r="BE205" s="37"/>
      <c r="BF205" s="37"/>
      <c r="BG205" s="37"/>
      <c r="BH205" s="158"/>
      <c r="BI205" s="158"/>
      <c r="BJ205" s="158"/>
      <c r="BK205" s="158"/>
      <c r="BL205" s="158"/>
      <c r="BM205" s="158"/>
      <c r="BN205" s="158"/>
      <c r="BO205" s="158"/>
      <c r="BP205" s="158"/>
      <c r="BQ205" s="158"/>
      <c r="BR205" s="158"/>
      <c r="BS205" s="158"/>
      <c r="BT205" s="158"/>
      <c r="BU205" s="857">
        <v>-7766</v>
      </c>
      <c r="BV205" s="857">
        <v>-8942</v>
      </c>
      <c r="BW205" s="862">
        <v>-10211</v>
      </c>
      <c r="BX205" s="158"/>
      <c r="BY205" s="158"/>
      <c r="BZ205" s="158"/>
      <c r="CA205" s="158"/>
      <c r="CB205" s="158"/>
      <c r="CC205" s="6"/>
    </row>
    <row r="206" spans="1:81" outlineLevel="1" x14ac:dyDescent="0.55000000000000004">
      <c r="A206" s="86" t="s">
        <v>1090</v>
      </c>
      <c r="B206" s="8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273"/>
      <c r="AZ206" s="37"/>
      <c r="BA206" s="37"/>
      <c r="BB206" s="37"/>
      <c r="BC206" s="37"/>
      <c r="BD206" s="37"/>
      <c r="BE206" s="37"/>
      <c r="BF206" s="37"/>
      <c r="BG206" s="37"/>
      <c r="BH206" s="158"/>
      <c r="BI206" s="158"/>
      <c r="BJ206" s="158"/>
      <c r="BK206" s="158"/>
      <c r="BL206" s="158"/>
      <c r="BM206" s="158"/>
      <c r="BN206" s="158"/>
      <c r="BO206" s="158"/>
      <c r="BP206" s="158"/>
      <c r="BQ206" s="158"/>
      <c r="BR206" s="158"/>
      <c r="BS206" s="158"/>
      <c r="BT206" s="158"/>
      <c r="BU206" s="857">
        <v>-8110</v>
      </c>
      <c r="BV206" s="857">
        <v>-9074</v>
      </c>
      <c r="BW206" s="862">
        <v>-9664</v>
      </c>
      <c r="BX206" s="158"/>
      <c r="BY206" s="158"/>
      <c r="BZ206" s="158"/>
      <c r="CA206" s="158"/>
      <c r="CB206" s="158"/>
      <c r="CC206" s="6"/>
    </row>
    <row r="207" spans="1:81" s="703" customFormat="1" outlineLevel="1" x14ac:dyDescent="0.55000000000000004">
      <c r="A207" s="194" t="s">
        <v>549</v>
      </c>
      <c r="B207" s="195"/>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409"/>
      <c r="AZ207" s="33"/>
      <c r="BA207" s="33"/>
      <c r="BB207" s="33"/>
      <c r="BC207" s="33"/>
      <c r="BD207" s="33"/>
      <c r="BE207" s="33"/>
      <c r="BF207" s="33"/>
      <c r="BG207" s="33"/>
      <c r="BH207" s="833"/>
      <c r="BI207" s="833"/>
      <c r="BJ207" s="833"/>
      <c r="BK207" s="833"/>
      <c r="BL207" s="833"/>
      <c r="BM207" s="833"/>
      <c r="BN207" s="833"/>
      <c r="BO207" s="833"/>
      <c r="BP207" s="833"/>
      <c r="BQ207" s="833"/>
      <c r="BR207" s="833"/>
      <c r="BS207" s="833"/>
      <c r="BT207" s="833"/>
      <c r="BU207" s="833">
        <f>SUM(BU204:BU206)</f>
        <v>-13717</v>
      </c>
      <c r="BV207" s="833">
        <f>SUM(BV204:BV206)</f>
        <v>-16120</v>
      </c>
      <c r="BW207" s="835">
        <f>SUM(BW204:BW206)</f>
        <v>-17729</v>
      </c>
      <c r="BX207" s="833"/>
      <c r="BY207" s="833"/>
      <c r="BZ207" s="833"/>
      <c r="CA207" s="833"/>
      <c r="CB207" s="833"/>
      <c r="CC207" s="6"/>
    </row>
    <row r="208" spans="1:81" outlineLevel="1" x14ac:dyDescent="0.55000000000000004">
      <c r="A208" s="336"/>
      <c r="B208" s="8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273"/>
      <c r="AZ208" s="37"/>
      <c r="BA208" s="37"/>
      <c r="BB208" s="37"/>
      <c r="BC208" s="37"/>
      <c r="BD208" s="37"/>
      <c r="BE208" s="37"/>
      <c r="BF208" s="37"/>
      <c r="BG208" s="37"/>
      <c r="BH208" s="158"/>
      <c r="BI208" s="158"/>
      <c r="BJ208" s="158"/>
      <c r="BK208" s="158"/>
      <c r="BL208" s="158"/>
      <c r="BM208" s="158"/>
      <c r="BN208" s="158"/>
      <c r="BO208" s="158"/>
      <c r="BP208" s="158"/>
      <c r="BQ208" s="158"/>
      <c r="BR208" s="158"/>
      <c r="BS208" s="158"/>
      <c r="BT208" s="158"/>
      <c r="BU208" s="158"/>
      <c r="BV208" s="158"/>
      <c r="BW208" s="846"/>
      <c r="BX208" s="158"/>
      <c r="BY208" s="158"/>
      <c r="BZ208" s="158"/>
      <c r="CA208" s="158"/>
      <c r="CB208" s="158"/>
      <c r="CC208" s="6"/>
    </row>
    <row r="209" spans="1:81" s="703" customFormat="1" outlineLevel="1" x14ac:dyDescent="0.55000000000000004">
      <c r="A209" s="192" t="s">
        <v>551</v>
      </c>
      <c r="B209" s="193"/>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272"/>
      <c r="AZ209" s="35"/>
      <c r="BA209" s="35"/>
      <c r="BB209" s="35"/>
      <c r="BC209" s="35"/>
      <c r="BD209" s="35"/>
      <c r="BE209" s="35"/>
      <c r="BF209" s="35"/>
      <c r="BG209" s="35"/>
      <c r="BH209" s="812"/>
      <c r="BI209" s="812"/>
      <c r="BJ209" s="812"/>
      <c r="BK209" s="812"/>
      <c r="BL209" s="812"/>
      <c r="BM209" s="812"/>
      <c r="BN209" s="812"/>
      <c r="BO209" s="812"/>
      <c r="BP209" s="812"/>
      <c r="BQ209" s="812"/>
      <c r="BR209" s="812"/>
      <c r="BS209" s="812"/>
      <c r="BT209" s="812"/>
      <c r="BU209" s="812">
        <f t="shared" ref="BU209:BW211" si="310">BU199+BU204</f>
        <v>116609</v>
      </c>
      <c r="BV209" s="812">
        <f t="shared" si="310"/>
        <v>134902</v>
      </c>
      <c r="BW209" s="814">
        <f t="shared" si="310"/>
        <v>164501</v>
      </c>
      <c r="BX209" s="812"/>
      <c r="BY209" s="812"/>
      <c r="BZ209" s="812"/>
      <c r="CA209" s="812"/>
      <c r="CB209" s="812"/>
      <c r="CC209" s="6"/>
    </row>
    <row r="210" spans="1:81" outlineLevel="1" x14ac:dyDescent="0.55000000000000004">
      <c r="A210" s="86" t="s">
        <v>1091</v>
      </c>
      <c r="B210" s="8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273"/>
      <c r="AZ210" s="37"/>
      <c r="BA210" s="37"/>
      <c r="BB210" s="37"/>
      <c r="BC210" s="37"/>
      <c r="BD210" s="37"/>
      <c r="BE210" s="37"/>
      <c r="BF210" s="37"/>
      <c r="BG210" s="37"/>
      <c r="BH210" s="158"/>
      <c r="BI210" s="158"/>
      <c r="BJ210" s="158"/>
      <c r="BK210" s="158"/>
      <c r="BL210" s="158"/>
      <c r="BM210" s="158"/>
      <c r="BN210" s="158"/>
      <c r="BO210" s="158"/>
      <c r="BP210" s="158"/>
      <c r="BQ210" s="158"/>
      <c r="BR210" s="158"/>
      <c r="BS210" s="158"/>
      <c r="BT210" s="158"/>
      <c r="BU210" s="158">
        <f t="shared" si="310"/>
        <v>-36311</v>
      </c>
      <c r="BV210" s="158">
        <f t="shared" si="310"/>
        <v>-37820</v>
      </c>
      <c r="BW210" s="846">
        <f t="shared" si="310"/>
        <v>-41327</v>
      </c>
      <c r="BX210" s="158"/>
      <c r="BY210" s="158"/>
      <c r="BZ210" s="158"/>
      <c r="CA210" s="158"/>
      <c r="CB210" s="158"/>
      <c r="CC210" s="6"/>
    </row>
    <row r="211" spans="1:81" outlineLevel="1" x14ac:dyDescent="0.55000000000000004">
      <c r="A211" s="86" t="s">
        <v>1092</v>
      </c>
      <c r="B211" s="8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273"/>
      <c r="AZ211" s="37"/>
      <c r="BA211" s="37"/>
      <c r="BB211" s="37"/>
      <c r="BC211" s="37"/>
      <c r="BD211" s="37"/>
      <c r="BE211" s="37"/>
      <c r="BF211" s="37"/>
      <c r="BG211" s="37"/>
      <c r="BH211" s="158"/>
      <c r="BI211" s="158"/>
      <c r="BJ211" s="158"/>
      <c r="BK211" s="158"/>
      <c r="BL211" s="158"/>
      <c r="BM211" s="158"/>
      <c r="BN211" s="158"/>
      <c r="BO211" s="158"/>
      <c r="BP211" s="158"/>
      <c r="BQ211" s="158"/>
      <c r="BR211" s="158"/>
      <c r="BS211" s="158"/>
      <c r="BT211" s="158"/>
      <c r="BU211" s="158">
        <f t="shared" si="310"/>
        <v>-51354</v>
      </c>
      <c r="BV211" s="158">
        <f t="shared" si="310"/>
        <v>-50331</v>
      </c>
      <c r="BW211" s="846">
        <f t="shared" si="310"/>
        <v>-53794</v>
      </c>
      <c r="BX211" s="158"/>
      <c r="BY211" s="158"/>
      <c r="BZ211" s="158"/>
      <c r="CA211" s="158"/>
      <c r="CB211" s="158"/>
      <c r="CC211" s="6"/>
    </row>
    <row r="212" spans="1:81" s="703" customFormat="1" outlineLevel="1" x14ac:dyDescent="0.55000000000000004">
      <c r="A212" s="194" t="s">
        <v>550</v>
      </c>
      <c r="B212" s="195"/>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O212" s="33"/>
      <c r="AP212" s="33"/>
      <c r="AQ212" s="33"/>
      <c r="AR212" s="33"/>
      <c r="AS212" s="33"/>
      <c r="AT212" s="33"/>
      <c r="AU212" s="33"/>
      <c r="AV212" s="33"/>
      <c r="AW212" s="33"/>
      <c r="AX212" s="33"/>
      <c r="AY212" s="409"/>
      <c r="AZ212" s="33"/>
      <c r="BA212" s="33"/>
      <c r="BB212" s="33"/>
      <c r="BC212" s="33"/>
      <c r="BD212" s="33"/>
      <c r="BE212" s="33"/>
      <c r="BF212" s="33"/>
      <c r="BG212" s="33"/>
      <c r="BH212" s="833"/>
      <c r="BI212" s="833"/>
      <c r="BJ212" s="833"/>
      <c r="BK212" s="833"/>
      <c r="BL212" s="833"/>
      <c r="BM212" s="833"/>
      <c r="BN212" s="833"/>
      <c r="BO212" s="833"/>
      <c r="BP212" s="833"/>
      <c r="BQ212" s="833"/>
      <c r="BR212" s="833"/>
      <c r="BS212" s="833"/>
      <c r="BT212" s="833"/>
      <c r="BU212" s="833">
        <f>SUM(BU209:BU211)</f>
        <v>28944</v>
      </c>
      <c r="BV212" s="833">
        <f>SUM(BV209:BV211)</f>
        <v>46751</v>
      </c>
      <c r="BW212" s="835">
        <f>SUM(BW209:BW211)</f>
        <v>69380</v>
      </c>
      <c r="BX212" s="833"/>
      <c r="BY212" s="833"/>
      <c r="BZ212" s="833"/>
      <c r="CA212" s="833"/>
      <c r="CB212" s="833"/>
      <c r="CC212" s="6"/>
    </row>
    <row r="213" spans="1:81" x14ac:dyDescent="0.55000000000000004">
      <c r="A213" s="437"/>
      <c r="B213" s="76"/>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627"/>
      <c r="AZ213" s="45"/>
      <c r="BA213" s="45"/>
      <c r="BB213" s="45"/>
      <c r="BC213" s="45"/>
      <c r="BD213" s="45"/>
      <c r="BE213" s="45"/>
      <c r="BF213" s="45"/>
      <c r="BG213" s="45"/>
      <c r="BH213" s="836"/>
      <c r="BI213" s="836"/>
      <c r="BJ213" s="836"/>
      <c r="BK213" s="836"/>
      <c r="BL213" s="836"/>
      <c r="BM213" s="836"/>
      <c r="BN213" s="836"/>
      <c r="BO213" s="836"/>
      <c r="BP213" s="836"/>
      <c r="BQ213" s="836"/>
      <c r="BR213" s="836"/>
      <c r="BS213" s="836"/>
      <c r="BT213" s="836"/>
      <c r="BU213" s="836"/>
      <c r="BV213" s="836"/>
      <c r="BW213" s="885"/>
      <c r="BX213" s="836"/>
      <c r="BY213" s="836"/>
      <c r="BZ213" s="836"/>
      <c r="CA213" s="836"/>
      <c r="CB213" s="836"/>
      <c r="CC213" s="6"/>
    </row>
    <row r="214" spans="1:81" x14ac:dyDescent="0.55000000000000004">
      <c r="A214" s="598" t="s">
        <v>1045</v>
      </c>
      <c r="B214" s="598"/>
      <c r="C214" s="598"/>
      <c r="D214" s="598"/>
      <c r="E214" s="598"/>
      <c r="F214" s="598"/>
      <c r="G214" s="598"/>
      <c r="H214" s="598"/>
      <c r="I214" s="598"/>
      <c r="J214" s="598"/>
      <c r="K214" s="598"/>
      <c r="L214" s="598"/>
      <c r="M214" s="598"/>
      <c r="N214" s="598"/>
      <c r="O214" s="598"/>
      <c r="P214" s="598"/>
      <c r="Q214" s="598"/>
      <c r="R214" s="598"/>
      <c r="S214" s="598"/>
      <c r="T214" s="598"/>
      <c r="U214" s="598"/>
      <c r="V214" s="598"/>
      <c r="W214" s="598"/>
      <c r="X214" s="598"/>
      <c r="Y214" s="598"/>
      <c r="Z214" s="598"/>
      <c r="AA214" s="598"/>
      <c r="AB214" s="598"/>
      <c r="AC214" s="598"/>
      <c r="AD214" s="598"/>
      <c r="AE214" s="598"/>
      <c r="AF214" s="598"/>
      <c r="AG214" s="598"/>
      <c r="AH214" s="598"/>
      <c r="AI214" s="598"/>
      <c r="AJ214" s="598"/>
      <c r="AK214" s="598"/>
      <c r="AL214" s="598"/>
      <c r="AM214" s="598"/>
      <c r="AN214" s="598"/>
      <c r="AO214" s="598"/>
      <c r="AP214" s="598"/>
      <c r="AQ214" s="598"/>
      <c r="AR214" s="598"/>
      <c r="AS214" s="598"/>
      <c r="AT214" s="598"/>
      <c r="AU214" s="598"/>
      <c r="AV214" s="598"/>
      <c r="AW214" s="598"/>
      <c r="AX214" s="598"/>
      <c r="AY214" s="599"/>
      <c r="AZ214" s="598"/>
      <c r="BA214" s="598"/>
      <c r="BB214" s="598"/>
      <c r="BC214" s="598"/>
      <c r="BD214" s="598"/>
      <c r="BE214" s="598"/>
      <c r="BF214" s="598"/>
      <c r="BG214" s="598"/>
      <c r="BH214" s="598"/>
      <c r="BI214" s="598"/>
      <c r="BJ214" s="598"/>
      <c r="BK214" s="598"/>
      <c r="BL214" s="598"/>
      <c r="BM214" s="598"/>
      <c r="BN214" s="598"/>
      <c r="BO214" s="598"/>
      <c r="BP214" s="598"/>
      <c r="BQ214" s="598"/>
      <c r="BR214" s="598"/>
      <c r="BS214" s="598"/>
      <c r="BT214" s="598"/>
      <c r="BU214" s="598"/>
      <c r="BV214" s="598"/>
      <c r="BW214" s="599"/>
      <c r="BX214" s="598"/>
      <c r="BY214" s="598"/>
      <c r="BZ214" s="598"/>
      <c r="CA214" s="598"/>
      <c r="CB214" s="598"/>
      <c r="CC214" s="217"/>
    </row>
    <row r="215" spans="1:81" outlineLevel="1" x14ac:dyDescent="0.55000000000000004">
      <c r="A215" s="116" t="s">
        <v>27</v>
      </c>
      <c r="B215" s="229"/>
      <c r="C215" s="759">
        <v>139</v>
      </c>
      <c r="D215" s="759">
        <v>142</v>
      </c>
      <c r="E215" s="759">
        <v>144</v>
      </c>
      <c r="F215" s="759">
        <v>147</v>
      </c>
      <c r="G215" s="759">
        <v>150</v>
      </c>
      <c r="H215" s="759">
        <v>152</v>
      </c>
      <c r="I215" s="759">
        <v>155</v>
      </c>
      <c r="J215" s="759">
        <v>157</v>
      </c>
      <c r="K215" s="759">
        <v>161</v>
      </c>
      <c r="L215" s="759">
        <v>164</v>
      </c>
      <c r="M215" s="759">
        <v>167</v>
      </c>
      <c r="N215" s="759">
        <v>169</v>
      </c>
      <c r="O215" s="759">
        <v>173</v>
      </c>
      <c r="P215" s="759">
        <v>175</v>
      </c>
      <c r="Q215" s="759">
        <v>178</v>
      </c>
      <c r="R215" s="759">
        <v>180</v>
      </c>
      <c r="S215" s="759">
        <v>182</v>
      </c>
      <c r="T215" s="759">
        <v>183</v>
      </c>
      <c r="U215" s="759">
        <v>185</v>
      </c>
      <c r="V215" s="759">
        <v>184</v>
      </c>
      <c r="W215" s="759">
        <v>185</v>
      </c>
      <c r="X215" s="759">
        <v>185</v>
      </c>
      <c r="Y215" s="759">
        <v>185</v>
      </c>
      <c r="Z215" s="759">
        <v>186</v>
      </c>
      <c r="AA215" s="759">
        <v>186</v>
      </c>
      <c r="AB215" s="759">
        <v>187</v>
      </c>
      <c r="AC215" s="759">
        <v>189</v>
      </c>
      <c r="AD215" s="759">
        <v>190</v>
      </c>
      <c r="AE215" s="759">
        <v>195</v>
      </c>
      <c r="AF215" s="759">
        <v>198</v>
      </c>
      <c r="AG215" s="759">
        <v>196</v>
      </c>
      <c r="AH215" s="759">
        <v>195</v>
      </c>
      <c r="AI215" s="759">
        <v>195</v>
      </c>
      <c r="AJ215" s="759">
        <v>195</v>
      </c>
      <c r="AK215" s="759">
        <v>196</v>
      </c>
      <c r="AL215" s="759">
        <v>195</v>
      </c>
      <c r="AM215" s="759">
        <v>196</v>
      </c>
      <c r="AN215" s="759">
        <v>197</v>
      </c>
      <c r="AO215" s="759">
        <v>197</v>
      </c>
      <c r="AP215" s="759">
        <v>199</v>
      </c>
      <c r="AQ215" s="759">
        <v>200</v>
      </c>
      <c r="AR215" s="759">
        <v>202</v>
      </c>
      <c r="AS215" s="759">
        <v>203</v>
      </c>
      <c r="AT215" s="759">
        <v>205</v>
      </c>
      <c r="AU215" s="37"/>
      <c r="AV215" s="37"/>
      <c r="AW215" s="37"/>
      <c r="AX215" s="37"/>
      <c r="AY215" s="273"/>
      <c r="AZ215" s="37"/>
      <c r="BA215" s="37"/>
      <c r="BB215" s="37"/>
      <c r="BC215" s="37"/>
      <c r="BD215" s="37"/>
      <c r="BE215" s="37"/>
      <c r="BF215" s="37"/>
      <c r="BG215" s="37"/>
      <c r="BH215" s="158"/>
      <c r="BI215" s="857">
        <f>AVERAGE(99,92,85,82)</f>
        <v>89.5</v>
      </c>
      <c r="BJ215" s="857">
        <f>AVERAGE(105,117,124,126)</f>
        <v>118</v>
      </c>
      <c r="BK215" s="857">
        <f>AVERAGE(135,132,130,129)</f>
        <v>131.5</v>
      </c>
      <c r="BL215" s="876">
        <f>AVERAGE(C215,D215,E215,F215)</f>
        <v>143</v>
      </c>
      <c r="BM215" s="876">
        <f>AVERAGE(G215,H215,I215,J215)</f>
        <v>153.5</v>
      </c>
      <c r="BN215" s="876">
        <f>AVERAGE(K215,L215,M215,N215)</f>
        <v>165.25</v>
      </c>
      <c r="BO215" s="876">
        <f>AVERAGE(O215,P215,Q215,R215)</f>
        <v>176.5</v>
      </c>
      <c r="BP215" s="876">
        <f>AVERAGE(S215,T215,U215,V215)</f>
        <v>183.5</v>
      </c>
      <c r="BQ215" s="876">
        <f>AVERAGE(W215,X215,Y215,Z215)</f>
        <v>185.25</v>
      </c>
      <c r="BR215" s="876">
        <f>AVERAGE(AA215,AB215,AC215,AD215)</f>
        <v>188</v>
      </c>
      <c r="BS215" s="876">
        <f>AVERAGE(AE215,AF215,AG215,AH215)</f>
        <v>196</v>
      </c>
      <c r="BT215" s="876">
        <f>AVERAGE(AI215,AJ215,AK215,AL215)</f>
        <v>195.25</v>
      </c>
      <c r="BU215" s="876">
        <f>AVERAGE(AM215,AN215,AO215,AP215)</f>
        <v>197.25</v>
      </c>
      <c r="BV215" s="876">
        <f>AVERAGE(AQ215,AR215,AS215,AT215)</f>
        <v>202.5</v>
      </c>
      <c r="BW215" s="846"/>
      <c r="BX215" s="158"/>
      <c r="BY215" s="158"/>
      <c r="BZ215" s="158"/>
      <c r="CA215" s="158"/>
      <c r="CB215" s="158"/>
      <c r="CC215" s="117"/>
    </row>
    <row r="216" spans="1:81" outlineLevel="1" x14ac:dyDescent="0.55000000000000004">
      <c r="A216" s="116" t="s">
        <v>28</v>
      </c>
      <c r="B216" s="229"/>
      <c r="C216" s="759">
        <v>179</v>
      </c>
      <c r="D216" s="759">
        <v>182</v>
      </c>
      <c r="E216" s="759">
        <v>188</v>
      </c>
      <c r="F216" s="759">
        <v>195</v>
      </c>
      <c r="G216" s="759">
        <v>203</v>
      </c>
      <c r="H216" s="759">
        <v>206</v>
      </c>
      <c r="I216" s="759">
        <v>212</v>
      </c>
      <c r="J216" s="759">
        <v>217</v>
      </c>
      <c r="K216" s="759">
        <v>225</v>
      </c>
      <c r="L216" s="759">
        <v>228</v>
      </c>
      <c r="M216" s="759">
        <v>233</v>
      </c>
      <c r="N216" s="759">
        <v>240</v>
      </c>
      <c r="O216" s="759">
        <v>249</v>
      </c>
      <c r="P216" s="759">
        <v>252</v>
      </c>
      <c r="Q216" s="759">
        <v>256</v>
      </c>
      <c r="R216" s="759">
        <v>262</v>
      </c>
      <c r="S216" s="759">
        <v>267</v>
      </c>
      <c r="T216" s="759">
        <v>271</v>
      </c>
      <c r="U216" s="759">
        <v>274</v>
      </c>
      <c r="V216" s="759">
        <v>277</v>
      </c>
      <c r="W216" s="759">
        <v>282</v>
      </c>
      <c r="X216" s="759">
        <v>279</v>
      </c>
      <c r="Y216" s="759">
        <v>278</v>
      </c>
      <c r="Z216" s="759">
        <v>282</v>
      </c>
      <c r="AA216" s="759">
        <v>286</v>
      </c>
      <c r="AB216" s="759">
        <v>286</v>
      </c>
      <c r="AC216" s="759">
        <v>288</v>
      </c>
      <c r="AD216" s="759">
        <v>294</v>
      </c>
      <c r="AE216" s="759">
        <v>305</v>
      </c>
      <c r="AF216" s="759">
        <v>305</v>
      </c>
      <c r="AG216" s="759">
        <v>305</v>
      </c>
      <c r="AH216" s="759">
        <v>308</v>
      </c>
      <c r="AI216" s="759">
        <v>309</v>
      </c>
      <c r="AJ216" s="759">
        <v>307</v>
      </c>
      <c r="AK216" s="759">
        <v>308</v>
      </c>
      <c r="AL216" s="759">
        <v>309</v>
      </c>
      <c r="AM216" s="759">
        <v>307</v>
      </c>
      <c r="AN216" s="759">
        <v>303</v>
      </c>
      <c r="AO216" s="759">
        <v>303</v>
      </c>
      <c r="AP216" s="759">
        <v>304</v>
      </c>
      <c r="AQ216" s="759">
        <v>307</v>
      </c>
      <c r="AR216" s="759">
        <v>307</v>
      </c>
      <c r="AS216" s="759">
        <v>307</v>
      </c>
      <c r="AT216" s="759">
        <v>308</v>
      </c>
      <c r="AU216" s="37"/>
      <c r="AV216" s="37"/>
      <c r="AW216" s="37"/>
      <c r="AX216" s="37"/>
      <c r="AY216" s="273"/>
      <c r="AZ216" s="37"/>
      <c r="BA216" s="37"/>
      <c r="BB216" s="37"/>
      <c r="BC216" s="37"/>
      <c r="BD216" s="37"/>
      <c r="BE216" s="37"/>
      <c r="BF216" s="37"/>
      <c r="BG216" s="37"/>
      <c r="BH216" s="158"/>
      <c r="BI216" s="857">
        <f>AVERAGE(107,94,85,79)</f>
        <v>91.25</v>
      </c>
      <c r="BJ216" s="857">
        <f>AVERAGE(120,127,135,143)</f>
        <v>131.25</v>
      </c>
      <c r="BK216" s="857">
        <f>+AVERAGE(169,160,154,152)</f>
        <v>158.75</v>
      </c>
      <c r="BL216" s="876">
        <f>AVERAGE(C216,D216,E216,F216)</f>
        <v>186</v>
      </c>
      <c r="BM216" s="876">
        <f>AVERAGE(G216,H216,I216,J216)</f>
        <v>209.5</v>
      </c>
      <c r="BN216" s="876">
        <f>AVERAGE(K216,L216,M216,N216)</f>
        <v>231.5</v>
      </c>
      <c r="BO216" s="876">
        <f>AVERAGE(O216,P216,Q216,R216)</f>
        <v>254.75</v>
      </c>
      <c r="BP216" s="876">
        <f>AVERAGE(S216,T216,U216,V216)</f>
        <v>272.25</v>
      </c>
      <c r="BQ216" s="876">
        <f>AVERAGE(W216,X216,Y216,Z216)</f>
        <v>280.25</v>
      </c>
      <c r="BR216" s="876">
        <f>AVERAGE(AA216,AB216,AC216,AD216)</f>
        <v>288.5</v>
      </c>
      <c r="BS216" s="876">
        <f>AVERAGE(AE216,AF216,AG216,AH216)</f>
        <v>305.75</v>
      </c>
      <c r="BT216" s="876">
        <f>AVERAGE(AI216,AJ216,AK216,AL216)</f>
        <v>308.25</v>
      </c>
      <c r="BU216" s="876">
        <f>AVERAGE(AM216,AN216,AO216,AP216)</f>
        <v>304.25</v>
      </c>
      <c r="BV216" s="876">
        <f>AVERAGE(AQ216,AR216,AS216,AT216)</f>
        <v>307.25</v>
      </c>
      <c r="BW216" s="846"/>
      <c r="BX216" s="158"/>
      <c r="BY216" s="158"/>
      <c r="BZ216" s="158"/>
      <c r="CA216" s="158"/>
      <c r="CB216" s="158"/>
      <c r="CC216" s="117"/>
    </row>
    <row r="217" spans="1:81" outlineLevel="1" x14ac:dyDescent="0.55000000000000004">
      <c r="A217" s="116" t="s">
        <v>29</v>
      </c>
      <c r="B217" s="229"/>
      <c r="C217" s="759">
        <v>167</v>
      </c>
      <c r="D217" s="759">
        <v>181</v>
      </c>
      <c r="E217" s="759">
        <v>189</v>
      </c>
      <c r="F217" s="759">
        <v>200</v>
      </c>
      <c r="G217" s="759">
        <v>216</v>
      </c>
      <c r="H217" s="759">
        <v>228</v>
      </c>
      <c r="I217" s="759">
        <v>242</v>
      </c>
      <c r="J217" s="759">
        <v>253</v>
      </c>
      <c r="K217" s="759">
        <v>270</v>
      </c>
      <c r="L217" s="759">
        <v>285</v>
      </c>
      <c r="M217" s="759">
        <v>300</v>
      </c>
      <c r="N217" s="759">
        <v>309</v>
      </c>
      <c r="O217" s="759">
        <v>329</v>
      </c>
      <c r="P217" s="759">
        <v>346</v>
      </c>
      <c r="Q217" s="759">
        <v>368</v>
      </c>
      <c r="R217" s="759">
        <v>396</v>
      </c>
      <c r="S217" s="759">
        <v>427</v>
      </c>
      <c r="T217" s="759">
        <v>453</v>
      </c>
      <c r="U217" s="759">
        <v>476</v>
      </c>
      <c r="V217" s="759">
        <v>499</v>
      </c>
      <c r="W217" s="759">
        <v>529</v>
      </c>
      <c r="X217" s="759">
        <v>546</v>
      </c>
      <c r="Y217" s="759">
        <v>561</v>
      </c>
      <c r="Z217" s="759">
        <v>577</v>
      </c>
      <c r="AA217" s="759">
        <v>600</v>
      </c>
      <c r="AB217" s="759">
        <v>615</v>
      </c>
      <c r="AC217" s="759">
        <v>627</v>
      </c>
      <c r="AD217" s="759">
        <v>641</v>
      </c>
      <c r="AE217" s="759">
        <v>678</v>
      </c>
      <c r="AF217" s="759">
        <v>699</v>
      </c>
      <c r="AG217" s="759">
        <v>727</v>
      </c>
      <c r="AH217" s="759">
        <v>744</v>
      </c>
      <c r="AI217" s="759">
        <v>760</v>
      </c>
      <c r="AJ217" s="759">
        <v>788</v>
      </c>
      <c r="AK217" s="759">
        <v>805</v>
      </c>
      <c r="AL217" s="759">
        <v>806</v>
      </c>
      <c r="AM217" s="759">
        <v>827</v>
      </c>
      <c r="AN217" s="759">
        <v>836</v>
      </c>
      <c r="AO217" s="759">
        <v>845</v>
      </c>
      <c r="AP217" s="759">
        <v>854</v>
      </c>
      <c r="AQ217" s="759">
        <v>873</v>
      </c>
      <c r="AR217" s="759">
        <v>891</v>
      </c>
      <c r="AS217" s="759">
        <v>899</v>
      </c>
      <c r="AT217" s="759">
        <v>914</v>
      </c>
      <c r="AU217" s="37"/>
      <c r="AV217" s="37"/>
      <c r="AW217" s="37"/>
      <c r="AX217" s="37"/>
      <c r="AY217" s="273"/>
      <c r="AZ217" s="37"/>
      <c r="BA217" s="37"/>
      <c r="BB217" s="37"/>
      <c r="BC217" s="37"/>
      <c r="BD217" s="37"/>
      <c r="BE217" s="37"/>
      <c r="BF217" s="37"/>
      <c r="BG217" s="37"/>
      <c r="BH217" s="158"/>
      <c r="BI217" s="857">
        <f>AVERAGE(64,54,45,39)</f>
        <v>50.5</v>
      </c>
      <c r="BJ217" s="857">
        <f>+AVERAGE(105,98,85,72)</f>
        <v>90</v>
      </c>
      <c r="BK217" s="857">
        <f>+AVERAGE(153,141,129,119)</f>
        <v>135.5</v>
      </c>
      <c r="BL217" s="876">
        <f>AVERAGE(C217,D217,E217,F217)</f>
        <v>184.25</v>
      </c>
      <c r="BM217" s="876">
        <f>AVERAGE(G217,H217,I217,J217)</f>
        <v>234.75</v>
      </c>
      <c r="BN217" s="876">
        <f>AVERAGE(K217,L217,M217,N217)</f>
        <v>291</v>
      </c>
      <c r="BO217" s="876">
        <f>AVERAGE(O217,P217,Q217,R217)</f>
        <v>359.75</v>
      </c>
      <c r="BP217" s="876">
        <f>AVERAGE(S217,T217,U217,V217)</f>
        <v>463.75</v>
      </c>
      <c r="BQ217" s="876">
        <f>AVERAGE(W217,X217,Y217,Z217)</f>
        <v>553.25</v>
      </c>
      <c r="BR217" s="876">
        <f>AVERAGE(AA217,AB217,AC217,AD217)</f>
        <v>620.75</v>
      </c>
      <c r="BS217" s="876">
        <f>AVERAGE(AE217,AF217,AG217,AH217)</f>
        <v>712</v>
      </c>
      <c r="BT217" s="876">
        <f>AVERAGE(AI217,AJ217,AK217,AL217)</f>
        <v>789.75</v>
      </c>
      <c r="BU217" s="876">
        <f>AVERAGE(AM217,AN217,AO217,AP217)</f>
        <v>840.5</v>
      </c>
      <c r="BV217" s="876">
        <f>AVERAGE(AQ217,AR217,AS217,AT217)</f>
        <v>894.25</v>
      </c>
      <c r="BW217" s="846"/>
      <c r="BX217" s="158"/>
      <c r="BY217" s="158"/>
      <c r="BZ217" s="158"/>
      <c r="CA217" s="158"/>
      <c r="CB217" s="158"/>
      <c r="CC217" s="117"/>
    </row>
    <row r="218" spans="1:81" outlineLevel="1" x14ac:dyDescent="0.55000000000000004">
      <c r="A218" s="116" t="s">
        <v>30</v>
      </c>
      <c r="B218" s="229"/>
      <c r="C218" s="759">
        <v>180</v>
      </c>
      <c r="D218" s="759">
        <v>195</v>
      </c>
      <c r="E218" s="759">
        <v>208</v>
      </c>
      <c r="F218" s="759">
        <v>216</v>
      </c>
      <c r="G218" s="759">
        <v>233</v>
      </c>
      <c r="H218" s="759">
        <v>244</v>
      </c>
      <c r="I218" s="759">
        <v>256</v>
      </c>
      <c r="J218" s="759">
        <v>263</v>
      </c>
      <c r="K218" s="759">
        <v>280</v>
      </c>
      <c r="L218" s="759">
        <v>292</v>
      </c>
      <c r="M218" s="759">
        <v>308</v>
      </c>
      <c r="N218" s="759">
        <v>319</v>
      </c>
      <c r="O218" s="759">
        <v>340</v>
      </c>
      <c r="P218" s="759">
        <v>355</v>
      </c>
      <c r="Q218" s="759">
        <v>377</v>
      </c>
      <c r="R218" s="759">
        <v>388</v>
      </c>
      <c r="S218" s="759">
        <v>408</v>
      </c>
      <c r="T218" s="759">
        <v>419</v>
      </c>
      <c r="U218" s="759">
        <v>433</v>
      </c>
      <c r="V218" s="759">
        <v>441</v>
      </c>
      <c r="W218" s="759">
        <v>453</v>
      </c>
      <c r="X218" s="759">
        <v>461</v>
      </c>
      <c r="Y218" s="759">
        <v>470</v>
      </c>
      <c r="Z218" s="759">
        <v>478</v>
      </c>
      <c r="AA218" s="759">
        <v>490</v>
      </c>
      <c r="AB218" s="759">
        <v>499</v>
      </c>
      <c r="AC218" s="759">
        <v>519</v>
      </c>
      <c r="AD218" s="759">
        <v>532</v>
      </c>
      <c r="AE218" s="759">
        <v>556</v>
      </c>
      <c r="AF218" s="759">
        <v>583</v>
      </c>
      <c r="AG218" s="759">
        <v>593</v>
      </c>
      <c r="AH218" s="759">
        <v>598</v>
      </c>
      <c r="AI218" s="759">
        <v>613</v>
      </c>
      <c r="AJ218" s="759">
        <v>618</v>
      </c>
      <c r="AK218" s="759">
        <v>622</v>
      </c>
      <c r="AL218" s="759">
        <v>619</v>
      </c>
      <c r="AM218" s="759">
        <v>629</v>
      </c>
      <c r="AN218" s="759">
        <v>631</v>
      </c>
      <c r="AO218" s="759">
        <v>638</v>
      </c>
      <c r="AP218" s="759">
        <v>643</v>
      </c>
      <c r="AQ218" s="759">
        <v>657</v>
      </c>
      <c r="AR218" s="759">
        <v>665</v>
      </c>
      <c r="AS218" s="759">
        <v>676</v>
      </c>
      <c r="AT218" s="759">
        <v>683</v>
      </c>
      <c r="AU218" s="37"/>
      <c r="AV218" s="37"/>
      <c r="AW218" s="37"/>
      <c r="AX218" s="37"/>
      <c r="AY218" s="273"/>
      <c r="AZ218" s="37"/>
      <c r="BA218" s="37"/>
      <c r="BB218" s="37"/>
      <c r="BC218" s="37"/>
      <c r="BD218" s="37"/>
      <c r="BE218" s="37"/>
      <c r="BF218" s="37"/>
      <c r="BG218" s="37"/>
      <c r="BH218" s="158"/>
      <c r="BI218" s="857">
        <f>AVERAGE(58,54,42,35)</f>
        <v>47.25</v>
      </c>
      <c r="BJ218" s="857">
        <f>AVERAGE(109,100,87,74)</f>
        <v>92.5</v>
      </c>
      <c r="BK218" s="857">
        <f>AVERAGE(161,152,139,126)</f>
        <v>144.5</v>
      </c>
      <c r="BL218" s="876">
        <f>AVERAGE(C218,D218,E218,F218)</f>
        <v>199.75</v>
      </c>
      <c r="BM218" s="876">
        <f>AVERAGE(G218,H218,I218,J218)</f>
        <v>249</v>
      </c>
      <c r="BN218" s="876">
        <f>AVERAGE(K218,L218,M218,N218)</f>
        <v>299.75</v>
      </c>
      <c r="BO218" s="876">
        <f>AVERAGE(O218,P218,Q218,R218)</f>
        <v>365</v>
      </c>
      <c r="BP218" s="876">
        <f>AVERAGE(S218,T218,U218,V218)</f>
        <v>425.25</v>
      </c>
      <c r="BQ218" s="876">
        <f>AVERAGE(W218,X218,Y218,Z218)</f>
        <v>465.5</v>
      </c>
      <c r="BR218" s="876">
        <f>AVERAGE(AA218,AB218,AC218,AD218)</f>
        <v>510</v>
      </c>
      <c r="BS218" s="876">
        <f>AVERAGE(AE218,AF218,AG218,AH218)</f>
        <v>582.5</v>
      </c>
      <c r="BT218" s="876">
        <f>AVERAGE(AI218,AJ218,AK218,AL218)</f>
        <v>618</v>
      </c>
      <c r="BU218" s="876">
        <f>AVERAGE(AM218,AN218,AO218,AP218)</f>
        <v>635.25</v>
      </c>
      <c r="BV218" s="876">
        <f>AVERAGE(AQ218,AR218,AS218,AT218)</f>
        <v>670.25</v>
      </c>
      <c r="BW218" s="846"/>
      <c r="BX218" s="158"/>
      <c r="BY218" s="158"/>
      <c r="BZ218" s="158"/>
      <c r="CA218" s="158"/>
      <c r="CB218" s="158"/>
      <c r="CC218" s="117"/>
    </row>
    <row r="219" spans="1:81" s="703" customFormat="1" outlineLevel="1" x14ac:dyDescent="0.55000000000000004">
      <c r="A219" s="20" t="s">
        <v>484</v>
      </c>
      <c r="B219" s="231"/>
      <c r="C219" s="5">
        <f t="shared" ref="C219:AT219" si="311">SUM(C215:C218)</f>
        <v>665</v>
      </c>
      <c r="D219" s="5">
        <f t="shared" si="311"/>
        <v>700</v>
      </c>
      <c r="E219" s="5">
        <f t="shared" si="311"/>
        <v>729</v>
      </c>
      <c r="F219" s="5">
        <f t="shared" si="311"/>
        <v>758</v>
      </c>
      <c r="G219" s="5">
        <f t="shared" si="311"/>
        <v>802</v>
      </c>
      <c r="H219" s="5">
        <f t="shared" si="311"/>
        <v>830</v>
      </c>
      <c r="I219" s="5">
        <f t="shared" si="311"/>
        <v>865</v>
      </c>
      <c r="J219" s="5">
        <f t="shared" si="311"/>
        <v>890</v>
      </c>
      <c r="K219" s="5">
        <f t="shared" si="311"/>
        <v>936</v>
      </c>
      <c r="L219" s="5">
        <f t="shared" si="311"/>
        <v>969</v>
      </c>
      <c r="M219" s="5">
        <f t="shared" si="311"/>
        <v>1008</v>
      </c>
      <c r="N219" s="5">
        <f t="shared" si="311"/>
        <v>1037</v>
      </c>
      <c r="O219" s="5">
        <f t="shared" si="311"/>
        <v>1091</v>
      </c>
      <c r="P219" s="5">
        <f t="shared" si="311"/>
        <v>1128</v>
      </c>
      <c r="Q219" s="5">
        <f t="shared" si="311"/>
        <v>1179</v>
      </c>
      <c r="R219" s="5">
        <f t="shared" si="311"/>
        <v>1226</v>
      </c>
      <c r="S219" s="5">
        <f t="shared" si="311"/>
        <v>1284</v>
      </c>
      <c r="T219" s="5">
        <f t="shared" si="311"/>
        <v>1326</v>
      </c>
      <c r="U219" s="5">
        <f t="shared" si="311"/>
        <v>1368</v>
      </c>
      <c r="V219" s="5">
        <f t="shared" si="311"/>
        <v>1401</v>
      </c>
      <c r="W219" s="5">
        <f t="shared" si="311"/>
        <v>1449</v>
      </c>
      <c r="X219" s="5">
        <f t="shared" si="311"/>
        <v>1471</v>
      </c>
      <c r="Y219" s="5">
        <f t="shared" si="311"/>
        <v>1494</v>
      </c>
      <c r="Z219" s="5">
        <f t="shared" si="311"/>
        <v>1523</v>
      </c>
      <c r="AA219" s="5">
        <f t="shared" si="311"/>
        <v>1562</v>
      </c>
      <c r="AB219" s="5">
        <f t="shared" si="311"/>
        <v>1587</v>
      </c>
      <c r="AC219" s="5">
        <f t="shared" si="311"/>
        <v>1623</v>
      </c>
      <c r="AD219" s="5">
        <f t="shared" si="311"/>
        <v>1657</v>
      </c>
      <c r="AE219" s="5">
        <f t="shared" si="311"/>
        <v>1734</v>
      </c>
      <c r="AF219" s="5">
        <f t="shared" si="311"/>
        <v>1785</v>
      </c>
      <c r="AG219" s="5">
        <f t="shared" si="311"/>
        <v>1821</v>
      </c>
      <c r="AH219" s="5">
        <f t="shared" si="311"/>
        <v>1845</v>
      </c>
      <c r="AI219" s="5">
        <f t="shared" si="311"/>
        <v>1877</v>
      </c>
      <c r="AJ219" s="5">
        <f t="shared" si="311"/>
        <v>1908</v>
      </c>
      <c r="AK219" s="5">
        <f t="shared" si="311"/>
        <v>1931</v>
      </c>
      <c r="AL219" s="5">
        <f t="shared" si="311"/>
        <v>1929</v>
      </c>
      <c r="AM219" s="5">
        <f t="shared" si="311"/>
        <v>1959</v>
      </c>
      <c r="AN219" s="5">
        <f t="shared" si="311"/>
        <v>1967</v>
      </c>
      <c r="AO219" s="5">
        <f t="shared" si="311"/>
        <v>1983</v>
      </c>
      <c r="AP219" s="5">
        <f t="shared" si="311"/>
        <v>2000</v>
      </c>
      <c r="AQ219" s="5">
        <f t="shared" si="311"/>
        <v>2037</v>
      </c>
      <c r="AR219" s="5">
        <f t="shared" si="311"/>
        <v>2065</v>
      </c>
      <c r="AS219" s="5">
        <f t="shared" si="311"/>
        <v>2085</v>
      </c>
      <c r="AT219" s="5">
        <f t="shared" si="311"/>
        <v>2110</v>
      </c>
      <c r="AU219" s="33"/>
      <c r="AV219" s="33"/>
      <c r="AW219" s="33"/>
      <c r="AX219" s="33"/>
      <c r="AY219" s="409"/>
      <c r="AZ219" s="33"/>
      <c r="BA219" s="33"/>
      <c r="BB219" s="33"/>
      <c r="BC219" s="33"/>
      <c r="BD219" s="33"/>
      <c r="BE219" s="33"/>
      <c r="BF219" s="33"/>
      <c r="BG219" s="33"/>
      <c r="BH219" s="833"/>
      <c r="BI219" s="833">
        <f t="shared" ref="BI219:BV219" si="312">SUM(BI215:BI218)</f>
        <v>278.5</v>
      </c>
      <c r="BJ219" s="834">
        <f t="shared" si="312"/>
        <v>431.75</v>
      </c>
      <c r="BK219" s="834">
        <f t="shared" si="312"/>
        <v>570.25</v>
      </c>
      <c r="BL219" s="834">
        <f t="shared" si="312"/>
        <v>713</v>
      </c>
      <c r="BM219" s="834">
        <f t="shared" si="312"/>
        <v>846.75</v>
      </c>
      <c r="BN219" s="834">
        <f t="shared" si="312"/>
        <v>987.5</v>
      </c>
      <c r="BO219" s="834">
        <f t="shared" si="312"/>
        <v>1156</v>
      </c>
      <c r="BP219" s="834">
        <f t="shared" si="312"/>
        <v>1344.75</v>
      </c>
      <c r="BQ219" s="834">
        <f t="shared" si="312"/>
        <v>1484.25</v>
      </c>
      <c r="BR219" s="834">
        <f t="shared" si="312"/>
        <v>1607.25</v>
      </c>
      <c r="BS219" s="834">
        <f t="shared" si="312"/>
        <v>1796.25</v>
      </c>
      <c r="BT219" s="834">
        <f t="shared" si="312"/>
        <v>1911.25</v>
      </c>
      <c r="BU219" s="834">
        <f t="shared" si="312"/>
        <v>1977.25</v>
      </c>
      <c r="BV219" s="834">
        <f t="shared" si="312"/>
        <v>2074.25</v>
      </c>
      <c r="BW219" s="835"/>
      <c r="BX219" s="833"/>
      <c r="BY219" s="833"/>
      <c r="BZ219" s="833"/>
      <c r="CA219" s="833"/>
      <c r="CB219" s="833"/>
      <c r="CC219" s="6"/>
    </row>
    <row r="220" spans="1:81" s="703" customFormat="1" outlineLevel="1" x14ac:dyDescent="0.55000000000000004">
      <c r="A220" s="192"/>
      <c r="B220" s="232"/>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272"/>
      <c r="AZ220" s="35"/>
      <c r="BA220" s="35"/>
      <c r="BB220" s="35"/>
      <c r="BC220" s="35"/>
      <c r="BD220" s="35"/>
      <c r="BE220" s="35"/>
      <c r="BF220" s="35"/>
      <c r="BG220" s="35"/>
      <c r="BH220" s="812"/>
      <c r="BI220" s="812"/>
      <c r="BJ220" s="812"/>
      <c r="BK220" s="812"/>
      <c r="BL220" s="812"/>
      <c r="BM220" s="812"/>
      <c r="BN220" s="812"/>
      <c r="BO220" s="812"/>
      <c r="BP220" s="812"/>
      <c r="BQ220" s="812"/>
      <c r="BR220" s="812"/>
      <c r="BS220" s="812"/>
      <c r="BT220" s="812"/>
      <c r="BU220" s="812"/>
      <c r="BV220" s="812"/>
      <c r="BW220" s="814"/>
      <c r="BX220" s="812"/>
      <c r="BY220" s="812"/>
      <c r="BZ220" s="812"/>
      <c r="CA220" s="812"/>
      <c r="CB220" s="812"/>
      <c r="CC220" s="6"/>
    </row>
    <row r="221" spans="1:81" s="709" customFormat="1" outlineLevel="1" x14ac:dyDescent="0.55000000000000004">
      <c r="A221" s="130" t="s">
        <v>535</v>
      </c>
      <c r="B221" s="237"/>
      <c r="C221" s="24">
        <f t="shared" ref="C221:AT221" si="313">C215/C219</f>
        <v>0.20902255639097744</v>
      </c>
      <c r="D221" s="24">
        <f t="shared" si="313"/>
        <v>0.20285714285714285</v>
      </c>
      <c r="E221" s="24">
        <f t="shared" si="313"/>
        <v>0.19753086419753085</v>
      </c>
      <c r="F221" s="24">
        <f t="shared" si="313"/>
        <v>0.19393139841688653</v>
      </c>
      <c r="G221" s="24">
        <f t="shared" si="313"/>
        <v>0.18703241895261846</v>
      </c>
      <c r="H221" s="24">
        <f t="shared" si="313"/>
        <v>0.18313253012048192</v>
      </c>
      <c r="I221" s="24">
        <f t="shared" si="313"/>
        <v>0.1791907514450867</v>
      </c>
      <c r="J221" s="24">
        <f t="shared" si="313"/>
        <v>0.17640449438202246</v>
      </c>
      <c r="K221" s="24">
        <f t="shared" si="313"/>
        <v>0.17200854700854701</v>
      </c>
      <c r="L221" s="24">
        <f t="shared" si="313"/>
        <v>0.16924664602683179</v>
      </c>
      <c r="M221" s="24">
        <f t="shared" si="313"/>
        <v>0.16567460317460317</v>
      </c>
      <c r="N221" s="24">
        <f t="shared" si="313"/>
        <v>0.16297010607521698</v>
      </c>
      <c r="O221" s="24">
        <f t="shared" si="313"/>
        <v>0.15857011915673694</v>
      </c>
      <c r="P221" s="24">
        <f t="shared" si="313"/>
        <v>0.15514184397163119</v>
      </c>
      <c r="Q221" s="24">
        <f t="shared" si="313"/>
        <v>0.15097540288379982</v>
      </c>
      <c r="R221" s="24">
        <f t="shared" si="313"/>
        <v>0.14681892332789559</v>
      </c>
      <c r="S221" s="24">
        <f t="shared" si="313"/>
        <v>0.14174454828660435</v>
      </c>
      <c r="T221" s="24">
        <f t="shared" si="313"/>
        <v>0.13800904977375567</v>
      </c>
      <c r="U221" s="24">
        <f t="shared" si="313"/>
        <v>0.13523391812865498</v>
      </c>
      <c r="V221" s="24">
        <f t="shared" si="313"/>
        <v>0.13133476088508209</v>
      </c>
      <c r="W221" s="24">
        <f t="shared" si="313"/>
        <v>0.12767425810904071</v>
      </c>
      <c r="X221" s="24">
        <f t="shared" si="313"/>
        <v>0.12576478585995921</v>
      </c>
      <c r="Y221" s="24">
        <f t="shared" si="313"/>
        <v>0.12382864792503347</v>
      </c>
      <c r="Z221" s="24">
        <f t="shared" si="313"/>
        <v>0.1221273801707157</v>
      </c>
      <c r="AA221" s="24">
        <f t="shared" si="313"/>
        <v>0.11907810499359796</v>
      </c>
      <c r="AB221" s="24">
        <f t="shared" si="313"/>
        <v>0.11783238815374922</v>
      </c>
      <c r="AC221" s="24">
        <f t="shared" si="313"/>
        <v>0.11645101663585952</v>
      </c>
      <c r="AD221" s="24">
        <f t="shared" si="313"/>
        <v>0.11466505733252867</v>
      </c>
      <c r="AE221" s="24">
        <f t="shared" si="313"/>
        <v>0.11245674740484429</v>
      </c>
      <c r="AF221" s="24">
        <f t="shared" si="313"/>
        <v>0.11092436974789915</v>
      </c>
      <c r="AG221" s="24">
        <f t="shared" si="313"/>
        <v>0.10763316858868753</v>
      </c>
      <c r="AH221" s="24">
        <f t="shared" si="313"/>
        <v>0.10569105691056911</v>
      </c>
      <c r="AI221" s="24">
        <f t="shared" si="313"/>
        <v>0.10388918486947256</v>
      </c>
      <c r="AJ221" s="24">
        <f t="shared" si="313"/>
        <v>0.10220125786163523</v>
      </c>
      <c r="AK221" s="24">
        <f t="shared" si="313"/>
        <v>0.10150181253236665</v>
      </c>
      <c r="AL221" s="24">
        <f t="shared" si="313"/>
        <v>0.10108864696734059</v>
      </c>
      <c r="AM221" s="24">
        <f t="shared" si="313"/>
        <v>0.10005104645227157</v>
      </c>
      <c r="AN221" s="24">
        <f t="shared" si="313"/>
        <v>0.10015251652262329</v>
      </c>
      <c r="AO221" s="24">
        <f t="shared" si="313"/>
        <v>9.934442763489662E-2</v>
      </c>
      <c r="AP221" s="24">
        <f t="shared" si="313"/>
        <v>9.9500000000000005E-2</v>
      </c>
      <c r="AQ221" s="24">
        <f t="shared" si="313"/>
        <v>9.8183603338242512E-2</v>
      </c>
      <c r="AR221" s="24">
        <f t="shared" si="313"/>
        <v>9.782082324455206E-2</v>
      </c>
      <c r="AS221" s="24">
        <f t="shared" si="313"/>
        <v>9.7362110311750599E-2</v>
      </c>
      <c r="AT221" s="24">
        <f t="shared" si="313"/>
        <v>9.7156398104265407E-2</v>
      </c>
      <c r="AU221" s="55"/>
      <c r="AV221" s="55"/>
      <c r="AW221" s="55"/>
      <c r="AX221" s="55"/>
      <c r="AY221" s="275"/>
      <c r="AZ221" s="55"/>
      <c r="BA221" s="55"/>
      <c r="BB221" s="55"/>
      <c r="BC221" s="55"/>
      <c r="BD221" s="55"/>
      <c r="BE221" s="55"/>
      <c r="BF221" s="55"/>
      <c r="BG221" s="55"/>
      <c r="BH221" s="156"/>
      <c r="BI221" s="156">
        <f t="shared" ref="BI221:BV221" si="314">BI215/BI219</f>
        <v>0.32136445242369838</v>
      </c>
      <c r="BJ221" s="871">
        <f t="shared" si="314"/>
        <v>0.27330631152287205</v>
      </c>
      <c r="BK221" s="871">
        <f t="shared" si="314"/>
        <v>0.23060061376589217</v>
      </c>
      <c r="BL221" s="871">
        <f t="shared" si="314"/>
        <v>0.2005610098176718</v>
      </c>
      <c r="BM221" s="871">
        <f t="shared" si="314"/>
        <v>0.18128136994390315</v>
      </c>
      <c r="BN221" s="871">
        <f t="shared" si="314"/>
        <v>0.16734177215189874</v>
      </c>
      <c r="BO221" s="871">
        <f t="shared" si="314"/>
        <v>0.15268166089965399</v>
      </c>
      <c r="BP221" s="871">
        <f t="shared" si="314"/>
        <v>0.13645659044432051</v>
      </c>
      <c r="BQ221" s="871">
        <f t="shared" si="314"/>
        <v>0.12481051035876706</v>
      </c>
      <c r="BR221" s="871">
        <f t="shared" si="314"/>
        <v>0.11696997977912583</v>
      </c>
      <c r="BS221" s="871">
        <f t="shared" si="314"/>
        <v>0.10911621433542101</v>
      </c>
      <c r="BT221" s="871">
        <f t="shared" si="314"/>
        <v>0.10215827338129496</v>
      </c>
      <c r="BU221" s="871">
        <f t="shared" si="314"/>
        <v>9.9759767353647749E-2</v>
      </c>
      <c r="BV221" s="871">
        <f t="shared" si="314"/>
        <v>9.7625647824514883E-2</v>
      </c>
      <c r="BW221" s="856"/>
      <c r="BX221" s="156"/>
      <c r="BY221" s="156"/>
      <c r="BZ221" s="156"/>
      <c r="CA221" s="156"/>
      <c r="CB221" s="156"/>
      <c r="CC221" s="24"/>
    </row>
    <row r="222" spans="1:81" s="709" customFormat="1" outlineLevel="1" x14ac:dyDescent="0.55000000000000004">
      <c r="A222" s="130" t="s">
        <v>531</v>
      </c>
      <c r="B222" s="237"/>
      <c r="C222" s="24">
        <f t="shared" ref="C222:AT222" si="315">C216/C219</f>
        <v>0.26917293233082706</v>
      </c>
      <c r="D222" s="24">
        <f t="shared" si="315"/>
        <v>0.26</v>
      </c>
      <c r="E222" s="24">
        <f t="shared" si="315"/>
        <v>0.25788751714677638</v>
      </c>
      <c r="F222" s="24">
        <f t="shared" si="315"/>
        <v>0.25725593667546176</v>
      </c>
      <c r="G222" s="24">
        <f t="shared" si="315"/>
        <v>0.25311720698254364</v>
      </c>
      <c r="H222" s="24">
        <f t="shared" si="315"/>
        <v>0.24819277108433735</v>
      </c>
      <c r="I222" s="24">
        <f t="shared" si="315"/>
        <v>0.24508670520231213</v>
      </c>
      <c r="J222" s="24">
        <f t="shared" si="315"/>
        <v>0.24382022471910111</v>
      </c>
      <c r="K222" s="24">
        <f t="shared" si="315"/>
        <v>0.24038461538461539</v>
      </c>
      <c r="L222" s="24">
        <f t="shared" si="315"/>
        <v>0.23529411764705882</v>
      </c>
      <c r="M222" s="24">
        <f t="shared" si="315"/>
        <v>0.23115079365079366</v>
      </c>
      <c r="N222" s="24">
        <f t="shared" si="315"/>
        <v>0.23143683702989393</v>
      </c>
      <c r="O222" s="24">
        <f t="shared" si="315"/>
        <v>0.22823098075160403</v>
      </c>
      <c r="P222" s="24">
        <f t="shared" si="315"/>
        <v>0.22340425531914893</v>
      </c>
      <c r="Q222" s="24">
        <f t="shared" si="315"/>
        <v>0.21713316369804919</v>
      </c>
      <c r="R222" s="24">
        <f t="shared" si="315"/>
        <v>0.21370309951060359</v>
      </c>
      <c r="S222" s="24">
        <f t="shared" si="315"/>
        <v>0.20794392523364486</v>
      </c>
      <c r="T222" s="24">
        <f t="shared" si="315"/>
        <v>0.20437405731523378</v>
      </c>
      <c r="U222" s="24">
        <f t="shared" si="315"/>
        <v>0.20029239766081872</v>
      </c>
      <c r="V222" s="24">
        <f t="shared" si="315"/>
        <v>0.19771591720199858</v>
      </c>
      <c r="W222" s="24">
        <f t="shared" si="315"/>
        <v>0.19461697722567287</v>
      </c>
      <c r="X222" s="24">
        <f t="shared" si="315"/>
        <v>0.18966689326988442</v>
      </c>
      <c r="Y222" s="24">
        <f t="shared" si="315"/>
        <v>0.18607764390896922</v>
      </c>
      <c r="Z222" s="24">
        <f t="shared" si="315"/>
        <v>0.18516086671043991</v>
      </c>
      <c r="AA222" s="24">
        <f t="shared" si="315"/>
        <v>0.18309859154929578</v>
      </c>
      <c r="AB222" s="24">
        <f t="shared" si="315"/>
        <v>0.18021424070573408</v>
      </c>
      <c r="AC222" s="24">
        <f t="shared" si="315"/>
        <v>0.17744916820702403</v>
      </c>
      <c r="AD222" s="24">
        <f t="shared" si="315"/>
        <v>0.17742908871454435</v>
      </c>
      <c r="AE222" s="24">
        <f t="shared" si="315"/>
        <v>0.17589388696655134</v>
      </c>
      <c r="AF222" s="24">
        <f t="shared" si="315"/>
        <v>0.17086834733893558</v>
      </c>
      <c r="AG222" s="24">
        <f t="shared" si="315"/>
        <v>0.16749038989566173</v>
      </c>
      <c r="AH222" s="24">
        <f t="shared" si="315"/>
        <v>0.16693766937669377</v>
      </c>
      <c r="AI222" s="24">
        <f t="shared" si="315"/>
        <v>0.16462440063931805</v>
      </c>
      <c r="AJ222" s="24">
        <f t="shared" si="315"/>
        <v>0.16090146750524109</v>
      </c>
      <c r="AK222" s="24">
        <f t="shared" si="315"/>
        <v>0.1595028482651476</v>
      </c>
      <c r="AL222" s="24">
        <f t="shared" si="315"/>
        <v>0.16018662519440124</v>
      </c>
      <c r="AM222" s="24">
        <f t="shared" si="315"/>
        <v>0.15671260847371107</v>
      </c>
      <c r="AN222" s="24">
        <f t="shared" si="315"/>
        <v>0.15404168784951702</v>
      </c>
      <c r="AO222" s="24">
        <f t="shared" si="315"/>
        <v>0.15279878971255673</v>
      </c>
      <c r="AP222" s="24">
        <f t="shared" si="315"/>
        <v>0.152</v>
      </c>
      <c r="AQ222" s="24">
        <f t="shared" si="315"/>
        <v>0.15071183112420225</v>
      </c>
      <c r="AR222" s="24">
        <f t="shared" si="315"/>
        <v>0.14866828087167069</v>
      </c>
      <c r="AS222" s="24">
        <f t="shared" si="315"/>
        <v>0.147242206235012</v>
      </c>
      <c r="AT222" s="24">
        <f t="shared" si="315"/>
        <v>0.14597156398104266</v>
      </c>
      <c r="AU222" s="55"/>
      <c r="AV222" s="55"/>
      <c r="AW222" s="55"/>
      <c r="AX222" s="55"/>
      <c r="AY222" s="275"/>
      <c r="AZ222" s="55"/>
      <c r="BA222" s="55"/>
      <c r="BB222" s="55"/>
      <c r="BC222" s="55"/>
      <c r="BD222" s="55"/>
      <c r="BE222" s="55"/>
      <c r="BF222" s="55"/>
      <c r="BG222" s="55"/>
      <c r="BH222" s="156"/>
      <c r="BI222" s="156">
        <f t="shared" ref="BI222:BV222" si="316">BI216/BI219</f>
        <v>0.32764811490125673</v>
      </c>
      <c r="BJ222" s="871">
        <f t="shared" si="316"/>
        <v>0.3039953676896352</v>
      </c>
      <c r="BK222" s="871">
        <f t="shared" si="316"/>
        <v>0.27838667251205612</v>
      </c>
      <c r="BL222" s="871">
        <f t="shared" si="316"/>
        <v>0.2608695652173913</v>
      </c>
      <c r="BM222" s="871">
        <f t="shared" si="316"/>
        <v>0.24741659285503395</v>
      </c>
      <c r="BN222" s="871">
        <f t="shared" si="316"/>
        <v>0.23443037974683545</v>
      </c>
      <c r="BO222" s="871">
        <f t="shared" si="316"/>
        <v>0.2203719723183391</v>
      </c>
      <c r="BP222" s="871">
        <f t="shared" si="316"/>
        <v>0.20245398773006135</v>
      </c>
      <c r="BQ222" s="871">
        <f t="shared" si="316"/>
        <v>0.1888159002863399</v>
      </c>
      <c r="BR222" s="871">
        <f t="shared" si="316"/>
        <v>0.17949914450147769</v>
      </c>
      <c r="BS222" s="871">
        <f t="shared" si="316"/>
        <v>0.17021572720946415</v>
      </c>
      <c r="BT222" s="871">
        <f t="shared" si="316"/>
        <v>0.16128188358404186</v>
      </c>
      <c r="BU222" s="871">
        <f t="shared" si="316"/>
        <v>0.15387533190036667</v>
      </c>
      <c r="BV222" s="871">
        <f t="shared" si="316"/>
        <v>0.14812582861275159</v>
      </c>
      <c r="BW222" s="856"/>
      <c r="BX222" s="156"/>
      <c r="BY222" s="156"/>
      <c r="BZ222" s="156"/>
      <c r="CA222" s="156"/>
      <c r="CB222" s="156"/>
      <c r="CC222" s="24"/>
    </row>
    <row r="223" spans="1:81" s="709" customFormat="1" outlineLevel="1" x14ac:dyDescent="0.55000000000000004">
      <c r="A223" s="130" t="s">
        <v>532</v>
      </c>
      <c r="B223" s="237"/>
      <c r="C223" s="24">
        <f t="shared" ref="C223:AT223" si="317">C217/C219</f>
        <v>0.2511278195488722</v>
      </c>
      <c r="D223" s="24">
        <f t="shared" si="317"/>
        <v>0.25857142857142856</v>
      </c>
      <c r="E223" s="24">
        <f t="shared" si="317"/>
        <v>0.25925925925925924</v>
      </c>
      <c r="F223" s="24">
        <f t="shared" si="317"/>
        <v>0.26385224274406333</v>
      </c>
      <c r="G223" s="24">
        <f t="shared" si="317"/>
        <v>0.26932668329177056</v>
      </c>
      <c r="H223" s="24">
        <f t="shared" si="317"/>
        <v>0.27469879518072288</v>
      </c>
      <c r="I223" s="24">
        <f t="shared" si="317"/>
        <v>0.27976878612716766</v>
      </c>
      <c r="J223" s="24">
        <f t="shared" si="317"/>
        <v>0.28426966292134831</v>
      </c>
      <c r="K223" s="24">
        <f t="shared" si="317"/>
        <v>0.28846153846153844</v>
      </c>
      <c r="L223" s="24">
        <f t="shared" si="317"/>
        <v>0.29411764705882354</v>
      </c>
      <c r="M223" s="24">
        <f t="shared" si="317"/>
        <v>0.29761904761904762</v>
      </c>
      <c r="N223" s="24">
        <f t="shared" si="317"/>
        <v>0.29797492767598843</v>
      </c>
      <c r="O223" s="24">
        <f t="shared" si="317"/>
        <v>0.30155820348304307</v>
      </c>
      <c r="P223" s="24">
        <f t="shared" si="317"/>
        <v>0.3067375886524823</v>
      </c>
      <c r="Q223" s="24">
        <f t="shared" si="317"/>
        <v>0.31212892281594573</v>
      </c>
      <c r="R223" s="24">
        <f t="shared" si="317"/>
        <v>0.32300163132137033</v>
      </c>
      <c r="S223" s="24">
        <f t="shared" si="317"/>
        <v>0.3325545171339564</v>
      </c>
      <c r="T223" s="24">
        <f t="shared" si="317"/>
        <v>0.34162895927601811</v>
      </c>
      <c r="U223" s="24">
        <f t="shared" si="317"/>
        <v>0.34795321637426901</v>
      </c>
      <c r="V223" s="24">
        <f t="shared" si="317"/>
        <v>0.35617416131334761</v>
      </c>
      <c r="W223" s="24">
        <f t="shared" si="317"/>
        <v>0.36507936507936506</v>
      </c>
      <c r="X223" s="24">
        <f t="shared" si="317"/>
        <v>0.37117607070020392</v>
      </c>
      <c r="Y223" s="24">
        <f t="shared" si="317"/>
        <v>0.37550200803212852</v>
      </c>
      <c r="Z223" s="24">
        <f t="shared" si="317"/>
        <v>0.3788575180564675</v>
      </c>
      <c r="AA223" s="24">
        <f t="shared" si="317"/>
        <v>0.38412291933418696</v>
      </c>
      <c r="AB223" s="24">
        <f t="shared" si="317"/>
        <v>0.38752362948960301</v>
      </c>
      <c r="AC223" s="24">
        <f t="shared" si="317"/>
        <v>0.38632162661737524</v>
      </c>
      <c r="AD223" s="24">
        <f t="shared" si="317"/>
        <v>0.38684369342184671</v>
      </c>
      <c r="AE223" s="24">
        <f t="shared" si="317"/>
        <v>0.39100346020761245</v>
      </c>
      <c r="AF223" s="24">
        <f t="shared" si="317"/>
        <v>0.39159663865546218</v>
      </c>
      <c r="AG223" s="24">
        <f t="shared" si="317"/>
        <v>0.39923119165293797</v>
      </c>
      <c r="AH223" s="24">
        <f t="shared" si="317"/>
        <v>0.40325203252032521</v>
      </c>
      <c r="AI223" s="24">
        <f t="shared" si="317"/>
        <v>0.40490143846563664</v>
      </c>
      <c r="AJ223" s="24">
        <f t="shared" si="317"/>
        <v>0.41299790356394128</v>
      </c>
      <c r="AK223" s="24">
        <f t="shared" si="317"/>
        <v>0.416882444329363</v>
      </c>
      <c r="AL223" s="24">
        <f t="shared" si="317"/>
        <v>0.41783307413167442</v>
      </c>
      <c r="AM223" s="24">
        <f t="shared" si="317"/>
        <v>0.42215416028586011</v>
      </c>
      <c r="AN223" s="24">
        <f t="shared" si="317"/>
        <v>0.42501270971021859</v>
      </c>
      <c r="AO223" s="24">
        <f t="shared" si="317"/>
        <v>0.42612203731719617</v>
      </c>
      <c r="AP223" s="24">
        <f t="shared" si="317"/>
        <v>0.42699999999999999</v>
      </c>
      <c r="AQ223" s="24">
        <f t="shared" si="317"/>
        <v>0.42857142857142855</v>
      </c>
      <c r="AR223" s="24">
        <f t="shared" si="317"/>
        <v>0.43147699757869251</v>
      </c>
      <c r="AS223" s="24">
        <f t="shared" si="317"/>
        <v>0.43117505995203836</v>
      </c>
      <c r="AT223" s="24">
        <f t="shared" si="317"/>
        <v>0.43317535545023694</v>
      </c>
      <c r="AU223" s="55"/>
      <c r="AV223" s="55"/>
      <c r="AW223" s="55"/>
      <c r="AX223" s="55"/>
      <c r="AY223" s="275"/>
      <c r="AZ223" s="55"/>
      <c r="BA223" s="55"/>
      <c r="BB223" s="55"/>
      <c r="BC223" s="55"/>
      <c r="BD223" s="55"/>
      <c r="BE223" s="55"/>
      <c r="BF223" s="55"/>
      <c r="BG223" s="55"/>
      <c r="BH223" s="156"/>
      <c r="BI223" s="156">
        <f t="shared" ref="BI223:BV223" si="318">BI217/BI219</f>
        <v>0.18132854578096949</v>
      </c>
      <c r="BJ223" s="871">
        <f t="shared" si="318"/>
        <v>0.20845396641574984</v>
      </c>
      <c r="BK223" s="871">
        <f t="shared" si="318"/>
        <v>0.23761508110477861</v>
      </c>
      <c r="BL223" s="871">
        <f t="shared" si="318"/>
        <v>0.25841514726507714</v>
      </c>
      <c r="BM223" s="871">
        <f t="shared" si="318"/>
        <v>0.27723649247121346</v>
      </c>
      <c r="BN223" s="871">
        <f t="shared" si="318"/>
        <v>0.29468354430379745</v>
      </c>
      <c r="BO223" s="871">
        <f t="shared" si="318"/>
        <v>0.31120242214532873</v>
      </c>
      <c r="BP223" s="871">
        <f t="shared" si="318"/>
        <v>0.34485963933816693</v>
      </c>
      <c r="BQ223" s="871">
        <f t="shared" si="318"/>
        <v>0.37274717870978608</v>
      </c>
      <c r="BR223" s="871">
        <f t="shared" si="318"/>
        <v>0.38621869653134233</v>
      </c>
      <c r="BS223" s="871">
        <f t="shared" si="318"/>
        <v>0.39638135003479469</v>
      </c>
      <c r="BT223" s="871">
        <f t="shared" si="318"/>
        <v>0.41321124918247221</v>
      </c>
      <c r="BU223" s="871">
        <f t="shared" si="318"/>
        <v>0.42508534580857249</v>
      </c>
      <c r="BV223" s="871">
        <f t="shared" si="318"/>
        <v>0.43111968181270338</v>
      </c>
      <c r="BW223" s="856"/>
      <c r="BX223" s="156"/>
      <c r="BY223" s="156"/>
      <c r="BZ223" s="156"/>
      <c r="CA223" s="156"/>
      <c r="CB223" s="156"/>
      <c r="CC223" s="24"/>
    </row>
    <row r="224" spans="1:81" s="709" customFormat="1" outlineLevel="1" x14ac:dyDescent="0.55000000000000004">
      <c r="A224" s="130" t="s">
        <v>533</v>
      </c>
      <c r="B224" s="237"/>
      <c r="C224" s="24">
        <f t="shared" ref="C224:AT224" si="319">C218/C219</f>
        <v>0.27067669172932329</v>
      </c>
      <c r="D224" s="24">
        <f t="shared" si="319"/>
        <v>0.27857142857142858</v>
      </c>
      <c r="E224" s="24">
        <f t="shared" si="319"/>
        <v>0.28532235939643347</v>
      </c>
      <c r="F224" s="24">
        <f t="shared" si="319"/>
        <v>0.28496042216358841</v>
      </c>
      <c r="G224" s="24">
        <f t="shared" si="319"/>
        <v>0.29052369077306733</v>
      </c>
      <c r="H224" s="24">
        <f t="shared" si="319"/>
        <v>0.29397590361445786</v>
      </c>
      <c r="I224" s="24">
        <f t="shared" si="319"/>
        <v>0.29595375722543354</v>
      </c>
      <c r="J224" s="24">
        <f t="shared" si="319"/>
        <v>0.29550561797752811</v>
      </c>
      <c r="K224" s="24">
        <f t="shared" si="319"/>
        <v>0.29914529914529914</v>
      </c>
      <c r="L224" s="24">
        <f t="shared" si="319"/>
        <v>0.30134158926728588</v>
      </c>
      <c r="M224" s="24">
        <f t="shared" si="319"/>
        <v>0.30555555555555558</v>
      </c>
      <c r="N224" s="24">
        <f t="shared" si="319"/>
        <v>0.30761812921890069</v>
      </c>
      <c r="O224" s="24">
        <f t="shared" si="319"/>
        <v>0.31164069660861593</v>
      </c>
      <c r="P224" s="24">
        <f t="shared" si="319"/>
        <v>0.31471631205673761</v>
      </c>
      <c r="Q224" s="24">
        <f t="shared" si="319"/>
        <v>0.31976251060220529</v>
      </c>
      <c r="R224" s="24">
        <f t="shared" si="319"/>
        <v>0.31647634584013051</v>
      </c>
      <c r="S224" s="24">
        <f t="shared" si="319"/>
        <v>0.31775700934579437</v>
      </c>
      <c r="T224" s="24">
        <f t="shared" si="319"/>
        <v>0.31598793363499245</v>
      </c>
      <c r="U224" s="24">
        <f t="shared" si="319"/>
        <v>0.31652046783625731</v>
      </c>
      <c r="V224" s="24">
        <f t="shared" si="319"/>
        <v>0.31477516059957172</v>
      </c>
      <c r="W224" s="24">
        <f t="shared" si="319"/>
        <v>0.31262939958592134</v>
      </c>
      <c r="X224" s="24">
        <f t="shared" si="319"/>
        <v>0.31339225016995242</v>
      </c>
      <c r="Y224" s="24">
        <f t="shared" si="319"/>
        <v>0.31459170013386883</v>
      </c>
      <c r="Z224" s="24">
        <f t="shared" si="319"/>
        <v>0.31385423506237686</v>
      </c>
      <c r="AA224" s="24">
        <f t="shared" si="319"/>
        <v>0.31370038412291934</v>
      </c>
      <c r="AB224" s="24">
        <f t="shared" si="319"/>
        <v>0.3144297416509137</v>
      </c>
      <c r="AC224" s="24">
        <f t="shared" si="319"/>
        <v>0.31977818853974121</v>
      </c>
      <c r="AD224" s="24">
        <f t="shared" si="319"/>
        <v>0.32106216053108028</v>
      </c>
      <c r="AE224" s="24">
        <f t="shared" si="319"/>
        <v>0.32064590542099192</v>
      </c>
      <c r="AF224" s="24">
        <f t="shared" si="319"/>
        <v>0.32661064425770309</v>
      </c>
      <c r="AG224" s="24">
        <f t="shared" si="319"/>
        <v>0.32564524986271282</v>
      </c>
      <c r="AH224" s="24">
        <f t="shared" si="319"/>
        <v>0.32411924119241192</v>
      </c>
      <c r="AI224" s="24">
        <f t="shared" si="319"/>
        <v>0.32658497602557274</v>
      </c>
      <c r="AJ224" s="24">
        <f t="shared" si="319"/>
        <v>0.32389937106918237</v>
      </c>
      <c r="AK224" s="24">
        <f t="shared" si="319"/>
        <v>0.32211289487312272</v>
      </c>
      <c r="AL224" s="24">
        <f t="shared" si="319"/>
        <v>0.32089165370658373</v>
      </c>
      <c r="AM224" s="24">
        <f t="shared" si="319"/>
        <v>0.3210821847881572</v>
      </c>
      <c r="AN224" s="24">
        <f t="shared" si="319"/>
        <v>0.32079308591764105</v>
      </c>
      <c r="AO224" s="24">
        <f t="shared" si="319"/>
        <v>0.32173474533535046</v>
      </c>
      <c r="AP224" s="24">
        <f t="shared" si="319"/>
        <v>0.32150000000000001</v>
      </c>
      <c r="AQ224" s="24">
        <f t="shared" si="319"/>
        <v>0.32253313696612668</v>
      </c>
      <c r="AR224" s="24">
        <f t="shared" si="319"/>
        <v>0.32203389830508472</v>
      </c>
      <c r="AS224" s="24">
        <f t="shared" si="319"/>
        <v>0.32422062350119907</v>
      </c>
      <c r="AT224" s="24">
        <f t="shared" si="319"/>
        <v>0.32369668246445499</v>
      </c>
      <c r="AU224" s="55"/>
      <c r="AV224" s="55"/>
      <c r="AW224" s="55"/>
      <c r="AX224" s="55"/>
      <c r="AY224" s="275"/>
      <c r="AZ224" s="55"/>
      <c r="BA224" s="55"/>
      <c r="BB224" s="55"/>
      <c r="BC224" s="55"/>
      <c r="BD224" s="55"/>
      <c r="BE224" s="55"/>
      <c r="BF224" s="55"/>
      <c r="BG224" s="55"/>
      <c r="BH224" s="156"/>
      <c r="BI224" s="156">
        <f t="shared" ref="BI224:BV224" si="320">BI218/BI219</f>
        <v>0.16965888689407541</v>
      </c>
      <c r="BJ224" s="871">
        <f t="shared" si="320"/>
        <v>0.21424435437174291</v>
      </c>
      <c r="BK224" s="871">
        <f t="shared" si="320"/>
        <v>0.25339763261727311</v>
      </c>
      <c r="BL224" s="871">
        <f t="shared" si="320"/>
        <v>0.28015427769985973</v>
      </c>
      <c r="BM224" s="871">
        <f t="shared" si="320"/>
        <v>0.29406554472984942</v>
      </c>
      <c r="BN224" s="871">
        <f t="shared" si="320"/>
        <v>0.30354430379746833</v>
      </c>
      <c r="BO224" s="871">
        <f t="shared" si="320"/>
        <v>0.31574394463667821</v>
      </c>
      <c r="BP224" s="871">
        <f t="shared" si="320"/>
        <v>0.31622978248745121</v>
      </c>
      <c r="BQ224" s="871">
        <f t="shared" si="320"/>
        <v>0.31362641064510693</v>
      </c>
      <c r="BR224" s="871">
        <f t="shared" si="320"/>
        <v>0.31731217918805416</v>
      </c>
      <c r="BS224" s="871">
        <f t="shared" si="320"/>
        <v>0.32428670842032009</v>
      </c>
      <c r="BT224" s="871">
        <f t="shared" si="320"/>
        <v>0.323348593852191</v>
      </c>
      <c r="BU224" s="871">
        <f t="shared" si="320"/>
        <v>0.32127955493741306</v>
      </c>
      <c r="BV224" s="871">
        <f t="shared" si="320"/>
        <v>0.32312884175003015</v>
      </c>
      <c r="BW224" s="856"/>
      <c r="BX224" s="156"/>
      <c r="BY224" s="156"/>
      <c r="BZ224" s="156"/>
      <c r="CA224" s="156"/>
      <c r="CB224" s="156"/>
      <c r="CC224" s="24"/>
    </row>
    <row r="225" spans="1:81" s="713" customFormat="1" outlineLevel="1" x14ac:dyDescent="0.55000000000000004">
      <c r="A225" s="23" t="s">
        <v>534</v>
      </c>
      <c r="B225" s="296"/>
      <c r="C225" s="297">
        <f t="shared" ref="C225:AT225" si="321">SUM(C221:C224)</f>
        <v>1</v>
      </c>
      <c r="D225" s="297">
        <f t="shared" si="321"/>
        <v>1</v>
      </c>
      <c r="E225" s="297">
        <f t="shared" si="321"/>
        <v>0.99999999999999989</v>
      </c>
      <c r="F225" s="297">
        <f t="shared" si="321"/>
        <v>1</v>
      </c>
      <c r="G225" s="297">
        <f t="shared" si="321"/>
        <v>1</v>
      </c>
      <c r="H225" s="297">
        <f t="shared" si="321"/>
        <v>1</v>
      </c>
      <c r="I225" s="297">
        <f t="shared" si="321"/>
        <v>1</v>
      </c>
      <c r="J225" s="297">
        <f t="shared" si="321"/>
        <v>1</v>
      </c>
      <c r="K225" s="297">
        <f t="shared" si="321"/>
        <v>1</v>
      </c>
      <c r="L225" s="297">
        <f t="shared" si="321"/>
        <v>1</v>
      </c>
      <c r="M225" s="297">
        <f t="shared" si="321"/>
        <v>1</v>
      </c>
      <c r="N225" s="297">
        <f t="shared" si="321"/>
        <v>1</v>
      </c>
      <c r="O225" s="297">
        <f t="shared" si="321"/>
        <v>1</v>
      </c>
      <c r="P225" s="297">
        <f t="shared" si="321"/>
        <v>1</v>
      </c>
      <c r="Q225" s="297">
        <f t="shared" si="321"/>
        <v>1</v>
      </c>
      <c r="R225" s="297">
        <f t="shared" si="321"/>
        <v>1</v>
      </c>
      <c r="S225" s="297">
        <f t="shared" si="321"/>
        <v>1</v>
      </c>
      <c r="T225" s="297">
        <f t="shared" si="321"/>
        <v>1</v>
      </c>
      <c r="U225" s="297">
        <f t="shared" si="321"/>
        <v>1</v>
      </c>
      <c r="V225" s="297">
        <f t="shared" si="321"/>
        <v>1</v>
      </c>
      <c r="W225" s="297">
        <f t="shared" si="321"/>
        <v>1</v>
      </c>
      <c r="X225" s="297">
        <f t="shared" si="321"/>
        <v>1</v>
      </c>
      <c r="Y225" s="297">
        <f t="shared" si="321"/>
        <v>1</v>
      </c>
      <c r="Z225" s="297">
        <f t="shared" si="321"/>
        <v>1</v>
      </c>
      <c r="AA225" s="297">
        <f t="shared" si="321"/>
        <v>1</v>
      </c>
      <c r="AB225" s="297">
        <f t="shared" si="321"/>
        <v>1</v>
      </c>
      <c r="AC225" s="297">
        <f t="shared" si="321"/>
        <v>1</v>
      </c>
      <c r="AD225" s="297">
        <f t="shared" si="321"/>
        <v>1</v>
      </c>
      <c r="AE225" s="297">
        <f t="shared" si="321"/>
        <v>1</v>
      </c>
      <c r="AF225" s="297">
        <f t="shared" si="321"/>
        <v>1</v>
      </c>
      <c r="AG225" s="297">
        <f t="shared" si="321"/>
        <v>1</v>
      </c>
      <c r="AH225" s="297">
        <f t="shared" si="321"/>
        <v>1</v>
      </c>
      <c r="AI225" s="297">
        <f t="shared" si="321"/>
        <v>1</v>
      </c>
      <c r="AJ225" s="297">
        <f t="shared" si="321"/>
        <v>1</v>
      </c>
      <c r="AK225" s="297">
        <f t="shared" si="321"/>
        <v>1</v>
      </c>
      <c r="AL225" s="297">
        <f t="shared" si="321"/>
        <v>1</v>
      </c>
      <c r="AM225" s="297">
        <f t="shared" si="321"/>
        <v>0.99999999999999989</v>
      </c>
      <c r="AN225" s="297">
        <f t="shared" si="321"/>
        <v>1</v>
      </c>
      <c r="AO225" s="297">
        <f t="shared" si="321"/>
        <v>1</v>
      </c>
      <c r="AP225" s="297">
        <f t="shared" si="321"/>
        <v>1</v>
      </c>
      <c r="AQ225" s="297">
        <f t="shared" si="321"/>
        <v>1</v>
      </c>
      <c r="AR225" s="297">
        <f t="shared" si="321"/>
        <v>1</v>
      </c>
      <c r="AS225" s="297">
        <f t="shared" si="321"/>
        <v>1</v>
      </c>
      <c r="AT225" s="297">
        <f t="shared" si="321"/>
        <v>1</v>
      </c>
      <c r="AU225" s="328"/>
      <c r="AV225" s="328"/>
      <c r="AW225" s="328"/>
      <c r="AX225" s="328"/>
      <c r="AY225" s="637"/>
      <c r="AZ225" s="328"/>
      <c r="BA225" s="328"/>
      <c r="BB225" s="328"/>
      <c r="BC225" s="328"/>
      <c r="BD225" s="328"/>
      <c r="BE225" s="328"/>
      <c r="BF225" s="328"/>
      <c r="BG225" s="328"/>
      <c r="BH225" s="873"/>
      <c r="BI225" s="873">
        <f t="shared" ref="BI225:BV225" si="322">SUM(BI221:BI224)</f>
        <v>1</v>
      </c>
      <c r="BJ225" s="874">
        <f t="shared" si="322"/>
        <v>1</v>
      </c>
      <c r="BK225" s="874">
        <f t="shared" si="322"/>
        <v>1</v>
      </c>
      <c r="BL225" s="874">
        <f t="shared" si="322"/>
        <v>1</v>
      </c>
      <c r="BM225" s="874">
        <f t="shared" si="322"/>
        <v>1</v>
      </c>
      <c r="BN225" s="874">
        <f t="shared" si="322"/>
        <v>1</v>
      </c>
      <c r="BO225" s="874">
        <f t="shared" si="322"/>
        <v>1</v>
      </c>
      <c r="BP225" s="874">
        <f t="shared" si="322"/>
        <v>1</v>
      </c>
      <c r="BQ225" s="874">
        <f t="shared" si="322"/>
        <v>1</v>
      </c>
      <c r="BR225" s="874">
        <f t="shared" si="322"/>
        <v>1</v>
      </c>
      <c r="BS225" s="874">
        <f t="shared" si="322"/>
        <v>1</v>
      </c>
      <c r="BT225" s="874">
        <f t="shared" si="322"/>
        <v>1</v>
      </c>
      <c r="BU225" s="874">
        <f t="shared" si="322"/>
        <v>1</v>
      </c>
      <c r="BV225" s="874">
        <f t="shared" si="322"/>
        <v>1</v>
      </c>
      <c r="BW225" s="884"/>
      <c r="BX225" s="873"/>
      <c r="BY225" s="873"/>
      <c r="BZ225" s="873"/>
      <c r="CA225" s="873"/>
      <c r="CB225" s="873"/>
      <c r="CC225" s="9"/>
    </row>
    <row r="226" spans="1:81" s="703" customFormat="1" outlineLevel="1" x14ac:dyDescent="0.55000000000000004">
      <c r="A226" s="233"/>
      <c r="B226" s="232"/>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272"/>
      <c r="AZ226" s="35"/>
      <c r="BA226" s="35"/>
      <c r="BB226" s="35"/>
      <c r="BC226" s="35"/>
      <c r="BD226" s="35"/>
      <c r="BE226" s="35"/>
      <c r="BF226" s="35"/>
      <c r="BG226" s="35"/>
      <c r="BH226" s="812"/>
      <c r="BI226" s="812"/>
      <c r="BJ226" s="812"/>
      <c r="BK226" s="812"/>
      <c r="BL226" s="812"/>
      <c r="BM226" s="812"/>
      <c r="BN226" s="812"/>
      <c r="BO226" s="812"/>
      <c r="BP226" s="812"/>
      <c r="BQ226" s="812"/>
      <c r="BR226" s="812"/>
      <c r="BS226" s="812"/>
      <c r="BT226" s="812"/>
      <c r="BU226" s="812"/>
      <c r="BV226" s="812"/>
      <c r="BW226" s="814"/>
      <c r="BX226" s="812"/>
      <c r="BY226" s="812"/>
      <c r="BZ226" s="812"/>
      <c r="CA226" s="812"/>
      <c r="CB226" s="812"/>
      <c r="CC226" s="6"/>
    </row>
    <row r="227" spans="1:81" outlineLevel="1" x14ac:dyDescent="0.55000000000000004">
      <c r="A227" s="86" t="s">
        <v>23</v>
      </c>
      <c r="B227" s="229"/>
      <c r="C227" s="759">
        <v>195</v>
      </c>
      <c r="D227" s="759">
        <v>198</v>
      </c>
      <c r="E227" s="759">
        <v>199</v>
      </c>
      <c r="F227" s="759">
        <v>201</v>
      </c>
      <c r="G227" s="759">
        <v>202</v>
      </c>
      <c r="H227" s="759">
        <v>204</v>
      </c>
      <c r="I227" s="759">
        <v>206</v>
      </c>
      <c r="J227" s="759">
        <v>208</v>
      </c>
      <c r="K227" s="759">
        <v>210</v>
      </c>
      <c r="L227" s="759">
        <v>213</v>
      </c>
      <c r="M227" s="759">
        <v>217</v>
      </c>
      <c r="N227" s="759">
        <v>219</v>
      </c>
      <c r="O227" s="759">
        <v>222</v>
      </c>
      <c r="P227" s="759">
        <v>226</v>
      </c>
      <c r="Q227" s="759">
        <v>229</v>
      </c>
      <c r="R227" s="759">
        <v>231</v>
      </c>
      <c r="S227" s="759">
        <v>234</v>
      </c>
      <c r="T227" s="759">
        <v>236</v>
      </c>
      <c r="U227" s="759">
        <v>239</v>
      </c>
      <c r="V227" s="759">
        <v>239</v>
      </c>
      <c r="W227" s="759">
        <v>241</v>
      </c>
      <c r="X227" s="759">
        <v>241</v>
      </c>
      <c r="Y227" s="759">
        <v>242</v>
      </c>
      <c r="Z227" s="759">
        <v>242</v>
      </c>
      <c r="AA227" s="759">
        <v>243</v>
      </c>
      <c r="AB227" s="759">
        <v>244</v>
      </c>
      <c r="AC227" s="759">
        <v>247</v>
      </c>
      <c r="AD227" s="759">
        <v>248</v>
      </c>
      <c r="AE227" s="759">
        <v>253</v>
      </c>
      <c r="AF227" s="759">
        <v>256</v>
      </c>
      <c r="AG227" s="759">
        <v>255</v>
      </c>
      <c r="AH227" s="759">
        <v>258</v>
      </c>
      <c r="AI227" s="759">
        <v>259</v>
      </c>
      <c r="AJ227" s="759">
        <v>259</v>
      </c>
      <c r="AK227" s="759">
        <v>261</v>
      </c>
      <c r="AL227" s="759">
        <v>262</v>
      </c>
      <c r="AM227" s="759">
        <v>263</v>
      </c>
      <c r="AN227" s="759">
        <v>264</v>
      </c>
      <c r="AO227" s="759">
        <v>266</v>
      </c>
      <c r="AP227" s="759">
        <v>266</v>
      </c>
      <c r="AQ227" s="759">
        <v>269</v>
      </c>
      <c r="AR227" s="759">
        <v>270</v>
      </c>
      <c r="AS227" s="759">
        <v>271</v>
      </c>
      <c r="AT227" s="759">
        <v>272</v>
      </c>
      <c r="AU227" s="37"/>
      <c r="AV227" s="37"/>
      <c r="AW227" s="37"/>
      <c r="AX227" s="37"/>
      <c r="AY227" s="273"/>
      <c r="AZ227" s="37"/>
      <c r="BA227" s="37"/>
      <c r="BB227" s="37"/>
      <c r="BC227" s="37"/>
      <c r="BD227" s="37"/>
      <c r="BE227" s="37"/>
      <c r="BF227" s="37"/>
      <c r="BG227" s="37"/>
      <c r="BH227" s="158"/>
      <c r="BI227" s="857">
        <v>141.25</v>
      </c>
      <c r="BJ227" s="857">
        <v>171.75</v>
      </c>
      <c r="BK227" s="857">
        <v>187.75</v>
      </c>
      <c r="BL227" s="158">
        <f>AVERAGE(C227,D227,E227,F227)</f>
        <v>198.25</v>
      </c>
      <c r="BM227" s="158">
        <f>AVERAGE(G227,H227,I227,J227)</f>
        <v>205</v>
      </c>
      <c r="BN227" s="158">
        <f>AVERAGE(K227,L227,M227,N227)</f>
        <v>214.75</v>
      </c>
      <c r="BO227" s="158">
        <f>AVERAGE(O227,P227,Q227,R227)</f>
        <v>227</v>
      </c>
      <c r="BP227" s="158">
        <f>AVERAGE(S227,T227,U227,V227)</f>
        <v>237</v>
      </c>
      <c r="BQ227" s="158">
        <f>AVERAGE(W227,X227,Y227,Z227)</f>
        <v>241.5</v>
      </c>
      <c r="BR227" s="158">
        <f>AVERAGE(AA227,AB227,AC227,AD227)</f>
        <v>245.5</v>
      </c>
      <c r="BS227" s="158">
        <f>AVERAGE(AE227,AF227,AG227,AH227)</f>
        <v>255.5</v>
      </c>
      <c r="BT227" s="158">
        <f>AVERAGE(AI227,AJ227,AK227,AL227)</f>
        <v>260.25</v>
      </c>
      <c r="BU227" s="158">
        <f>AVERAGE(AM227,AN227,AO227,AP227)</f>
        <v>264.75</v>
      </c>
      <c r="BV227" s="158">
        <f>AVERAGE(AQ227,AR227,AS227,AT227)</f>
        <v>270.5</v>
      </c>
      <c r="BW227" s="846"/>
      <c r="BX227" s="158"/>
      <c r="BY227" s="158"/>
      <c r="BZ227" s="158"/>
      <c r="CA227" s="158"/>
      <c r="CB227" s="158"/>
      <c r="CC227" s="117"/>
    </row>
    <row r="228" spans="1:81" outlineLevel="1" x14ac:dyDescent="0.55000000000000004">
      <c r="A228" s="86" t="s">
        <v>24</v>
      </c>
      <c r="B228" s="229"/>
      <c r="C228" s="759">
        <v>269</v>
      </c>
      <c r="D228" s="759">
        <v>272</v>
      </c>
      <c r="E228" s="759">
        <v>276</v>
      </c>
      <c r="F228" s="759">
        <v>282</v>
      </c>
      <c r="G228" s="759">
        <v>289</v>
      </c>
      <c r="H228" s="759">
        <v>292</v>
      </c>
      <c r="I228" s="759">
        <v>296</v>
      </c>
      <c r="J228" s="759">
        <v>301</v>
      </c>
      <c r="K228" s="759">
        <v>307</v>
      </c>
      <c r="L228" s="759">
        <v>311</v>
      </c>
      <c r="M228" s="759">
        <v>315</v>
      </c>
      <c r="N228" s="759">
        <v>323</v>
      </c>
      <c r="O228" s="759">
        <v>333</v>
      </c>
      <c r="P228" s="759">
        <v>338</v>
      </c>
      <c r="Q228" s="759">
        <v>342</v>
      </c>
      <c r="R228" s="759">
        <v>349</v>
      </c>
      <c r="S228" s="759">
        <v>354</v>
      </c>
      <c r="T228" s="759">
        <v>360</v>
      </c>
      <c r="U228" s="759">
        <v>364</v>
      </c>
      <c r="V228" s="759">
        <v>370</v>
      </c>
      <c r="W228" s="759">
        <v>377</v>
      </c>
      <c r="X228" s="759">
        <v>376</v>
      </c>
      <c r="Y228" s="759">
        <v>375</v>
      </c>
      <c r="Z228" s="759">
        <v>381</v>
      </c>
      <c r="AA228" s="759">
        <v>384</v>
      </c>
      <c r="AB228" s="759">
        <v>385</v>
      </c>
      <c r="AC228" s="759">
        <v>387</v>
      </c>
      <c r="AD228" s="759">
        <v>394</v>
      </c>
      <c r="AE228" s="759">
        <v>406</v>
      </c>
      <c r="AF228" s="759">
        <v>410</v>
      </c>
      <c r="AG228" s="759">
        <v>413</v>
      </c>
      <c r="AH228" s="759">
        <v>419</v>
      </c>
      <c r="AI228" s="759">
        <v>423</v>
      </c>
      <c r="AJ228" s="759">
        <v>420</v>
      </c>
      <c r="AK228" s="759">
        <v>423</v>
      </c>
      <c r="AL228" s="759">
        <v>427</v>
      </c>
      <c r="AM228" s="759">
        <v>418</v>
      </c>
      <c r="AN228" s="759">
        <v>407</v>
      </c>
      <c r="AO228" s="759">
        <v>408</v>
      </c>
      <c r="AP228" s="759">
        <v>407</v>
      </c>
      <c r="AQ228" s="759">
        <v>411</v>
      </c>
      <c r="AR228" s="759">
        <v>409</v>
      </c>
      <c r="AS228" s="759">
        <v>408</v>
      </c>
      <c r="AT228" s="759">
        <v>408</v>
      </c>
      <c r="AU228" s="37"/>
      <c r="AV228" s="37"/>
      <c r="AW228" s="37"/>
      <c r="AX228" s="37"/>
      <c r="AY228" s="273"/>
      <c r="AZ228" s="37"/>
      <c r="BA228" s="37"/>
      <c r="BB228" s="37"/>
      <c r="BC228" s="37"/>
      <c r="BD228" s="37"/>
      <c r="BE228" s="37"/>
      <c r="BF228" s="37"/>
      <c r="BG228" s="37"/>
      <c r="BH228" s="158"/>
      <c r="BI228" s="857">
        <v>159.75</v>
      </c>
      <c r="BJ228" s="857">
        <v>215.75</v>
      </c>
      <c r="BK228" s="857">
        <v>249.75</v>
      </c>
      <c r="BL228" s="158">
        <f>AVERAGE(C228,D228,E228,F228)</f>
        <v>274.75</v>
      </c>
      <c r="BM228" s="158">
        <f>AVERAGE(G228,H228,I228,J228)</f>
        <v>294.5</v>
      </c>
      <c r="BN228" s="158">
        <f>AVERAGE(K228,L228,M228,N228)</f>
        <v>314</v>
      </c>
      <c r="BO228" s="158">
        <f>AVERAGE(O228,P228,Q228,R228)</f>
        <v>340.5</v>
      </c>
      <c r="BP228" s="158">
        <f>AVERAGE(S228,T228,U228,V228)</f>
        <v>362</v>
      </c>
      <c r="BQ228" s="158">
        <f>AVERAGE(W228,X228,Y228,Z228)</f>
        <v>377.25</v>
      </c>
      <c r="BR228" s="158">
        <f>AVERAGE(AA228,AB228,AC228,AD228)</f>
        <v>387.5</v>
      </c>
      <c r="BS228" s="158">
        <f>AVERAGE(AE228,AF228,AG228,AH228)</f>
        <v>412</v>
      </c>
      <c r="BT228" s="158">
        <f>AVERAGE(AI228,AJ228,AK228,AL228)</f>
        <v>423.25</v>
      </c>
      <c r="BU228" s="158">
        <f>AVERAGE(AM228,AN228,AO228,AP228)</f>
        <v>410</v>
      </c>
      <c r="BV228" s="158">
        <f>AVERAGE(AQ228,AR228,AS228,AT228)</f>
        <v>409</v>
      </c>
      <c r="BW228" s="846"/>
      <c r="BX228" s="158"/>
      <c r="BY228" s="158"/>
      <c r="BZ228" s="158"/>
      <c r="CA228" s="158"/>
      <c r="CB228" s="158"/>
      <c r="CC228" s="117"/>
    </row>
    <row r="229" spans="1:81" outlineLevel="1" x14ac:dyDescent="0.55000000000000004">
      <c r="A229" s="86" t="s">
        <v>25</v>
      </c>
      <c r="B229" s="229"/>
      <c r="C229" s="759">
        <v>319</v>
      </c>
      <c r="D229" s="759">
        <v>339</v>
      </c>
      <c r="E229" s="759">
        <v>351</v>
      </c>
      <c r="F229" s="759">
        <v>368</v>
      </c>
      <c r="G229" s="759">
        <v>390</v>
      </c>
      <c r="H229" s="759">
        <v>410</v>
      </c>
      <c r="I229" s="759">
        <v>426</v>
      </c>
      <c r="J229" s="759">
        <v>449</v>
      </c>
      <c r="K229" s="759">
        <v>471</v>
      </c>
      <c r="L229" s="759">
        <v>496</v>
      </c>
      <c r="M229" s="759">
        <v>522</v>
      </c>
      <c r="N229" s="759">
        <v>540</v>
      </c>
      <c r="O229" s="759">
        <v>566</v>
      </c>
      <c r="P229" s="759">
        <v>592</v>
      </c>
      <c r="Q229" s="759">
        <v>629</v>
      </c>
      <c r="R229" s="759">
        <v>673</v>
      </c>
      <c r="S229" s="759">
        <v>716</v>
      </c>
      <c r="T229" s="759">
        <v>756</v>
      </c>
      <c r="U229" s="759">
        <v>794</v>
      </c>
      <c r="V229" s="759">
        <v>828</v>
      </c>
      <c r="W229" s="759">
        <v>873</v>
      </c>
      <c r="X229" s="759">
        <v>894</v>
      </c>
      <c r="Y229" s="759">
        <v>917</v>
      </c>
      <c r="Z229" s="759">
        <v>947</v>
      </c>
      <c r="AA229" s="759">
        <v>981</v>
      </c>
      <c r="AB229" s="759">
        <v>1003</v>
      </c>
      <c r="AC229" s="759">
        <v>1013</v>
      </c>
      <c r="AD229" s="759">
        <v>1038</v>
      </c>
      <c r="AE229" s="759">
        <v>1093</v>
      </c>
      <c r="AF229" s="759">
        <v>1142</v>
      </c>
      <c r="AG229" s="759">
        <v>1166</v>
      </c>
      <c r="AH229" s="759">
        <v>1199</v>
      </c>
      <c r="AI229" s="759">
        <v>1230</v>
      </c>
      <c r="AJ229" s="759">
        <v>1265</v>
      </c>
      <c r="AK229" s="759">
        <v>1278</v>
      </c>
      <c r="AL229" s="759">
        <v>1278</v>
      </c>
      <c r="AM229" s="759">
        <v>1297</v>
      </c>
      <c r="AN229" s="759">
        <v>1305</v>
      </c>
      <c r="AO229" s="759">
        <v>1312</v>
      </c>
      <c r="AP229" s="759">
        <v>1312</v>
      </c>
      <c r="AQ229" s="759">
        <v>1324</v>
      </c>
      <c r="AR229" s="759">
        <v>1349</v>
      </c>
      <c r="AS229" s="759">
        <v>1357</v>
      </c>
      <c r="AT229" s="759">
        <v>1367</v>
      </c>
      <c r="AU229" s="37"/>
      <c r="AV229" s="37"/>
      <c r="AW229" s="37"/>
      <c r="AX229" s="37"/>
      <c r="AY229" s="273"/>
      <c r="AZ229" s="37"/>
      <c r="BA229" s="37"/>
      <c r="BB229" s="37"/>
      <c r="BC229" s="37"/>
      <c r="BD229" s="37"/>
      <c r="BE229" s="37"/>
      <c r="BF229" s="37"/>
      <c r="BG229" s="37"/>
      <c r="BH229" s="158"/>
      <c r="BI229" s="857">
        <v>107</v>
      </c>
      <c r="BJ229" s="857">
        <v>184.5</v>
      </c>
      <c r="BK229" s="857">
        <v>266</v>
      </c>
      <c r="BL229" s="158">
        <f>AVERAGE(C229,D229,E229,F229)</f>
        <v>344.25</v>
      </c>
      <c r="BM229" s="158">
        <f>AVERAGE(G229,H229,I229,J229)</f>
        <v>418.75</v>
      </c>
      <c r="BN229" s="158">
        <f>AVERAGE(K229,L229,M229,N229)</f>
        <v>507.25</v>
      </c>
      <c r="BO229" s="158">
        <f>AVERAGE(O229,P229,Q229,R229)</f>
        <v>615</v>
      </c>
      <c r="BP229" s="158">
        <f>AVERAGE(S229,T229,U229,V229)</f>
        <v>773.5</v>
      </c>
      <c r="BQ229" s="158">
        <f>AVERAGE(W229,X229,Y229,Z229)</f>
        <v>907.75</v>
      </c>
      <c r="BR229" s="158">
        <f>AVERAGE(AA229,AB229,AC229,AD229)</f>
        <v>1008.75</v>
      </c>
      <c r="BS229" s="158">
        <f>AVERAGE(AE229,AF229,AG229,AH229)</f>
        <v>1150</v>
      </c>
      <c r="BT229" s="158">
        <f>AVERAGE(AI229,AJ229,AK229,AL229)</f>
        <v>1262.75</v>
      </c>
      <c r="BU229" s="158">
        <f>AVERAGE(AM229,AN229,AO229,AP229)</f>
        <v>1306.5</v>
      </c>
      <c r="BV229" s="158">
        <f>AVERAGE(AQ229,AR229,AS229,AT229)</f>
        <v>1349.25</v>
      </c>
      <c r="BW229" s="846"/>
      <c r="BX229" s="158"/>
      <c r="BY229" s="158"/>
      <c r="BZ229" s="158"/>
      <c r="CA229" s="158"/>
      <c r="CB229" s="158"/>
      <c r="CC229" s="117"/>
    </row>
    <row r="230" spans="1:81" outlineLevel="1" x14ac:dyDescent="0.55000000000000004">
      <c r="A230" s="86" t="s">
        <v>26</v>
      </c>
      <c r="B230" s="229"/>
      <c r="C230" s="759">
        <v>327</v>
      </c>
      <c r="D230" s="759">
        <v>346</v>
      </c>
      <c r="E230" s="759">
        <v>362</v>
      </c>
      <c r="F230" s="759">
        <v>376</v>
      </c>
      <c r="G230" s="759">
        <v>395</v>
      </c>
      <c r="H230" s="759">
        <v>411</v>
      </c>
      <c r="I230" s="759">
        <v>423</v>
      </c>
      <c r="J230" s="759">
        <v>436</v>
      </c>
      <c r="K230" s="759">
        <v>453</v>
      </c>
      <c r="L230" s="759">
        <v>471</v>
      </c>
      <c r="M230" s="759">
        <v>492</v>
      </c>
      <c r="N230" s="759">
        <v>509</v>
      </c>
      <c r="O230" s="759">
        <v>533</v>
      </c>
      <c r="P230" s="759">
        <v>556</v>
      </c>
      <c r="Q230" s="759">
        <v>587</v>
      </c>
      <c r="R230" s="759">
        <v>606</v>
      </c>
      <c r="S230" s="759">
        <v>632</v>
      </c>
      <c r="T230" s="759">
        <v>654</v>
      </c>
      <c r="U230" s="759">
        <v>675</v>
      </c>
      <c r="V230" s="759">
        <v>692</v>
      </c>
      <c r="W230" s="759">
        <v>705</v>
      </c>
      <c r="X230" s="759">
        <v>723</v>
      </c>
      <c r="Y230" s="759">
        <v>736</v>
      </c>
      <c r="Z230" s="759">
        <v>750</v>
      </c>
      <c r="AA230" s="759">
        <v>768</v>
      </c>
      <c r="AB230" s="759">
        <v>782</v>
      </c>
      <c r="AC230" s="759">
        <v>802</v>
      </c>
      <c r="AD230" s="759">
        <v>817</v>
      </c>
      <c r="AE230" s="759">
        <v>851</v>
      </c>
      <c r="AF230" s="759">
        <v>892</v>
      </c>
      <c r="AG230" s="759">
        <v>906</v>
      </c>
      <c r="AH230" s="759">
        <v>921</v>
      </c>
      <c r="AI230" s="759">
        <v>940</v>
      </c>
      <c r="AJ230" s="759">
        <v>951</v>
      </c>
      <c r="AK230" s="759">
        <v>949</v>
      </c>
      <c r="AL230" s="759">
        <v>945</v>
      </c>
      <c r="AM230" s="759">
        <v>957</v>
      </c>
      <c r="AN230" s="759">
        <v>959</v>
      </c>
      <c r="AO230" s="759">
        <v>971</v>
      </c>
      <c r="AP230" s="759">
        <v>979</v>
      </c>
      <c r="AQ230" s="759">
        <v>986</v>
      </c>
      <c r="AR230" s="759">
        <v>1002</v>
      </c>
      <c r="AS230" s="759">
        <v>1013</v>
      </c>
      <c r="AT230" s="759">
        <v>1018</v>
      </c>
      <c r="AU230" s="37"/>
      <c r="AV230" s="37"/>
      <c r="AW230" s="37"/>
      <c r="AX230" s="37"/>
      <c r="AY230" s="273"/>
      <c r="AZ230" s="37"/>
      <c r="BA230" s="37"/>
      <c r="BB230" s="37"/>
      <c r="BC230" s="37"/>
      <c r="BD230" s="37"/>
      <c r="BE230" s="37"/>
      <c r="BF230" s="37"/>
      <c r="BG230" s="37"/>
      <c r="BH230" s="158"/>
      <c r="BI230" s="857">
        <v>110</v>
      </c>
      <c r="BJ230" s="857">
        <v>194</v>
      </c>
      <c r="BK230" s="857">
        <v>276.25</v>
      </c>
      <c r="BL230" s="158">
        <f>AVERAGE(C230,D230,E230,F230)</f>
        <v>352.75</v>
      </c>
      <c r="BM230" s="158">
        <f>AVERAGE(G230,H230,I230,J230)</f>
        <v>416.25</v>
      </c>
      <c r="BN230" s="158">
        <f>AVERAGE(K230,L230,M230,N230)</f>
        <v>481.25</v>
      </c>
      <c r="BO230" s="158">
        <f>AVERAGE(O230,P230,Q230,R230)</f>
        <v>570.5</v>
      </c>
      <c r="BP230" s="158">
        <f>AVERAGE(S230,T230,U230,V230)</f>
        <v>663.25</v>
      </c>
      <c r="BQ230" s="158">
        <f>AVERAGE(W230,X230,Y230,Z230)</f>
        <v>728.5</v>
      </c>
      <c r="BR230" s="158">
        <f>AVERAGE(AA230,AB230,AC230,AD230)</f>
        <v>792.25</v>
      </c>
      <c r="BS230" s="158">
        <f>AVERAGE(AE230,AF230,AG230,AH230)</f>
        <v>892.5</v>
      </c>
      <c r="BT230" s="158">
        <f>AVERAGE(AI230,AJ230,AK230,AL230)</f>
        <v>946.25</v>
      </c>
      <c r="BU230" s="158">
        <f>AVERAGE(AM230,AN230,AO230,AP230)</f>
        <v>966.5</v>
      </c>
      <c r="BV230" s="158">
        <f>AVERAGE(AQ230,AR230,AS230,AT230)</f>
        <v>1004.75</v>
      </c>
      <c r="BW230" s="846"/>
      <c r="BX230" s="158"/>
      <c r="BY230" s="158"/>
      <c r="BZ230" s="158"/>
      <c r="CA230" s="158"/>
      <c r="CB230" s="158"/>
      <c r="CC230" s="117"/>
    </row>
    <row r="231" spans="1:81" s="703" customFormat="1" outlineLevel="1" x14ac:dyDescent="0.55000000000000004">
      <c r="A231" s="194" t="s">
        <v>469</v>
      </c>
      <c r="B231" s="231"/>
      <c r="C231" s="33">
        <f t="shared" ref="C231:AT231" si="323">(SUM(C227:C230))</f>
        <v>1110</v>
      </c>
      <c r="D231" s="33">
        <f t="shared" si="323"/>
        <v>1155</v>
      </c>
      <c r="E231" s="33">
        <f t="shared" si="323"/>
        <v>1188</v>
      </c>
      <c r="F231" s="33">
        <f t="shared" si="323"/>
        <v>1227</v>
      </c>
      <c r="G231" s="33">
        <f t="shared" si="323"/>
        <v>1276</v>
      </c>
      <c r="H231" s="33">
        <f t="shared" si="323"/>
        <v>1317</v>
      </c>
      <c r="I231" s="33">
        <f t="shared" si="323"/>
        <v>1351</v>
      </c>
      <c r="J231" s="33">
        <f t="shared" si="323"/>
        <v>1394</v>
      </c>
      <c r="K231" s="33">
        <f t="shared" si="323"/>
        <v>1441</v>
      </c>
      <c r="L231" s="33">
        <f t="shared" si="323"/>
        <v>1491</v>
      </c>
      <c r="M231" s="33">
        <f t="shared" si="323"/>
        <v>1546</v>
      </c>
      <c r="N231" s="33">
        <f t="shared" si="323"/>
        <v>1591</v>
      </c>
      <c r="O231" s="33">
        <f t="shared" si="323"/>
        <v>1654</v>
      </c>
      <c r="P231" s="33">
        <f t="shared" si="323"/>
        <v>1712</v>
      </c>
      <c r="Q231" s="33">
        <f t="shared" si="323"/>
        <v>1787</v>
      </c>
      <c r="R231" s="33">
        <f t="shared" si="323"/>
        <v>1859</v>
      </c>
      <c r="S231" s="33">
        <f t="shared" si="323"/>
        <v>1936</v>
      </c>
      <c r="T231" s="33">
        <f t="shared" si="323"/>
        <v>2006</v>
      </c>
      <c r="U231" s="33">
        <f t="shared" si="323"/>
        <v>2072</v>
      </c>
      <c r="V231" s="33">
        <f t="shared" si="323"/>
        <v>2129</v>
      </c>
      <c r="W231" s="33">
        <f t="shared" si="323"/>
        <v>2196</v>
      </c>
      <c r="X231" s="33">
        <f t="shared" si="323"/>
        <v>2234</v>
      </c>
      <c r="Y231" s="33">
        <f t="shared" si="323"/>
        <v>2270</v>
      </c>
      <c r="Z231" s="33">
        <f t="shared" si="323"/>
        <v>2320</v>
      </c>
      <c r="AA231" s="33">
        <f t="shared" si="323"/>
        <v>2376</v>
      </c>
      <c r="AB231" s="33">
        <f t="shared" si="323"/>
        <v>2414</v>
      </c>
      <c r="AC231" s="33">
        <f t="shared" si="323"/>
        <v>2449</v>
      </c>
      <c r="AD231" s="33">
        <f t="shared" si="323"/>
        <v>2497</v>
      </c>
      <c r="AE231" s="33">
        <f t="shared" si="323"/>
        <v>2603</v>
      </c>
      <c r="AF231" s="33">
        <f t="shared" si="323"/>
        <v>2700</v>
      </c>
      <c r="AG231" s="33">
        <f t="shared" si="323"/>
        <v>2740</v>
      </c>
      <c r="AH231" s="33">
        <f t="shared" si="323"/>
        <v>2797</v>
      </c>
      <c r="AI231" s="33">
        <f t="shared" si="323"/>
        <v>2852</v>
      </c>
      <c r="AJ231" s="33">
        <f t="shared" si="323"/>
        <v>2895</v>
      </c>
      <c r="AK231" s="33">
        <f t="shared" si="323"/>
        <v>2911</v>
      </c>
      <c r="AL231" s="33">
        <f t="shared" si="323"/>
        <v>2912</v>
      </c>
      <c r="AM231" s="33">
        <f t="shared" si="323"/>
        <v>2935</v>
      </c>
      <c r="AN231" s="33">
        <f t="shared" si="323"/>
        <v>2935</v>
      </c>
      <c r="AO231" s="33">
        <f t="shared" si="323"/>
        <v>2957</v>
      </c>
      <c r="AP231" s="33">
        <f t="shared" si="323"/>
        <v>2964</v>
      </c>
      <c r="AQ231" s="33">
        <f t="shared" si="323"/>
        <v>2990</v>
      </c>
      <c r="AR231" s="33">
        <f t="shared" si="323"/>
        <v>3030</v>
      </c>
      <c r="AS231" s="33">
        <f t="shared" si="323"/>
        <v>3049</v>
      </c>
      <c r="AT231" s="33">
        <f t="shared" si="323"/>
        <v>3065</v>
      </c>
      <c r="AU231" s="33"/>
      <c r="AV231" s="33"/>
      <c r="AW231" s="33"/>
      <c r="AX231" s="33"/>
      <c r="AY231" s="409"/>
      <c r="AZ231" s="33"/>
      <c r="BA231" s="33"/>
      <c r="BB231" s="33"/>
      <c r="BC231" s="33"/>
      <c r="BD231" s="33"/>
      <c r="BE231" s="33"/>
      <c r="BF231" s="33"/>
      <c r="BG231" s="33"/>
      <c r="BH231" s="833"/>
      <c r="BI231" s="833">
        <f t="shared" ref="BI231:BV231" si="324">(SUM(BI227:BI230))</f>
        <v>518</v>
      </c>
      <c r="BJ231" s="833">
        <f t="shared" si="324"/>
        <v>766</v>
      </c>
      <c r="BK231" s="833">
        <f t="shared" si="324"/>
        <v>979.75</v>
      </c>
      <c r="BL231" s="833">
        <f t="shared" si="324"/>
        <v>1170</v>
      </c>
      <c r="BM231" s="833">
        <f t="shared" si="324"/>
        <v>1334.5</v>
      </c>
      <c r="BN231" s="833">
        <f t="shared" si="324"/>
        <v>1517.25</v>
      </c>
      <c r="BO231" s="833">
        <f t="shared" si="324"/>
        <v>1753</v>
      </c>
      <c r="BP231" s="833">
        <f t="shared" si="324"/>
        <v>2035.75</v>
      </c>
      <c r="BQ231" s="833">
        <f t="shared" si="324"/>
        <v>2255</v>
      </c>
      <c r="BR231" s="833">
        <f t="shared" si="324"/>
        <v>2434</v>
      </c>
      <c r="BS231" s="833">
        <f t="shared" si="324"/>
        <v>2710</v>
      </c>
      <c r="BT231" s="833">
        <f t="shared" si="324"/>
        <v>2892.5</v>
      </c>
      <c r="BU231" s="833">
        <f t="shared" si="324"/>
        <v>2947.75</v>
      </c>
      <c r="BV231" s="833">
        <f t="shared" si="324"/>
        <v>3033.5</v>
      </c>
      <c r="BW231" s="835"/>
      <c r="BX231" s="833"/>
      <c r="BY231" s="833"/>
      <c r="BZ231" s="833"/>
      <c r="CA231" s="833"/>
      <c r="CB231" s="833"/>
      <c r="CC231" s="6"/>
    </row>
    <row r="232" spans="1:81" s="703" customFormat="1" outlineLevel="1" x14ac:dyDescent="0.55000000000000004">
      <c r="A232" s="192"/>
      <c r="B232" s="232"/>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272"/>
      <c r="AZ232" s="35"/>
      <c r="BA232" s="35"/>
      <c r="BB232" s="35"/>
      <c r="BC232" s="35"/>
      <c r="BD232" s="35"/>
      <c r="BE232" s="35"/>
      <c r="BF232" s="35"/>
      <c r="BG232" s="35"/>
      <c r="BH232" s="812"/>
      <c r="BI232" s="812"/>
      <c r="BJ232" s="812"/>
      <c r="BK232" s="812"/>
      <c r="BL232" s="812"/>
      <c r="BM232" s="812"/>
      <c r="BN232" s="812"/>
      <c r="BO232" s="812"/>
      <c r="BP232" s="812"/>
      <c r="BQ232" s="812"/>
      <c r="BR232" s="812"/>
      <c r="BS232" s="812"/>
      <c r="BT232" s="812"/>
      <c r="BU232" s="812"/>
      <c r="BV232" s="812"/>
      <c r="BW232" s="814"/>
      <c r="BX232" s="812"/>
      <c r="BY232" s="812"/>
      <c r="BZ232" s="812"/>
      <c r="CA232" s="812"/>
      <c r="CB232" s="812"/>
      <c r="CC232" s="6"/>
    </row>
    <row r="233" spans="1:81" s="709" customFormat="1" outlineLevel="1" x14ac:dyDescent="0.55000000000000004">
      <c r="A233" s="130" t="s">
        <v>463</v>
      </c>
      <c r="B233" s="237"/>
      <c r="C233" s="24">
        <f t="shared" ref="C233:AT233" si="325">C227/C231</f>
        <v>0.17567567567567569</v>
      </c>
      <c r="D233" s="24">
        <f t="shared" si="325"/>
        <v>0.17142857142857143</v>
      </c>
      <c r="E233" s="24">
        <f t="shared" si="325"/>
        <v>0.1675084175084175</v>
      </c>
      <c r="F233" s="24">
        <f t="shared" si="325"/>
        <v>0.16381418092909536</v>
      </c>
      <c r="G233" s="24">
        <f t="shared" si="325"/>
        <v>0.15830721003134796</v>
      </c>
      <c r="H233" s="24">
        <f t="shared" si="325"/>
        <v>0.15489749430523919</v>
      </c>
      <c r="I233" s="24">
        <f t="shared" si="325"/>
        <v>0.15247964470762398</v>
      </c>
      <c r="J233" s="24">
        <f t="shared" si="325"/>
        <v>0.14921090387374461</v>
      </c>
      <c r="K233" s="24">
        <f t="shared" si="325"/>
        <v>0.1457321304649549</v>
      </c>
      <c r="L233" s="24">
        <f t="shared" si="325"/>
        <v>0.14285714285714285</v>
      </c>
      <c r="M233" s="24">
        <f t="shared" si="325"/>
        <v>0.14036222509702459</v>
      </c>
      <c r="N233" s="24">
        <f t="shared" si="325"/>
        <v>0.1376492771841609</v>
      </c>
      <c r="O233" s="24">
        <f t="shared" si="325"/>
        <v>0.13422007255139057</v>
      </c>
      <c r="P233" s="24">
        <f t="shared" si="325"/>
        <v>0.13200934579439252</v>
      </c>
      <c r="Q233" s="24">
        <f t="shared" si="325"/>
        <v>0.12814773363178511</v>
      </c>
      <c r="R233" s="24">
        <f t="shared" si="325"/>
        <v>0.1242603550295858</v>
      </c>
      <c r="S233" s="24">
        <f t="shared" si="325"/>
        <v>0.12086776859504132</v>
      </c>
      <c r="T233" s="24">
        <f t="shared" si="325"/>
        <v>0.11764705882352941</v>
      </c>
      <c r="U233" s="24">
        <f t="shared" si="325"/>
        <v>0.11534749034749035</v>
      </c>
      <c r="V233" s="24">
        <f t="shared" si="325"/>
        <v>0.11225927665570691</v>
      </c>
      <c r="W233" s="24">
        <f t="shared" si="325"/>
        <v>0.10974499089253188</v>
      </c>
      <c r="X233" s="24">
        <f t="shared" si="325"/>
        <v>0.10787824529991047</v>
      </c>
      <c r="Y233" s="24">
        <f t="shared" si="325"/>
        <v>0.1066079295154185</v>
      </c>
      <c r="Z233" s="24">
        <f t="shared" si="325"/>
        <v>0.10431034482758621</v>
      </c>
      <c r="AA233" s="24">
        <f t="shared" si="325"/>
        <v>0.10227272727272728</v>
      </c>
      <c r="AB233" s="24">
        <f t="shared" si="325"/>
        <v>0.10107705053852527</v>
      </c>
      <c r="AC233" s="24">
        <f t="shared" si="325"/>
        <v>0.10085749285422621</v>
      </c>
      <c r="AD233" s="24">
        <f t="shared" si="325"/>
        <v>9.9319183019623544E-2</v>
      </c>
      <c r="AE233" s="24">
        <f t="shared" si="325"/>
        <v>9.7195543603534384E-2</v>
      </c>
      <c r="AF233" s="24">
        <f t="shared" si="325"/>
        <v>9.481481481481481E-2</v>
      </c>
      <c r="AG233" s="24">
        <f t="shared" si="325"/>
        <v>9.3065693430656932E-2</v>
      </c>
      <c r="AH233" s="24">
        <f t="shared" si="325"/>
        <v>9.2241687522345364E-2</v>
      </c>
      <c r="AI233" s="24">
        <f t="shared" si="325"/>
        <v>9.0813464235624128E-2</v>
      </c>
      <c r="AJ233" s="24">
        <f t="shared" si="325"/>
        <v>8.9464594127806565E-2</v>
      </c>
      <c r="AK233" s="24">
        <f t="shared" si="325"/>
        <v>8.9659910683613883E-2</v>
      </c>
      <c r="AL233" s="24">
        <f t="shared" si="325"/>
        <v>8.9972527472527472E-2</v>
      </c>
      <c r="AM233" s="24">
        <f t="shared" si="325"/>
        <v>8.9608177172061335E-2</v>
      </c>
      <c r="AN233" s="24">
        <f t="shared" si="325"/>
        <v>8.9948892674616698E-2</v>
      </c>
      <c r="AO233" s="24">
        <f t="shared" si="325"/>
        <v>8.9956036523503549E-2</v>
      </c>
      <c r="AP233" s="24">
        <f t="shared" si="325"/>
        <v>8.9743589743589744E-2</v>
      </c>
      <c r="AQ233" s="24">
        <f t="shared" si="325"/>
        <v>8.9966555183946487E-2</v>
      </c>
      <c r="AR233" s="24">
        <f t="shared" si="325"/>
        <v>8.9108910891089105E-2</v>
      </c>
      <c r="AS233" s="24">
        <f t="shared" si="325"/>
        <v>8.8881600524762211E-2</v>
      </c>
      <c r="AT233" s="24">
        <f t="shared" si="325"/>
        <v>8.8743882544861333E-2</v>
      </c>
      <c r="AU233" s="55"/>
      <c r="AV233" s="55"/>
      <c r="AW233" s="55"/>
      <c r="AX233" s="55"/>
      <c r="AY233" s="275"/>
      <c r="AZ233" s="55"/>
      <c r="BA233" s="55"/>
      <c r="BB233" s="55"/>
      <c r="BC233" s="55"/>
      <c r="BD233" s="55"/>
      <c r="BE233" s="55"/>
      <c r="BF233" s="55"/>
      <c r="BG233" s="55"/>
      <c r="BH233" s="156"/>
      <c r="BI233" s="156">
        <f t="shared" ref="BI233:BV233" si="326">BI227/BI231</f>
        <v>0.27268339768339767</v>
      </c>
      <c r="BJ233" s="871">
        <f t="shared" si="326"/>
        <v>0.22421671018276762</v>
      </c>
      <c r="BK233" s="871">
        <f t="shared" si="326"/>
        <v>0.19163051798928299</v>
      </c>
      <c r="BL233" s="871">
        <f t="shared" si="326"/>
        <v>0.16944444444444445</v>
      </c>
      <c r="BM233" s="871">
        <f t="shared" si="326"/>
        <v>0.15361558636193332</v>
      </c>
      <c r="BN233" s="871">
        <f t="shared" si="326"/>
        <v>0.14153896852858791</v>
      </c>
      <c r="BO233" s="871">
        <f t="shared" si="326"/>
        <v>0.12949229891614375</v>
      </c>
      <c r="BP233" s="871">
        <f t="shared" si="326"/>
        <v>0.11641901019280364</v>
      </c>
      <c r="BQ233" s="871">
        <f t="shared" si="326"/>
        <v>0.10709534368070954</v>
      </c>
      <c r="BR233" s="871">
        <f t="shared" si="326"/>
        <v>0.10086277732128184</v>
      </c>
      <c r="BS233" s="871">
        <f t="shared" si="326"/>
        <v>9.4280442804428044E-2</v>
      </c>
      <c r="BT233" s="871">
        <f t="shared" si="326"/>
        <v>8.9974070872947273E-2</v>
      </c>
      <c r="BU233" s="871">
        <f t="shared" si="326"/>
        <v>8.9814265117462475E-2</v>
      </c>
      <c r="BV233" s="871">
        <f t="shared" si="326"/>
        <v>8.9170924674468438E-2</v>
      </c>
      <c r="BW233" s="856"/>
      <c r="BX233" s="156"/>
      <c r="BY233" s="156"/>
      <c r="BZ233" s="156"/>
      <c r="CA233" s="156"/>
      <c r="CB233" s="156"/>
      <c r="CC233" s="24"/>
    </row>
    <row r="234" spans="1:81" s="709" customFormat="1" outlineLevel="1" x14ac:dyDescent="0.55000000000000004">
      <c r="A234" s="130" t="s">
        <v>460</v>
      </c>
      <c r="B234" s="237"/>
      <c r="C234" s="24">
        <f t="shared" ref="C234:AT234" si="327">C228/C231</f>
        <v>0.24234234234234234</v>
      </c>
      <c r="D234" s="24">
        <f t="shared" si="327"/>
        <v>0.23549783549783551</v>
      </c>
      <c r="E234" s="24">
        <f t="shared" si="327"/>
        <v>0.23232323232323232</v>
      </c>
      <c r="F234" s="24">
        <f t="shared" si="327"/>
        <v>0.22982885085574573</v>
      </c>
      <c r="G234" s="24">
        <f t="shared" si="327"/>
        <v>0.22648902821316613</v>
      </c>
      <c r="H234" s="24">
        <f t="shared" si="327"/>
        <v>0.2217160212604404</v>
      </c>
      <c r="I234" s="24">
        <f t="shared" si="327"/>
        <v>0.21909696521095484</v>
      </c>
      <c r="J234" s="24">
        <f t="shared" si="327"/>
        <v>0.21592539454806312</v>
      </c>
      <c r="K234" s="24">
        <f t="shared" si="327"/>
        <v>0.21304649548924359</v>
      </c>
      <c r="L234" s="24">
        <f t="shared" si="327"/>
        <v>0.20858484238765929</v>
      </c>
      <c r="M234" s="24">
        <f t="shared" si="327"/>
        <v>0.203751617076326</v>
      </c>
      <c r="N234" s="24">
        <f t="shared" si="327"/>
        <v>0.20301697045883094</v>
      </c>
      <c r="O234" s="24">
        <f t="shared" si="327"/>
        <v>0.20133010882708585</v>
      </c>
      <c r="P234" s="24">
        <f t="shared" si="327"/>
        <v>0.19742990654205608</v>
      </c>
      <c r="Q234" s="24">
        <f t="shared" si="327"/>
        <v>0.19138220481253498</v>
      </c>
      <c r="R234" s="24">
        <f t="shared" si="327"/>
        <v>0.18773534158149544</v>
      </c>
      <c r="S234" s="24">
        <f t="shared" si="327"/>
        <v>0.18285123966942149</v>
      </c>
      <c r="T234" s="24">
        <f t="shared" si="327"/>
        <v>0.1794616151545364</v>
      </c>
      <c r="U234" s="24">
        <f t="shared" si="327"/>
        <v>0.17567567567567569</v>
      </c>
      <c r="V234" s="24">
        <f t="shared" si="327"/>
        <v>0.17379051197745421</v>
      </c>
      <c r="W234" s="24">
        <f t="shared" si="327"/>
        <v>0.17167577413479052</v>
      </c>
      <c r="X234" s="24">
        <f t="shared" si="327"/>
        <v>0.16830796777081469</v>
      </c>
      <c r="Y234" s="24">
        <f t="shared" si="327"/>
        <v>0.16519823788546256</v>
      </c>
      <c r="Z234" s="24">
        <f t="shared" si="327"/>
        <v>0.16422413793103449</v>
      </c>
      <c r="AA234" s="24">
        <f t="shared" si="327"/>
        <v>0.16161616161616163</v>
      </c>
      <c r="AB234" s="24">
        <f t="shared" si="327"/>
        <v>0.15948632974316487</v>
      </c>
      <c r="AC234" s="24">
        <f t="shared" si="327"/>
        <v>0.15802368313597387</v>
      </c>
      <c r="AD234" s="24">
        <f t="shared" si="327"/>
        <v>0.15778934721665999</v>
      </c>
      <c r="AE234" s="24">
        <f t="shared" si="327"/>
        <v>0.15597387629658085</v>
      </c>
      <c r="AF234" s="24">
        <f t="shared" si="327"/>
        <v>0.15185185185185185</v>
      </c>
      <c r="AG234" s="24">
        <f t="shared" si="327"/>
        <v>0.15072992700729926</v>
      </c>
      <c r="AH234" s="24">
        <f t="shared" si="327"/>
        <v>0.14980336074365391</v>
      </c>
      <c r="AI234" s="24">
        <f t="shared" si="327"/>
        <v>0.14831697054698456</v>
      </c>
      <c r="AJ234" s="24">
        <f t="shared" si="327"/>
        <v>0.14507772020725387</v>
      </c>
      <c r="AK234" s="24">
        <f t="shared" si="327"/>
        <v>0.14531088972861558</v>
      </c>
      <c r="AL234" s="24">
        <f t="shared" si="327"/>
        <v>0.14663461538461539</v>
      </c>
      <c r="AM234" s="24">
        <f t="shared" si="327"/>
        <v>0.14241908006814311</v>
      </c>
      <c r="AN234" s="24">
        <f t="shared" si="327"/>
        <v>0.13867120954003406</v>
      </c>
      <c r="AO234" s="24">
        <f t="shared" si="327"/>
        <v>0.13797768008116335</v>
      </c>
      <c r="AP234" s="24">
        <f t="shared" si="327"/>
        <v>0.13731443994601888</v>
      </c>
      <c r="AQ234" s="24">
        <f t="shared" si="327"/>
        <v>0.13745819397993311</v>
      </c>
      <c r="AR234" s="24">
        <f t="shared" si="327"/>
        <v>0.13498349834983497</v>
      </c>
      <c r="AS234" s="24">
        <f t="shared" si="327"/>
        <v>0.13381436536569366</v>
      </c>
      <c r="AT234" s="24">
        <f t="shared" si="327"/>
        <v>0.13311582381729201</v>
      </c>
      <c r="AU234" s="55"/>
      <c r="AV234" s="55"/>
      <c r="AW234" s="55"/>
      <c r="AX234" s="55"/>
      <c r="AY234" s="275"/>
      <c r="AZ234" s="55"/>
      <c r="BA234" s="55"/>
      <c r="BB234" s="55"/>
      <c r="BC234" s="55"/>
      <c r="BD234" s="55"/>
      <c r="BE234" s="55"/>
      <c r="BF234" s="55"/>
      <c r="BG234" s="55"/>
      <c r="BH234" s="156"/>
      <c r="BI234" s="156">
        <f t="shared" ref="BI234:BV234" si="328">BI228/BI231</f>
        <v>0.30839768339768342</v>
      </c>
      <c r="BJ234" s="871">
        <f t="shared" si="328"/>
        <v>0.2816579634464752</v>
      </c>
      <c r="BK234" s="871">
        <f t="shared" si="328"/>
        <v>0.25491196733860677</v>
      </c>
      <c r="BL234" s="871">
        <f t="shared" si="328"/>
        <v>0.23482905982905983</v>
      </c>
      <c r="BM234" s="871">
        <f t="shared" si="328"/>
        <v>0.22068190333458224</v>
      </c>
      <c r="BN234" s="871">
        <f t="shared" si="328"/>
        <v>0.20695336958312738</v>
      </c>
      <c r="BO234" s="871">
        <f t="shared" si="328"/>
        <v>0.19423844837421564</v>
      </c>
      <c r="BP234" s="871">
        <f t="shared" si="328"/>
        <v>0.17782144172909248</v>
      </c>
      <c r="BQ234" s="871">
        <f t="shared" si="328"/>
        <v>0.16729490022172949</v>
      </c>
      <c r="BR234" s="871">
        <f t="shared" si="328"/>
        <v>0.15920295809367296</v>
      </c>
      <c r="BS234" s="871">
        <f t="shared" si="328"/>
        <v>0.15202952029520295</v>
      </c>
      <c r="BT234" s="871">
        <f t="shared" si="328"/>
        <v>0.14632670700086431</v>
      </c>
      <c r="BU234" s="871">
        <f t="shared" si="328"/>
        <v>0.13908913578152829</v>
      </c>
      <c r="BV234" s="871">
        <f t="shared" si="328"/>
        <v>0.13482775671666392</v>
      </c>
      <c r="BW234" s="856"/>
      <c r="BX234" s="156"/>
      <c r="BY234" s="156"/>
      <c r="BZ234" s="156"/>
      <c r="CA234" s="156"/>
      <c r="CB234" s="156"/>
      <c r="CC234" s="24"/>
    </row>
    <row r="235" spans="1:81" s="709" customFormat="1" outlineLevel="1" x14ac:dyDescent="0.55000000000000004">
      <c r="A235" s="130" t="s">
        <v>461</v>
      </c>
      <c r="B235" s="237"/>
      <c r="C235" s="24">
        <f t="shared" ref="C235:AT235" si="329">C229/C231</f>
        <v>0.28738738738738739</v>
      </c>
      <c r="D235" s="24">
        <f t="shared" si="329"/>
        <v>0.29350649350649349</v>
      </c>
      <c r="E235" s="24">
        <f t="shared" si="329"/>
        <v>0.29545454545454547</v>
      </c>
      <c r="F235" s="24">
        <f t="shared" si="329"/>
        <v>0.29991850040749796</v>
      </c>
      <c r="G235" s="24">
        <f t="shared" si="329"/>
        <v>0.30564263322884011</v>
      </c>
      <c r="H235" s="24">
        <f t="shared" si="329"/>
        <v>0.31131359149582383</v>
      </c>
      <c r="I235" s="24">
        <f t="shared" si="329"/>
        <v>0.31532198371576609</v>
      </c>
      <c r="J235" s="24">
        <f t="shared" si="329"/>
        <v>0.32209469153515063</v>
      </c>
      <c r="K235" s="24">
        <f t="shared" si="329"/>
        <v>0.32685634975711314</v>
      </c>
      <c r="L235" s="24">
        <f t="shared" si="329"/>
        <v>0.33266264252179745</v>
      </c>
      <c r="M235" s="24">
        <f t="shared" si="329"/>
        <v>0.33764553686934023</v>
      </c>
      <c r="N235" s="24">
        <f t="shared" si="329"/>
        <v>0.33940917661847897</v>
      </c>
      <c r="O235" s="24">
        <f t="shared" si="329"/>
        <v>0.34220072551390568</v>
      </c>
      <c r="P235" s="24">
        <f t="shared" si="329"/>
        <v>0.34579439252336447</v>
      </c>
      <c r="Q235" s="24">
        <f t="shared" si="329"/>
        <v>0.35198656966983771</v>
      </c>
      <c r="R235" s="24">
        <f t="shared" si="329"/>
        <v>0.36202259279182358</v>
      </c>
      <c r="S235" s="24">
        <f t="shared" si="329"/>
        <v>0.36983471074380164</v>
      </c>
      <c r="T235" s="24">
        <f t="shared" si="329"/>
        <v>0.37686939182452645</v>
      </c>
      <c r="U235" s="24">
        <f t="shared" si="329"/>
        <v>0.38320463320463322</v>
      </c>
      <c r="V235" s="24">
        <f t="shared" si="329"/>
        <v>0.38891498356035697</v>
      </c>
      <c r="W235" s="24">
        <f t="shared" si="329"/>
        <v>0.39754098360655737</v>
      </c>
      <c r="X235" s="24">
        <f t="shared" si="329"/>
        <v>0.40017905102954343</v>
      </c>
      <c r="Y235" s="24">
        <f t="shared" si="329"/>
        <v>0.40396475770925111</v>
      </c>
      <c r="Z235" s="24">
        <f t="shared" si="329"/>
        <v>0.40818965517241379</v>
      </c>
      <c r="AA235" s="24">
        <f t="shared" si="329"/>
        <v>0.4128787878787879</v>
      </c>
      <c r="AB235" s="24">
        <f t="shared" si="329"/>
        <v>0.41549295774647887</v>
      </c>
      <c r="AC235" s="24">
        <f t="shared" si="329"/>
        <v>0.41363821968150266</v>
      </c>
      <c r="AD235" s="24">
        <f t="shared" si="329"/>
        <v>0.41569883860632761</v>
      </c>
      <c r="AE235" s="24">
        <f t="shared" si="329"/>
        <v>0.41990011525163273</v>
      </c>
      <c r="AF235" s="24">
        <f t="shared" si="329"/>
        <v>0.42296296296296299</v>
      </c>
      <c r="AG235" s="24">
        <f t="shared" si="329"/>
        <v>0.42554744525547444</v>
      </c>
      <c r="AH235" s="24">
        <f t="shared" si="329"/>
        <v>0.4286735788344655</v>
      </c>
      <c r="AI235" s="24">
        <f t="shared" si="329"/>
        <v>0.43127629733520334</v>
      </c>
      <c r="AJ235" s="24">
        <f t="shared" si="329"/>
        <v>0.4369602763385147</v>
      </c>
      <c r="AK235" s="24">
        <f t="shared" si="329"/>
        <v>0.43902439024390244</v>
      </c>
      <c r="AL235" s="24">
        <f t="shared" si="329"/>
        <v>0.43887362637362637</v>
      </c>
      <c r="AM235" s="24">
        <f t="shared" si="329"/>
        <v>0.44190800681431003</v>
      </c>
      <c r="AN235" s="24">
        <f t="shared" si="329"/>
        <v>0.44463373083475299</v>
      </c>
      <c r="AO235" s="24">
        <f t="shared" si="329"/>
        <v>0.4436929320257017</v>
      </c>
      <c r="AP235" s="24">
        <f t="shared" si="329"/>
        <v>0.44264507422402161</v>
      </c>
      <c r="AQ235" s="24">
        <f t="shared" si="329"/>
        <v>0.44280936454849501</v>
      </c>
      <c r="AR235" s="24">
        <f t="shared" si="329"/>
        <v>0.44521452145214524</v>
      </c>
      <c r="AS235" s="24">
        <f t="shared" si="329"/>
        <v>0.44506395539521154</v>
      </c>
      <c r="AT235" s="24">
        <f t="shared" si="329"/>
        <v>0.44600326264274059</v>
      </c>
      <c r="AU235" s="55"/>
      <c r="AV235" s="55"/>
      <c r="AW235" s="55"/>
      <c r="AX235" s="55"/>
      <c r="AY235" s="275"/>
      <c r="AZ235" s="55"/>
      <c r="BA235" s="55"/>
      <c r="BB235" s="55"/>
      <c r="BC235" s="55"/>
      <c r="BD235" s="55"/>
      <c r="BE235" s="55"/>
      <c r="BF235" s="55"/>
      <c r="BG235" s="55"/>
      <c r="BH235" s="156"/>
      <c r="BI235" s="156">
        <f t="shared" ref="BI235:BV235" si="330">BI229/BI231</f>
        <v>0.20656370656370657</v>
      </c>
      <c r="BJ235" s="871">
        <f t="shared" si="330"/>
        <v>0.24086161879895562</v>
      </c>
      <c r="BK235" s="871">
        <f t="shared" si="330"/>
        <v>0.27149783107935699</v>
      </c>
      <c r="BL235" s="871">
        <f t="shared" si="330"/>
        <v>0.29423076923076924</v>
      </c>
      <c r="BM235" s="871">
        <f t="shared" si="330"/>
        <v>0.31378793555638818</v>
      </c>
      <c r="BN235" s="871">
        <f t="shared" si="330"/>
        <v>0.33432196407974957</v>
      </c>
      <c r="BO235" s="871">
        <f t="shared" si="330"/>
        <v>0.35082715345122645</v>
      </c>
      <c r="BP235" s="871">
        <f t="shared" si="330"/>
        <v>0.37995824634655534</v>
      </c>
      <c r="BQ235" s="871">
        <f t="shared" si="330"/>
        <v>0.40254988913525497</v>
      </c>
      <c r="BR235" s="871">
        <f t="shared" si="330"/>
        <v>0.41444124897288415</v>
      </c>
      <c r="BS235" s="871">
        <f t="shared" si="330"/>
        <v>0.42435424354243545</v>
      </c>
      <c r="BT235" s="871">
        <f t="shared" si="330"/>
        <v>0.43656006914433881</v>
      </c>
      <c r="BU235" s="871">
        <f t="shared" si="330"/>
        <v>0.44321940463065052</v>
      </c>
      <c r="BV235" s="871">
        <f t="shared" si="330"/>
        <v>0.44478325366738092</v>
      </c>
      <c r="BW235" s="856"/>
      <c r="BX235" s="156"/>
      <c r="BY235" s="156"/>
      <c r="BZ235" s="156"/>
      <c r="CA235" s="156"/>
      <c r="CB235" s="156"/>
      <c r="CC235" s="24"/>
    </row>
    <row r="236" spans="1:81" s="709" customFormat="1" outlineLevel="1" x14ac:dyDescent="0.55000000000000004">
      <c r="A236" s="130" t="s">
        <v>462</v>
      </c>
      <c r="B236" s="237"/>
      <c r="C236" s="24">
        <f t="shared" ref="C236:AT236" si="331">C230/C231</f>
        <v>0.29459459459459458</v>
      </c>
      <c r="D236" s="24">
        <f t="shared" si="331"/>
        <v>0.29956709956709959</v>
      </c>
      <c r="E236" s="24">
        <f t="shared" si="331"/>
        <v>0.30471380471380471</v>
      </c>
      <c r="F236" s="24">
        <f t="shared" si="331"/>
        <v>0.30643846780766099</v>
      </c>
      <c r="G236" s="24">
        <f t="shared" si="331"/>
        <v>0.30956112852664575</v>
      </c>
      <c r="H236" s="24">
        <f t="shared" si="331"/>
        <v>0.3120728929384966</v>
      </c>
      <c r="I236" s="24">
        <f t="shared" si="331"/>
        <v>0.31310140636565509</v>
      </c>
      <c r="J236" s="24">
        <f t="shared" si="331"/>
        <v>0.31276901004304158</v>
      </c>
      <c r="K236" s="24">
        <f t="shared" si="331"/>
        <v>0.3143650242886884</v>
      </c>
      <c r="L236" s="24">
        <f t="shared" si="331"/>
        <v>0.31589537223340042</v>
      </c>
      <c r="M236" s="24">
        <f t="shared" si="331"/>
        <v>0.31824062095730921</v>
      </c>
      <c r="N236" s="24">
        <f t="shared" si="331"/>
        <v>0.31992457573852923</v>
      </c>
      <c r="O236" s="24">
        <f t="shared" si="331"/>
        <v>0.3222490931076179</v>
      </c>
      <c r="P236" s="24">
        <f t="shared" si="331"/>
        <v>0.32476635514018692</v>
      </c>
      <c r="Q236" s="24">
        <f t="shared" si="331"/>
        <v>0.32848349188584219</v>
      </c>
      <c r="R236" s="24">
        <f t="shared" si="331"/>
        <v>0.32598171059709519</v>
      </c>
      <c r="S236" s="24">
        <f t="shared" si="331"/>
        <v>0.32644628099173556</v>
      </c>
      <c r="T236" s="24">
        <f t="shared" si="331"/>
        <v>0.32602193419740777</v>
      </c>
      <c r="U236" s="24">
        <f t="shared" si="331"/>
        <v>0.32577220077220076</v>
      </c>
      <c r="V236" s="24">
        <f t="shared" si="331"/>
        <v>0.32503522780648192</v>
      </c>
      <c r="W236" s="24">
        <f t="shared" si="331"/>
        <v>0.32103825136612024</v>
      </c>
      <c r="X236" s="24">
        <f t="shared" si="331"/>
        <v>0.32363473589973141</v>
      </c>
      <c r="Y236" s="24">
        <f t="shared" si="331"/>
        <v>0.32422907488986785</v>
      </c>
      <c r="Z236" s="24">
        <f t="shared" si="331"/>
        <v>0.32327586206896552</v>
      </c>
      <c r="AA236" s="24">
        <f t="shared" si="331"/>
        <v>0.32323232323232326</v>
      </c>
      <c r="AB236" s="24">
        <f t="shared" si="331"/>
        <v>0.323943661971831</v>
      </c>
      <c r="AC236" s="24">
        <f t="shared" si="331"/>
        <v>0.32748060432829729</v>
      </c>
      <c r="AD236" s="24">
        <f t="shared" si="331"/>
        <v>0.32719263115738889</v>
      </c>
      <c r="AE236" s="24">
        <f t="shared" si="331"/>
        <v>0.326930464848252</v>
      </c>
      <c r="AF236" s="24">
        <f t="shared" si="331"/>
        <v>0.33037037037037037</v>
      </c>
      <c r="AG236" s="24">
        <f t="shared" si="331"/>
        <v>0.33065693430656934</v>
      </c>
      <c r="AH236" s="24">
        <f t="shared" si="331"/>
        <v>0.32928137289953524</v>
      </c>
      <c r="AI236" s="24">
        <f t="shared" si="331"/>
        <v>0.32959326788218796</v>
      </c>
      <c r="AJ236" s="24">
        <f t="shared" si="331"/>
        <v>0.32849740932642485</v>
      </c>
      <c r="AK236" s="24">
        <f t="shared" si="331"/>
        <v>0.32600480934386811</v>
      </c>
      <c r="AL236" s="24">
        <f t="shared" si="331"/>
        <v>0.32451923076923078</v>
      </c>
      <c r="AM236" s="24">
        <f t="shared" si="331"/>
        <v>0.32606473594548552</v>
      </c>
      <c r="AN236" s="24">
        <f t="shared" si="331"/>
        <v>0.32674616695059627</v>
      </c>
      <c r="AO236" s="24">
        <f t="shared" si="331"/>
        <v>0.32837335136963136</v>
      </c>
      <c r="AP236" s="24">
        <f t="shared" si="331"/>
        <v>0.33029689608636975</v>
      </c>
      <c r="AQ236" s="24">
        <f t="shared" si="331"/>
        <v>0.32976588628762543</v>
      </c>
      <c r="AR236" s="24">
        <f t="shared" si="331"/>
        <v>0.33069306930693071</v>
      </c>
      <c r="AS236" s="24">
        <f t="shared" si="331"/>
        <v>0.33224007871433259</v>
      </c>
      <c r="AT236" s="24">
        <f t="shared" si="331"/>
        <v>0.33213703099510605</v>
      </c>
      <c r="AU236" s="55"/>
      <c r="AV236" s="55"/>
      <c r="AW236" s="55"/>
      <c r="AX236" s="55"/>
      <c r="AY236" s="275"/>
      <c r="AZ236" s="55"/>
      <c r="BA236" s="55"/>
      <c r="BB236" s="55"/>
      <c r="BC236" s="55"/>
      <c r="BD236" s="55"/>
      <c r="BE236" s="55"/>
      <c r="BF236" s="55"/>
      <c r="BG236" s="55"/>
      <c r="BH236" s="156"/>
      <c r="BI236" s="156">
        <f t="shared" ref="BI236:BV236" si="332">BI230/BI231</f>
        <v>0.21235521235521235</v>
      </c>
      <c r="BJ236" s="871">
        <f t="shared" si="332"/>
        <v>0.25326370757180156</v>
      </c>
      <c r="BK236" s="871">
        <f t="shared" si="332"/>
        <v>0.28195968359275325</v>
      </c>
      <c r="BL236" s="871">
        <f t="shared" si="332"/>
        <v>0.30149572649572648</v>
      </c>
      <c r="BM236" s="871">
        <f t="shared" si="332"/>
        <v>0.31191457474709627</v>
      </c>
      <c r="BN236" s="871">
        <f t="shared" si="332"/>
        <v>0.31718569780853517</v>
      </c>
      <c r="BO236" s="871">
        <f t="shared" si="332"/>
        <v>0.32544209925841416</v>
      </c>
      <c r="BP236" s="871">
        <f t="shared" si="332"/>
        <v>0.32580130173154859</v>
      </c>
      <c r="BQ236" s="871">
        <f t="shared" si="332"/>
        <v>0.32305986696230599</v>
      </c>
      <c r="BR236" s="871">
        <f t="shared" si="332"/>
        <v>0.32549301561216104</v>
      </c>
      <c r="BS236" s="871">
        <f t="shared" si="332"/>
        <v>0.32933579335793356</v>
      </c>
      <c r="BT236" s="871">
        <f t="shared" si="332"/>
        <v>0.32713915298184959</v>
      </c>
      <c r="BU236" s="871">
        <f t="shared" si="332"/>
        <v>0.32787719447035873</v>
      </c>
      <c r="BV236" s="871">
        <f t="shared" si="332"/>
        <v>0.33121806494148676</v>
      </c>
      <c r="BW236" s="856"/>
      <c r="BX236" s="156"/>
      <c r="BY236" s="156"/>
      <c r="BZ236" s="156"/>
      <c r="CA236" s="156"/>
      <c r="CB236" s="156"/>
      <c r="CC236" s="24"/>
    </row>
    <row r="237" spans="1:81" s="713" customFormat="1" outlineLevel="1" x14ac:dyDescent="0.55000000000000004">
      <c r="A237" s="23" t="s">
        <v>464</v>
      </c>
      <c r="B237" s="296"/>
      <c r="C237" s="297">
        <f t="shared" ref="C237:AT237" si="333">SUM(C233:C236)</f>
        <v>1</v>
      </c>
      <c r="D237" s="297">
        <f t="shared" si="333"/>
        <v>1</v>
      </c>
      <c r="E237" s="297">
        <f t="shared" si="333"/>
        <v>1</v>
      </c>
      <c r="F237" s="297">
        <f t="shared" si="333"/>
        <v>1</v>
      </c>
      <c r="G237" s="297">
        <f t="shared" si="333"/>
        <v>1</v>
      </c>
      <c r="H237" s="297">
        <f t="shared" si="333"/>
        <v>1</v>
      </c>
      <c r="I237" s="297">
        <f t="shared" si="333"/>
        <v>1</v>
      </c>
      <c r="J237" s="297">
        <f t="shared" si="333"/>
        <v>1</v>
      </c>
      <c r="K237" s="297">
        <f t="shared" si="333"/>
        <v>1</v>
      </c>
      <c r="L237" s="297">
        <f t="shared" si="333"/>
        <v>1</v>
      </c>
      <c r="M237" s="297">
        <f t="shared" si="333"/>
        <v>1</v>
      </c>
      <c r="N237" s="297">
        <f t="shared" si="333"/>
        <v>1</v>
      </c>
      <c r="O237" s="297">
        <f t="shared" si="333"/>
        <v>1</v>
      </c>
      <c r="P237" s="297">
        <f t="shared" si="333"/>
        <v>1</v>
      </c>
      <c r="Q237" s="297">
        <f t="shared" si="333"/>
        <v>1</v>
      </c>
      <c r="R237" s="297">
        <f t="shared" si="333"/>
        <v>1</v>
      </c>
      <c r="S237" s="297">
        <f t="shared" si="333"/>
        <v>1</v>
      </c>
      <c r="T237" s="297">
        <f t="shared" si="333"/>
        <v>1</v>
      </c>
      <c r="U237" s="297">
        <f t="shared" si="333"/>
        <v>1</v>
      </c>
      <c r="V237" s="297">
        <f t="shared" si="333"/>
        <v>1</v>
      </c>
      <c r="W237" s="297">
        <f t="shared" si="333"/>
        <v>1</v>
      </c>
      <c r="X237" s="297">
        <f t="shared" si="333"/>
        <v>1</v>
      </c>
      <c r="Y237" s="297">
        <f t="shared" si="333"/>
        <v>1</v>
      </c>
      <c r="Z237" s="297">
        <f t="shared" si="333"/>
        <v>1</v>
      </c>
      <c r="AA237" s="297">
        <f t="shared" si="333"/>
        <v>1</v>
      </c>
      <c r="AB237" s="297">
        <f t="shared" si="333"/>
        <v>1</v>
      </c>
      <c r="AC237" s="297">
        <f t="shared" si="333"/>
        <v>1</v>
      </c>
      <c r="AD237" s="297">
        <f t="shared" si="333"/>
        <v>1</v>
      </c>
      <c r="AE237" s="297">
        <f t="shared" si="333"/>
        <v>1</v>
      </c>
      <c r="AF237" s="297">
        <f t="shared" si="333"/>
        <v>1</v>
      </c>
      <c r="AG237" s="297">
        <f t="shared" si="333"/>
        <v>1</v>
      </c>
      <c r="AH237" s="297">
        <f t="shared" si="333"/>
        <v>1</v>
      </c>
      <c r="AI237" s="297">
        <f t="shared" si="333"/>
        <v>1</v>
      </c>
      <c r="AJ237" s="297">
        <f t="shared" si="333"/>
        <v>1</v>
      </c>
      <c r="AK237" s="297">
        <f t="shared" si="333"/>
        <v>1</v>
      </c>
      <c r="AL237" s="297">
        <f t="shared" si="333"/>
        <v>1</v>
      </c>
      <c r="AM237" s="297">
        <f t="shared" si="333"/>
        <v>1</v>
      </c>
      <c r="AN237" s="297">
        <f t="shared" si="333"/>
        <v>1</v>
      </c>
      <c r="AO237" s="297">
        <f t="shared" si="333"/>
        <v>1</v>
      </c>
      <c r="AP237" s="297">
        <f t="shared" si="333"/>
        <v>1</v>
      </c>
      <c r="AQ237" s="297">
        <f t="shared" si="333"/>
        <v>1</v>
      </c>
      <c r="AR237" s="297">
        <f t="shared" si="333"/>
        <v>1</v>
      </c>
      <c r="AS237" s="297">
        <f t="shared" si="333"/>
        <v>1</v>
      </c>
      <c r="AT237" s="297">
        <f t="shared" si="333"/>
        <v>1</v>
      </c>
      <c r="AU237" s="328"/>
      <c r="AV237" s="328"/>
      <c r="AW237" s="328"/>
      <c r="AX237" s="328"/>
      <c r="AY237" s="637"/>
      <c r="AZ237" s="328"/>
      <c r="BA237" s="328"/>
      <c r="BB237" s="328"/>
      <c r="BC237" s="328"/>
      <c r="BD237" s="328"/>
      <c r="BE237" s="328"/>
      <c r="BF237" s="328"/>
      <c r="BG237" s="328"/>
      <c r="BH237" s="873"/>
      <c r="BI237" s="873">
        <f t="shared" ref="BI237:BV237" si="334">SUM(BI233:BI236)</f>
        <v>1</v>
      </c>
      <c r="BJ237" s="874">
        <f t="shared" si="334"/>
        <v>1</v>
      </c>
      <c r="BK237" s="874">
        <f t="shared" si="334"/>
        <v>1</v>
      </c>
      <c r="BL237" s="874">
        <f t="shared" si="334"/>
        <v>1</v>
      </c>
      <c r="BM237" s="874">
        <f t="shared" si="334"/>
        <v>1</v>
      </c>
      <c r="BN237" s="874">
        <f t="shared" si="334"/>
        <v>1</v>
      </c>
      <c r="BO237" s="874">
        <f t="shared" si="334"/>
        <v>1</v>
      </c>
      <c r="BP237" s="874">
        <f t="shared" si="334"/>
        <v>1</v>
      </c>
      <c r="BQ237" s="874">
        <f t="shared" si="334"/>
        <v>1</v>
      </c>
      <c r="BR237" s="874">
        <f t="shared" si="334"/>
        <v>1</v>
      </c>
      <c r="BS237" s="874">
        <f t="shared" si="334"/>
        <v>1</v>
      </c>
      <c r="BT237" s="874">
        <f t="shared" si="334"/>
        <v>1</v>
      </c>
      <c r="BU237" s="874">
        <f t="shared" si="334"/>
        <v>1</v>
      </c>
      <c r="BV237" s="874">
        <f t="shared" si="334"/>
        <v>1</v>
      </c>
      <c r="BW237" s="884"/>
      <c r="BX237" s="873"/>
      <c r="BY237" s="873"/>
      <c r="BZ237" s="873"/>
      <c r="CA237" s="873"/>
      <c r="CB237" s="873"/>
      <c r="CC237" s="9"/>
    </row>
    <row r="238" spans="1:81" s="703" customFormat="1" outlineLevel="1" x14ac:dyDescent="0.55000000000000004">
      <c r="A238" s="233"/>
      <c r="B238" s="232"/>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272"/>
      <c r="AZ238" s="35"/>
      <c r="BA238" s="35"/>
      <c r="BB238" s="35"/>
      <c r="BC238" s="35"/>
      <c r="BD238" s="35"/>
      <c r="BE238" s="35"/>
      <c r="BF238" s="35"/>
      <c r="BG238" s="35"/>
      <c r="BH238" s="812"/>
      <c r="BI238" s="812"/>
      <c r="BJ238" s="812"/>
      <c r="BK238" s="812"/>
      <c r="BL238" s="812"/>
      <c r="BM238" s="812"/>
      <c r="BN238" s="812"/>
      <c r="BO238" s="812"/>
      <c r="BP238" s="812"/>
      <c r="BQ238" s="812"/>
      <c r="BR238" s="812"/>
      <c r="BS238" s="812"/>
      <c r="BT238" s="812"/>
      <c r="BU238" s="812"/>
      <c r="BV238" s="812"/>
      <c r="BW238" s="814"/>
      <c r="BX238" s="812"/>
      <c r="BY238" s="812"/>
      <c r="BZ238" s="812"/>
      <c r="CA238" s="812"/>
      <c r="CB238" s="812"/>
      <c r="CC238" s="6"/>
    </row>
    <row r="239" spans="1:81" s="707" customFormat="1" outlineLevel="1" x14ac:dyDescent="0.55000000000000004">
      <c r="A239" s="528" t="s">
        <v>475</v>
      </c>
      <c r="B239" s="289"/>
      <c r="C239" s="766">
        <v>1.1499999999999999</v>
      </c>
      <c r="D239" s="766">
        <v>1.41</v>
      </c>
      <c r="E239" s="766">
        <v>1.53</v>
      </c>
      <c r="F239" s="766">
        <v>1.94</v>
      </c>
      <c r="G239" s="766">
        <v>1.81</v>
      </c>
      <c r="H239" s="766">
        <v>2.06</v>
      </c>
      <c r="I239" s="766">
        <v>2.2200000000000002</v>
      </c>
      <c r="J239" s="766">
        <v>2.62</v>
      </c>
      <c r="K239" s="766">
        <v>2.34</v>
      </c>
      <c r="L239" s="766">
        <v>2.61</v>
      </c>
      <c r="M239" s="766">
        <v>2.83</v>
      </c>
      <c r="N239" s="766">
        <v>3.6</v>
      </c>
      <c r="O239" s="766">
        <v>3.21</v>
      </c>
      <c r="P239" s="766">
        <v>3.71</v>
      </c>
      <c r="Q239" s="766">
        <v>3.89</v>
      </c>
      <c r="R239" s="766">
        <v>4.7300000000000004</v>
      </c>
      <c r="S239" s="766">
        <v>4.1399999999999997</v>
      </c>
      <c r="T239" s="766">
        <v>4.6500000000000004</v>
      </c>
      <c r="U239" s="766">
        <v>4.97</v>
      </c>
      <c r="V239" s="766">
        <v>6.08</v>
      </c>
      <c r="W239" s="766">
        <v>5.45</v>
      </c>
      <c r="X239" s="766">
        <v>5.89</v>
      </c>
      <c r="Y239" s="766">
        <v>6.01</v>
      </c>
      <c r="Z239" s="766">
        <v>7.25</v>
      </c>
      <c r="AA239" s="766">
        <v>6.35</v>
      </c>
      <c r="AB239" s="766">
        <v>6.94</v>
      </c>
      <c r="AC239" s="766">
        <v>7.15</v>
      </c>
      <c r="AD239" s="766">
        <v>8.3800000000000008</v>
      </c>
      <c r="AE239" s="766">
        <v>6.84</v>
      </c>
      <c r="AF239" s="766">
        <v>6.91</v>
      </c>
      <c r="AG239" s="766">
        <v>7.8</v>
      </c>
      <c r="AH239" s="766">
        <v>9.82</v>
      </c>
      <c r="AI239" s="766">
        <v>9.01</v>
      </c>
      <c r="AJ239" s="766">
        <v>9.9499999999999993</v>
      </c>
      <c r="AK239" s="766">
        <v>9.74</v>
      </c>
      <c r="AL239" s="316"/>
      <c r="AM239" s="316"/>
      <c r="AN239" s="316"/>
      <c r="AO239" s="316"/>
      <c r="AP239" s="316"/>
      <c r="AQ239" s="316"/>
      <c r="AR239" s="316"/>
      <c r="AS239" s="316"/>
      <c r="AT239" s="316"/>
      <c r="AU239" s="316"/>
      <c r="AV239" s="316"/>
      <c r="AW239" s="316"/>
      <c r="AX239" s="316"/>
      <c r="AY239" s="638"/>
      <c r="AZ239" s="316"/>
      <c r="BA239" s="316"/>
      <c r="BB239" s="316"/>
      <c r="BC239" s="316"/>
      <c r="BD239" s="316"/>
      <c r="BE239" s="316"/>
      <c r="BF239" s="316"/>
      <c r="BG239" s="316"/>
      <c r="BH239" s="886"/>
      <c r="BI239" s="886"/>
      <c r="BJ239" s="886"/>
      <c r="BK239" s="886"/>
      <c r="BL239" s="887">
        <f>SUM(C239,D239,E239,F239)</f>
        <v>6.0299999999999994</v>
      </c>
      <c r="BM239" s="887">
        <f>SUM(G239,H239,I239,J239)</f>
        <v>8.7100000000000009</v>
      </c>
      <c r="BN239" s="887">
        <f>SUM(K239,L239,M239,N239)</f>
        <v>11.379999999999999</v>
      </c>
      <c r="BO239" s="887">
        <f>SUM(O239,P239,Q239,R239)</f>
        <v>15.540000000000001</v>
      </c>
      <c r="BP239" s="887">
        <f>SUM(S239,T239,U239,V239)</f>
        <v>19.839999999999996</v>
      </c>
      <c r="BQ239" s="887">
        <f>SUM(W239,X239,Y239,Z239)</f>
        <v>24.6</v>
      </c>
      <c r="BR239" s="887">
        <f>SUM(AA239,AB239,AC239,AD239)</f>
        <v>28.82</v>
      </c>
      <c r="BS239" s="887">
        <f>SUM(AE239,AF239,AG239,AH239)</f>
        <v>31.37</v>
      </c>
      <c r="BT239" s="886"/>
      <c r="BU239" s="886"/>
      <c r="BV239" s="886"/>
      <c r="BW239" s="888"/>
      <c r="BX239" s="886"/>
      <c r="BY239" s="886"/>
      <c r="BZ239" s="886"/>
      <c r="CA239" s="886"/>
      <c r="CB239" s="886"/>
      <c r="CC239" s="527"/>
    </row>
    <row r="240" spans="1:81" s="707" customFormat="1" outlineLevel="1" x14ac:dyDescent="0.55000000000000004">
      <c r="A240" s="528" t="s">
        <v>476</v>
      </c>
      <c r="B240" s="289"/>
      <c r="C240" s="766">
        <v>0.2</v>
      </c>
      <c r="D240" s="766">
        <v>0.19</v>
      </c>
      <c r="E240" s="766">
        <v>0.19</v>
      </c>
      <c r="F240" s="766">
        <v>0.2</v>
      </c>
      <c r="G240" s="766">
        <v>0.19</v>
      </c>
      <c r="H240" s="766">
        <v>0.18</v>
      </c>
      <c r="I240" s="766">
        <v>0.18</v>
      </c>
      <c r="J240" s="766">
        <v>0.19</v>
      </c>
      <c r="K240" s="766">
        <v>0.16</v>
      </c>
      <c r="L240" s="766">
        <v>0.15</v>
      </c>
      <c r="M240" s="766">
        <v>0.13</v>
      </c>
      <c r="N240" s="766">
        <v>0.13</v>
      </c>
      <c r="O240" s="766">
        <v>0.11</v>
      </c>
      <c r="P240" s="766">
        <v>0.12</v>
      </c>
      <c r="Q240" s="766">
        <v>0.11</v>
      </c>
      <c r="R240" s="766">
        <v>0.1</v>
      </c>
      <c r="S240" s="766">
        <v>0.09</v>
      </c>
      <c r="T240" s="766">
        <v>0.08</v>
      </c>
      <c r="U240" s="766">
        <v>0.09</v>
      </c>
      <c r="V240" s="766">
        <v>0.09</v>
      </c>
      <c r="W240" s="766">
        <v>0.08</v>
      </c>
      <c r="X240" s="766">
        <v>0.09</v>
      </c>
      <c r="Y240" s="766">
        <v>0.08</v>
      </c>
      <c r="Z240" s="766">
        <v>0.12</v>
      </c>
      <c r="AA240" s="766">
        <v>7.0000000000000007E-2</v>
      </c>
      <c r="AB240" s="766">
        <v>0.11</v>
      </c>
      <c r="AC240" s="766">
        <v>0.11</v>
      </c>
      <c r="AD240" s="766">
        <v>0.14000000000000001</v>
      </c>
      <c r="AE240" s="766">
        <v>0.12</v>
      </c>
      <c r="AF240" s="766">
        <v>0.14000000000000001</v>
      </c>
      <c r="AG240" s="766">
        <v>0.09</v>
      </c>
      <c r="AH240" s="766">
        <v>0.32</v>
      </c>
      <c r="AI240" s="766">
        <v>0.26</v>
      </c>
      <c r="AJ240" s="766">
        <v>0.17</v>
      </c>
      <c r="AK240" s="766">
        <v>0.25</v>
      </c>
      <c r="AL240" s="316"/>
      <c r="AM240" s="316"/>
      <c r="AN240" s="316"/>
      <c r="AO240" s="316"/>
      <c r="AP240" s="316"/>
      <c r="AQ240" s="316"/>
      <c r="AR240" s="316"/>
      <c r="AS240" s="316"/>
      <c r="AT240" s="316"/>
      <c r="AU240" s="316"/>
      <c r="AV240" s="316"/>
      <c r="AW240" s="316"/>
      <c r="AX240" s="316"/>
      <c r="AY240" s="638"/>
      <c r="AZ240" s="316"/>
      <c r="BA240" s="316"/>
      <c r="BB240" s="316"/>
      <c r="BC240" s="316"/>
      <c r="BD240" s="316"/>
      <c r="BE240" s="316"/>
      <c r="BF240" s="316"/>
      <c r="BG240" s="316"/>
      <c r="BH240" s="886"/>
      <c r="BI240" s="886"/>
      <c r="BJ240" s="886"/>
      <c r="BK240" s="886"/>
      <c r="BL240" s="887">
        <f>SUM(C240,D240,E240,F240)</f>
        <v>0.78</v>
      </c>
      <c r="BM240" s="887">
        <f>SUM(G240,H240,I240,J240)</f>
        <v>0.74</v>
      </c>
      <c r="BN240" s="887">
        <f>SUM(K240,L240,M240,N240)</f>
        <v>0.57000000000000006</v>
      </c>
      <c r="BO240" s="887">
        <f>SUM(O240,P240,Q240,R240)</f>
        <v>0.43999999999999995</v>
      </c>
      <c r="BP240" s="887">
        <f>SUM(S240,T240,U240,V240)</f>
        <v>0.35</v>
      </c>
      <c r="BQ240" s="887">
        <f>SUM(W240,X240,Y240,Z240)</f>
        <v>0.37</v>
      </c>
      <c r="BR240" s="887">
        <f>SUM(AA240,AB240,AC240,AD240)</f>
        <v>0.43</v>
      </c>
      <c r="BS240" s="887">
        <f>SUM(AE240,AF240,AG240,AH240)</f>
        <v>0.66999999999999993</v>
      </c>
      <c r="BT240" s="886"/>
      <c r="BU240" s="886"/>
      <c r="BV240" s="886"/>
      <c r="BW240" s="888"/>
      <c r="BX240" s="886"/>
      <c r="BY240" s="886"/>
      <c r="BZ240" s="886"/>
      <c r="CA240" s="886"/>
      <c r="CB240" s="886"/>
      <c r="CC240" s="527"/>
    </row>
    <row r="241" spans="1:81" s="712" customFormat="1" outlineLevel="1" x14ac:dyDescent="0.55000000000000004">
      <c r="A241" s="291" t="s">
        <v>405</v>
      </c>
      <c r="B241" s="292"/>
      <c r="C241" s="293">
        <f>C121/AVERAGE(BK231,C231)</f>
        <v>1.3953822227539179</v>
      </c>
      <c r="D241" s="293">
        <f t="shared" ref="D241:AT241" si="335">D121/AVERAGE(C231,D231)</f>
        <v>1.6008830022075056</v>
      </c>
      <c r="E241" s="293">
        <f t="shared" si="335"/>
        <v>1.7208706786171575</v>
      </c>
      <c r="F241" s="293">
        <f t="shared" si="335"/>
        <v>2.1407867494824018</v>
      </c>
      <c r="G241" s="293">
        <f t="shared" si="335"/>
        <v>1.9992009588493806</v>
      </c>
      <c r="H241" s="293">
        <f t="shared" si="335"/>
        <v>2.2445044350173546</v>
      </c>
      <c r="I241" s="293">
        <f t="shared" si="335"/>
        <v>2.401049475262369</v>
      </c>
      <c r="J241" s="293">
        <f t="shared" si="335"/>
        <v>2.8058287795992713</v>
      </c>
      <c r="K241" s="293">
        <f t="shared" si="335"/>
        <v>2.4994708994708996</v>
      </c>
      <c r="L241" s="293">
        <f t="shared" si="335"/>
        <v>2.7571623465211461</v>
      </c>
      <c r="M241" s="293">
        <f t="shared" si="335"/>
        <v>2.9641093184063219</v>
      </c>
      <c r="N241" s="293">
        <f t="shared" si="335"/>
        <v>3.7239400701306979</v>
      </c>
      <c r="O241" s="293">
        <f t="shared" si="335"/>
        <v>3.3171032357473034</v>
      </c>
      <c r="P241" s="293">
        <f t="shared" si="335"/>
        <v>3.8241235888294711</v>
      </c>
      <c r="Q241" s="293">
        <f t="shared" si="335"/>
        <v>4.007430694484138</v>
      </c>
      <c r="R241" s="293">
        <f t="shared" si="335"/>
        <v>4.8321448162369718</v>
      </c>
      <c r="S241" s="293">
        <f t="shared" si="335"/>
        <v>4.2329380764163371</v>
      </c>
      <c r="T241" s="293">
        <f t="shared" si="335"/>
        <v>4.7290715372907153</v>
      </c>
      <c r="U241" s="293">
        <f t="shared" si="335"/>
        <v>5.0652280529671412</v>
      </c>
      <c r="V241" s="293">
        <f t="shared" si="335"/>
        <v>6.1756724589383483</v>
      </c>
      <c r="W241" s="293">
        <f t="shared" si="335"/>
        <v>5.5334104046242771</v>
      </c>
      <c r="X241" s="293">
        <f t="shared" si="335"/>
        <v>5.9733634311512418</v>
      </c>
      <c r="Y241" s="293">
        <f t="shared" si="335"/>
        <v>6.0954706927175843</v>
      </c>
      <c r="Z241" s="293">
        <f t="shared" si="335"/>
        <v>7.3699346405228754</v>
      </c>
      <c r="AA241" s="293">
        <f t="shared" si="335"/>
        <v>6.4212095400340718</v>
      </c>
      <c r="AB241" s="293">
        <f t="shared" si="335"/>
        <v>7.0505219206680581</v>
      </c>
      <c r="AC241" s="293">
        <f t="shared" si="335"/>
        <v>7.2597162245527453</v>
      </c>
      <c r="AD241" s="293">
        <f t="shared" si="335"/>
        <v>8.5248685806712494</v>
      </c>
      <c r="AE241" s="293">
        <f t="shared" si="335"/>
        <v>6.9556862745098043</v>
      </c>
      <c r="AF241" s="293">
        <f t="shared" si="335"/>
        <v>7.0477088440505371</v>
      </c>
      <c r="AG241" s="293">
        <f t="shared" si="335"/>
        <v>7.8933823529411766</v>
      </c>
      <c r="AH241" s="293">
        <f t="shared" si="335"/>
        <v>10.13978688820661</v>
      </c>
      <c r="AI241" s="293">
        <f t="shared" si="335"/>
        <v>9.2657107452646486</v>
      </c>
      <c r="AJ241" s="293">
        <f t="shared" si="335"/>
        <v>10.119018618409605</v>
      </c>
      <c r="AK241" s="293">
        <f t="shared" si="335"/>
        <v>9.9931105752669644</v>
      </c>
      <c r="AL241" s="293">
        <f t="shared" si="335"/>
        <v>11.564829125880131</v>
      </c>
      <c r="AM241" s="293">
        <f t="shared" si="335"/>
        <v>9.5460920129981179</v>
      </c>
      <c r="AN241" s="293">
        <f t="shared" si="335"/>
        <v>9.8201022146507668</v>
      </c>
      <c r="AO241" s="293">
        <f t="shared" si="335"/>
        <v>9.4073319755600817</v>
      </c>
      <c r="AP241" s="293">
        <f t="shared" si="335"/>
        <v>10.864718797500423</v>
      </c>
      <c r="AQ241" s="293">
        <f t="shared" si="335"/>
        <v>9.6221027880416532</v>
      </c>
      <c r="AR241" s="293">
        <f t="shared" si="335"/>
        <v>10.630897009966777</v>
      </c>
      <c r="AS241" s="293">
        <f t="shared" si="335"/>
        <v>11.234084553380491</v>
      </c>
      <c r="AT241" s="293">
        <f t="shared" si="335"/>
        <v>13.121033693163232</v>
      </c>
      <c r="AU241" s="343"/>
      <c r="AV241" s="343"/>
      <c r="AW241" s="343"/>
      <c r="AX241" s="343"/>
      <c r="AY241" s="639"/>
      <c r="AZ241" s="343"/>
      <c r="BA241" s="343"/>
      <c r="BB241" s="343"/>
      <c r="BC241" s="343"/>
      <c r="BD241" s="343"/>
      <c r="BE241" s="343"/>
      <c r="BF241" s="343"/>
      <c r="BG241" s="343"/>
      <c r="BH241" s="889"/>
      <c r="BI241" s="889"/>
      <c r="BJ241" s="890">
        <f>BJ121/AVERAGE(BI231,BJ231)/4</f>
        <v>1.4443146417445483</v>
      </c>
      <c r="BK241" s="890">
        <f>BK121/AVERAGE(BJ231,BK231)/4</f>
        <v>1.4575397393670342</v>
      </c>
      <c r="BL241" s="890">
        <f>SUM(C241,D241,E241,F241)</f>
        <v>6.8579226530609825</v>
      </c>
      <c r="BM241" s="890">
        <f>SUM(G241,H241,I241,J241)</f>
        <v>9.4505836487283759</v>
      </c>
      <c r="BN241" s="890">
        <f>SUM(K241,L241,M241,N241)</f>
        <v>11.944682634529066</v>
      </c>
      <c r="BO241" s="890">
        <f>SUM(O241,P241,Q241,R241)</f>
        <v>15.980802335297884</v>
      </c>
      <c r="BP241" s="890">
        <f>SUM(S241,T241,U241,V241)</f>
        <v>20.202910125612544</v>
      </c>
      <c r="BQ241" s="890">
        <f>SUM(W241,X241,Y241,Z241)</f>
        <v>24.972179169015977</v>
      </c>
      <c r="BR241" s="890">
        <f>SUM(AA241,AB241,AC241,AD241)</f>
        <v>29.256316265926127</v>
      </c>
      <c r="BS241" s="890">
        <f>SUM(AE241,AF241,AG241,AH241)</f>
        <v>32.03656435970813</v>
      </c>
      <c r="BT241" s="890">
        <f>SUM(AI241,AJ241,AK241,AL241)</f>
        <v>40.942669064821345</v>
      </c>
      <c r="BU241" s="890">
        <f>SUM(AM241,AN241,AO241,AP241)</f>
        <v>39.638245000709389</v>
      </c>
      <c r="BV241" s="890">
        <f>SUM(AQ241,AR241,AS241,AT241)</f>
        <v>44.608118044552157</v>
      </c>
      <c r="BW241" s="891"/>
      <c r="BX241" s="889"/>
      <c r="BY241" s="889"/>
      <c r="BZ241" s="889"/>
      <c r="CA241" s="889"/>
      <c r="CB241" s="889"/>
      <c r="CC241" s="290"/>
    </row>
    <row r="242" spans="1:81" s="703" customFormat="1" x14ac:dyDescent="0.55000000000000004">
      <c r="A242" s="233"/>
      <c r="B242" s="232"/>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272"/>
      <c r="AZ242" s="35"/>
      <c r="BA242" s="35"/>
      <c r="BB242" s="35"/>
      <c r="BC242" s="35"/>
      <c r="BD242" s="35"/>
      <c r="BE242" s="35"/>
      <c r="BF242" s="35"/>
      <c r="BG242" s="35"/>
      <c r="BH242" s="812"/>
      <c r="BI242" s="812"/>
      <c r="BJ242" s="812"/>
      <c r="BK242" s="812"/>
      <c r="BL242" s="812"/>
      <c r="BM242" s="812"/>
      <c r="BN242" s="812"/>
      <c r="BO242" s="812"/>
      <c r="BP242" s="812"/>
      <c r="BQ242" s="812"/>
      <c r="BR242" s="812"/>
      <c r="BS242" s="812"/>
      <c r="BT242" s="812"/>
      <c r="BU242" s="812"/>
      <c r="BV242" s="812"/>
      <c r="BW242" s="814"/>
      <c r="BX242" s="812"/>
      <c r="BY242" s="812"/>
      <c r="BZ242" s="812"/>
      <c r="CA242" s="812"/>
      <c r="CB242" s="812"/>
      <c r="CC242" s="6"/>
    </row>
    <row r="243" spans="1:81" x14ac:dyDescent="0.55000000000000004">
      <c r="A243" s="598" t="s">
        <v>857</v>
      </c>
      <c r="B243" s="196"/>
      <c r="C243" s="598"/>
      <c r="D243" s="598"/>
      <c r="E243" s="598"/>
      <c r="F243" s="598"/>
      <c r="G243" s="598"/>
      <c r="H243" s="598"/>
      <c r="I243" s="598"/>
      <c r="J243" s="598"/>
      <c r="K243" s="598"/>
      <c r="L243" s="598"/>
      <c r="M243" s="598"/>
      <c r="N243" s="598"/>
      <c r="O243" s="598"/>
      <c r="P243" s="598"/>
      <c r="Q243" s="598"/>
      <c r="R243" s="598"/>
      <c r="S243" s="598"/>
      <c r="T243" s="598"/>
      <c r="U243" s="598"/>
      <c r="V243" s="598"/>
      <c r="W243" s="598"/>
      <c r="X243" s="598"/>
      <c r="Y243" s="598"/>
      <c r="Z243" s="598"/>
      <c r="AA243" s="598"/>
      <c r="AB243" s="598"/>
      <c r="AC243" s="598"/>
      <c r="AD243" s="598"/>
      <c r="AE243" s="598"/>
      <c r="AF243" s="598"/>
      <c r="AG243" s="598"/>
      <c r="AH243" s="598"/>
      <c r="AI243" s="598"/>
      <c r="AJ243" s="598"/>
      <c r="AK243" s="598"/>
      <c r="AL243" s="598"/>
      <c r="AM243" s="598"/>
      <c r="AN243" s="598"/>
      <c r="AO243" s="598"/>
      <c r="AP243" s="598"/>
      <c r="AQ243" s="598"/>
      <c r="AR243" s="598"/>
      <c r="AS243" s="598"/>
      <c r="AT243" s="598"/>
      <c r="AU243" s="598"/>
      <c r="AV243" s="598"/>
      <c r="AW243" s="598"/>
      <c r="AX243" s="598"/>
      <c r="AY243" s="599"/>
      <c r="AZ243" s="598"/>
      <c r="BA243" s="598"/>
      <c r="BB243" s="598"/>
      <c r="BC243" s="598"/>
      <c r="BD243" s="598"/>
      <c r="BE243" s="598"/>
      <c r="BF243" s="598"/>
      <c r="BG243" s="598"/>
      <c r="BH243" s="598"/>
      <c r="BI243" s="598"/>
      <c r="BJ243" s="598"/>
      <c r="BK243" s="598"/>
      <c r="BL243" s="598"/>
      <c r="BM243" s="598"/>
      <c r="BN243" s="598"/>
      <c r="BO243" s="598"/>
      <c r="BP243" s="598"/>
      <c r="BQ243" s="598"/>
      <c r="BR243" s="598"/>
      <c r="BS243" s="598"/>
      <c r="BT243" s="598"/>
      <c r="BU243" s="598"/>
      <c r="BV243" s="598"/>
      <c r="BW243" s="599"/>
      <c r="BX243" s="598"/>
      <c r="BY243" s="598"/>
      <c r="BZ243" s="598"/>
      <c r="CA243" s="598"/>
      <c r="CB243" s="598"/>
      <c r="CC243" s="217"/>
    </row>
    <row r="244" spans="1:81" outlineLevel="1" x14ac:dyDescent="0.55000000000000004">
      <c r="A244" s="74" t="s">
        <v>694</v>
      </c>
      <c r="B244" s="229"/>
      <c r="C244" s="759">
        <v>4900</v>
      </c>
      <c r="D244" s="759">
        <v>5299</v>
      </c>
      <c r="E244" s="759">
        <v>5794</v>
      </c>
      <c r="F244" s="759">
        <v>6337</v>
      </c>
      <c r="G244" s="759">
        <v>6818</v>
      </c>
      <c r="H244" s="759">
        <v>7185</v>
      </c>
      <c r="I244" s="759">
        <v>8348</v>
      </c>
      <c r="J244" s="759">
        <v>9199</v>
      </c>
      <c r="K244" s="759">
        <v>10082</v>
      </c>
      <c r="L244" s="759">
        <v>10955</v>
      </c>
      <c r="M244" s="759">
        <v>11996</v>
      </c>
      <c r="N244" s="117">
        <f>BN244</f>
        <v>12691</v>
      </c>
      <c r="O244" s="759">
        <v>13598</v>
      </c>
      <c r="P244" s="759">
        <v>14495</v>
      </c>
      <c r="Q244" s="759">
        <v>15724</v>
      </c>
      <c r="R244" s="37">
        <f>BO244</f>
        <v>17048</v>
      </c>
      <c r="S244" s="759">
        <v>18770</v>
      </c>
      <c r="T244" s="759">
        <v>20658</v>
      </c>
      <c r="U244" s="759">
        <v>23165</v>
      </c>
      <c r="V244" s="37">
        <f>BP244</f>
        <v>25105</v>
      </c>
      <c r="W244" s="759">
        <v>27742</v>
      </c>
      <c r="X244" s="759">
        <v>30275</v>
      </c>
      <c r="Y244" s="759">
        <v>33606</v>
      </c>
      <c r="Z244" s="37">
        <f>BQ244</f>
        <v>35587</v>
      </c>
      <c r="AA244" s="759">
        <v>37773</v>
      </c>
      <c r="AB244" s="759">
        <v>39651</v>
      </c>
      <c r="AC244" s="759">
        <v>43030</v>
      </c>
      <c r="AD244" s="37">
        <f>BR244</f>
        <v>44942</v>
      </c>
      <c r="AE244" s="759">
        <v>48268</v>
      </c>
      <c r="AF244" s="759">
        <v>52534</v>
      </c>
      <c r="AG244" s="759">
        <v>56653</v>
      </c>
      <c r="AH244" s="37">
        <f>BS244</f>
        <v>58604</v>
      </c>
      <c r="AI244" s="759">
        <v>60654</v>
      </c>
      <c r="AJ244" s="759">
        <v>63404</v>
      </c>
      <c r="AK244" s="759">
        <v>68177</v>
      </c>
      <c r="AL244" s="37">
        <f>BT244</f>
        <v>71970</v>
      </c>
      <c r="AM244" s="759">
        <v>77805</v>
      </c>
      <c r="AN244" s="759">
        <v>83553</v>
      </c>
      <c r="AO244" s="759">
        <v>87314</v>
      </c>
      <c r="AP244" s="37">
        <f>BU244</f>
        <v>86482</v>
      </c>
      <c r="AQ244" s="759">
        <v>77114</v>
      </c>
      <c r="AR244" s="759">
        <v>71469</v>
      </c>
      <c r="AS244" s="759">
        <v>66185</v>
      </c>
      <c r="AT244" s="37">
        <f>BV244</f>
        <v>67317</v>
      </c>
      <c r="AU244" s="759">
        <v>69329</v>
      </c>
      <c r="AV244" s="759">
        <v>70799</v>
      </c>
      <c r="AW244" s="759">
        <v>72404</v>
      </c>
      <c r="AX244" s="37">
        <f>BW244</f>
        <v>74067</v>
      </c>
      <c r="AY244" s="762">
        <v>76834</v>
      </c>
      <c r="AZ244" s="37"/>
      <c r="BA244" s="37"/>
      <c r="BB244" s="37"/>
      <c r="BC244" s="37"/>
      <c r="BD244" s="37"/>
      <c r="BE244" s="37"/>
      <c r="BF244" s="37"/>
      <c r="BG244" s="37"/>
      <c r="BH244" s="158"/>
      <c r="BI244" s="158"/>
      <c r="BJ244" s="857">
        <v>3200</v>
      </c>
      <c r="BK244" s="857">
        <v>4619</v>
      </c>
      <c r="BL244" s="857">
        <v>6337</v>
      </c>
      <c r="BM244" s="857">
        <v>9199</v>
      </c>
      <c r="BN244" s="857">
        <v>12691</v>
      </c>
      <c r="BO244" s="857">
        <v>17048</v>
      </c>
      <c r="BP244" s="857">
        <v>25105</v>
      </c>
      <c r="BQ244" s="857">
        <v>35587</v>
      </c>
      <c r="BR244" s="857">
        <v>44942</v>
      </c>
      <c r="BS244" s="857">
        <v>58604</v>
      </c>
      <c r="BT244" s="857">
        <v>71970</v>
      </c>
      <c r="BU244" s="857">
        <v>86482</v>
      </c>
      <c r="BV244" s="857">
        <v>67317</v>
      </c>
      <c r="BW244" s="862">
        <v>74067</v>
      </c>
      <c r="BX244" s="158"/>
      <c r="BY244" s="158"/>
      <c r="BZ244" s="158"/>
      <c r="CA244" s="158"/>
      <c r="CB244" s="158"/>
      <c r="CC244" s="117"/>
    </row>
    <row r="245" spans="1:81" outlineLevel="1" x14ac:dyDescent="0.55000000000000004">
      <c r="A245" s="28" t="s">
        <v>388</v>
      </c>
      <c r="B245" s="237"/>
      <c r="C245" s="55"/>
      <c r="D245" s="55"/>
      <c r="E245" s="55"/>
      <c r="F245" s="55"/>
      <c r="G245" s="55">
        <f t="shared" ref="G245:Q245" si="336">G244/C244-1</f>
        <v>0.39142857142857146</v>
      </c>
      <c r="H245" s="55">
        <f t="shared" si="336"/>
        <v>0.35591621060577472</v>
      </c>
      <c r="I245" s="55">
        <f t="shared" si="336"/>
        <v>0.44080082844321722</v>
      </c>
      <c r="J245" s="55">
        <f t="shared" si="336"/>
        <v>0.45163326495186995</v>
      </c>
      <c r="K245" s="55">
        <f t="shared" si="336"/>
        <v>0.47873276620709881</v>
      </c>
      <c r="L245" s="55">
        <f t="shared" si="336"/>
        <v>0.52470424495476697</v>
      </c>
      <c r="M245" s="55">
        <f t="shared" si="336"/>
        <v>0.43699089602299956</v>
      </c>
      <c r="N245" s="55">
        <f t="shared" si="336"/>
        <v>0.3796064789651048</v>
      </c>
      <c r="O245" s="24">
        <f t="shared" si="336"/>
        <v>0.34874032929974219</v>
      </c>
      <c r="P245" s="24">
        <f t="shared" si="336"/>
        <v>0.32314011866727532</v>
      </c>
      <c r="Q245" s="24">
        <f t="shared" si="336"/>
        <v>0.31077025675225078</v>
      </c>
      <c r="R245" s="55">
        <f>BO245</f>
        <v>0.34331415964069034</v>
      </c>
      <c r="S245" s="761">
        <v>0.38</v>
      </c>
      <c r="T245" s="761">
        <v>0.43</v>
      </c>
      <c r="U245" s="761">
        <v>0.47</v>
      </c>
      <c r="V245" s="55">
        <f>BP245</f>
        <v>0.4726067573908963</v>
      </c>
      <c r="W245" s="761">
        <v>0.48</v>
      </c>
      <c r="X245" s="761">
        <v>0.47</v>
      </c>
      <c r="Y245" s="761">
        <v>0.45</v>
      </c>
      <c r="Z245" s="55">
        <f>BQ245</f>
        <v>0.42</v>
      </c>
      <c r="AA245" s="761">
        <v>0.36</v>
      </c>
      <c r="AB245" s="761">
        <v>0.31</v>
      </c>
      <c r="AC245" s="761">
        <v>0.28000000000000003</v>
      </c>
      <c r="AD245" s="55">
        <f>BR245</f>
        <v>0.26</v>
      </c>
      <c r="AE245" s="761">
        <v>0.28000000000000003</v>
      </c>
      <c r="AF245" s="761">
        <v>0.32</v>
      </c>
      <c r="AG245" s="761">
        <v>0.32</v>
      </c>
      <c r="AH245" s="55">
        <f>BS245</f>
        <v>0.3</v>
      </c>
      <c r="AI245" s="761">
        <v>0.26</v>
      </c>
      <c r="AJ245" s="761">
        <v>0.21</v>
      </c>
      <c r="AK245" s="761">
        <v>0.2</v>
      </c>
      <c r="AL245" s="55">
        <f>BT245</f>
        <v>0.23</v>
      </c>
      <c r="AM245" s="761">
        <v>0.28000000000000003</v>
      </c>
      <c r="AN245" s="761">
        <v>0.32</v>
      </c>
      <c r="AO245" s="761">
        <v>0.28000000000000003</v>
      </c>
      <c r="AP245" s="55">
        <f>BU245</f>
        <v>0.2</v>
      </c>
      <c r="AQ245" s="761">
        <v>-0.01</v>
      </c>
      <c r="AR245" s="761">
        <v>-0.14000000000000001</v>
      </c>
      <c r="AS245" s="761">
        <v>-0.24</v>
      </c>
      <c r="AT245" s="55">
        <f>BV245</f>
        <v>-0.22</v>
      </c>
      <c r="AU245" s="761">
        <v>-0.1</v>
      </c>
      <c r="AV245" s="761">
        <v>-0.01</v>
      </c>
      <c r="AW245" s="761">
        <v>0.09</v>
      </c>
      <c r="AX245" s="55">
        <f>BW245</f>
        <v>0.1</v>
      </c>
      <c r="AY245" s="767">
        <v>0.11</v>
      </c>
      <c r="AZ245" s="55"/>
      <c r="BA245" s="55"/>
      <c r="BB245" s="55"/>
      <c r="BC245" s="55"/>
      <c r="BD245" s="55"/>
      <c r="BE245" s="55"/>
      <c r="BF245" s="55"/>
      <c r="BG245" s="55"/>
      <c r="BH245" s="156"/>
      <c r="BI245" s="156"/>
      <c r="BJ245" s="156"/>
      <c r="BK245" s="156">
        <f>+BK244/BJ244-1</f>
        <v>0.44343749999999993</v>
      </c>
      <c r="BL245" s="156">
        <f>BL244/BK244-1</f>
        <v>0.3719419787832865</v>
      </c>
      <c r="BM245" s="156">
        <f>BM244/BL244-1</f>
        <v>0.45163326495186995</v>
      </c>
      <c r="BN245" s="156">
        <f>BN244/BM244-1</f>
        <v>0.3796064789651048</v>
      </c>
      <c r="BO245" s="156">
        <f>BO244/BN244-1</f>
        <v>0.34331415964069034</v>
      </c>
      <c r="BP245" s="156">
        <f>BP244/BO244-1</f>
        <v>0.4726067573908963</v>
      </c>
      <c r="BQ245" s="859">
        <v>0.42</v>
      </c>
      <c r="BR245" s="859">
        <v>0.26</v>
      </c>
      <c r="BS245" s="859">
        <v>0.3</v>
      </c>
      <c r="BT245" s="859">
        <v>0.23</v>
      </c>
      <c r="BU245" s="859">
        <v>0.2</v>
      </c>
      <c r="BV245" s="859">
        <v>-0.22</v>
      </c>
      <c r="BW245" s="892">
        <v>0.1</v>
      </c>
      <c r="BX245" s="156"/>
      <c r="BY245" s="156"/>
      <c r="BZ245" s="156"/>
      <c r="CA245" s="156"/>
      <c r="CB245" s="156"/>
      <c r="CC245" s="24"/>
    </row>
    <row r="246" spans="1:81" outlineLevel="1" x14ac:dyDescent="0.55000000000000004">
      <c r="A246" s="28" t="s">
        <v>385</v>
      </c>
      <c r="B246" s="237"/>
      <c r="C246" s="761">
        <v>0.69</v>
      </c>
      <c r="D246" s="761">
        <v>0.57999999999999996</v>
      </c>
      <c r="E246" s="761">
        <v>0.46</v>
      </c>
      <c r="F246" s="55"/>
      <c r="G246" s="761">
        <v>0.45</v>
      </c>
      <c r="H246" s="761">
        <v>0.39</v>
      </c>
      <c r="I246" s="761">
        <v>0.49</v>
      </c>
      <c r="J246" s="55"/>
      <c r="K246" s="761">
        <v>0.55000000000000004</v>
      </c>
      <c r="L246" s="761">
        <v>0.62</v>
      </c>
      <c r="M246" s="761">
        <v>0.52</v>
      </c>
      <c r="N246" s="24">
        <f>BN246</f>
        <v>0.43</v>
      </c>
      <c r="O246" s="761">
        <v>0.26</v>
      </c>
      <c r="P246" s="761">
        <v>0.34</v>
      </c>
      <c r="Q246" s="761">
        <v>0.32</v>
      </c>
      <c r="R246" s="55">
        <f>BO246</f>
        <v>0.34</v>
      </c>
      <c r="S246" s="761">
        <v>0.44</v>
      </c>
      <c r="T246" s="761">
        <v>0.48</v>
      </c>
      <c r="U246" s="761">
        <v>0.51</v>
      </c>
      <c r="V246" s="55">
        <f>BP246</f>
        <v>0.49</v>
      </c>
      <c r="W246" s="761">
        <v>0.5</v>
      </c>
      <c r="X246" s="761">
        <v>0.46</v>
      </c>
      <c r="Y246" s="761">
        <v>0.45</v>
      </c>
      <c r="Z246" s="55">
        <f>BQ246</f>
        <v>0.43</v>
      </c>
      <c r="AA246" s="761">
        <v>0.36</v>
      </c>
      <c r="AB246" s="761">
        <v>0.32</v>
      </c>
      <c r="AC246" s="761">
        <v>0.31</v>
      </c>
      <c r="AD246" s="55">
        <f>BR246</f>
        <v>0.31</v>
      </c>
      <c r="AE246" s="761">
        <v>0.35</v>
      </c>
      <c r="AF246" s="761">
        <v>0.41</v>
      </c>
      <c r="AG246" s="761">
        <v>0.41</v>
      </c>
      <c r="AH246" s="55">
        <f>BS246</f>
        <v>0.4</v>
      </c>
      <c r="AI246" s="761">
        <v>0.35</v>
      </c>
      <c r="AJ246" s="761">
        <v>0.3</v>
      </c>
      <c r="AK246" s="761">
        <v>0.28000000000000003</v>
      </c>
      <c r="AL246" s="55">
        <f>BT246</f>
        <v>0.3</v>
      </c>
      <c r="AM246" s="761">
        <v>0.35</v>
      </c>
      <c r="AN246" s="761">
        <v>0.39</v>
      </c>
      <c r="AO246" s="761">
        <v>0.32</v>
      </c>
      <c r="AP246" s="761">
        <v>0.26</v>
      </c>
      <c r="AQ246" s="55"/>
      <c r="AR246" s="55"/>
      <c r="AS246" s="55"/>
      <c r="AT246" s="55"/>
      <c r="AU246" s="55"/>
      <c r="AV246" s="55"/>
      <c r="AW246" s="55"/>
      <c r="AX246" s="55"/>
      <c r="AY246" s="275"/>
      <c r="AZ246" s="55"/>
      <c r="BA246" s="55"/>
      <c r="BB246" s="55"/>
      <c r="BC246" s="55"/>
      <c r="BD246" s="55"/>
      <c r="BE246" s="55"/>
      <c r="BF246" s="55"/>
      <c r="BG246" s="55"/>
      <c r="BH246" s="156"/>
      <c r="BI246" s="156"/>
      <c r="BJ246" s="859">
        <v>0.56999999999999995</v>
      </c>
      <c r="BK246" s="859">
        <v>0.73</v>
      </c>
      <c r="BL246" s="859">
        <v>0.5</v>
      </c>
      <c r="BM246" s="859">
        <v>0.48</v>
      </c>
      <c r="BN246" s="859">
        <v>0.43</v>
      </c>
      <c r="BO246" s="859">
        <v>0.34</v>
      </c>
      <c r="BP246" s="859">
        <v>0.49</v>
      </c>
      <c r="BQ246" s="859">
        <v>0.43</v>
      </c>
      <c r="BR246" s="859">
        <v>0.31</v>
      </c>
      <c r="BS246" s="859">
        <v>0.4</v>
      </c>
      <c r="BT246" s="859">
        <v>0.3</v>
      </c>
      <c r="BU246" s="859">
        <v>0.26</v>
      </c>
      <c r="BV246" s="156"/>
      <c r="BW246" s="856"/>
      <c r="BX246" s="156"/>
      <c r="BY246" s="156"/>
      <c r="BZ246" s="156"/>
      <c r="CA246" s="156"/>
      <c r="CB246" s="156"/>
      <c r="CC246" s="24"/>
    </row>
    <row r="247" spans="1:81" outlineLevel="1" x14ac:dyDescent="0.55000000000000004">
      <c r="A247" s="28" t="s">
        <v>386</v>
      </c>
      <c r="B247" s="237"/>
      <c r="C247" s="761">
        <v>0.17</v>
      </c>
      <c r="D247" s="761">
        <v>0.18</v>
      </c>
      <c r="E247" s="761">
        <v>0.27</v>
      </c>
      <c r="F247" s="55"/>
      <c r="G247" s="761">
        <v>0.43</v>
      </c>
      <c r="H247" s="761">
        <v>0.43</v>
      </c>
      <c r="I247" s="761">
        <v>0.44</v>
      </c>
      <c r="J247" s="55"/>
      <c r="K247" s="761">
        <v>0.4</v>
      </c>
      <c r="L247" s="761">
        <v>0.41</v>
      </c>
      <c r="M247" s="761">
        <v>0.35</v>
      </c>
      <c r="N247" s="24">
        <f>BN247</f>
        <v>0.32</v>
      </c>
      <c r="O247" s="761">
        <v>0.32</v>
      </c>
      <c r="P247" s="761">
        <v>0.28999999999999998</v>
      </c>
      <c r="Q247" s="761">
        <v>0.27</v>
      </c>
      <c r="R247" s="55">
        <f>BO247</f>
        <v>0.28000000000000003</v>
      </c>
      <c r="S247" s="761">
        <v>0.3</v>
      </c>
      <c r="T247" s="761">
        <v>0.3</v>
      </c>
      <c r="U247" s="761">
        <v>0.34</v>
      </c>
      <c r="V247" s="55">
        <f>BP247</f>
        <v>0.35</v>
      </c>
      <c r="W247" s="761">
        <v>0.36</v>
      </c>
      <c r="X247" s="761">
        <v>0.37</v>
      </c>
      <c r="Y247" s="761">
        <v>0.36</v>
      </c>
      <c r="Z247" s="55">
        <f>BQ247</f>
        <v>0.33</v>
      </c>
      <c r="AA247" s="761">
        <v>0.32</v>
      </c>
      <c r="AB247" s="761">
        <v>0.28000000000000003</v>
      </c>
      <c r="AC247" s="761">
        <v>0.24</v>
      </c>
      <c r="AD247" s="55">
        <f>BR247</f>
        <v>0.23</v>
      </c>
      <c r="AE247" s="761">
        <v>0.2</v>
      </c>
      <c r="AF247" s="761">
        <v>0.22</v>
      </c>
      <c r="AG247" s="761">
        <v>0.18</v>
      </c>
      <c r="AH247" s="55">
        <f>BS247</f>
        <v>0.16</v>
      </c>
      <c r="AI247" s="761">
        <v>0.1</v>
      </c>
      <c r="AJ247" s="761">
        <v>0.06</v>
      </c>
      <c r="AK247" s="761">
        <v>7.0000000000000007E-2</v>
      </c>
      <c r="AL247" s="55">
        <f>BT247</f>
        <v>0.09</v>
      </c>
      <c r="AM247" s="761">
        <v>0.14000000000000001</v>
      </c>
      <c r="AN247" s="761">
        <v>0.15</v>
      </c>
      <c r="AO247" s="761">
        <v>0.14000000000000001</v>
      </c>
      <c r="AP247" s="55"/>
      <c r="AQ247" s="761">
        <v>-0.13</v>
      </c>
      <c r="AR247" s="761">
        <v>-0.2</v>
      </c>
      <c r="AS247" s="761">
        <v>-0.36</v>
      </c>
      <c r="AT247" s="55"/>
      <c r="AU247" s="55"/>
      <c r="AV247" s="55"/>
      <c r="AW247" s="55"/>
      <c r="AX247" s="55"/>
      <c r="AY247" s="275"/>
      <c r="AZ247" s="55"/>
      <c r="BA247" s="55"/>
      <c r="BB247" s="55"/>
      <c r="BC247" s="55"/>
      <c r="BD247" s="55"/>
      <c r="BE247" s="55"/>
      <c r="BF247" s="55"/>
      <c r="BG247" s="55"/>
      <c r="BH247" s="156"/>
      <c r="BI247" s="156"/>
      <c r="BJ247" s="859">
        <v>0.45</v>
      </c>
      <c r="BK247" s="859">
        <v>0.19</v>
      </c>
      <c r="BL247" s="859">
        <v>0.36</v>
      </c>
      <c r="BM247" s="859">
        <v>0.44</v>
      </c>
      <c r="BN247" s="859">
        <v>0.32</v>
      </c>
      <c r="BO247" s="859">
        <v>0.28000000000000003</v>
      </c>
      <c r="BP247" s="859">
        <v>0.35</v>
      </c>
      <c r="BQ247" s="859">
        <v>0.33</v>
      </c>
      <c r="BR247" s="859">
        <v>0.23</v>
      </c>
      <c r="BS247" s="859">
        <v>0.16</v>
      </c>
      <c r="BT247" s="859">
        <v>0.09</v>
      </c>
      <c r="BU247" s="156"/>
      <c r="BV247" s="156"/>
      <c r="BW247" s="856"/>
      <c r="BX247" s="156"/>
      <c r="BY247" s="156"/>
      <c r="BZ247" s="156"/>
      <c r="CA247" s="156"/>
      <c r="CB247" s="156"/>
      <c r="CC247" s="24"/>
    </row>
    <row r="248" spans="1:81" outlineLevel="1" x14ac:dyDescent="0.55000000000000004">
      <c r="A248" s="28" t="s">
        <v>387</v>
      </c>
      <c r="B248" s="237"/>
      <c r="C248" s="761">
        <v>0.23</v>
      </c>
      <c r="D248" s="55"/>
      <c r="E248" s="761">
        <v>0.2</v>
      </c>
      <c r="F248" s="55"/>
      <c r="G248" s="761">
        <v>0.23</v>
      </c>
      <c r="H248" s="761">
        <v>0.27</v>
      </c>
      <c r="I248" s="761">
        <v>0.41</v>
      </c>
      <c r="J248" s="55"/>
      <c r="K248" s="761">
        <v>0.63</v>
      </c>
      <c r="L248" s="761">
        <v>0.62</v>
      </c>
      <c r="M248" s="761">
        <v>0.47</v>
      </c>
      <c r="N248" s="24">
        <f>BN248</f>
        <v>0.36</v>
      </c>
      <c r="O248" s="761">
        <v>0.32</v>
      </c>
      <c r="P248" s="761">
        <v>0.31</v>
      </c>
      <c r="Q248" s="761">
        <v>0.31</v>
      </c>
      <c r="R248" s="55">
        <f>BO248</f>
        <v>0.43</v>
      </c>
      <c r="S248" s="761">
        <v>0.35</v>
      </c>
      <c r="T248" s="761">
        <v>0.47</v>
      </c>
      <c r="U248" s="761">
        <v>0.56999999999999995</v>
      </c>
      <c r="V248" s="55">
        <f>BP248</f>
        <v>0.57999999999999996</v>
      </c>
      <c r="W248" s="761">
        <v>0.61</v>
      </c>
      <c r="X248" s="761">
        <v>0.56999999999999995</v>
      </c>
      <c r="Y248" s="761">
        <v>0.44</v>
      </c>
      <c r="Z248" s="55">
        <f>BQ248</f>
        <v>0.32</v>
      </c>
      <c r="AA248" s="761">
        <v>0.33</v>
      </c>
      <c r="AB248" s="761">
        <v>0.28000000000000003</v>
      </c>
      <c r="AC248" s="761">
        <v>0.32</v>
      </c>
      <c r="AD248" s="55">
        <f>BR248</f>
        <v>0.31</v>
      </c>
      <c r="AE248" s="761">
        <v>0.28999999999999998</v>
      </c>
      <c r="AF248" s="761">
        <v>0.31</v>
      </c>
      <c r="AG248" s="761">
        <v>0.26</v>
      </c>
      <c r="AH248" s="55">
        <f>BS248</f>
        <v>0.23</v>
      </c>
      <c r="AI248" s="761">
        <v>0.23</v>
      </c>
      <c r="AJ248" s="761">
        <v>0.18</v>
      </c>
      <c r="AK248" s="761">
        <v>0.18</v>
      </c>
      <c r="AL248" s="55">
        <f>BT248</f>
        <v>0.25</v>
      </c>
      <c r="AM248" s="761">
        <v>0.28999999999999998</v>
      </c>
      <c r="AN248" s="761">
        <v>0.34</v>
      </c>
      <c r="AO248" s="761">
        <v>0.3</v>
      </c>
      <c r="AP248" s="761">
        <v>0.2</v>
      </c>
      <c r="AQ248" s="55"/>
      <c r="AR248" s="761">
        <v>-0.11</v>
      </c>
      <c r="AS248" s="761">
        <v>-0.36</v>
      </c>
      <c r="AT248" s="55"/>
      <c r="AU248" s="55"/>
      <c r="AV248" s="55"/>
      <c r="AW248" s="55"/>
      <c r="AX248" s="55"/>
      <c r="AY248" s="275"/>
      <c r="AZ248" s="55"/>
      <c r="BA248" s="55"/>
      <c r="BB248" s="55"/>
      <c r="BC248" s="55"/>
      <c r="BD248" s="55"/>
      <c r="BE248" s="55"/>
      <c r="BF248" s="55"/>
      <c r="BG248" s="55"/>
      <c r="BH248" s="156"/>
      <c r="BI248" s="156"/>
      <c r="BJ248" s="859">
        <v>0.6</v>
      </c>
      <c r="BK248" s="859">
        <v>0.38</v>
      </c>
      <c r="BL248" s="859">
        <v>0.19</v>
      </c>
      <c r="BM248" s="859">
        <v>0.55000000000000004</v>
      </c>
      <c r="BN248" s="859">
        <v>0.36</v>
      </c>
      <c r="BO248" s="859">
        <v>0.43</v>
      </c>
      <c r="BP248" s="859">
        <v>0.57999999999999996</v>
      </c>
      <c r="BQ248" s="859">
        <v>0.32</v>
      </c>
      <c r="BR248" s="859">
        <v>0.31</v>
      </c>
      <c r="BS248" s="859">
        <v>0.23</v>
      </c>
      <c r="BT248" s="859">
        <v>0.25</v>
      </c>
      <c r="BU248" s="859">
        <v>0.2</v>
      </c>
      <c r="BV248" s="156"/>
      <c r="BW248" s="856"/>
      <c r="BX248" s="156"/>
      <c r="BY248" s="156"/>
      <c r="BZ248" s="156"/>
      <c r="CA248" s="156"/>
      <c r="CB248" s="156"/>
      <c r="CC248" s="24"/>
    </row>
    <row r="249" spans="1:81" x14ac:dyDescent="0.55000000000000004">
      <c r="A249" s="192"/>
      <c r="B249" s="193"/>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272"/>
      <c r="AZ249" s="35"/>
      <c r="BA249" s="35"/>
      <c r="BB249" s="35"/>
      <c r="BC249" s="35"/>
      <c r="BD249" s="35"/>
      <c r="BE249" s="35"/>
      <c r="BF249" s="35"/>
      <c r="BG249" s="35"/>
      <c r="BH249" s="812"/>
      <c r="BI249" s="812"/>
      <c r="BJ249" s="812"/>
      <c r="BK249" s="812"/>
      <c r="BL249" s="812"/>
      <c r="BM249" s="812"/>
      <c r="BN249" s="812"/>
      <c r="BO249" s="812"/>
      <c r="BP249" s="812"/>
      <c r="BQ249" s="812"/>
      <c r="BR249" s="812"/>
      <c r="BS249" s="812"/>
      <c r="BT249" s="812"/>
      <c r="BU249" s="812"/>
      <c r="BV249" s="812"/>
      <c r="BW249" s="814"/>
      <c r="BX249" s="812"/>
      <c r="BY249" s="812"/>
      <c r="BZ249" s="812"/>
      <c r="CA249" s="812"/>
      <c r="CB249" s="812"/>
      <c r="CC249" s="6"/>
    </row>
    <row r="250" spans="1:81" x14ac:dyDescent="0.55000000000000004">
      <c r="A250" s="283" t="s">
        <v>537</v>
      </c>
      <c r="B250" s="196"/>
      <c r="C250" s="207"/>
      <c r="D250" s="207"/>
      <c r="E250" s="207"/>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c r="AK250" s="207"/>
      <c r="AL250" s="207"/>
      <c r="AM250" s="207"/>
      <c r="AN250" s="207"/>
      <c r="AO250" s="207"/>
      <c r="AP250" s="207"/>
      <c r="AQ250" s="207"/>
      <c r="AR250" s="207"/>
      <c r="AS250" s="207"/>
      <c r="AT250" s="207"/>
      <c r="AU250" s="207"/>
      <c r="AV250" s="207"/>
      <c r="AW250" s="207"/>
      <c r="AX250" s="207"/>
      <c r="AY250" s="284"/>
      <c r="AZ250" s="207"/>
      <c r="BA250" s="207"/>
      <c r="BB250" s="207"/>
      <c r="BC250" s="207"/>
      <c r="BD250" s="207"/>
      <c r="BE250" s="207"/>
      <c r="BF250" s="207"/>
      <c r="BG250" s="207"/>
      <c r="BH250" s="207"/>
      <c r="BI250" s="207"/>
      <c r="BJ250" s="207"/>
      <c r="BK250" s="207"/>
      <c r="BL250" s="207"/>
      <c r="BM250" s="207"/>
      <c r="BN250" s="207"/>
      <c r="BO250" s="207"/>
      <c r="BP250" s="207"/>
      <c r="BQ250" s="207"/>
      <c r="BR250" s="207"/>
      <c r="BS250" s="207"/>
      <c r="BT250" s="207"/>
      <c r="BU250" s="207"/>
      <c r="BV250" s="207"/>
      <c r="BW250" s="284"/>
      <c r="BX250" s="207"/>
      <c r="BY250" s="207"/>
      <c r="BZ250" s="207"/>
      <c r="CA250" s="207"/>
      <c r="CB250" s="207"/>
      <c r="CC250" s="6"/>
    </row>
    <row r="251" spans="1:81" outlineLevel="1" x14ac:dyDescent="0.55000000000000004">
      <c r="A251" s="287" t="s">
        <v>458</v>
      </c>
      <c r="B251" s="229"/>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273"/>
      <c r="AZ251" s="37"/>
      <c r="BA251" s="37"/>
      <c r="BB251" s="37"/>
      <c r="BC251" s="37"/>
      <c r="BD251" s="37"/>
      <c r="BE251" s="37"/>
      <c r="BF251" s="37"/>
      <c r="BG251" s="37"/>
      <c r="BH251" s="158"/>
      <c r="BI251" s="857">
        <v>8</v>
      </c>
      <c r="BJ251" s="857">
        <v>28</v>
      </c>
      <c r="BK251" s="857">
        <v>67</v>
      </c>
      <c r="BL251" s="857">
        <v>117</v>
      </c>
      <c r="BM251" s="857">
        <v>135</v>
      </c>
      <c r="BN251" s="857">
        <v>281</v>
      </c>
      <c r="BO251" s="857">
        <v>310</v>
      </c>
      <c r="BP251" s="857">
        <v>324</v>
      </c>
      <c r="BQ251" s="857">
        <v>1100</v>
      </c>
      <c r="BR251" s="857">
        <v>1570</v>
      </c>
      <c r="BS251" s="857">
        <v>2260</v>
      </c>
      <c r="BT251" s="857">
        <v>2990</v>
      </c>
      <c r="BU251" s="857">
        <v>2650</v>
      </c>
      <c r="BV251" s="857">
        <v>2020</v>
      </c>
      <c r="BW251" s="846"/>
      <c r="BX251" s="158"/>
      <c r="BY251" s="158"/>
      <c r="BZ251" s="158"/>
      <c r="CA251" s="158"/>
      <c r="CB251" s="158"/>
      <c r="CC251" s="117"/>
    </row>
    <row r="252" spans="1:81" s="704" customFormat="1" outlineLevel="1" x14ac:dyDescent="0.55000000000000004">
      <c r="A252" s="79" t="s">
        <v>603</v>
      </c>
      <c r="B252" s="298"/>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623"/>
      <c r="AZ252" s="54"/>
      <c r="BA252" s="54"/>
      <c r="BB252" s="54"/>
      <c r="BC252" s="54"/>
      <c r="BD252" s="54"/>
      <c r="BE252" s="54"/>
      <c r="BF252" s="54"/>
      <c r="BG252" s="54"/>
      <c r="BH252" s="815"/>
      <c r="BI252" s="815"/>
      <c r="BJ252" s="815">
        <f t="shared" ref="BJ252:BV252" si="337">BJ251/BI251-1</f>
        <v>2.5</v>
      </c>
      <c r="BK252" s="815">
        <f t="shared" si="337"/>
        <v>1.3928571428571428</v>
      </c>
      <c r="BL252" s="815">
        <f t="shared" si="337"/>
        <v>0.74626865671641784</v>
      </c>
      <c r="BM252" s="815">
        <f t="shared" si="337"/>
        <v>0.15384615384615374</v>
      </c>
      <c r="BN252" s="815">
        <f t="shared" si="337"/>
        <v>1.0814814814814815</v>
      </c>
      <c r="BO252" s="815">
        <f t="shared" si="337"/>
        <v>0.10320284697508897</v>
      </c>
      <c r="BP252" s="815">
        <f t="shared" si="337"/>
        <v>4.5161290322580649E-2</v>
      </c>
      <c r="BQ252" s="815">
        <f t="shared" si="337"/>
        <v>2.3950617283950617</v>
      </c>
      <c r="BR252" s="815">
        <f t="shared" si="337"/>
        <v>0.42727272727272725</v>
      </c>
      <c r="BS252" s="815">
        <f t="shared" si="337"/>
        <v>0.43949044585987251</v>
      </c>
      <c r="BT252" s="815">
        <f t="shared" si="337"/>
        <v>0.32300884955752207</v>
      </c>
      <c r="BU252" s="815">
        <f t="shared" si="337"/>
        <v>-0.11371237458193983</v>
      </c>
      <c r="BV252" s="815">
        <f t="shared" si="337"/>
        <v>-0.23773584905660372</v>
      </c>
      <c r="BW252" s="816"/>
      <c r="BX252" s="815"/>
      <c r="BY252" s="815"/>
      <c r="BZ252" s="815"/>
      <c r="CA252" s="815"/>
      <c r="CB252" s="815"/>
      <c r="CC252" s="83"/>
    </row>
    <row r="253" spans="1:81" s="709" customFormat="1" outlineLevel="1" x14ac:dyDescent="0.55000000000000004">
      <c r="A253" s="262" t="s">
        <v>604</v>
      </c>
      <c r="B253" s="237"/>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275"/>
      <c r="AZ253" s="55"/>
      <c r="BA253" s="55"/>
      <c r="BB253" s="55"/>
      <c r="BC253" s="55"/>
      <c r="BD253" s="55"/>
      <c r="BE253" s="55"/>
      <c r="BF253" s="55"/>
      <c r="BG253" s="55"/>
      <c r="BH253" s="156"/>
      <c r="BI253" s="156">
        <f t="shared" ref="BI253:BV253" si="338">BI251/BI342</f>
        <v>4.790419161676647E-2</v>
      </c>
      <c r="BJ253" s="156">
        <f t="shared" si="338"/>
        <v>7.124681933842239E-2</v>
      </c>
      <c r="BK253" s="156">
        <f t="shared" si="338"/>
        <v>7.4776785714285712E-2</v>
      </c>
      <c r="BL253" s="156">
        <f t="shared" si="338"/>
        <v>0.11735205616850551</v>
      </c>
      <c r="BM253" s="156">
        <f t="shared" si="338"/>
        <v>8.0357142857142863E-2</v>
      </c>
      <c r="BN253" s="156">
        <f t="shared" si="338"/>
        <v>0.10311926605504587</v>
      </c>
      <c r="BO253" s="156">
        <f t="shared" si="338"/>
        <v>8.2184517497348883E-2</v>
      </c>
      <c r="BP253" s="156">
        <f t="shared" si="338"/>
        <v>6.8571428571428575E-2</v>
      </c>
      <c r="BQ253" s="156">
        <f t="shared" si="338"/>
        <v>0.14019882742798878</v>
      </c>
      <c r="BR253" s="156">
        <f t="shared" si="338"/>
        <v>0.158971243418388</v>
      </c>
      <c r="BS253" s="156">
        <f t="shared" si="338"/>
        <v>0.19497886291087912</v>
      </c>
      <c r="BT253" s="156">
        <f t="shared" si="338"/>
        <v>0.21291746777754042</v>
      </c>
      <c r="BU253" s="156">
        <f t="shared" si="338"/>
        <v>0.17363386187917704</v>
      </c>
      <c r="BV253" s="156">
        <f t="shared" si="338"/>
        <v>0.16421429152101455</v>
      </c>
      <c r="BW253" s="856"/>
      <c r="BX253" s="156"/>
      <c r="BY253" s="156"/>
      <c r="BZ253" s="156"/>
      <c r="CA253" s="156"/>
      <c r="CB253" s="156"/>
      <c r="CC253" s="24"/>
    </row>
    <row r="254" spans="1:81" outlineLevel="1" x14ac:dyDescent="0.55000000000000004">
      <c r="A254" s="287"/>
      <c r="B254" s="229"/>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273"/>
      <c r="AZ254" s="37"/>
      <c r="BA254" s="37"/>
      <c r="BB254" s="37"/>
      <c r="BC254" s="37"/>
      <c r="BD254" s="37"/>
      <c r="BE254" s="37"/>
      <c r="BF254" s="37"/>
      <c r="BG254" s="37"/>
      <c r="BH254" s="158"/>
      <c r="BI254" s="158"/>
      <c r="BJ254" s="158"/>
      <c r="BK254" s="158"/>
      <c r="BL254" s="158"/>
      <c r="BM254" s="158"/>
      <c r="BN254" s="158"/>
      <c r="BO254" s="158"/>
      <c r="BP254" s="158"/>
      <c r="BQ254" s="158"/>
      <c r="BR254" s="158"/>
      <c r="BS254" s="158"/>
      <c r="BT254" s="158"/>
      <c r="BU254" s="158"/>
      <c r="BV254" s="158"/>
      <c r="BW254" s="846"/>
      <c r="BX254" s="158"/>
      <c r="BY254" s="158"/>
      <c r="BZ254" s="158"/>
      <c r="CA254" s="158"/>
      <c r="CB254" s="158"/>
      <c r="CC254" s="117"/>
    </row>
    <row r="255" spans="1:81" s="709" customFormat="1" outlineLevel="1" x14ac:dyDescent="0.55000000000000004">
      <c r="A255" s="321" t="s">
        <v>1018</v>
      </c>
      <c r="B255" s="237"/>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761">
        <v>0.22</v>
      </c>
      <c r="AR255" s="761">
        <v>0.28000000000000003</v>
      </c>
      <c r="AS255" s="761">
        <v>0.26</v>
      </c>
      <c r="AT255" s="761">
        <v>0.16</v>
      </c>
      <c r="AU255" s="761">
        <v>0.16</v>
      </c>
      <c r="AV255" s="761">
        <v>0.08</v>
      </c>
      <c r="AW255" s="761">
        <v>7.0000000000000007E-2</v>
      </c>
      <c r="AX255" s="761">
        <v>0.06</v>
      </c>
      <c r="AY255" s="767">
        <v>0.04</v>
      </c>
      <c r="AZ255" s="55"/>
      <c r="BA255" s="55"/>
      <c r="BB255" s="55"/>
      <c r="BC255" s="55"/>
      <c r="BD255" s="55"/>
      <c r="BE255" s="55"/>
      <c r="BF255" s="55"/>
      <c r="BG255" s="55"/>
      <c r="BH255" s="156"/>
      <c r="BI255" s="156"/>
      <c r="BJ255" s="156"/>
      <c r="BK255" s="156"/>
      <c r="BL255" s="156"/>
      <c r="BM255" s="156"/>
      <c r="BN255" s="156"/>
      <c r="BO255" s="156"/>
      <c r="BP255" s="156"/>
      <c r="BQ255" s="156"/>
      <c r="BR255" s="156"/>
      <c r="BS255" s="156"/>
      <c r="BT255" s="156"/>
      <c r="BU255" s="156"/>
      <c r="BV255" s="156"/>
      <c r="BW255" s="856"/>
      <c r="BX255" s="156"/>
      <c r="BY255" s="156"/>
      <c r="BZ255" s="156"/>
      <c r="CA255" s="156"/>
      <c r="CB255" s="156"/>
      <c r="CC255" s="24"/>
    </row>
    <row r="256" spans="1:81" s="709" customFormat="1" outlineLevel="1" x14ac:dyDescent="0.55000000000000004">
      <c r="A256" s="321" t="s">
        <v>1012</v>
      </c>
      <c r="B256" s="237"/>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761">
        <v>0.11</v>
      </c>
      <c r="AR256" s="761">
        <v>0.26</v>
      </c>
      <c r="AS256" s="761">
        <v>0.25</v>
      </c>
      <c r="AT256" s="761">
        <v>0.17</v>
      </c>
      <c r="AU256" s="761">
        <v>0.12</v>
      </c>
      <c r="AV256" s="761">
        <v>0.06</v>
      </c>
      <c r="AW256" s="761">
        <v>0.05</v>
      </c>
      <c r="AX256" s="761">
        <v>0.05</v>
      </c>
      <c r="AY256" s="767">
        <v>0.05</v>
      </c>
      <c r="AZ256" s="55"/>
      <c r="BA256" s="55"/>
      <c r="BB256" s="55"/>
      <c r="BC256" s="55"/>
      <c r="BD256" s="55"/>
      <c r="BE256" s="55"/>
      <c r="BF256" s="55"/>
      <c r="BG256" s="55"/>
      <c r="BH256" s="156"/>
      <c r="BI256" s="156"/>
      <c r="BJ256" s="156"/>
      <c r="BK256" s="156"/>
      <c r="BL256" s="156"/>
      <c r="BM256" s="156"/>
      <c r="BN256" s="156"/>
      <c r="BO256" s="156"/>
      <c r="BP256" s="156"/>
      <c r="BQ256" s="156"/>
      <c r="BR256" s="156"/>
      <c r="BS256" s="156"/>
      <c r="BT256" s="156"/>
      <c r="BU256" s="156"/>
      <c r="BV256" s="156"/>
      <c r="BW256" s="856"/>
      <c r="BX256" s="156"/>
      <c r="BY256" s="156"/>
      <c r="BZ256" s="156"/>
      <c r="CA256" s="156"/>
      <c r="CB256" s="156"/>
      <c r="CC256" s="24"/>
    </row>
    <row r="257" spans="1:81" s="709" customFormat="1" outlineLevel="1" x14ac:dyDescent="0.55000000000000004">
      <c r="A257" s="321" t="s">
        <v>1013</v>
      </c>
      <c r="B257" s="237"/>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761">
        <v>0.34</v>
      </c>
      <c r="AR257" s="761">
        <v>0.42</v>
      </c>
      <c r="AS257" s="761">
        <v>0.39</v>
      </c>
      <c r="AT257" s="761">
        <v>0.3</v>
      </c>
      <c r="AU257" s="761">
        <v>0.28000000000000003</v>
      </c>
      <c r="AV257" s="761">
        <v>0.15</v>
      </c>
      <c r="AW257" s="761">
        <v>0.09</v>
      </c>
      <c r="AX257" s="761">
        <v>0.1</v>
      </c>
      <c r="AY257" s="767">
        <v>0.09</v>
      </c>
      <c r="AZ257" s="55"/>
      <c r="BA257" s="55"/>
      <c r="BB257" s="55"/>
      <c r="BC257" s="55"/>
      <c r="BD257" s="55"/>
      <c r="BE257" s="55"/>
      <c r="BF257" s="55"/>
      <c r="BG257" s="55"/>
      <c r="BH257" s="156"/>
      <c r="BI257" s="156"/>
      <c r="BJ257" s="156"/>
      <c r="BK257" s="156"/>
      <c r="BL257" s="156"/>
      <c r="BM257" s="156"/>
      <c r="BN257" s="156"/>
      <c r="BO257" s="156"/>
      <c r="BP257" s="156"/>
      <c r="BQ257" s="156"/>
      <c r="BR257" s="156"/>
      <c r="BS257" s="156"/>
      <c r="BT257" s="156"/>
      <c r="BU257" s="156"/>
      <c r="BV257" s="156"/>
      <c r="BW257" s="856"/>
      <c r="BX257" s="156"/>
      <c r="BY257" s="156"/>
      <c r="BZ257" s="156"/>
      <c r="CA257" s="156"/>
      <c r="CB257" s="156"/>
      <c r="CC257" s="24"/>
    </row>
    <row r="258" spans="1:81" s="709" customFormat="1" outlineLevel="1" x14ac:dyDescent="0.55000000000000004">
      <c r="A258" s="329" t="s">
        <v>1014</v>
      </c>
      <c r="B258" s="340"/>
      <c r="C258" s="330"/>
      <c r="D258" s="330"/>
      <c r="E258" s="330"/>
      <c r="F258" s="330"/>
      <c r="G258" s="330"/>
      <c r="H258" s="330"/>
      <c r="I258" s="330"/>
      <c r="J258" s="330"/>
      <c r="K258" s="330"/>
      <c r="L258" s="330"/>
      <c r="M258" s="330"/>
      <c r="N258" s="330"/>
      <c r="O258" s="330"/>
      <c r="P258" s="330"/>
      <c r="Q258" s="330"/>
      <c r="R258" s="330"/>
      <c r="S258" s="330"/>
      <c r="T258" s="330"/>
      <c r="U258" s="330"/>
      <c r="V258" s="330"/>
      <c r="W258" s="330"/>
      <c r="X258" s="330"/>
      <c r="Y258" s="330"/>
      <c r="Z258" s="330"/>
      <c r="AA258" s="330"/>
      <c r="AB258" s="330"/>
      <c r="AC258" s="330"/>
      <c r="AD258" s="330"/>
      <c r="AE258" s="330"/>
      <c r="AF258" s="330"/>
      <c r="AG258" s="330"/>
      <c r="AH258" s="330"/>
      <c r="AI258" s="330"/>
      <c r="AJ258" s="330"/>
      <c r="AK258" s="330"/>
      <c r="AL258" s="330"/>
      <c r="AM258" s="330"/>
      <c r="AN258" s="330"/>
      <c r="AO258" s="330"/>
      <c r="AP258" s="330"/>
      <c r="AQ258" s="768">
        <v>0.28000000000000003</v>
      </c>
      <c r="AR258" s="768">
        <v>0.31</v>
      </c>
      <c r="AS258" s="768">
        <v>0.27</v>
      </c>
      <c r="AT258" s="768">
        <v>0.17</v>
      </c>
      <c r="AU258" s="768">
        <v>0.17</v>
      </c>
      <c r="AV258" s="768">
        <v>0.08</v>
      </c>
      <c r="AW258" s="761">
        <v>0.05</v>
      </c>
      <c r="AX258" s="761">
        <v>0.03</v>
      </c>
      <c r="AY258" s="769">
        <v>0.01</v>
      </c>
      <c r="AZ258" s="330"/>
      <c r="BA258" s="330"/>
      <c r="BB258" s="330"/>
      <c r="BC258" s="330"/>
      <c r="BD258" s="330"/>
      <c r="BE258" s="330"/>
      <c r="BF258" s="330"/>
      <c r="BG258" s="330"/>
      <c r="BH258" s="865"/>
      <c r="BI258" s="865"/>
      <c r="BJ258" s="865"/>
      <c r="BK258" s="865"/>
      <c r="BL258" s="865"/>
      <c r="BM258" s="865"/>
      <c r="BN258" s="865"/>
      <c r="BO258" s="865"/>
      <c r="BP258" s="865"/>
      <c r="BQ258" s="865"/>
      <c r="BR258" s="865"/>
      <c r="BS258" s="865"/>
      <c r="BT258" s="865"/>
      <c r="BU258" s="865"/>
      <c r="BV258" s="865"/>
      <c r="BW258" s="856"/>
      <c r="BX258" s="865"/>
      <c r="BY258" s="865"/>
      <c r="BZ258" s="865"/>
      <c r="CA258" s="865"/>
      <c r="CB258" s="865"/>
      <c r="CC258" s="24"/>
    </row>
    <row r="259" spans="1:81" s="709" customFormat="1" outlineLevel="1" x14ac:dyDescent="0.55000000000000004">
      <c r="A259" s="262" t="s">
        <v>452</v>
      </c>
      <c r="B259" s="237"/>
      <c r="C259" s="761">
        <v>0.39</v>
      </c>
      <c r="D259" s="761">
        <v>0.43</v>
      </c>
      <c r="E259" s="761">
        <v>0.16</v>
      </c>
      <c r="F259" s="761">
        <v>-0.08</v>
      </c>
      <c r="G259" s="761">
        <v>-0.17</v>
      </c>
      <c r="H259" s="761">
        <v>-0.25</v>
      </c>
      <c r="I259" s="761">
        <v>-0.56000000000000005</v>
      </c>
      <c r="J259" s="761">
        <v>-0.65</v>
      </c>
      <c r="K259" s="761">
        <v>-0.62</v>
      </c>
      <c r="L259" s="761">
        <v>-0.55000000000000004</v>
      </c>
      <c r="M259" s="761">
        <v>-0.1</v>
      </c>
      <c r="N259" s="761">
        <v>0.28999999999999998</v>
      </c>
      <c r="O259" s="761">
        <v>0.5</v>
      </c>
      <c r="P259" s="761">
        <v>0.49</v>
      </c>
      <c r="Q259" s="761">
        <v>0.5</v>
      </c>
      <c r="R259" s="761">
        <v>0.49</v>
      </c>
      <c r="S259" s="761">
        <v>0.32</v>
      </c>
      <c r="T259" s="761">
        <v>0.19</v>
      </c>
      <c r="U259" s="761">
        <v>0.1</v>
      </c>
      <c r="V259" s="761">
        <v>0.04</v>
      </c>
      <c r="W259" s="761">
        <v>0.08</v>
      </c>
      <c r="X259" s="761">
        <v>0.21</v>
      </c>
      <c r="Y259" s="761">
        <v>0.25</v>
      </c>
      <c r="Z259" s="761">
        <v>0.34</v>
      </c>
      <c r="AA259" s="761">
        <v>0.32</v>
      </c>
      <c r="AB259" s="761">
        <v>0.33</v>
      </c>
      <c r="AC259" s="761">
        <v>0.37</v>
      </c>
      <c r="AD259" s="761">
        <v>0.31</v>
      </c>
      <c r="AE259" s="761">
        <v>0.39</v>
      </c>
      <c r="AF259" s="761">
        <v>0.4</v>
      </c>
      <c r="AG259" s="761">
        <v>0.35</v>
      </c>
      <c r="AH259" s="761">
        <v>0.25</v>
      </c>
      <c r="AI259" s="761">
        <v>0.12</v>
      </c>
      <c r="AJ259" s="761">
        <v>0.06</v>
      </c>
      <c r="AK259" s="761">
        <v>0.09</v>
      </c>
      <c r="AL259" s="761">
        <v>0.13</v>
      </c>
      <c r="AM259" s="761">
        <v>0.15</v>
      </c>
      <c r="AN259" s="761">
        <v>0.15</v>
      </c>
      <c r="AO259" s="761">
        <v>0.17</v>
      </c>
      <c r="AP259" s="761">
        <v>0.23</v>
      </c>
      <c r="AQ259" s="761">
        <v>0.26</v>
      </c>
      <c r="AR259" s="761">
        <v>0.34</v>
      </c>
      <c r="AS259" s="761">
        <v>0.31</v>
      </c>
      <c r="AT259" s="761">
        <v>0.21</v>
      </c>
      <c r="AU259" s="761">
        <v>0.2</v>
      </c>
      <c r="AV259" s="761">
        <v>0.1</v>
      </c>
      <c r="AW259" s="770">
        <v>7.0000000000000007E-2</v>
      </c>
      <c r="AX259" s="770">
        <v>0.06</v>
      </c>
      <c r="AY259" s="767">
        <v>0.05</v>
      </c>
      <c r="AZ259" s="55"/>
      <c r="BA259" s="55"/>
      <c r="BB259" s="55"/>
      <c r="BC259" s="55"/>
      <c r="BD259" s="55"/>
      <c r="BE259" s="55"/>
      <c r="BF259" s="55"/>
      <c r="BG259" s="55"/>
      <c r="BH259" s="156"/>
      <c r="BI259" s="156"/>
      <c r="BJ259" s="156"/>
      <c r="BK259" s="156"/>
      <c r="BL259" s="156"/>
      <c r="BM259" s="156"/>
      <c r="BN259" s="156"/>
      <c r="BO259" s="156"/>
      <c r="BP259" s="156"/>
      <c r="BQ259" s="156"/>
      <c r="BR259" s="156"/>
      <c r="BS259" s="156"/>
      <c r="BT259" s="859">
        <v>0.1</v>
      </c>
      <c r="BU259" s="156"/>
      <c r="BV259" s="859">
        <v>0.28000000000000003</v>
      </c>
      <c r="BW259" s="893">
        <v>0.11</v>
      </c>
      <c r="BX259" s="156"/>
      <c r="BY259" s="156"/>
      <c r="BZ259" s="156"/>
      <c r="CA259" s="156"/>
      <c r="CB259" s="156"/>
      <c r="CC259" s="24"/>
    </row>
    <row r="260" spans="1:81" s="709" customFormat="1" outlineLevel="1" x14ac:dyDescent="0.55000000000000004">
      <c r="A260" s="262"/>
      <c r="B260" s="237"/>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275"/>
      <c r="AZ260" s="55"/>
      <c r="BA260" s="55"/>
      <c r="BB260" s="55"/>
      <c r="BC260" s="55"/>
      <c r="BD260" s="55"/>
      <c r="BE260" s="55"/>
      <c r="BF260" s="55"/>
      <c r="BG260" s="55"/>
      <c r="BH260" s="156"/>
      <c r="BI260" s="156"/>
      <c r="BJ260" s="156"/>
      <c r="BK260" s="156"/>
      <c r="BL260" s="156"/>
      <c r="BM260" s="156"/>
      <c r="BN260" s="156"/>
      <c r="BO260" s="156"/>
      <c r="BP260" s="156"/>
      <c r="BQ260" s="156"/>
      <c r="BR260" s="156"/>
      <c r="BS260" s="156"/>
      <c r="BT260" s="156"/>
      <c r="BU260" s="156"/>
      <c r="BV260" s="156"/>
      <c r="BW260" s="856"/>
      <c r="BX260" s="156"/>
      <c r="BY260" s="156"/>
      <c r="BZ260" s="156"/>
      <c r="CA260" s="156"/>
      <c r="CB260" s="156"/>
      <c r="CC260" s="24"/>
    </row>
    <row r="261" spans="1:81" s="709" customFormat="1" outlineLevel="1" x14ac:dyDescent="0.55000000000000004">
      <c r="A261" s="321" t="s">
        <v>1019</v>
      </c>
      <c r="B261" s="237"/>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761">
        <v>-0.13</v>
      </c>
      <c r="AR261" s="761">
        <v>-0.14000000000000001</v>
      </c>
      <c r="AS261" s="761">
        <v>-7.0000000000000007E-2</v>
      </c>
      <c r="AT261" s="761">
        <v>0.02</v>
      </c>
      <c r="AU261" s="761">
        <v>0.05</v>
      </c>
      <c r="AV261" s="761">
        <v>0.09</v>
      </c>
      <c r="AW261" s="761">
        <v>0.09</v>
      </c>
      <c r="AX261" s="761">
        <v>0.12</v>
      </c>
      <c r="AY261" s="767">
        <v>0.14000000000000001</v>
      </c>
      <c r="AZ261" s="55"/>
      <c r="BA261" s="55"/>
      <c r="BB261" s="55"/>
      <c r="BC261" s="55"/>
      <c r="BD261" s="55"/>
      <c r="BE261" s="55"/>
      <c r="BF261" s="55"/>
      <c r="BG261" s="55"/>
      <c r="BH261" s="156"/>
      <c r="BI261" s="156"/>
      <c r="BJ261" s="156"/>
      <c r="BK261" s="156"/>
      <c r="BL261" s="156"/>
      <c r="BM261" s="156"/>
      <c r="BN261" s="156"/>
      <c r="BO261" s="156"/>
      <c r="BP261" s="156"/>
      <c r="BQ261" s="156"/>
      <c r="BR261" s="156"/>
      <c r="BS261" s="156"/>
      <c r="BT261" s="156"/>
      <c r="BU261" s="156"/>
      <c r="BV261" s="156"/>
      <c r="BW261" s="856"/>
      <c r="BX261" s="156"/>
      <c r="BY261" s="156"/>
      <c r="BZ261" s="156"/>
      <c r="CA261" s="156"/>
      <c r="CB261" s="156"/>
      <c r="CC261" s="24"/>
    </row>
    <row r="262" spans="1:81" s="709" customFormat="1" outlineLevel="1" x14ac:dyDescent="0.55000000000000004">
      <c r="A262" s="321" t="s">
        <v>1015</v>
      </c>
      <c r="B262" s="237"/>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761">
        <v>-0.11</v>
      </c>
      <c r="AR262" s="761">
        <v>-0.09</v>
      </c>
      <c r="AS262" s="761">
        <v>0.08</v>
      </c>
      <c r="AT262" s="761">
        <v>0.14000000000000001</v>
      </c>
      <c r="AU262" s="761">
        <v>0.18</v>
      </c>
      <c r="AV262" s="761">
        <v>0.18</v>
      </c>
      <c r="AW262" s="761">
        <v>0.16</v>
      </c>
      <c r="AX262" s="761">
        <v>0.16</v>
      </c>
      <c r="AY262" s="767">
        <v>0.09</v>
      </c>
      <c r="AZ262" s="55"/>
      <c r="BA262" s="55"/>
      <c r="BB262" s="55"/>
      <c r="BC262" s="55"/>
      <c r="BD262" s="55"/>
      <c r="BE262" s="55"/>
      <c r="BF262" s="55"/>
      <c r="BG262" s="55"/>
      <c r="BH262" s="156"/>
      <c r="BI262" s="156"/>
      <c r="BJ262" s="156"/>
      <c r="BK262" s="156"/>
      <c r="BL262" s="156"/>
      <c r="BM262" s="156"/>
      <c r="BN262" s="156"/>
      <c r="BO262" s="156"/>
      <c r="BP262" s="156"/>
      <c r="BQ262" s="156"/>
      <c r="BR262" s="156"/>
      <c r="BS262" s="156"/>
      <c r="BT262" s="156"/>
      <c r="BU262" s="156"/>
      <c r="BV262" s="156"/>
      <c r="BW262" s="856"/>
      <c r="BX262" s="156"/>
      <c r="BY262" s="156"/>
      <c r="BZ262" s="156"/>
      <c r="CA262" s="156"/>
      <c r="CB262" s="156"/>
      <c r="CC262" s="24"/>
    </row>
    <row r="263" spans="1:81" s="709" customFormat="1" outlineLevel="1" x14ac:dyDescent="0.55000000000000004">
      <c r="A263" s="321" t="s">
        <v>1016</v>
      </c>
      <c r="B263" s="237"/>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761">
        <v>-0.22</v>
      </c>
      <c r="AR263" s="761">
        <v>-0.22</v>
      </c>
      <c r="AS263" s="761">
        <v>-0.14000000000000001</v>
      </c>
      <c r="AT263" s="761">
        <v>-0.06</v>
      </c>
      <c r="AU263" s="761">
        <v>-0.03</v>
      </c>
      <c r="AV263" s="761">
        <v>0.04</v>
      </c>
      <c r="AW263" s="761">
        <v>0.08</v>
      </c>
      <c r="AX263" s="761">
        <v>0.12</v>
      </c>
      <c r="AY263" s="767">
        <v>0.03</v>
      </c>
      <c r="AZ263" s="55"/>
      <c r="BA263" s="55"/>
      <c r="BB263" s="55"/>
      <c r="BC263" s="55"/>
      <c r="BD263" s="55"/>
      <c r="BE263" s="55"/>
      <c r="BF263" s="55"/>
      <c r="BG263" s="55"/>
      <c r="BH263" s="156"/>
      <c r="BI263" s="156"/>
      <c r="BJ263" s="156"/>
      <c r="BK263" s="156"/>
      <c r="BL263" s="156"/>
      <c r="BM263" s="156"/>
      <c r="BN263" s="156"/>
      <c r="BO263" s="156"/>
      <c r="BP263" s="156"/>
      <c r="BQ263" s="156"/>
      <c r="BR263" s="156"/>
      <c r="BS263" s="156"/>
      <c r="BT263" s="156"/>
      <c r="BU263" s="156"/>
      <c r="BV263" s="156"/>
      <c r="BW263" s="856"/>
      <c r="BX263" s="156"/>
      <c r="BY263" s="156"/>
      <c r="BZ263" s="156"/>
      <c r="CA263" s="156"/>
      <c r="CB263" s="156"/>
      <c r="CC263" s="24"/>
    </row>
    <row r="264" spans="1:81" s="709" customFormat="1" outlineLevel="1" x14ac:dyDescent="0.55000000000000004">
      <c r="A264" s="329" t="s">
        <v>1017</v>
      </c>
      <c r="B264" s="340"/>
      <c r="C264" s="330"/>
      <c r="D264" s="330"/>
      <c r="E264" s="330"/>
      <c r="F264" s="330"/>
      <c r="G264" s="330"/>
      <c r="H264" s="330"/>
      <c r="I264" s="330"/>
      <c r="J264" s="330"/>
      <c r="K264" s="330"/>
      <c r="L264" s="330"/>
      <c r="M264" s="330"/>
      <c r="N264" s="330"/>
      <c r="O264" s="330"/>
      <c r="P264" s="330"/>
      <c r="Q264" s="330"/>
      <c r="R264" s="330"/>
      <c r="S264" s="330"/>
      <c r="T264" s="330"/>
      <c r="U264" s="330"/>
      <c r="V264" s="330"/>
      <c r="W264" s="330"/>
      <c r="X264" s="330"/>
      <c r="Y264" s="330"/>
      <c r="Z264" s="330"/>
      <c r="AA264" s="330"/>
      <c r="AB264" s="330"/>
      <c r="AC264" s="330"/>
      <c r="AD264" s="330"/>
      <c r="AE264" s="330"/>
      <c r="AF264" s="330"/>
      <c r="AG264" s="330"/>
      <c r="AH264" s="330"/>
      <c r="AI264" s="330"/>
      <c r="AJ264" s="330"/>
      <c r="AK264" s="330"/>
      <c r="AL264" s="330"/>
      <c r="AM264" s="330"/>
      <c r="AN264" s="330"/>
      <c r="AO264" s="330"/>
      <c r="AP264" s="330"/>
      <c r="AQ264" s="768">
        <v>-0.15</v>
      </c>
      <c r="AR264" s="768">
        <v>-0.12</v>
      </c>
      <c r="AS264" s="768">
        <v>7.0000000000000007E-2</v>
      </c>
      <c r="AT264" s="768">
        <v>0.13</v>
      </c>
      <c r="AU264" s="768">
        <v>0.2</v>
      </c>
      <c r="AV264" s="768">
        <v>0.24</v>
      </c>
      <c r="AW264" s="761">
        <v>0.17</v>
      </c>
      <c r="AX264" s="768">
        <v>0.23</v>
      </c>
      <c r="AY264" s="769">
        <v>0.17</v>
      </c>
      <c r="AZ264" s="330"/>
      <c r="BA264" s="330"/>
      <c r="BB264" s="330"/>
      <c r="BC264" s="330"/>
      <c r="BD264" s="330"/>
      <c r="BE264" s="330"/>
      <c r="BF264" s="330"/>
      <c r="BG264" s="330"/>
      <c r="BH264" s="865"/>
      <c r="BI264" s="865"/>
      <c r="BJ264" s="865"/>
      <c r="BK264" s="865"/>
      <c r="BL264" s="865"/>
      <c r="BM264" s="865"/>
      <c r="BN264" s="865"/>
      <c r="BO264" s="865"/>
      <c r="BP264" s="865"/>
      <c r="BQ264" s="865"/>
      <c r="BR264" s="865"/>
      <c r="BS264" s="865"/>
      <c r="BT264" s="865"/>
      <c r="BU264" s="865"/>
      <c r="BV264" s="865"/>
      <c r="BW264" s="866"/>
      <c r="BX264" s="865"/>
      <c r="BY264" s="865"/>
      <c r="BZ264" s="865"/>
      <c r="CA264" s="865"/>
      <c r="CB264" s="865"/>
      <c r="CC264" s="24"/>
    </row>
    <row r="265" spans="1:81" s="709" customFormat="1" outlineLevel="1" x14ac:dyDescent="0.55000000000000004">
      <c r="A265" s="262" t="s">
        <v>453</v>
      </c>
      <c r="B265" s="237"/>
      <c r="C265" s="761">
        <v>0.03</v>
      </c>
      <c r="D265" s="761">
        <v>0.13</v>
      </c>
      <c r="E265" s="761">
        <v>0.42</v>
      </c>
      <c r="F265" s="761">
        <v>0.92</v>
      </c>
      <c r="G265" s="761">
        <v>1.18</v>
      </c>
      <c r="H265" s="761">
        <v>1.23</v>
      </c>
      <c r="I265" s="761">
        <v>2.74</v>
      </c>
      <c r="J265" s="761">
        <v>3.35</v>
      </c>
      <c r="K265" s="761">
        <v>2.85</v>
      </c>
      <c r="L265" s="761">
        <v>2.2000000000000002</v>
      </c>
      <c r="M265" s="761">
        <v>0.61</v>
      </c>
      <c r="N265" s="761">
        <v>0.21</v>
      </c>
      <c r="O265" s="761">
        <v>0.05</v>
      </c>
      <c r="P265" s="761">
        <v>0.09</v>
      </c>
      <c r="Q265" s="761">
        <v>0.06</v>
      </c>
      <c r="R265" s="761">
        <v>0.03</v>
      </c>
      <c r="S265" s="761">
        <v>0.14000000000000001</v>
      </c>
      <c r="T265" s="761">
        <v>0.24</v>
      </c>
      <c r="U265" s="761">
        <v>0.35</v>
      </c>
      <c r="V265" s="761">
        <v>0.43</v>
      </c>
      <c r="W265" s="761">
        <v>0.39</v>
      </c>
      <c r="X265" s="761">
        <v>0.17</v>
      </c>
      <c r="Y265" s="761">
        <v>7.0000000000000007E-2</v>
      </c>
      <c r="Z265" s="761">
        <v>-0.02</v>
      </c>
      <c r="AA265" s="761">
        <v>-0.04</v>
      </c>
      <c r="AB265" s="761">
        <v>-0.04</v>
      </c>
      <c r="AC265" s="761">
        <v>-0.06</v>
      </c>
      <c r="AD265" s="761">
        <v>-0.05</v>
      </c>
      <c r="AE265" s="761">
        <v>-0.16</v>
      </c>
      <c r="AF265" s="761">
        <v>-0.21</v>
      </c>
      <c r="AG265" s="761">
        <v>-0.09</v>
      </c>
      <c r="AH265" s="761">
        <v>0.05</v>
      </c>
      <c r="AI265" s="761">
        <v>0.3</v>
      </c>
      <c r="AJ265" s="761">
        <v>0.47</v>
      </c>
      <c r="AK265" s="761">
        <v>0.22</v>
      </c>
      <c r="AL265" s="761">
        <v>0.06</v>
      </c>
      <c r="AM265" s="761">
        <v>-0.08</v>
      </c>
      <c r="AN265" s="761">
        <v>-0.14000000000000001</v>
      </c>
      <c r="AO265" s="761">
        <v>-0.18</v>
      </c>
      <c r="AP265" s="761">
        <v>-0.22</v>
      </c>
      <c r="AQ265" s="761">
        <v>-0.17</v>
      </c>
      <c r="AR265" s="761">
        <v>-0.16</v>
      </c>
      <c r="AS265" s="761">
        <v>-0.06</v>
      </c>
      <c r="AT265" s="761">
        <v>0.02</v>
      </c>
      <c r="AU265" s="761">
        <v>0.06</v>
      </c>
      <c r="AV265" s="761">
        <v>0.1</v>
      </c>
      <c r="AW265" s="770">
        <v>0.11</v>
      </c>
      <c r="AX265" s="761">
        <v>0.14000000000000001</v>
      </c>
      <c r="AY265" s="767">
        <v>0.1</v>
      </c>
      <c r="AZ265" s="55"/>
      <c r="BA265" s="55"/>
      <c r="BB265" s="55"/>
      <c r="BC265" s="55"/>
      <c r="BD265" s="55"/>
      <c r="BE265" s="55"/>
      <c r="BF265" s="55"/>
      <c r="BG265" s="55"/>
      <c r="BH265" s="156"/>
      <c r="BI265" s="156"/>
      <c r="BJ265" s="156"/>
      <c r="BK265" s="156"/>
      <c r="BL265" s="156"/>
      <c r="BM265" s="156"/>
      <c r="BN265" s="156"/>
      <c r="BO265" s="156"/>
      <c r="BP265" s="156"/>
      <c r="BQ265" s="156"/>
      <c r="BR265" s="156"/>
      <c r="BS265" s="156"/>
      <c r="BT265" s="859">
        <v>0.24</v>
      </c>
      <c r="BU265" s="156"/>
      <c r="BV265" s="859">
        <v>-0.09</v>
      </c>
      <c r="BW265" s="892">
        <v>0.1</v>
      </c>
      <c r="BX265" s="156"/>
      <c r="BY265" s="156"/>
      <c r="BZ265" s="156"/>
      <c r="CA265" s="156"/>
      <c r="CB265" s="156"/>
      <c r="CC265" s="24"/>
    </row>
    <row r="266" spans="1:81" s="709" customFormat="1" x14ac:dyDescent="0.55000000000000004">
      <c r="A266" s="262"/>
      <c r="B266" s="237"/>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275"/>
      <c r="AZ266" s="55"/>
      <c r="BA266" s="55"/>
      <c r="BB266" s="55"/>
      <c r="BC266" s="55"/>
      <c r="BD266" s="55"/>
      <c r="BE266" s="55"/>
      <c r="BF266" s="55"/>
      <c r="BG266" s="55"/>
      <c r="BH266" s="156"/>
      <c r="BI266" s="156"/>
      <c r="BJ266" s="156"/>
      <c r="BK266" s="156"/>
      <c r="BL266" s="156"/>
      <c r="BM266" s="156"/>
      <c r="BN266" s="156"/>
      <c r="BO266" s="156"/>
      <c r="BP266" s="156"/>
      <c r="BQ266" s="156"/>
      <c r="BR266" s="156"/>
      <c r="BS266" s="156"/>
      <c r="BT266" s="156"/>
      <c r="BU266" s="156"/>
      <c r="BV266" s="156"/>
      <c r="BW266" s="856"/>
      <c r="BX266" s="156"/>
      <c r="BY266" s="156"/>
      <c r="BZ266" s="156"/>
      <c r="CA266" s="156"/>
      <c r="CB266" s="156"/>
      <c r="CC266" s="24"/>
    </row>
    <row r="267" spans="1:81" x14ac:dyDescent="0.55000000000000004">
      <c r="A267" s="283" t="s">
        <v>858</v>
      </c>
      <c r="B267" s="196"/>
      <c r="C267" s="207"/>
      <c r="D267" s="207"/>
      <c r="E267" s="207"/>
      <c r="F267" s="207"/>
      <c r="G267" s="207"/>
      <c r="H267" s="207"/>
      <c r="I267" s="207"/>
      <c r="J267" s="207"/>
      <c r="K267" s="207"/>
      <c r="L267" s="207"/>
      <c r="M267" s="207"/>
      <c r="N267" s="207"/>
      <c r="O267" s="207"/>
      <c r="P267" s="207"/>
      <c r="Q267" s="207"/>
      <c r="R267" s="207"/>
      <c r="S267" s="207"/>
      <c r="T267" s="207"/>
      <c r="U267" s="207"/>
      <c r="V267" s="207"/>
      <c r="W267" s="207"/>
      <c r="X267" s="207"/>
      <c r="Y267" s="207"/>
      <c r="Z267" s="207"/>
      <c r="AA267" s="207"/>
      <c r="AB267" s="207"/>
      <c r="AC267" s="207"/>
      <c r="AD267" s="207"/>
      <c r="AE267" s="207"/>
      <c r="AF267" s="207"/>
      <c r="AG267" s="207"/>
      <c r="AH267" s="207"/>
      <c r="AI267" s="207"/>
      <c r="AJ267" s="207"/>
      <c r="AK267" s="207"/>
      <c r="AL267" s="207"/>
      <c r="AM267" s="207"/>
      <c r="AN267" s="207"/>
      <c r="AO267" s="207"/>
      <c r="AP267" s="207"/>
      <c r="AQ267" s="207"/>
      <c r="AR267" s="207"/>
      <c r="AS267" s="207"/>
      <c r="AT267" s="207"/>
      <c r="AU267" s="207"/>
      <c r="AV267" s="207"/>
      <c r="AW267" s="207"/>
      <c r="AX267" s="207"/>
      <c r="AY267" s="284"/>
      <c r="AZ267" s="207"/>
      <c r="BA267" s="207"/>
      <c r="BB267" s="207"/>
      <c r="BC267" s="207"/>
      <c r="BD267" s="207"/>
      <c r="BE267" s="207"/>
      <c r="BF267" s="207"/>
      <c r="BG267" s="207"/>
      <c r="BH267" s="207"/>
      <c r="BI267" s="207"/>
      <c r="BJ267" s="207"/>
      <c r="BK267" s="207"/>
      <c r="BL267" s="207"/>
      <c r="BM267" s="207"/>
      <c r="BN267" s="207"/>
      <c r="BO267" s="207"/>
      <c r="BP267" s="207"/>
      <c r="BQ267" s="207"/>
      <c r="BR267" s="207"/>
      <c r="BS267" s="207"/>
      <c r="BT267" s="207"/>
      <c r="BU267" s="207"/>
      <c r="BV267" s="207"/>
      <c r="BW267" s="284"/>
      <c r="BX267" s="207"/>
      <c r="BY267" s="207"/>
      <c r="BZ267" s="207"/>
      <c r="CA267" s="207"/>
      <c r="CB267" s="207"/>
      <c r="CC267" s="6"/>
    </row>
    <row r="268" spans="1:81" s="706" customFormat="1" outlineLevel="1" x14ac:dyDescent="0.55000000000000004">
      <c r="A268" s="336" t="s">
        <v>843</v>
      </c>
      <c r="B268" s="229"/>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759">
        <v>121</v>
      </c>
      <c r="AQ268" s="759">
        <v>58</v>
      </c>
      <c r="AR268" s="759">
        <v>9</v>
      </c>
      <c r="AS268" s="759">
        <v>25</v>
      </c>
      <c r="AT268" s="759">
        <v>86</v>
      </c>
      <c r="AU268" s="37"/>
      <c r="AV268" s="37"/>
      <c r="AW268" s="37"/>
      <c r="AX268" s="37"/>
      <c r="AY268" s="273"/>
      <c r="AZ268" s="37"/>
      <c r="BA268" s="37"/>
      <c r="BB268" s="37"/>
      <c r="BC268" s="37"/>
      <c r="BD268" s="37"/>
      <c r="BE268" s="37"/>
      <c r="BF268" s="37"/>
      <c r="BG268" s="37"/>
      <c r="BH268" s="158"/>
      <c r="BI268" s="158"/>
      <c r="BJ268" s="158"/>
      <c r="BK268" s="158"/>
      <c r="BL268" s="158"/>
      <c r="BM268" s="158"/>
      <c r="BN268" s="158"/>
      <c r="BO268" s="158"/>
      <c r="BP268" s="158"/>
      <c r="BQ268" s="158"/>
      <c r="BR268" s="158"/>
      <c r="BS268" s="158"/>
      <c r="BT268" s="158"/>
      <c r="BU268" s="857">
        <v>154</v>
      </c>
      <c r="BV268" s="857">
        <v>177</v>
      </c>
      <c r="BW268" s="846"/>
      <c r="BX268" s="158"/>
      <c r="BY268" s="158"/>
      <c r="BZ268" s="158"/>
      <c r="CA268" s="158"/>
      <c r="CB268" s="158"/>
      <c r="CC268" s="117"/>
    </row>
    <row r="269" spans="1:81" s="706" customFormat="1" outlineLevel="1" x14ac:dyDescent="0.55000000000000004">
      <c r="A269" s="337" t="s">
        <v>844</v>
      </c>
      <c r="B269" s="230"/>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763">
        <v>1341</v>
      </c>
      <c r="AQ269" s="763">
        <v>-168</v>
      </c>
      <c r="AR269" s="763">
        <v>-51</v>
      </c>
      <c r="AS269" s="763">
        <v>-12</v>
      </c>
      <c r="AT269" s="763">
        <v>7</v>
      </c>
      <c r="AU269" s="82"/>
      <c r="AV269" s="82"/>
      <c r="AW269" s="82"/>
      <c r="AX269" s="82"/>
      <c r="AY269" s="406"/>
      <c r="AZ269" s="82"/>
      <c r="BA269" s="82"/>
      <c r="BB269" s="82"/>
      <c r="BC269" s="82"/>
      <c r="BD269" s="82"/>
      <c r="BE269" s="82"/>
      <c r="BF269" s="82"/>
      <c r="BG269" s="82"/>
      <c r="BH269" s="854"/>
      <c r="BI269" s="854"/>
      <c r="BJ269" s="854"/>
      <c r="BK269" s="854"/>
      <c r="BL269" s="854"/>
      <c r="BM269" s="854"/>
      <c r="BN269" s="854"/>
      <c r="BO269" s="854"/>
      <c r="BP269" s="854"/>
      <c r="BQ269" s="854"/>
      <c r="BR269" s="854"/>
      <c r="BS269" s="854"/>
      <c r="BT269" s="854"/>
      <c r="BU269" s="863">
        <v>1341</v>
      </c>
      <c r="BV269" s="863">
        <v>-224</v>
      </c>
      <c r="BW269" s="855"/>
      <c r="BX269" s="854"/>
      <c r="BY269" s="854"/>
      <c r="BZ269" s="854"/>
      <c r="CA269" s="854"/>
      <c r="CB269" s="854"/>
      <c r="CC269" s="117"/>
    </row>
    <row r="270" spans="1:81" s="708" customFormat="1" outlineLevel="1" x14ac:dyDescent="0.55000000000000004">
      <c r="A270" s="233" t="s">
        <v>845</v>
      </c>
      <c r="B270" s="232"/>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f>+SUM(AP268:AP269)</f>
        <v>1462</v>
      </c>
      <c r="AQ270" s="35">
        <f>+SUM(AQ268:AQ269)</f>
        <v>-110</v>
      </c>
      <c r="AR270" s="35">
        <f>+SUM(AR268:AR269)</f>
        <v>-42</v>
      </c>
      <c r="AS270" s="35">
        <f>+SUM(AS268:AS269)</f>
        <v>13</v>
      </c>
      <c r="AT270" s="35">
        <f>+SUM(AT268:AT269)</f>
        <v>93</v>
      </c>
      <c r="AU270" s="35"/>
      <c r="AV270" s="35"/>
      <c r="AW270" s="35"/>
      <c r="AX270" s="35"/>
      <c r="AY270" s="272"/>
      <c r="AZ270" s="35"/>
      <c r="BA270" s="35"/>
      <c r="BB270" s="35"/>
      <c r="BC270" s="35"/>
      <c r="BD270" s="35"/>
      <c r="BE270" s="35"/>
      <c r="BF270" s="35"/>
      <c r="BG270" s="35"/>
      <c r="BH270" s="812"/>
      <c r="BI270" s="812"/>
      <c r="BJ270" s="812"/>
      <c r="BK270" s="812"/>
      <c r="BL270" s="812"/>
      <c r="BM270" s="812"/>
      <c r="BN270" s="812"/>
      <c r="BO270" s="812"/>
      <c r="BP270" s="812"/>
      <c r="BQ270" s="812"/>
      <c r="BR270" s="812"/>
      <c r="BS270" s="812"/>
      <c r="BT270" s="812"/>
      <c r="BU270" s="812">
        <f>+SUM(BU268:BU269)</f>
        <v>1495</v>
      </c>
      <c r="BV270" s="812">
        <f>+SUM(BV268:BV269)</f>
        <v>-47</v>
      </c>
      <c r="BW270" s="814"/>
      <c r="BX270" s="812"/>
      <c r="BY270" s="812"/>
      <c r="BZ270" s="812"/>
      <c r="CA270" s="812"/>
      <c r="CB270" s="812"/>
      <c r="CC270" s="6"/>
    </row>
    <row r="271" spans="1:81" s="706" customFormat="1" outlineLevel="1" x14ac:dyDescent="0.55000000000000004">
      <c r="A271" s="336" t="s">
        <v>846</v>
      </c>
      <c r="B271" s="229"/>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759">
        <v>1080</v>
      </c>
      <c r="AQ271" s="759">
        <v>484</v>
      </c>
      <c r="AR271" s="759">
        <v>159</v>
      </c>
      <c r="AS271" s="759">
        <v>228</v>
      </c>
      <c r="AT271" s="759">
        <v>710</v>
      </c>
      <c r="AU271" s="37"/>
      <c r="AV271" s="37"/>
      <c r="AW271" s="37"/>
      <c r="AX271" s="37"/>
      <c r="AY271" s="273"/>
      <c r="AZ271" s="37"/>
      <c r="BA271" s="37"/>
      <c r="BB271" s="37"/>
      <c r="BC271" s="37"/>
      <c r="BD271" s="37"/>
      <c r="BE271" s="37"/>
      <c r="BF271" s="37"/>
      <c r="BG271" s="37"/>
      <c r="BH271" s="158"/>
      <c r="BI271" s="158"/>
      <c r="BJ271" s="158"/>
      <c r="BK271" s="158"/>
      <c r="BL271" s="158"/>
      <c r="BM271" s="158"/>
      <c r="BN271" s="158"/>
      <c r="BO271" s="158"/>
      <c r="BP271" s="158"/>
      <c r="BQ271" s="158"/>
      <c r="BR271" s="158"/>
      <c r="BS271" s="158"/>
      <c r="BT271" s="158"/>
      <c r="BU271" s="857">
        <v>1311</v>
      </c>
      <c r="BV271" s="857">
        <v>1581</v>
      </c>
      <c r="BW271" s="846"/>
      <c r="BX271" s="158"/>
      <c r="BY271" s="158"/>
      <c r="BZ271" s="158"/>
      <c r="CA271" s="158"/>
      <c r="CB271" s="158"/>
      <c r="CC271" s="117"/>
    </row>
    <row r="272" spans="1:81" s="706" customFormat="1" outlineLevel="1" x14ac:dyDescent="0.55000000000000004">
      <c r="A272" s="337" t="s">
        <v>847</v>
      </c>
      <c r="B272" s="230"/>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763">
        <v>408</v>
      </c>
      <c r="AQ272" s="763">
        <v>320</v>
      </c>
      <c r="AR272" s="763">
        <v>136</v>
      </c>
      <c r="AS272" s="763">
        <v>-70</v>
      </c>
      <c r="AT272" s="763">
        <v>28</v>
      </c>
      <c r="AU272" s="82"/>
      <c r="AV272" s="82"/>
      <c r="AW272" s="82"/>
      <c r="AX272" s="82"/>
      <c r="AY272" s="406"/>
      <c r="AZ272" s="82"/>
      <c r="BA272" s="82"/>
      <c r="BB272" s="82"/>
      <c r="BC272" s="82"/>
      <c r="BD272" s="82"/>
      <c r="BE272" s="82"/>
      <c r="BF272" s="82"/>
      <c r="BG272" s="82"/>
      <c r="BH272" s="854"/>
      <c r="BI272" s="854"/>
      <c r="BJ272" s="854"/>
      <c r="BK272" s="854"/>
      <c r="BL272" s="854"/>
      <c r="BM272" s="854"/>
      <c r="BN272" s="854"/>
      <c r="BO272" s="854"/>
      <c r="BP272" s="854"/>
      <c r="BQ272" s="854"/>
      <c r="BR272" s="854"/>
      <c r="BS272" s="854"/>
      <c r="BT272" s="854"/>
      <c r="BU272" s="863">
        <v>408</v>
      </c>
      <c r="BV272" s="863">
        <v>413</v>
      </c>
      <c r="BW272" s="855"/>
      <c r="BX272" s="854"/>
      <c r="BY272" s="854"/>
      <c r="BZ272" s="854"/>
      <c r="CA272" s="854"/>
      <c r="CB272" s="854"/>
      <c r="CC272" s="117"/>
    </row>
    <row r="273" spans="1:81" s="708" customFormat="1" outlineLevel="1" x14ac:dyDescent="0.55000000000000004">
      <c r="A273" s="233" t="s">
        <v>848</v>
      </c>
      <c r="B273" s="232"/>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f>+SUM(AP271:AP272)</f>
        <v>1488</v>
      </c>
      <c r="AQ273" s="35">
        <f>+SUM(AQ271:AQ272)</f>
        <v>804</v>
      </c>
      <c r="AR273" s="35">
        <f>+SUM(AR271:AR272)</f>
        <v>295</v>
      </c>
      <c r="AS273" s="35">
        <f>+SUM(AS271:AS272)</f>
        <v>158</v>
      </c>
      <c r="AT273" s="35">
        <f>+SUM(AT271:AT272)</f>
        <v>738</v>
      </c>
      <c r="AU273" s="35"/>
      <c r="AV273" s="35"/>
      <c r="AW273" s="35"/>
      <c r="AX273" s="35"/>
      <c r="AY273" s="272"/>
      <c r="AZ273" s="35"/>
      <c r="BA273" s="35"/>
      <c r="BB273" s="35"/>
      <c r="BC273" s="35"/>
      <c r="BD273" s="35"/>
      <c r="BE273" s="35"/>
      <c r="BF273" s="35"/>
      <c r="BG273" s="35"/>
      <c r="BH273" s="812"/>
      <c r="BI273" s="812"/>
      <c r="BJ273" s="812"/>
      <c r="BK273" s="812"/>
      <c r="BL273" s="812"/>
      <c r="BM273" s="812"/>
      <c r="BN273" s="812"/>
      <c r="BO273" s="812"/>
      <c r="BP273" s="812"/>
      <c r="BQ273" s="812"/>
      <c r="BR273" s="812"/>
      <c r="BS273" s="812"/>
      <c r="BT273" s="812"/>
      <c r="BU273" s="812">
        <f>+SUM(BU271:BU272)</f>
        <v>1719</v>
      </c>
      <c r="BV273" s="812">
        <f>+SUM(BV271:BV272)</f>
        <v>1994</v>
      </c>
      <c r="BW273" s="814"/>
      <c r="BX273" s="812"/>
      <c r="BY273" s="812"/>
      <c r="BZ273" s="812"/>
      <c r="CA273" s="812"/>
      <c r="CB273" s="812"/>
      <c r="CC273" s="6"/>
    </row>
    <row r="274" spans="1:81" s="706" customFormat="1" outlineLevel="1" x14ac:dyDescent="0.55000000000000004">
      <c r="A274" s="336" t="s">
        <v>849</v>
      </c>
      <c r="B274" s="229"/>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759">
        <v>330</v>
      </c>
      <c r="AQ274" s="759">
        <v>136</v>
      </c>
      <c r="AR274" s="759">
        <v>43</v>
      </c>
      <c r="AS274" s="759">
        <v>54</v>
      </c>
      <c r="AT274" s="759">
        <v>162</v>
      </c>
      <c r="AU274" s="37"/>
      <c r="AV274" s="37"/>
      <c r="AW274" s="37"/>
      <c r="AX274" s="37"/>
      <c r="AY274" s="273"/>
      <c r="AZ274" s="37"/>
      <c r="BA274" s="37"/>
      <c r="BB274" s="37"/>
      <c r="BC274" s="37"/>
      <c r="BD274" s="37"/>
      <c r="BE274" s="37"/>
      <c r="BF274" s="37"/>
      <c r="BG274" s="37"/>
      <c r="BH274" s="158"/>
      <c r="BI274" s="158"/>
      <c r="BJ274" s="158"/>
      <c r="BK274" s="158"/>
      <c r="BL274" s="158"/>
      <c r="BM274" s="158"/>
      <c r="BN274" s="158"/>
      <c r="BO274" s="158"/>
      <c r="BP274" s="158"/>
      <c r="BQ274" s="158"/>
      <c r="BR274" s="158"/>
      <c r="BS274" s="158"/>
      <c r="BT274" s="158"/>
      <c r="BU274" s="857">
        <v>404</v>
      </c>
      <c r="BV274" s="857">
        <v>396</v>
      </c>
      <c r="BW274" s="846"/>
      <c r="BX274" s="158"/>
      <c r="BY274" s="158"/>
      <c r="BZ274" s="158"/>
      <c r="CA274" s="158"/>
      <c r="CB274" s="158"/>
      <c r="CC274" s="117"/>
    </row>
    <row r="275" spans="1:81" s="706" customFormat="1" outlineLevel="1" x14ac:dyDescent="0.55000000000000004">
      <c r="A275" s="337" t="s">
        <v>850</v>
      </c>
      <c r="B275" s="230"/>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763">
        <v>234</v>
      </c>
      <c r="AQ275" s="763">
        <v>3</v>
      </c>
      <c r="AR275" s="763">
        <v>218</v>
      </c>
      <c r="AS275" s="763">
        <v>69</v>
      </c>
      <c r="AT275" s="763">
        <v>16</v>
      </c>
      <c r="AU275" s="82"/>
      <c r="AV275" s="82"/>
      <c r="AW275" s="82"/>
      <c r="AX275" s="82"/>
      <c r="AY275" s="406"/>
      <c r="AZ275" s="82"/>
      <c r="BA275" s="82"/>
      <c r="BB275" s="82"/>
      <c r="BC275" s="82"/>
      <c r="BD275" s="82"/>
      <c r="BE275" s="82"/>
      <c r="BF275" s="82"/>
      <c r="BG275" s="82"/>
      <c r="BH275" s="854"/>
      <c r="BI275" s="854"/>
      <c r="BJ275" s="854"/>
      <c r="BK275" s="854"/>
      <c r="BL275" s="854"/>
      <c r="BM275" s="854"/>
      <c r="BN275" s="854"/>
      <c r="BO275" s="854"/>
      <c r="BP275" s="854"/>
      <c r="BQ275" s="854"/>
      <c r="BR275" s="854"/>
      <c r="BS275" s="854"/>
      <c r="BT275" s="854"/>
      <c r="BU275" s="863">
        <v>234</v>
      </c>
      <c r="BV275" s="863">
        <v>307</v>
      </c>
      <c r="BW275" s="855"/>
      <c r="BX275" s="854"/>
      <c r="BY275" s="854"/>
      <c r="BZ275" s="854"/>
      <c r="CA275" s="854"/>
      <c r="CB275" s="854"/>
      <c r="CC275" s="117"/>
    </row>
    <row r="276" spans="1:81" s="708" customFormat="1" outlineLevel="1" x14ac:dyDescent="0.55000000000000004">
      <c r="A276" s="233" t="s">
        <v>851</v>
      </c>
      <c r="B276" s="232"/>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f>+SUM(AP274:AP275)</f>
        <v>564</v>
      </c>
      <c r="AQ276" s="35">
        <f>+SUM(AQ274:AQ275)</f>
        <v>139</v>
      </c>
      <c r="AR276" s="35">
        <f>+SUM(AR274:AR275)</f>
        <v>261</v>
      </c>
      <c r="AS276" s="35">
        <f>+SUM(AS274:AS275)</f>
        <v>123</v>
      </c>
      <c r="AT276" s="35">
        <f>+SUM(AT274:AT275)</f>
        <v>178</v>
      </c>
      <c r="AU276" s="35"/>
      <c r="AV276" s="35"/>
      <c r="AW276" s="35"/>
      <c r="AX276" s="35"/>
      <c r="AY276" s="272"/>
      <c r="AZ276" s="35"/>
      <c r="BA276" s="35"/>
      <c r="BB276" s="35"/>
      <c r="BC276" s="35"/>
      <c r="BD276" s="35"/>
      <c r="BE276" s="35"/>
      <c r="BF276" s="35"/>
      <c r="BG276" s="35"/>
      <c r="BH276" s="812"/>
      <c r="BI276" s="812"/>
      <c r="BJ276" s="812"/>
      <c r="BK276" s="812"/>
      <c r="BL276" s="812"/>
      <c r="BM276" s="812"/>
      <c r="BN276" s="812"/>
      <c r="BO276" s="812"/>
      <c r="BP276" s="812"/>
      <c r="BQ276" s="812"/>
      <c r="BR276" s="812"/>
      <c r="BS276" s="812"/>
      <c r="BT276" s="812"/>
      <c r="BU276" s="812">
        <f>+SUM(BU274:BU275)</f>
        <v>638</v>
      </c>
      <c r="BV276" s="812">
        <f>+SUM(BV274:BV275)</f>
        <v>703</v>
      </c>
      <c r="BW276" s="814"/>
      <c r="BX276" s="812"/>
      <c r="BY276" s="812"/>
      <c r="BZ276" s="812"/>
      <c r="CA276" s="812"/>
      <c r="CB276" s="812"/>
      <c r="CC276" s="6"/>
    </row>
    <row r="277" spans="1:81" s="706" customFormat="1" outlineLevel="1" x14ac:dyDescent="0.55000000000000004">
      <c r="A277" s="336" t="s">
        <v>852</v>
      </c>
      <c r="B277" s="229"/>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759">
        <v>351</v>
      </c>
      <c r="AQ277" s="759">
        <v>129</v>
      </c>
      <c r="AR277" s="759">
        <v>36</v>
      </c>
      <c r="AS277" s="759">
        <v>45</v>
      </c>
      <c r="AT277" s="759">
        <v>142</v>
      </c>
      <c r="AU277" s="37"/>
      <c r="AV277" s="37"/>
      <c r="AW277" s="37"/>
      <c r="AX277" s="37"/>
      <c r="AY277" s="273"/>
      <c r="AZ277" s="37"/>
      <c r="BA277" s="37"/>
      <c r="BB277" s="37"/>
      <c r="BC277" s="37"/>
      <c r="BD277" s="37"/>
      <c r="BE277" s="37"/>
      <c r="BF277" s="37"/>
      <c r="BG277" s="37"/>
      <c r="BH277" s="158"/>
      <c r="BI277" s="158"/>
      <c r="BJ277" s="158"/>
      <c r="BK277" s="158"/>
      <c r="BL277" s="158"/>
      <c r="BM277" s="158"/>
      <c r="BN277" s="158"/>
      <c r="BO277" s="158"/>
      <c r="BP277" s="158"/>
      <c r="BQ277" s="158"/>
      <c r="BR277" s="158"/>
      <c r="BS277" s="158"/>
      <c r="BT277" s="158"/>
      <c r="BU277" s="857">
        <v>426</v>
      </c>
      <c r="BV277" s="857">
        <v>352</v>
      </c>
      <c r="BW277" s="846"/>
      <c r="BX277" s="158"/>
      <c r="BY277" s="158"/>
      <c r="BZ277" s="158"/>
      <c r="CA277" s="158"/>
      <c r="CB277" s="158"/>
      <c r="CC277" s="117"/>
    </row>
    <row r="278" spans="1:81" s="706" customFormat="1" outlineLevel="1" x14ac:dyDescent="0.55000000000000004">
      <c r="A278" s="336" t="s">
        <v>853</v>
      </c>
      <c r="B278" s="229"/>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759">
        <v>333</v>
      </c>
      <c r="AQ278" s="759">
        <v>182</v>
      </c>
      <c r="AR278" s="759">
        <v>230</v>
      </c>
      <c r="AS278" s="759">
        <v>41</v>
      </c>
      <c r="AT278" s="759">
        <v>-3</v>
      </c>
      <c r="AU278" s="37"/>
      <c r="AV278" s="37"/>
      <c r="AW278" s="37"/>
      <c r="AX278" s="37"/>
      <c r="AY278" s="273"/>
      <c r="AZ278" s="37"/>
      <c r="BA278" s="37"/>
      <c r="BB278" s="37"/>
      <c r="BC278" s="37"/>
      <c r="BD278" s="37"/>
      <c r="BE278" s="37"/>
      <c r="BF278" s="37"/>
      <c r="BG278" s="37"/>
      <c r="BH278" s="158"/>
      <c r="BI278" s="158"/>
      <c r="BJ278" s="158"/>
      <c r="BK278" s="158"/>
      <c r="BL278" s="158"/>
      <c r="BM278" s="158"/>
      <c r="BN278" s="158"/>
      <c r="BO278" s="158"/>
      <c r="BP278" s="158"/>
      <c r="BQ278" s="158"/>
      <c r="BR278" s="158"/>
      <c r="BS278" s="158"/>
      <c r="BT278" s="158"/>
      <c r="BU278" s="857">
        <v>333</v>
      </c>
      <c r="BV278" s="857">
        <v>450</v>
      </c>
      <c r="BW278" s="846"/>
      <c r="BX278" s="158"/>
      <c r="BY278" s="158"/>
      <c r="BZ278" s="158"/>
      <c r="CA278" s="158"/>
      <c r="CB278" s="158"/>
      <c r="CC278" s="117"/>
    </row>
    <row r="279" spans="1:81" s="708" customFormat="1" outlineLevel="1" x14ac:dyDescent="0.55000000000000004">
      <c r="A279" s="445" t="s">
        <v>854</v>
      </c>
      <c r="B279" s="444"/>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f>+SUM(AP277:AP278)</f>
        <v>684</v>
      </c>
      <c r="AQ279" s="38">
        <f>+SUM(AQ277:AQ278)</f>
        <v>311</v>
      </c>
      <c r="AR279" s="38">
        <f>+SUM(AR277:AR278)</f>
        <v>266</v>
      </c>
      <c r="AS279" s="38">
        <f>+SUM(AS277:AS278)</f>
        <v>86</v>
      </c>
      <c r="AT279" s="38">
        <f>+SUM(AT277:AT278)</f>
        <v>139</v>
      </c>
      <c r="AU279" s="38"/>
      <c r="AV279" s="38"/>
      <c r="AW279" s="38"/>
      <c r="AX279" s="38"/>
      <c r="AY279" s="640"/>
      <c r="AZ279" s="38"/>
      <c r="BA279" s="38"/>
      <c r="BB279" s="38"/>
      <c r="BC279" s="38"/>
      <c r="BD279" s="38"/>
      <c r="BE279" s="38"/>
      <c r="BF279" s="38"/>
      <c r="BG279" s="38"/>
      <c r="BH279" s="894"/>
      <c r="BI279" s="894"/>
      <c r="BJ279" s="894"/>
      <c r="BK279" s="894"/>
      <c r="BL279" s="894"/>
      <c r="BM279" s="894"/>
      <c r="BN279" s="894"/>
      <c r="BO279" s="894"/>
      <c r="BP279" s="894"/>
      <c r="BQ279" s="894"/>
      <c r="BR279" s="894"/>
      <c r="BS279" s="894"/>
      <c r="BT279" s="894"/>
      <c r="BU279" s="894">
        <f>+SUM(BU277:BU278)</f>
        <v>759</v>
      </c>
      <c r="BV279" s="894">
        <f>+SUM(BV277:BV278)</f>
        <v>802</v>
      </c>
      <c r="BW279" s="895"/>
      <c r="BX279" s="894"/>
      <c r="BY279" s="894"/>
      <c r="BZ279" s="894"/>
      <c r="CA279" s="894"/>
      <c r="CB279" s="894"/>
      <c r="CC279" s="6"/>
    </row>
    <row r="280" spans="1:81" s="708" customFormat="1" outlineLevel="1" x14ac:dyDescent="0.55000000000000004">
      <c r="A280" s="192" t="s">
        <v>855</v>
      </c>
      <c r="B280" s="232"/>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f>+AP279+AP276+AP273+AP270</f>
        <v>4198</v>
      </c>
      <c r="AQ280" s="35">
        <f>+AQ279+AQ276+AQ273+AQ270</f>
        <v>1144</v>
      </c>
      <c r="AR280" s="35">
        <f>+AR279+AR276+AR273+AR270</f>
        <v>780</v>
      </c>
      <c r="AS280" s="35">
        <f>+AS279+AS276+AS273+AS270</f>
        <v>380</v>
      </c>
      <c r="AT280" s="35">
        <f>+AT279+AT276+AT273+AT270</f>
        <v>1148</v>
      </c>
      <c r="AU280" s="35"/>
      <c r="AV280" s="35"/>
      <c r="AW280" s="35"/>
      <c r="AX280" s="35"/>
      <c r="AY280" s="272"/>
      <c r="AZ280" s="35"/>
      <c r="BA280" s="35"/>
      <c r="BB280" s="35"/>
      <c r="BC280" s="35"/>
      <c r="BD280" s="35"/>
      <c r="BE280" s="35"/>
      <c r="BF280" s="35"/>
      <c r="BG280" s="35"/>
      <c r="BH280" s="812"/>
      <c r="BI280" s="812"/>
      <c r="BJ280" s="812"/>
      <c r="BK280" s="812"/>
      <c r="BL280" s="812"/>
      <c r="BM280" s="812"/>
      <c r="BN280" s="812"/>
      <c r="BO280" s="812"/>
      <c r="BP280" s="812"/>
      <c r="BQ280" s="812"/>
      <c r="BR280" s="812"/>
      <c r="BS280" s="812"/>
      <c r="BT280" s="812"/>
      <c r="BU280" s="812">
        <f>+BU279+BU276+BU273+BU270</f>
        <v>4611</v>
      </c>
      <c r="BV280" s="812">
        <f>+BV279+BV276+BV273+BV270</f>
        <v>3452</v>
      </c>
      <c r="BW280" s="814"/>
      <c r="BX280" s="812"/>
      <c r="BY280" s="812"/>
      <c r="BZ280" s="812"/>
      <c r="CA280" s="812"/>
      <c r="CB280" s="812"/>
      <c r="CC280" s="6"/>
    </row>
    <row r="281" spans="1:81" s="709" customFormat="1" x14ac:dyDescent="0.55000000000000004">
      <c r="A281" s="262"/>
      <c r="B281" s="237"/>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275"/>
      <c r="AZ281" s="55"/>
      <c r="BA281" s="55"/>
      <c r="BB281" s="55"/>
      <c r="BC281" s="55"/>
      <c r="BD281" s="55"/>
      <c r="BE281" s="55"/>
      <c r="BF281" s="55"/>
      <c r="BG281" s="55"/>
      <c r="BH281" s="156"/>
      <c r="BI281" s="156"/>
      <c r="BJ281" s="156"/>
      <c r="BK281" s="156"/>
      <c r="BL281" s="156"/>
      <c r="BM281" s="156"/>
      <c r="BN281" s="156"/>
      <c r="BO281" s="156"/>
      <c r="BP281" s="156"/>
      <c r="BQ281" s="156"/>
      <c r="BR281" s="156"/>
      <c r="BS281" s="156"/>
      <c r="BT281" s="156"/>
      <c r="BU281" s="156"/>
      <c r="BV281" s="156"/>
      <c r="BW281" s="856"/>
      <c r="BX281" s="156"/>
      <c r="BY281" s="156"/>
      <c r="BZ281" s="156"/>
      <c r="CA281" s="156"/>
      <c r="CB281" s="156"/>
      <c r="CC281" s="24"/>
    </row>
    <row r="282" spans="1:81" x14ac:dyDescent="0.55000000000000004">
      <c r="A282" s="283" t="s">
        <v>1081</v>
      </c>
      <c r="B282" s="196"/>
      <c r="C282" s="207"/>
      <c r="D282" s="207"/>
      <c r="E282" s="207"/>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c r="AK282" s="207"/>
      <c r="AL282" s="207"/>
      <c r="AM282" s="207"/>
      <c r="AN282" s="207"/>
      <c r="AO282" s="207"/>
      <c r="AP282" s="207"/>
      <c r="AQ282" s="207"/>
      <c r="AR282" s="207"/>
      <c r="AS282" s="207"/>
      <c r="AT282" s="207"/>
      <c r="AU282" s="207"/>
      <c r="AV282" s="207"/>
      <c r="AW282" s="207"/>
      <c r="AX282" s="207"/>
      <c r="AY282" s="284"/>
      <c r="AZ282" s="207"/>
      <c r="BA282" s="207"/>
      <c r="BB282" s="207"/>
      <c r="BC282" s="207"/>
      <c r="BD282" s="207"/>
      <c r="BE282" s="207"/>
      <c r="BF282" s="207"/>
      <c r="BG282" s="207"/>
      <c r="BH282" s="207"/>
      <c r="BI282" s="207"/>
      <c r="BJ282" s="207"/>
      <c r="BK282" s="207"/>
      <c r="BL282" s="207"/>
      <c r="BM282" s="207"/>
      <c r="BN282" s="207"/>
      <c r="BO282" s="207"/>
      <c r="BP282" s="207"/>
      <c r="BQ282" s="207"/>
      <c r="BR282" s="207"/>
      <c r="BS282" s="207"/>
      <c r="BT282" s="207"/>
      <c r="BU282" s="207"/>
      <c r="BV282" s="207"/>
      <c r="BW282" s="284"/>
      <c r="BX282" s="207"/>
      <c r="BY282" s="207"/>
      <c r="BZ282" s="207"/>
      <c r="CA282" s="207"/>
      <c r="CB282" s="207"/>
      <c r="CC282" s="6"/>
    </row>
    <row r="283" spans="1:81" s="706" customFormat="1" outlineLevel="1" x14ac:dyDescent="0.55000000000000004">
      <c r="A283" s="336" t="s">
        <v>997</v>
      </c>
      <c r="B283" s="229"/>
      <c r="C283" s="759">
        <v>36</v>
      </c>
      <c r="D283" s="759">
        <v>41</v>
      </c>
      <c r="E283" s="759">
        <v>41</v>
      </c>
      <c r="F283" s="37">
        <f t="shared" ref="F283:F291" si="339">+BL283</f>
        <v>45</v>
      </c>
      <c r="G283" s="759">
        <v>45</v>
      </c>
      <c r="H283" s="759">
        <v>45</v>
      </c>
      <c r="I283" s="759">
        <v>153</v>
      </c>
      <c r="J283" s="37">
        <f t="shared" ref="J283:J291" si="340">+BM283</f>
        <v>153</v>
      </c>
      <c r="K283" s="759">
        <v>562</v>
      </c>
      <c r="L283" s="759">
        <v>583</v>
      </c>
      <c r="M283" s="759">
        <v>583</v>
      </c>
      <c r="N283" s="37">
        <f t="shared" ref="N283:N291" si="341">+BN283</f>
        <v>596</v>
      </c>
      <c r="O283" s="759">
        <v>683</v>
      </c>
      <c r="P283" s="759">
        <v>692</v>
      </c>
      <c r="Q283" s="759">
        <v>692</v>
      </c>
      <c r="R283" s="37">
        <f t="shared" ref="R283:R291" si="342">+BO283</f>
        <v>696</v>
      </c>
      <c r="S283" s="759">
        <v>704</v>
      </c>
      <c r="T283" s="759">
        <v>720</v>
      </c>
      <c r="U283" s="759">
        <v>770</v>
      </c>
      <c r="V283" s="37">
        <f t="shared" ref="V283:V291" si="343">+BP283</f>
        <v>798</v>
      </c>
      <c r="W283" s="759">
        <v>825</v>
      </c>
      <c r="X283" s="759">
        <v>844</v>
      </c>
      <c r="Y283" s="759">
        <v>890</v>
      </c>
      <c r="Z283" s="37">
        <f t="shared" ref="Z283:Z291" si="344">+BQ283</f>
        <v>899</v>
      </c>
      <c r="AA283" s="759">
        <v>949</v>
      </c>
      <c r="AB283" s="759">
        <v>1007</v>
      </c>
      <c r="AC283" s="759">
        <v>1055</v>
      </c>
      <c r="AD283" s="37">
        <f t="shared" ref="AD283:AD291" si="345">+BR283</f>
        <v>1097</v>
      </c>
      <c r="AE283" s="759">
        <v>1138</v>
      </c>
      <c r="AF283" s="759">
        <v>1209</v>
      </c>
      <c r="AG283" s="759">
        <v>1319</v>
      </c>
      <c r="AH283" s="37">
        <f t="shared" ref="AH283:AH291" si="346">+BS283</f>
        <v>1326</v>
      </c>
      <c r="AI283" s="759">
        <v>1360</v>
      </c>
      <c r="AJ283" s="759">
        <v>1428</v>
      </c>
      <c r="AK283" s="759">
        <v>1551</v>
      </c>
      <c r="AL283" s="37">
        <f t="shared" ref="AL283:AL288" si="347">+BT283</f>
        <v>1688</v>
      </c>
      <c r="AM283" s="759">
        <v>1713</v>
      </c>
      <c r="AN283" s="759">
        <v>1703</v>
      </c>
      <c r="AO283" s="759">
        <v>1762</v>
      </c>
      <c r="AP283" s="37">
        <f t="shared" ref="AP283:AP288" si="348">+BU283</f>
        <v>1874</v>
      </c>
      <c r="AQ283" s="759">
        <v>1874</v>
      </c>
      <c r="AR283" s="759">
        <v>1875</v>
      </c>
      <c r="AS283" s="759">
        <v>1900</v>
      </c>
      <c r="AT283" s="37">
        <f t="shared" ref="AT283:AT288" si="349">+BV283</f>
        <v>2080</v>
      </c>
      <c r="AU283" s="759">
        <v>2075</v>
      </c>
      <c r="AV283" s="759">
        <v>2086</v>
      </c>
      <c r="AW283" s="759">
        <v>2114</v>
      </c>
      <c r="AX283" s="37">
        <f t="shared" ref="AX283:AX288" si="350">+BW283</f>
        <v>2561</v>
      </c>
      <c r="AY283" s="273"/>
      <c r="AZ283" s="37"/>
      <c r="BA283" s="37"/>
      <c r="BB283" s="37"/>
      <c r="BC283" s="37"/>
      <c r="BD283" s="37"/>
      <c r="BE283" s="37"/>
      <c r="BF283" s="37"/>
      <c r="BG283" s="37"/>
      <c r="BH283" s="158"/>
      <c r="BI283" s="158"/>
      <c r="BJ283" s="857">
        <v>34</v>
      </c>
      <c r="BK283" s="857">
        <v>36</v>
      </c>
      <c r="BL283" s="857">
        <v>45</v>
      </c>
      <c r="BM283" s="857">
        <v>153</v>
      </c>
      <c r="BN283" s="857">
        <v>596</v>
      </c>
      <c r="BO283" s="857">
        <v>696</v>
      </c>
      <c r="BP283" s="857">
        <v>798</v>
      </c>
      <c r="BQ283" s="857">
        <v>899</v>
      </c>
      <c r="BR283" s="857">
        <v>1097</v>
      </c>
      <c r="BS283" s="857">
        <v>1326</v>
      </c>
      <c r="BT283" s="857">
        <v>1688</v>
      </c>
      <c r="BU283" s="857">
        <v>1874</v>
      </c>
      <c r="BV283" s="857">
        <v>2080</v>
      </c>
      <c r="BW283" s="862">
        <v>2561</v>
      </c>
      <c r="BX283" s="158"/>
      <c r="BY283" s="158"/>
      <c r="BZ283" s="158"/>
      <c r="CA283" s="158"/>
      <c r="CB283" s="158"/>
      <c r="CC283" s="117"/>
    </row>
    <row r="284" spans="1:81" s="706" customFormat="1" outlineLevel="1" x14ac:dyDescent="0.55000000000000004">
      <c r="A284" s="336" t="s">
        <v>998</v>
      </c>
      <c r="B284" s="229"/>
      <c r="C284" s="37"/>
      <c r="D284" s="37"/>
      <c r="E284" s="37"/>
      <c r="F284" s="37">
        <f t="shared" si="339"/>
        <v>0</v>
      </c>
      <c r="G284" s="37"/>
      <c r="H284" s="37"/>
      <c r="I284" s="37"/>
      <c r="J284" s="37">
        <f t="shared" si="340"/>
        <v>0</v>
      </c>
      <c r="K284" s="37"/>
      <c r="L284" s="37"/>
      <c r="M284" s="37"/>
      <c r="N284" s="37">
        <f t="shared" si="341"/>
        <v>0</v>
      </c>
      <c r="O284" s="37"/>
      <c r="P284" s="37"/>
      <c r="Q284" s="37"/>
      <c r="R284" s="37">
        <f t="shared" si="342"/>
        <v>0</v>
      </c>
      <c r="S284" s="37"/>
      <c r="T284" s="37"/>
      <c r="U284" s="37"/>
      <c r="V284" s="37">
        <f t="shared" si="343"/>
        <v>0</v>
      </c>
      <c r="W284" s="37"/>
      <c r="X284" s="37"/>
      <c r="Y284" s="37"/>
      <c r="Z284" s="37">
        <f t="shared" si="344"/>
        <v>0</v>
      </c>
      <c r="AA284" s="37"/>
      <c r="AB284" s="37"/>
      <c r="AC284" s="37"/>
      <c r="AD284" s="37">
        <f t="shared" si="345"/>
        <v>0</v>
      </c>
      <c r="AE284" s="37"/>
      <c r="AF284" s="37"/>
      <c r="AG284" s="37"/>
      <c r="AH284" s="37">
        <f t="shared" si="346"/>
        <v>0</v>
      </c>
      <c r="AI284" s="37"/>
      <c r="AJ284" s="37"/>
      <c r="AK284" s="37"/>
      <c r="AL284" s="37">
        <f t="shared" si="347"/>
        <v>25584</v>
      </c>
      <c r="AM284" s="759">
        <v>27094</v>
      </c>
      <c r="AN284" s="759">
        <v>28996</v>
      </c>
      <c r="AO284" s="759">
        <v>31438</v>
      </c>
      <c r="AP284" s="37">
        <f t="shared" si="348"/>
        <v>34330</v>
      </c>
      <c r="AQ284" s="759">
        <v>37282</v>
      </c>
      <c r="AR284" s="759">
        <v>40824</v>
      </c>
      <c r="AS284" s="759">
        <v>44662</v>
      </c>
      <c r="AT284" s="37">
        <f t="shared" si="349"/>
        <v>46838</v>
      </c>
      <c r="AU284" s="759">
        <v>51882</v>
      </c>
      <c r="AV284" s="759">
        <v>56531</v>
      </c>
      <c r="AW284" s="759">
        <v>62931</v>
      </c>
      <c r="AX284" s="37">
        <f t="shared" si="350"/>
        <v>68397</v>
      </c>
      <c r="AY284" s="273"/>
      <c r="AZ284" s="37"/>
      <c r="BA284" s="37"/>
      <c r="BB284" s="37"/>
      <c r="BC284" s="37"/>
      <c r="BD284" s="37"/>
      <c r="BE284" s="37"/>
      <c r="BF284" s="37"/>
      <c r="BG284" s="37"/>
      <c r="BH284" s="158"/>
      <c r="BI284" s="158"/>
      <c r="BJ284" s="158"/>
      <c r="BK284" s="158"/>
      <c r="BL284" s="158"/>
      <c r="BM284" s="158"/>
      <c r="BN284" s="158"/>
      <c r="BO284" s="158"/>
      <c r="BP284" s="158"/>
      <c r="BQ284" s="158"/>
      <c r="BR284" s="158"/>
      <c r="BS284" s="158"/>
      <c r="BT284" s="857">
        <v>25584</v>
      </c>
      <c r="BU284" s="857">
        <v>34330</v>
      </c>
      <c r="BV284" s="857">
        <v>46838</v>
      </c>
      <c r="BW284" s="862">
        <v>68397</v>
      </c>
      <c r="BX284" s="158"/>
      <c r="BY284" s="158"/>
      <c r="BZ284" s="158"/>
      <c r="CA284" s="158"/>
      <c r="CB284" s="158"/>
      <c r="CC284" s="117"/>
    </row>
    <row r="285" spans="1:81" s="706" customFormat="1" outlineLevel="1" x14ac:dyDescent="0.55000000000000004">
      <c r="A285" s="336" t="s">
        <v>999</v>
      </c>
      <c r="B285" s="229"/>
      <c r="C285" s="759">
        <v>896</v>
      </c>
      <c r="D285" s="759">
        <v>966</v>
      </c>
      <c r="E285" s="759">
        <v>975</v>
      </c>
      <c r="F285" s="37">
        <f t="shared" si="339"/>
        <v>1071</v>
      </c>
      <c r="G285" s="759">
        <v>1076</v>
      </c>
      <c r="H285" s="759">
        <v>1178</v>
      </c>
      <c r="I285" s="759">
        <v>1347</v>
      </c>
      <c r="J285" s="37">
        <f t="shared" si="340"/>
        <v>1420</v>
      </c>
      <c r="K285" s="759">
        <v>1792</v>
      </c>
      <c r="L285" s="759">
        <v>2159</v>
      </c>
      <c r="M285" s="759">
        <v>2184</v>
      </c>
      <c r="N285" s="37">
        <f t="shared" si="341"/>
        <v>2273</v>
      </c>
      <c r="O285" s="759">
        <v>2551</v>
      </c>
      <c r="P285" s="759">
        <v>2643</v>
      </c>
      <c r="Q285" s="759">
        <v>2687</v>
      </c>
      <c r="R285" s="37">
        <f t="shared" si="342"/>
        <v>3109</v>
      </c>
      <c r="S285" s="759">
        <v>3648</v>
      </c>
      <c r="T285" s="759">
        <v>4013</v>
      </c>
      <c r="U285" s="759">
        <v>4623</v>
      </c>
      <c r="V285" s="37">
        <f t="shared" si="343"/>
        <v>4909</v>
      </c>
      <c r="W285" s="759">
        <v>4957</v>
      </c>
      <c r="X285" s="759">
        <v>5935</v>
      </c>
      <c r="Y285" s="759">
        <v>6609</v>
      </c>
      <c r="Z285" s="37">
        <f t="shared" si="344"/>
        <v>7401</v>
      </c>
      <c r="AA285" s="759">
        <v>8090</v>
      </c>
      <c r="AB285" s="759">
        <v>9015</v>
      </c>
      <c r="AC285" s="759">
        <v>9176</v>
      </c>
      <c r="AD285" s="37">
        <f t="shared" si="345"/>
        <v>11226</v>
      </c>
      <c r="AE285" s="759">
        <v>11908</v>
      </c>
      <c r="AF285" s="759">
        <v>13359</v>
      </c>
      <c r="AG285" s="759">
        <v>16053</v>
      </c>
      <c r="AH285" s="37">
        <f t="shared" si="346"/>
        <v>17360</v>
      </c>
      <c r="AI285" s="759">
        <v>18075</v>
      </c>
      <c r="AJ285" s="759">
        <v>19873</v>
      </c>
      <c r="AK285" s="759">
        <v>21369</v>
      </c>
      <c r="AL285" s="37">
        <f t="shared" si="347"/>
        <v>22531</v>
      </c>
      <c r="AM285" s="759">
        <v>23154</v>
      </c>
      <c r="AN285" s="759">
        <v>23946</v>
      </c>
      <c r="AO285" s="759">
        <v>25313</v>
      </c>
      <c r="AP285" s="37">
        <f t="shared" si="348"/>
        <v>27720</v>
      </c>
      <c r="AQ285" s="759">
        <v>30882</v>
      </c>
      <c r="AR285" s="759">
        <v>32446</v>
      </c>
      <c r="AS285" s="759">
        <v>35422</v>
      </c>
      <c r="AT285" s="37">
        <f t="shared" si="349"/>
        <v>37961</v>
      </c>
      <c r="AU285" s="759">
        <v>39322</v>
      </c>
      <c r="AV285" s="759">
        <v>42840</v>
      </c>
      <c r="AW285" s="759">
        <v>45392</v>
      </c>
      <c r="AX285" s="37">
        <f t="shared" si="350"/>
        <v>47076</v>
      </c>
      <c r="AY285" s="273"/>
      <c r="AZ285" s="37"/>
      <c r="BA285" s="37"/>
      <c r="BB285" s="37"/>
      <c r="BC285" s="37"/>
      <c r="BD285" s="37"/>
      <c r="BE285" s="37"/>
      <c r="BF285" s="37"/>
      <c r="BG285" s="37"/>
      <c r="BH285" s="158"/>
      <c r="BI285" s="158"/>
      <c r="BJ285" s="857">
        <v>355</v>
      </c>
      <c r="BK285" s="857">
        <v>594</v>
      </c>
      <c r="BL285" s="857">
        <v>1071</v>
      </c>
      <c r="BM285" s="857">
        <v>1420</v>
      </c>
      <c r="BN285" s="857">
        <v>2273</v>
      </c>
      <c r="BO285" s="857">
        <v>3109</v>
      </c>
      <c r="BP285" s="857">
        <v>4909</v>
      </c>
      <c r="BQ285" s="857">
        <v>7401</v>
      </c>
      <c r="BR285" s="857">
        <v>11226</v>
      </c>
      <c r="BS285" s="857">
        <v>17360</v>
      </c>
      <c r="BT285" s="857">
        <v>22531</v>
      </c>
      <c r="BU285" s="857">
        <v>27720</v>
      </c>
      <c r="BV285" s="857">
        <v>37961</v>
      </c>
      <c r="BW285" s="862">
        <v>47076</v>
      </c>
      <c r="BX285" s="158"/>
      <c r="BY285" s="158"/>
      <c r="BZ285" s="158"/>
      <c r="CA285" s="158"/>
      <c r="CB285" s="158"/>
      <c r="CC285" s="117"/>
    </row>
    <row r="286" spans="1:81" s="706" customFormat="1" outlineLevel="1" x14ac:dyDescent="0.55000000000000004">
      <c r="A286" s="336" t="s">
        <v>1000</v>
      </c>
      <c r="B286" s="229"/>
      <c r="C286" s="759">
        <v>199</v>
      </c>
      <c r="D286" s="759">
        <v>194</v>
      </c>
      <c r="E286" s="759">
        <v>198</v>
      </c>
      <c r="F286" s="37">
        <f t="shared" si="339"/>
        <v>203</v>
      </c>
      <c r="G286" s="759">
        <v>214</v>
      </c>
      <c r="H286" s="759">
        <v>259</v>
      </c>
      <c r="I286" s="759">
        <v>279</v>
      </c>
      <c r="J286" s="37">
        <f t="shared" si="340"/>
        <v>304</v>
      </c>
      <c r="K286" s="759">
        <v>330</v>
      </c>
      <c r="L286" s="759">
        <v>348</v>
      </c>
      <c r="M286" s="759">
        <v>409</v>
      </c>
      <c r="N286" s="37">
        <f t="shared" si="341"/>
        <v>447</v>
      </c>
      <c r="O286" s="759">
        <v>310</v>
      </c>
      <c r="P286" s="759">
        <v>408</v>
      </c>
      <c r="Q286" s="759">
        <v>474</v>
      </c>
      <c r="R286" s="37">
        <f t="shared" si="342"/>
        <v>531</v>
      </c>
      <c r="S286" s="759">
        <v>616</v>
      </c>
      <c r="T286" s="759">
        <v>742</v>
      </c>
      <c r="U286" s="759">
        <v>818</v>
      </c>
      <c r="V286" s="37">
        <f t="shared" si="343"/>
        <v>959</v>
      </c>
      <c r="W286" s="759">
        <v>1197</v>
      </c>
      <c r="X286" s="759">
        <v>1472</v>
      </c>
      <c r="Y286" s="759">
        <v>1576</v>
      </c>
      <c r="Z286" s="37">
        <f t="shared" si="344"/>
        <v>1841</v>
      </c>
      <c r="AA286" s="759">
        <v>2019</v>
      </c>
      <c r="AB286" s="759">
        <v>2301</v>
      </c>
      <c r="AC286" s="759">
        <v>2736</v>
      </c>
      <c r="AD286" s="37">
        <f t="shared" si="345"/>
        <v>3112</v>
      </c>
      <c r="AE286" s="759">
        <v>3382</v>
      </c>
      <c r="AF286" s="759">
        <v>3423</v>
      </c>
      <c r="AG286" s="759">
        <v>3799</v>
      </c>
      <c r="AH286" s="37">
        <f t="shared" si="346"/>
        <v>4321</v>
      </c>
      <c r="AI286" s="759">
        <v>4946</v>
      </c>
      <c r="AJ286" s="759">
        <v>5294</v>
      </c>
      <c r="AK286" s="759">
        <v>5568</v>
      </c>
      <c r="AL286" s="37">
        <f t="shared" si="347"/>
        <v>5795</v>
      </c>
      <c r="AM286" s="759">
        <v>6043</v>
      </c>
      <c r="AN286" s="759">
        <v>6126</v>
      </c>
      <c r="AO286" s="759">
        <v>6625</v>
      </c>
      <c r="AP286" s="37">
        <f t="shared" si="348"/>
        <v>6522</v>
      </c>
      <c r="AQ286" s="759">
        <v>6654</v>
      </c>
      <c r="AR286" s="759">
        <v>6661</v>
      </c>
      <c r="AS286" s="759">
        <v>6841</v>
      </c>
      <c r="AT286" s="37">
        <f t="shared" si="349"/>
        <v>6972</v>
      </c>
      <c r="AU286" s="759">
        <v>7079</v>
      </c>
      <c r="AV286" s="759">
        <v>7191</v>
      </c>
      <c r="AW286" s="759">
        <v>7246</v>
      </c>
      <c r="AX286" s="37">
        <f t="shared" si="350"/>
        <v>7293</v>
      </c>
      <c r="AY286" s="273"/>
      <c r="AZ286" s="37"/>
      <c r="BA286" s="37"/>
      <c r="BB286" s="37"/>
      <c r="BC286" s="37"/>
      <c r="BD286" s="37"/>
      <c r="BE286" s="37"/>
      <c r="BF286" s="37"/>
      <c r="BG286" s="37"/>
      <c r="BH286" s="158"/>
      <c r="BI286" s="158"/>
      <c r="BJ286" s="857">
        <v>120</v>
      </c>
      <c r="BK286" s="857">
        <v>194</v>
      </c>
      <c r="BL286" s="857">
        <v>203</v>
      </c>
      <c r="BM286" s="857">
        <v>304</v>
      </c>
      <c r="BN286" s="857">
        <v>447</v>
      </c>
      <c r="BO286" s="857">
        <v>531</v>
      </c>
      <c r="BP286" s="857">
        <v>959</v>
      </c>
      <c r="BQ286" s="857">
        <v>1841</v>
      </c>
      <c r="BR286" s="857">
        <v>3112</v>
      </c>
      <c r="BS286" s="857">
        <v>4321</v>
      </c>
      <c r="BT286" s="857">
        <v>5795</v>
      </c>
      <c r="BU286" s="857">
        <v>6522</v>
      </c>
      <c r="BV286" s="857">
        <v>6972</v>
      </c>
      <c r="BW286" s="862">
        <v>7293</v>
      </c>
      <c r="BX286" s="158"/>
      <c r="BY286" s="158"/>
      <c r="BZ286" s="158"/>
      <c r="CA286" s="158"/>
      <c r="CB286" s="158"/>
      <c r="CC286" s="117"/>
    </row>
    <row r="287" spans="1:81" s="706" customFormat="1" outlineLevel="1" x14ac:dyDescent="0.55000000000000004">
      <c r="A287" s="336" t="s">
        <v>1001</v>
      </c>
      <c r="B287" s="229"/>
      <c r="C287" s="37"/>
      <c r="D287" s="37"/>
      <c r="E287" s="37"/>
      <c r="F287" s="37">
        <f t="shared" si="339"/>
        <v>0</v>
      </c>
      <c r="G287" s="37"/>
      <c r="H287" s="37"/>
      <c r="I287" s="37"/>
      <c r="J287" s="37">
        <f t="shared" si="340"/>
        <v>0</v>
      </c>
      <c r="K287" s="37"/>
      <c r="L287" s="37"/>
      <c r="M287" s="37"/>
      <c r="N287" s="37">
        <f t="shared" si="341"/>
        <v>0</v>
      </c>
      <c r="O287" s="37"/>
      <c r="P287" s="37"/>
      <c r="Q287" s="37"/>
      <c r="R287" s="37">
        <f t="shared" si="342"/>
        <v>0</v>
      </c>
      <c r="S287" s="37"/>
      <c r="T287" s="37"/>
      <c r="U287" s="37"/>
      <c r="V287" s="37">
        <f t="shared" si="343"/>
        <v>0</v>
      </c>
      <c r="W287" s="37"/>
      <c r="X287" s="37"/>
      <c r="Y287" s="37"/>
      <c r="Z287" s="37">
        <f t="shared" si="344"/>
        <v>0</v>
      </c>
      <c r="AA287" s="37"/>
      <c r="AB287" s="37"/>
      <c r="AC287" s="37"/>
      <c r="AD287" s="37">
        <f t="shared" si="345"/>
        <v>0</v>
      </c>
      <c r="AE287" s="37"/>
      <c r="AF287" s="37"/>
      <c r="AG287" s="37"/>
      <c r="AH287" s="37">
        <f t="shared" si="346"/>
        <v>0</v>
      </c>
      <c r="AI287" s="37"/>
      <c r="AJ287" s="37"/>
      <c r="AK287" s="37"/>
      <c r="AL287" s="37">
        <f t="shared" si="347"/>
        <v>4764</v>
      </c>
      <c r="AM287" s="759">
        <v>5045</v>
      </c>
      <c r="AN287" s="759">
        <v>5147</v>
      </c>
      <c r="AO287" s="759">
        <v>5375</v>
      </c>
      <c r="AP287" s="37">
        <f t="shared" si="348"/>
        <v>5642</v>
      </c>
      <c r="AQ287" s="759">
        <v>5831</v>
      </c>
      <c r="AR287" s="759">
        <v>6449</v>
      </c>
      <c r="AS287" s="759">
        <v>7056</v>
      </c>
      <c r="AT287" s="37">
        <f t="shared" si="349"/>
        <v>7416</v>
      </c>
      <c r="AU287" s="759">
        <v>7162</v>
      </c>
      <c r="AV287" s="759">
        <v>6457</v>
      </c>
      <c r="AW287" s="759">
        <v>6929</v>
      </c>
      <c r="AX287" s="37">
        <f t="shared" si="350"/>
        <v>7150</v>
      </c>
      <c r="AY287" s="273"/>
      <c r="AZ287" s="37"/>
      <c r="BA287" s="37"/>
      <c r="BB287" s="37"/>
      <c r="BC287" s="37"/>
      <c r="BD287" s="37"/>
      <c r="BE287" s="37"/>
      <c r="BF287" s="37"/>
      <c r="BG287" s="37"/>
      <c r="BH287" s="158"/>
      <c r="BI287" s="158"/>
      <c r="BJ287" s="158"/>
      <c r="BK287" s="158"/>
      <c r="BL287" s="158"/>
      <c r="BM287" s="158"/>
      <c r="BN287" s="158"/>
      <c r="BO287" s="158"/>
      <c r="BP287" s="158"/>
      <c r="BQ287" s="158"/>
      <c r="BR287" s="158"/>
      <c r="BS287" s="158"/>
      <c r="BT287" s="857">
        <v>4764</v>
      </c>
      <c r="BU287" s="857">
        <v>5642</v>
      </c>
      <c r="BV287" s="857">
        <v>7416</v>
      </c>
      <c r="BW287" s="862">
        <v>7150</v>
      </c>
      <c r="BX287" s="158"/>
      <c r="BY287" s="158"/>
      <c r="BZ287" s="158"/>
      <c r="CA287" s="158"/>
      <c r="CB287" s="158"/>
      <c r="CC287" s="117"/>
    </row>
    <row r="288" spans="1:81" s="706" customFormat="1" outlineLevel="1" x14ac:dyDescent="0.55000000000000004">
      <c r="A288" s="336" t="s">
        <v>1002</v>
      </c>
      <c r="B288" s="229"/>
      <c r="C288" s="37"/>
      <c r="D288" s="37"/>
      <c r="E288" s="37"/>
      <c r="F288" s="37">
        <f t="shared" si="339"/>
        <v>0</v>
      </c>
      <c r="G288" s="37"/>
      <c r="H288" s="37"/>
      <c r="I288" s="37"/>
      <c r="J288" s="37">
        <f t="shared" si="340"/>
        <v>0</v>
      </c>
      <c r="K288" s="37"/>
      <c r="L288" s="37"/>
      <c r="M288" s="37"/>
      <c r="N288" s="37">
        <f t="shared" si="341"/>
        <v>0</v>
      </c>
      <c r="O288" s="37"/>
      <c r="P288" s="37"/>
      <c r="Q288" s="37"/>
      <c r="R288" s="37">
        <f t="shared" si="342"/>
        <v>0</v>
      </c>
      <c r="S288" s="37"/>
      <c r="T288" s="37"/>
      <c r="U288" s="37"/>
      <c r="V288" s="37">
        <f t="shared" si="343"/>
        <v>0</v>
      </c>
      <c r="W288" s="37"/>
      <c r="X288" s="37"/>
      <c r="Y288" s="37"/>
      <c r="Z288" s="37">
        <f t="shared" si="344"/>
        <v>0</v>
      </c>
      <c r="AA288" s="759">
        <v>1145</v>
      </c>
      <c r="AB288" s="759">
        <v>1331</v>
      </c>
      <c r="AC288" s="759">
        <v>1427</v>
      </c>
      <c r="AD288" s="37">
        <f t="shared" si="345"/>
        <v>1635</v>
      </c>
      <c r="AE288" s="759">
        <v>1688</v>
      </c>
      <c r="AF288" s="759">
        <v>1756</v>
      </c>
      <c r="AG288" s="759">
        <v>2035</v>
      </c>
      <c r="AH288" s="37">
        <f t="shared" si="346"/>
        <v>2295</v>
      </c>
      <c r="AI288" s="759">
        <v>2398</v>
      </c>
      <c r="AJ288" s="759">
        <v>2557</v>
      </c>
      <c r="AK288" s="759">
        <v>2685</v>
      </c>
      <c r="AL288" s="37">
        <f t="shared" si="347"/>
        <v>2840</v>
      </c>
      <c r="AM288" s="759">
        <v>2955</v>
      </c>
      <c r="AN288" s="759">
        <v>3004</v>
      </c>
      <c r="AO288" s="759">
        <v>2995</v>
      </c>
      <c r="AP288" s="37">
        <f t="shared" si="348"/>
        <v>3353</v>
      </c>
      <c r="AQ288" s="759">
        <v>3573</v>
      </c>
      <c r="AR288" s="759">
        <v>3804</v>
      </c>
      <c r="AS288" s="759">
        <v>3794</v>
      </c>
      <c r="AT288" s="37">
        <f t="shared" si="349"/>
        <v>4185</v>
      </c>
      <c r="AU288" s="759">
        <v>4323</v>
      </c>
      <c r="AV288" s="759">
        <v>4583</v>
      </c>
      <c r="AW288" s="759">
        <v>5103</v>
      </c>
      <c r="AX288" s="37">
        <f t="shared" si="350"/>
        <v>5384</v>
      </c>
      <c r="AY288" s="273"/>
      <c r="AZ288" s="37"/>
      <c r="BA288" s="37"/>
      <c r="BB288" s="37"/>
      <c r="BC288" s="37"/>
      <c r="BD288" s="37"/>
      <c r="BE288" s="37"/>
      <c r="BF288" s="37"/>
      <c r="BG288" s="37"/>
      <c r="BH288" s="158"/>
      <c r="BI288" s="158"/>
      <c r="BJ288" s="158"/>
      <c r="BK288" s="158"/>
      <c r="BL288" s="158"/>
      <c r="BM288" s="158"/>
      <c r="BN288" s="158"/>
      <c r="BO288" s="158"/>
      <c r="BP288" s="158"/>
      <c r="BQ288" s="857">
        <v>0</v>
      </c>
      <c r="BR288" s="857">
        <v>1635</v>
      </c>
      <c r="BS288" s="857">
        <v>2295</v>
      </c>
      <c r="BT288" s="857">
        <v>2840</v>
      </c>
      <c r="BU288" s="857">
        <v>3353</v>
      </c>
      <c r="BV288" s="857">
        <v>4185</v>
      </c>
      <c r="BW288" s="862">
        <v>5384</v>
      </c>
      <c r="BX288" s="158"/>
      <c r="BY288" s="158"/>
      <c r="BZ288" s="158"/>
      <c r="CA288" s="158"/>
      <c r="CB288" s="158"/>
      <c r="CC288" s="117"/>
    </row>
    <row r="289" spans="1:81" s="706" customFormat="1" outlineLevel="1" x14ac:dyDescent="0.55000000000000004">
      <c r="A289" s="336" t="s">
        <v>1008</v>
      </c>
      <c r="B289" s="229"/>
      <c r="C289" s="759">
        <v>2009</v>
      </c>
      <c r="D289" s="759">
        <v>2117</v>
      </c>
      <c r="E289" s="759">
        <v>2245</v>
      </c>
      <c r="F289" s="37">
        <f t="shared" si="339"/>
        <v>2351</v>
      </c>
      <c r="G289" s="759">
        <v>2444</v>
      </c>
      <c r="H289" s="759">
        <v>2553</v>
      </c>
      <c r="I289" s="759">
        <v>2704</v>
      </c>
      <c r="J289" s="37">
        <f t="shared" si="340"/>
        <v>3020</v>
      </c>
      <c r="K289" s="759">
        <v>3118</v>
      </c>
      <c r="L289" s="759">
        <v>3279</v>
      </c>
      <c r="M289" s="759">
        <v>3437</v>
      </c>
      <c r="N289" s="37">
        <f t="shared" si="341"/>
        <v>3633</v>
      </c>
      <c r="O289" s="759">
        <v>4106</v>
      </c>
      <c r="P289" s="759">
        <v>4457</v>
      </c>
      <c r="Q289" s="759">
        <v>4734</v>
      </c>
      <c r="R289" s="37">
        <f t="shared" si="342"/>
        <v>5179</v>
      </c>
      <c r="S289" s="759">
        <v>5889</v>
      </c>
      <c r="T289" s="759">
        <v>6685</v>
      </c>
      <c r="U289" s="759">
        <v>7249</v>
      </c>
      <c r="V289" s="37">
        <f t="shared" si="343"/>
        <v>7998</v>
      </c>
      <c r="W289" s="759">
        <v>9227</v>
      </c>
      <c r="X289" s="759">
        <v>10147</v>
      </c>
      <c r="Y289" s="759">
        <v>11181</v>
      </c>
      <c r="Z289" s="37">
        <f t="shared" si="344"/>
        <v>13017</v>
      </c>
      <c r="AA289" s="759">
        <v>12964</v>
      </c>
      <c r="AB289" s="759">
        <v>14559</v>
      </c>
      <c r="AC289" s="759">
        <v>15486</v>
      </c>
      <c r="AD289" s="37">
        <f t="shared" si="345"/>
        <v>17004</v>
      </c>
      <c r="AE289" s="759">
        <v>17764</v>
      </c>
      <c r="AF289" s="759">
        <v>19047</v>
      </c>
      <c r="AG289" s="759">
        <v>20527</v>
      </c>
      <c r="AH289" s="37">
        <f t="shared" si="346"/>
        <v>22003</v>
      </c>
      <c r="AI289" s="759">
        <v>22580</v>
      </c>
      <c r="AJ289" s="759">
        <v>24085</v>
      </c>
      <c r="AK289" s="759">
        <v>25050</v>
      </c>
      <c r="AL289" s="37"/>
      <c r="AM289" s="37"/>
      <c r="AN289" s="37"/>
      <c r="AO289" s="37"/>
      <c r="AP289" s="37"/>
      <c r="AQ289" s="37"/>
      <c r="AR289" s="37"/>
      <c r="AS289" s="37"/>
      <c r="AT289" s="37"/>
      <c r="AU289" s="37"/>
      <c r="AV289" s="37"/>
      <c r="AW289" s="37"/>
      <c r="AX289" s="37"/>
      <c r="AY289" s="273"/>
      <c r="AZ289" s="37"/>
      <c r="BA289" s="37"/>
      <c r="BB289" s="37"/>
      <c r="BC289" s="37"/>
      <c r="BD289" s="37"/>
      <c r="BE289" s="37"/>
      <c r="BF289" s="37"/>
      <c r="BG289" s="37"/>
      <c r="BH289" s="158"/>
      <c r="BI289" s="158"/>
      <c r="BJ289" s="857">
        <v>1016</v>
      </c>
      <c r="BK289" s="857">
        <v>1912</v>
      </c>
      <c r="BL289" s="857">
        <v>2351</v>
      </c>
      <c r="BM289" s="857">
        <v>3020</v>
      </c>
      <c r="BN289" s="857">
        <v>3633</v>
      </c>
      <c r="BO289" s="857">
        <v>5179</v>
      </c>
      <c r="BP289" s="857">
        <v>7998</v>
      </c>
      <c r="BQ289" s="857">
        <v>13017</v>
      </c>
      <c r="BR289" s="857">
        <v>17004</v>
      </c>
      <c r="BS289" s="857">
        <v>22003</v>
      </c>
      <c r="BT289" s="158"/>
      <c r="BU289" s="158"/>
      <c r="BV289" s="158"/>
      <c r="BW289" s="846"/>
      <c r="BX289" s="158"/>
      <c r="BY289" s="158"/>
      <c r="BZ289" s="158"/>
      <c r="CA289" s="158"/>
      <c r="CB289" s="158"/>
      <c r="CC289" s="117"/>
    </row>
    <row r="290" spans="1:81" s="706" customFormat="1" outlineLevel="1" x14ac:dyDescent="0.55000000000000004">
      <c r="A290" s="336" t="s">
        <v>1007</v>
      </c>
      <c r="B290" s="229"/>
      <c r="C290" s="759">
        <v>96</v>
      </c>
      <c r="D290" s="759">
        <v>98</v>
      </c>
      <c r="E290" s="759">
        <v>107</v>
      </c>
      <c r="F290" s="37">
        <f t="shared" si="339"/>
        <v>95</v>
      </c>
      <c r="G290" s="759">
        <v>104</v>
      </c>
      <c r="H290" s="759">
        <v>121</v>
      </c>
      <c r="I290" s="759">
        <v>134</v>
      </c>
      <c r="J290" s="37">
        <f t="shared" si="340"/>
        <v>149</v>
      </c>
      <c r="K290" s="759">
        <v>183</v>
      </c>
      <c r="L290" s="759">
        <v>199</v>
      </c>
      <c r="M290" s="759">
        <v>220</v>
      </c>
      <c r="N290" s="37">
        <f t="shared" si="341"/>
        <v>248</v>
      </c>
      <c r="O290" s="759">
        <v>276</v>
      </c>
      <c r="P290" s="759">
        <v>309</v>
      </c>
      <c r="Q290" s="759">
        <v>351</v>
      </c>
      <c r="R290" s="37">
        <f t="shared" si="342"/>
        <v>398</v>
      </c>
      <c r="S290" s="759">
        <v>447</v>
      </c>
      <c r="T290" s="759">
        <v>517</v>
      </c>
      <c r="U290" s="759">
        <v>568</v>
      </c>
      <c r="V290" s="37">
        <f t="shared" si="343"/>
        <v>681</v>
      </c>
      <c r="W290" s="759">
        <v>770</v>
      </c>
      <c r="X290" s="759">
        <v>896</v>
      </c>
      <c r="Y290" s="759">
        <v>1025</v>
      </c>
      <c r="Z290" s="37">
        <f t="shared" si="344"/>
        <v>1187</v>
      </c>
      <c r="AA290" s="759">
        <v>1326</v>
      </c>
      <c r="AB290" s="759">
        <v>1484</v>
      </c>
      <c r="AC290" s="759">
        <v>1608</v>
      </c>
      <c r="AD290" s="37">
        <f t="shared" si="345"/>
        <v>1813</v>
      </c>
      <c r="AE290" s="759">
        <v>1951</v>
      </c>
      <c r="AF290" s="759">
        <v>2018</v>
      </c>
      <c r="AG290" s="759">
        <v>2246</v>
      </c>
      <c r="AH290" s="37">
        <f t="shared" si="346"/>
        <v>2458</v>
      </c>
      <c r="AI290" s="759">
        <v>2533</v>
      </c>
      <c r="AJ290" s="759">
        <v>2814</v>
      </c>
      <c r="AK290" s="759">
        <v>2951</v>
      </c>
      <c r="AL290" s="37"/>
      <c r="AM290" s="37"/>
      <c r="AN290" s="37"/>
      <c r="AO290" s="37"/>
      <c r="AP290" s="37"/>
      <c r="AQ290" s="37"/>
      <c r="AR290" s="37"/>
      <c r="AS290" s="37"/>
      <c r="AT290" s="37"/>
      <c r="AU290" s="37"/>
      <c r="AV290" s="37"/>
      <c r="AW290" s="37"/>
      <c r="AX290" s="37"/>
      <c r="AY290" s="273"/>
      <c r="AZ290" s="37"/>
      <c r="BA290" s="37"/>
      <c r="BB290" s="37"/>
      <c r="BC290" s="37"/>
      <c r="BD290" s="37"/>
      <c r="BE290" s="37"/>
      <c r="BF290" s="37"/>
      <c r="BG290" s="37"/>
      <c r="BH290" s="158"/>
      <c r="BI290" s="158"/>
      <c r="BJ290" s="857">
        <v>73</v>
      </c>
      <c r="BK290" s="857">
        <v>93</v>
      </c>
      <c r="BL290" s="857">
        <v>95</v>
      </c>
      <c r="BM290" s="857">
        <v>149</v>
      </c>
      <c r="BN290" s="857">
        <v>248</v>
      </c>
      <c r="BO290" s="857">
        <v>398</v>
      </c>
      <c r="BP290" s="857">
        <v>681</v>
      </c>
      <c r="BQ290" s="857">
        <v>1187</v>
      </c>
      <c r="BR290" s="857">
        <v>1813</v>
      </c>
      <c r="BS290" s="857">
        <v>2458</v>
      </c>
      <c r="BT290" s="158"/>
      <c r="BU290" s="158"/>
      <c r="BV290" s="158"/>
      <c r="BW290" s="846"/>
      <c r="BX290" s="158"/>
      <c r="BY290" s="158"/>
      <c r="BZ290" s="158"/>
      <c r="CA290" s="158"/>
      <c r="CB290" s="158"/>
      <c r="CC290" s="117"/>
    </row>
    <row r="291" spans="1:81" s="706" customFormat="1" outlineLevel="1" x14ac:dyDescent="0.55000000000000004">
      <c r="A291" s="337" t="s">
        <v>1003</v>
      </c>
      <c r="B291" s="230"/>
      <c r="C291" s="763">
        <v>299</v>
      </c>
      <c r="D291" s="763">
        <v>175</v>
      </c>
      <c r="E291" s="763">
        <v>255</v>
      </c>
      <c r="F291" s="82">
        <f t="shared" si="339"/>
        <v>377</v>
      </c>
      <c r="G291" s="763">
        <v>487</v>
      </c>
      <c r="H291" s="763">
        <v>638</v>
      </c>
      <c r="I291" s="763">
        <v>702</v>
      </c>
      <c r="J291" s="82">
        <f t="shared" si="340"/>
        <v>738</v>
      </c>
      <c r="K291" s="763">
        <v>589</v>
      </c>
      <c r="L291" s="763">
        <v>348</v>
      </c>
      <c r="M291" s="763">
        <v>537</v>
      </c>
      <c r="N291" s="82">
        <f t="shared" si="341"/>
        <v>622</v>
      </c>
      <c r="O291" s="763">
        <v>887</v>
      </c>
      <c r="P291" s="763">
        <v>1247</v>
      </c>
      <c r="Q291" s="763">
        <v>1840</v>
      </c>
      <c r="R291" s="82">
        <f t="shared" si="342"/>
        <v>1890</v>
      </c>
      <c r="S291" s="763">
        <v>1728</v>
      </c>
      <c r="T291" s="763">
        <v>1991</v>
      </c>
      <c r="U291" s="763">
        <v>2418</v>
      </c>
      <c r="V291" s="82">
        <f t="shared" si="343"/>
        <v>2992</v>
      </c>
      <c r="W291" s="763">
        <v>4316</v>
      </c>
      <c r="X291" s="763">
        <v>4624</v>
      </c>
      <c r="Y291" s="763">
        <v>5915</v>
      </c>
      <c r="Z291" s="82">
        <f t="shared" si="344"/>
        <v>7228</v>
      </c>
      <c r="AA291" s="763">
        <v>8509</v>
      </c>
      <c r="AB291" s="763">
        <v>9054</v>
      </c>
      <c r="AC291" s="763">
        <v>10442</v>
      </c>
      <c r="AD291" s="82">
        <f t="shared" si="345"/>
        <v>10099</v>
      </c>
      <c r="AE291" s="763">
        <v>10908</v>
      </c>
      <c r="AF291" s="763">
        <v>11276</v>
      </c>
      <c r="AG291" s="763">
        <v>10449</v>
      </c>
      <c r="AH291" s="82">
        <f t="shared" si="346"/>
        <v>11288</v>
      </c>
      <c r="AI291" s="763">
        <v>12318</v>
      </c>
      <c r="AJ291" s="763">
        <v>12593</v>
      </c>
      <c r="AK291" s="763">
        <v>13201</v>
      </c>
      <c r="AL291" s="82">
        <f>+BT291</f>
        <v>14687</v>
      </c>
      <c r="AM291" s="763">
        <v>17031</v>
      </c>
      <c r="AN291" s="763">
        <v>21100</v>
      </c>
      <c r="AO291" s="763">
        <v>23623</v>
      </c>
      <c r="AP291" s="82">
        <f>+BU291</f>
        <v>25052</v>
      </c>
      <c r="AQ291" s="763">
        <v>25039</v>
      </c>
      <c r="AR291" s="763">
        <v>24843</v>
      </c>
      <c r="AS291" s="763">
        <v>22945</v>
      </c>
      <c r="AT291" s="82">
        <f>+BV291</f>
        <v>24269</v>
      </c>
      <c r="AU291" s="763">
        <v>22975</v>
      </c>
      <c r="AV291" s="763">
        <v>21666</v>
      </c>
      <c r="AW291" s="763">
        <v>23301</v>
      </c>
      <c r="AX291" s="82">
        <f>+BW291</f>
        <v>26802</v>
      </c>
      <c r="AY291" s="406"/>
      <c r="AZ291" s="82"/>
      <c r="BA291" s="82"/>
      <c r="BB291" s="82"/>
      <c r="BC291" s="82"/>
      <c r="BD291" s="82"/>
      <c r="BE291" s="82"/>
      <c r="BF291" s="82"/>
      <c r="BG291" s="82"/>
      <c r="BH291" s="854"/>
      <c r="BI291" s="854"/>
      <c r="BJ291" s="863">
        <v>327</v>
      </c>
      <c r="BK291" s="863">
        <v>444</v>
      </c>
      <c r="BL291" s="863">
        <v>377</v>
      </c>
      <c r="BM291" s="863">
        <v>738</v>
      </c>
      <c r="BN291" s="863">
        <v>622</v>
      </c>
      <c r="BO291" s="863">
        <v>1890</v>
      </c>
      <c r="BP291" s="863">
        <v>2992</v>
      </c>
      <c r="BQ291" s="863">
        <v>7228</v>
      </c>
      <c r="BR291" s="863">
        <v>10099</v>
      </c>
      <c r="BS291" s="863">
        <v>11288</v>
      </c>
      <c r="BT291" s="863">
        <v>14687</v>
      </c>
      <c r="BU291" s="863">
        <v>25052</v>
      </c>
      <c r="BV291" s="863">
        <v>24269</v>
      </c>
      <c r="BW291" s="864">
        <v>26802</v>
      </c>
      <c r="BX291" s="854"/>
      <c r="BY291" s="854"/>
      <c r="BZ291" s="854"/>
      <c r="CA291" s="854"/>
      <c r="CB291" s="854"/>
      <c r="CC291" s="117"/>
    </row>
    <row r="292" spans="1:81" s="706" customFormat="1" outlineLevel="1" x14ac:dyDescent="0.55000000000000004">
      <c r="A292" s="86" t="s">
        <v>1004</v>
      </c>
      <c r="B292" s="229"/>
      <c r="C292" s="37">
        <f t="shared" ref="C292:AX292" si="351">+SUM(C283:C291)</f>
        <v>3535</v>
      </c>
      <c r="D292" s="37">
        <f t="shared" si="351"/>
        <v>3591</v>
      </c>
      <c r="E292" s="37">
        <f t="shared" si="351"/>
        <v>3821</v>
      </c>
      <c r="F292" s="37">
        <f t="shared" si="351"/>
        <v>4142</v>
      </c>
      <c r="G292" s="37">
        <f t="shared" si="351"/>
        <v>4370</v>
      </c>
      <c r="H292" s="37">
        <f t="shared" si="351"/>
        <v>4794</v>
      </c>
      <c r="I292" s="37">
        <f t="shared" si="351"/>
        <v>5319</v>
      </c>
      <c r="J292" s="37">
        <f t="shared" si="351"/>
        <v>5784</v>
      </c>
      <c r="K292" s="37">
        <f t="shared" si="351"/>
        <v>6574</v>
      </c>
      <c r="L292" s="37">
        <f t="shared" si="351"/>
        <v>6916</v>
      </c>
      <c r="M292" s="37">
        <f t="shared" si="351"/>
        <v>7370</v>
      </c>
      <c r="N292" s="37">
        <f t="shared" si="351"/>
        <v>7819</v>
      </c>
      <c r="O292" s="37">
        <f t="shared" si="351"/>
        <v>8813</v>
      </c>
      <c r="P292" s="37">
        <f t="shared" si="351"/>
        <v>9756</v>
      </c>
      <c r="Q292" s="37">
        <f t="shared" si="351"/>
        <v>10778</v>
      </c>
      <c r="R292" s="37">
        <f t="shared" si="351"/>
        <v>11803</v>
      </c>
      <c r="S292" s="37">
        <f t="shared" si="351"/>
        <v>13032</v>
      </c>
      <c r="T292" s="37">
        <f t="shared" si="351"/>
        <v>14668</v>
      </c>
      <c r="U292" s="37">
        <f t="shared" si="351"/>
        <v>16446</v>
      </c>
      <c r="V292" s="37">
        <f t="shared" si="351"/>
        <v>18337</v>
      </c>
      <c r="W292" s="37">
        <f t="shared" si="351"/>
        <v>21292</v>
      </c>
      <c r="X292" s="37">
        <f t="shared" si="351"/>
        <v>23918</v>
      </c>
      <c r="Y292" s="37">
        <f t="shared" si="351"/>
        <v>27196</v>
      </c>
      <c r="Z292" s="37">
        <f t="shared" si="351"/>
        <v>31573</v>
      </c>
      <c r="AA292" s="37">
        <f t="shared" si="351"/>
        <v>35002</v>
      </c>
      <c r="AB292" s="37">
        <f t="shared" si="351"/>
        <v>38751</v>
      </c>
      <c r="AC292" s="37">
        <f t="shared" si="351"/>
        <v>41930</v>
      </c>
      <c r="AD292" s="37">
        <f t="shared" si="351"/>
        <v>45986</v>
      </c>
      <c r="AE292" s="37">
        <f t="shared" si="351"/>
        <v>48739</v>
      </c>
      <c r="AF292" s="37">
        <f t="shared" si="351"/>
        <v>52088</v>
      </c>
      <c r="AG292" s="37">
        <f t="shared" si="351"/>
        <v>56428</v>
      </c>
      <c r="AH292" s="37">
        <f t="shared" si="351"/>
        <v>61051</v>
      </c>
      <c r="AI292" s="37">
        <f t="shared" si="351"/>
        <v>64210</v>
      </c>
      <c r="AJ292" s="37">
        <f t="shared" si="351"/>
        <v>68644</v>
      </c>
      <c r="AK292" s="37">
        <f t="shared" si="351"/>
        <v>72375</v>
      </c>
      <c r="AL292" s="37">
        <f t="shared" si="351"/>
        <v>77889</v>
      </c>
      <c r="AM292" s="37">
        <f t="shared" si="351"/>
        <v>83035</v>
      </c>
      <c r="AN292" s="37">
        <f t="shared" si="351"/>
        <v>90022</v>
      </c>
      <c r="AO292" s="37">
        <f t="shared" si="351"/>
        <v>97131</v>
      </c>
      <c r="AP292" s="37">
        <f t="shared" si="351"/>
        <v>104493</v>
      </c>
      <c r="AQ292" s="37">
        <f t="shared" si="351"/>
        <v>111135</v>
      </c>
      <c r="AR292" s="37">
        <f t="shared" si="351"/>
        <v>116902</v>
      </c>
      <c r="AS292" s="37">
        <f t="shared" si="351"/>
        <v>122620</v>
      </c>
      <c r="AT292" s="37">
        <f t="shared" si="351"/>
        <v>129721</v>
      </c>
      <c r="AU292" s="37">
        <f t="shared" si="351"/>
        <v>134818</v>
      </c>
      <c r="AV292" s="37">
        <f t="shared" si="351"/>
        <v>141354</v>
      </c>
      <c r="AW292" s="37">
        <f t="shared" si="351"/>
        <v>153016</v>
      </c>
      <c r="AX292" s="37">
        <f t="shared" si="351"/>
        <v>164663</v>
      </c>
      <c r="AY292" s="273"/>
      <c r="AZ292" s="37"/>
      <c r="BA292" s="37"/>
      <c r="BB292" s="37"/>
      <c r="BC292" s="37"/>
      <c r="BD292" s="37"/>
      <c r="BE292" s="37"/>
      <c r="BF292" s="37"/>
      <c r="BG292" s="37"/>
      <c r="BH292" s="158"/>
      <c r="BI292" s="158"/>
      <c r="BJ292" s="158">
        <f t="shared" ref="BJ292:BW292" si="352">+SUM(BJ283:BJ291)</f>
        <v>1925</v>
      </c>
      <c r="BK292" s="158">
        <f t="shared" si="352"/>
        <v>3273</v>
      </c>
      <c r="BL292" s="158">
        <f t="shared" si="352"/>
        <v>4142</v>
      </c>
      <c r="BM292" s="158">
        <f t="shared" si="352"/>
        <v>5784</v>
      </c>
      <c r="BN292" s="158">
        <f t="shared" si="352"/>
        <v>7819</v>
      </c>
      <c r="BO292" s="158">
        <f t="shared" si="352"/>
        <v>11803</v>
      </c>
      <c r="BP292" s="158">
        <f t="shared" si="352"/>
        <v>18337</v>
      </c>
      <c r="BQ292" s="158">
        <f t="shared" si="352"/>
        <v>31573</v>
      </c>
      <c r="BR292" s="158">
        <f t="shared" si="352"/>
        <v>45986</v>
      </c>
      <c r="BS292" s="158">
        <f t="shared" si="352"/>
        <v>61051</v>
      </c>
      <c r="BT292" s="158">
        <f t="shared" si="352"/>
        <v>77889</v>
      </c>
      <c r="BU292" s="158">
        <f t="shared" si="352"/>
        <v>104493</v>
      </c>
      <c r="BV292" s="158">
        <f t="shared" si="352"/>
        <v>129721</v>
      </c>
      <c r="BW292" s="846">
        <f t="shared" si="352"/>
        <v>164663</v>
      </c>
      <c r="BX292" s="158"/>
      <c r="BY292" s="158"/>
      <c r="BZ292" s="158"/>
      <c r="CA292" s="158"/>
      <c r="CB292" s="158"/>
      <c r="CC292" s="117"/>
    </row>
    <row r="293" spans="1:81" s="706" customFormat="1" outlineLevel="1" x14ac:dyDescent="0.55000000000000004">
      <c r="A293" s="315" t="s">
        <v>1005</v>
      </c>
      <c r="B293" s="230"/>
      <c r="C293" s="763">
        <v>-1002</v>
      </c>
      <c r="D293" s="763">
        <v>-1014</v>
      </c>
      <c r="E293" s="763">
        <v>-1136</v>
      </c>
      <c r="F293" s="82">
        <f>+BL293</f>
        <v>-1260</v>
      </c>
      <c r="G293" s="763">
        <v>-1296</v>
      </c>
      <c r="H293" s="763">
        <v>-1460</v>
      </c>
      <c r="I293" s="763">
        <v>-1616</v>
      </c>
      <c r="J293" s="82">
        <f>+BM293</f>
        <v>-1817</v>
      </c>
      <c r="K293" s="763">
        <v>-1955</v>
      </c>
      <c r="L293" s="763">
        <v>-1961</v>
      </c>
      <c r="M293" s="763">
        <v>-2035</v>
      </c>
      <c r="N293" s="82">
        <f>+BN293</f>
        <v>-2132</v>
      </c>
      <c r="O293" s="763">
        <v>-2346</v>
      </c>
      <c r="P293" s="763">
        <v>-2652</v>
      </c>
      <c r="Q293" s="763">
        <v>-2879</v>
      </c>
      <c r="R293" s="82">
        <f>+BO293</f>
        <v>-3212</v>
      </c>
      <c r="S293" s="763">
        <v>-3570</v>
      </c>
      <c r="T293" s="763">
        <v>-4040</v>
      </c>
      <c r="U293" s="763">
        <v>-4288</v>
      </c>
      <c r="V293" s="82">
        <f>+BP293</f>
        <v>-4616</v>
      </c>
      <c r="W293" s="763">
        <v>-5081</v>
      </c>
      <c r="X293" s="763">
        <v>-5561</v>
      </c>
      <c r="Y293" s="763">
        <v>-6084</v>
      </c>
      <c r="Z293" s="82">
        <f>+BQ293</f>
        <v>-6890</v>
      </c>
      <c r="AA293" s="763">
        <v>-7657</v>
      </c>
      <c r="AB293" s="763">
        <v>-8752</v>
      </c>
      <c r="AC293" s="763">
        <v>-9646</v>
      </c>
      <c r="AD293" s="82">
        <f>+BR293</f>
        <v>-10663</v>
      </c>
      <c r="AE293" s="763">
        <v>-11612</v>
      </c>
      <c r="AF293" s="763">
        <v>-13082</v>
      </c>
      <c r="AG293" s="763">
        <v>-14137</v>
      </c>
      <c r="AH293" s="82">
        <f>+BS293</f>
        <v>-15418</v>
      </c>
      <c r="AI293" s="763">
        <v>-16490</v>
      </c>
      <c r="AJ293" s="763">
        <v>-17735</v>
      </c>
      <c r="AK293" s="763">
        <v>-18649</v>
      </c>
      <c r="AL293" s="82">
        <f>+BT293</f>
        <v>-20080</v>
      </c>
      <c r="AM293" s="763">
        <v>-21453</v>
      </c>
      <c r="AN293" s="763">
        <v>-22434</v>
      </c>
      <c r="AO293" s="763">
        <v>-23393</v>
      </c>
      <c r="AP293" s="82">
        <f>+BU293</f>
        <v>-24975</v>
      </c>
      <c r="AQ293" s="763">
        <v>-26979</v>
      </c>
      <c r="AR293" s="763">
        <v>-28953</v>
      </c>
      <c r="AS293" s="763">
        <v>-30848</v>
      </c>
      <c r="AT293" s="82">
        <f>+BV293</f>
        <v>-33134</v>
      </c>
      <c r="AU293" s="763">
        <v>-35910</v>
      </c>
      <c r="AV293" s="763">
        <v>-38395</v>
      </c>
      <c r="AW293" s="763">
        <v>-40854</v>
      </c>
      <c r="AX293" s="82">
        <f>+BW293</f>
        <v>-43317</v>
      </c>
      <c r="AY293" s="406"/>
      <c r="AZ293" s="82"/>
      <c r="BA293" s="82"/>
      <c r="BB293" s="82"/>
      <c r="BC293" s="82"/>
      <c r="BD293" s="82"/>
      <c r="BE293" s="82"/>
      <c r="BF293" s="82"/>
      <c r="BG293" s="82"/>
      <c r="BH293" s="854"/>
      <c r="BI293" s="854"/>
      <c r="BJ293" s="863">
        <v>-450</v>
      </c>
      <c r="BK293" s="863">
        <v>-882</v>
      </c>
      <c r="BL293" s="863">
        <v>-1260</v>
      </c>
      <c r="BM293" s="863">
        <v>-1817</v>
      </c>
      <c r="BN293" s="863">
        <v>-2132</v>
      </c>
      <c r="BO293" s="863">
        <v>-3212</v>
      </c>
      <c r="BP293" s="863">
        <v>-4616</v>
      </c>
      <c r="BQ293" s="863">
        <v>-6890</v>
      </c>
      <c r="BR293" s="863">
        <v>-10663</v>
      </c>
      <c r="BS293" s="863">
        <v>-15418</v>
      </c>
      <c r="BT293" s="863">
        <v>-20080</v>
      </c>
      <c r="BU293" s="863">
        <v>-24975</v>
      </c>
      <c r="BV293" s="863">
        <v>-33134</v>
      </c>
      <c r="BW293" s="864">
        <v>-43317</v>
      </c>
      <c r="BX293" s="854"/>
      <c r="BY293" s="854"/>
      <c r="BZ293" s="854"/>
      <c r="CA293" s="854"/>
      <c r="CB293" s="854"/>
      <c r="CC293" s="117"/>
    </row>
    <row r="294" spans="1:81" s="708" customFormat="1" outlineLevel="1" x14ac:dyDescent="0.55000000000000004">
      <c r="A294" s="192" t="s">
        <v>1006</v>
      </c>
      <c r="B294" s="232"/>
      <c r="C294" s="35">
        <f t="shared" ref="C294:AX294" si="353">+C292+C293</f>
        <v>2533</v>
      </c>
      <c r="D294" s="35">
        <f t="shared" si="353"/>
        <v>2577</v>
      </c>
      <c r="E294" s="35">
        <f t="shared" si="353"/>
        <v>2685</v>
      </c>
      <c r="F294" s="35">
        <f t="shared" si="353"/>
        <v>2882</v>
      </c>
      <c r="G294" s="35">
        <f t="shared" si="353"/>
        <v>3074</v>
      </c>
      <c r="H294" s="35">
        <f t="shared" si="353"/>
        <v>3334</v>
      </c>
      <c r="I294" s="35">
        <f t="shared" si="353"/>
        <v>3703</v>
      </c>
      <c r="J294" s="35">
        <f t="shared" si="353"/>
        <v>3967</v>
      </c>
      <c r="K294" s="35">
        <f t="shared" si="353"/>
        <v>4619</v>
      </c>
      <c r="L294" s="35">
        <f t="shared" si="353"/>
        <v>4955</v>
      </c>
      <c r="M294" s="35">
        <f t="shared" si="353"/>
        <v>5335</v>
      </c>
      <c r="N294" s="35">
        <f t="shared" si="353"/>
        <v>5687</v>
      </c>
      <c r="O294" s="35">
        <f t="shared" si="353"/>
        <v>6467</v>
      </c>
      <c r="P294" s="35">
        <f t="shared" si="353"/>
        <v>7104</v>
      </c>
      <c r="Q294" s="35">
        <f t="shared" si="353"/>
        <v>7899</v>
      </c>
      <c r="R294" s="35">
        <f t="shared" si="353"/>
        <v>8591</v>
      </c>
      <c r="S294" s="35">
        <f t="shared" si="353"/>
        <v>9462</v>
      </c>
      <c r="T294" s="35">
        <f t="shared" si="353"/>
        <v>10628</v>
      </c>
      <c r="U294" s="35">
        <f t="shared" si="353"/>
        <v>12158</v>
      </c>
      <c r="V294" s="35">
        <f t="shared" si="353"/>
        <v>13721</v>
      </c>
      <c r="W294" s="35">
        <f t="shared" si="353"/>
        <v>16211</v>
      </c>
      <c r="X294" s="35">
        <f t="shared" si="353"/>
        <v>18357</v>
      </c>
      <c r="Y294" s="35">
        <f t="shared" si="353"/>
        <v>21112</v>
      </c>
      <c r="Z294" s="35">
        <f t="shared" si="353"/>
        <v>24683</v>
      </c>
      <c r="AA294" s="35">
        <f t="shared" si="353"/>
        <v>27345</v>
      </c>
      <c r="AB294" s="35">
        <f t="shared" si="353"/>
        <v>29999</v>
      </c>
      <c r="AC294" s="35">
        <f t="shared" si="353"/>
        <v>32284</v>
      </c>
      <c r="AD294" s="35">
        <f t="shared" si="353"/>
        <v>35323</v>
      </c>
      <c r="AE294" s="35">
        <f t="shared" si="353"/>
        <v>37127</v>
      </c>
      <c r="AF294" s="35">
        <f t="shared" si="353"/>
        <v>39006</v>
      </c>
      <c r="AG294" s="35">
        <f t="shared" si="353"/>
        <v>42291</v>
      </c>
      <c r="AH294" s="35">
        <f t="shared" si="353"/>
        <v>45633</v>
      </c>
      <c r="AI294" s="35">
        <f t="shared" si="353"/>
        <v>47720</v>
      </c>
      <c r="AJ294" s="35">
        <f t="shared" si="353"/>
        <v>50909</v>
      </c>
      <c r="AK294" s="35">
        <f t="shared" si="353"/>
        <v>53726</v>
      </c>
      <c r="AL294" s="35">
        <f t="shared" si="353"/>
        <v>57809</v>
      </c>
      <c r="AM294" s="35">
        <f t="shared" si="353"/>
        <v>61582</v>
      </c>
      <c r="AN294" s="35">
        <f t="shared" si="353"/>
        <v>67588</v>
      </c>
      <c r="AO294" s="35">
        <f t="shared" si="353"/>
        <v>73738</v>
      </c>
      <c r="AP294" s="35">
        <f t="shared" si="353"/>
        <v>79518</v>
      </c>
      <c r="AQ294" s="35">
        <f t="shared" si="353"/>
        <v>84156</v>
      </c>
      <c r="AR294" s="35">
        <f t="shared" si="353"/>
        <v>87949</v>
      </c>
      <c r="AS294" s="35">
        <f t="shared" si="353"/>
        <v>91772</v>
      </c>
      <c r="AT294" s="35">
        <f t="shared" si="353"/>
        <v>96587</v>
      </c>
      <c r="AU294" s="35">
        <f t="shared" si="353"/>
        <v>98908</v>
      </c>
      <c r="AV294" s="35">
        <f t="shared" si="353"/>
        <v>102959</v>
      </c>
      <c r="AW294" s="35">
        <f t="shared" si="353"/>
        <v>112162</v>
      </c>
      <c r="AX294" s="35">
        <f t="shared" si="353"/>
        <v>121346</v>
      </c>
      <c r="AY294" s="272"/>
      <c r="AZ294" s="35"/>
      <c r="BA294" s="35"/>
      <c r="BB294" s="35"/>
      <c r="BC294" s="35"/>
      <c r="BD294" s="35"/>
      <c r="BE294" s="35"/>
      <c r="BF294" s="35"/>
      <c r="BG294" s="35"/>
      <c r="BH294" s="812"/>
      <c r="BI294" s="812"/>
      <c r="BJ294" s="812">
        <f t="shared" ref="BJ294:BW294" si="354">+BJ292+BJ293</f>
        <v>1475</v>
      </c>
      <c r="BK294" s="812">
        <f t="shared" si="354"/>
        <v>2391</v>
      </c>
      <c r="BL294" s="812">
        <f t="shared" si="354"/>
        <v>2882</v>
      </c>
      <c r="BM294" s="812">
        <f t="shared" si="354"/>
        <v>3967</v>
      </c>
      <c r="BN294" s="812">
        <f t="shared" si="354"/>
        <v>5687</v>
      </c>
      <c r="BO294" s="812">
        <f t="shared" si="354"/>
        <v>8591</v>
      </c>
      <c r="BP294" s="812">
        <f t="shared" si="354"/>
        <v>13721</v>
      </c>
      <c r="BQ294" s="812">
        <f t="shared" si="354"/>
        <v>24683</v>
      </c>
      <c r="BR294" s="812">
        <f t="shared" si="354"/>
        <v>35323</v>
      </c>
      <c r="BS294" s="812">
        <f t="shared" si="354"/>
        <v>45633</v>
      </c>
      <c r="BT294" s="812">
        <f t="shared" si="354"/>
        <v>57809</v>
      </c>
      <c r="BU294" s="812">
        <f t="shared" si="354"/>
        <v>79518</v>
      </c>
      <c r="BV294" s="812">
        <f t="shared" si="354"/>
        <v>96587</v>
      </c>
      <c r="BW294" s="814">
        <f t="shared" si="354"/>
        <v>121346</v>
      </c>
      <c r="BX294" s="812"/>
      <c r="BY294" s="812"/>
      <c r="BZ294" s="812"/>
      <c r="CA294" s="812"/>
      <c r="CB294" s="812"/>
      <c r="CC294" s="6"/>
    </row>
    <row r="295" spans="1:81" s="709" customFormat="1" x14ac:dyDescent="0.55000000000000004">
      <c r="A295" s="262"/>
      <c r="B295" s="237"/>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275"/>
      <c r="AZ295" s="55"/>
      <c r="BA295" s="55"/>
      <c r="BB295" s="55"/>
      <c r="BC295" s="55"/>
      <c r="BD295" s="55"/>
      <c r="BE295" s="55"/>
      <c r="BF295" s="55"/>
      <c r="BG295" s="55"/>
      <c r="BH295" s="156"/>
      <c r="BI295" s="156"/>
      <c r="BJ295" s="156"/>
      <c r="BK295" s="156"/>
      <c r="BL295" s="156"/>
      <c r="BM295" s="156"/>
      <c r="BN295" s="156"/>
      <c r="BO295" s="156"/>
      <c r="BP295" s="156"/>
      <c r="BQ295" s="156"/>
      <c r="BR295" s="156"/>
      <c r="BS295" s="156"/>
      <c r="BT295" s="156"/>
      <c r="BU295" s="156"/>
      <c r="BV295" s="156"/>
      <c r="BW295" s="856"/>
      <c r="BX295" s="156"/>
      <c r="BY295" s="156"/>
      <c r="BZ295" s="156"/>
      <c r="CA295" s="156"/>
      <c r="CB295" s="156"/>
      <c r="CC295" s="24"/>
    </row>
    <row r="296" spans="1:81" x14ac:dyDescent="0.55000000000000004">
      <c r="A296" s="283" t="s">
        <v>1059</v>
      </c>
      <c r="B296" s="196"/>
      <c r="C296" s="207"/>
      <c r="D296" s="207"/>
      <c r="E296" s="207"/>
      <c r="F296" s="207"/>
      <c r="G296" s="207"/>
      <c r="H296" s="207"/>
      <c r="I296" s="207"/>
      <c r="J296" s="207"/>
      <c r="K296" s="207"/>
      <c r="L296" s="207"/>
      <c r="M296" s="207"/>
      <c r="N296" s="207"/>
      <c r="O296" s="207"/>
      <c r="P296" s="207"/>
      <c r="Q296" s="207"/>
      <c r="R296" s="207"/>
      <c r="S296" s="207"/>
      <c r="T296" s="207"/>
      <c r="U296" s="207"/>
      <c r="V296" s="207"/>
      <c r="W296" s="207"/>
      <c r="X296" s="207"/>
      <c r="Y296" s="207"/>
      <c r="Z296" s="207"/>
      <c r="AA296" s="207"/>
      <c r="AB296" s="207"/>
      <c r="AC296" s="207"/>
      <c r="AD296" s="207"/>
      <c r="AE296" s="207"/>
      <c r="AF296" s="207"/>
      <c r="AG296" s="207"/>
      <c r="AH296" s="207"/>
      <c r="AI296" s="207"/>
      <c r="AJ296" s="207"/>
      <c r="AK296" s="207"/>
      <c r="AL296" s="207"/>
      <c r="AM296" s="207"/>
      <c r="AN296" s="207"/>
      <c r="AO296" s="207"/>
      <c r="AP296" s="207"/>
      <c r="AQ296" s="207"/>
      <c r="AR296" s="207"/>
      <c r="AS296" s="207"/>
      <c r="AT296" s="207"/>
      <c r="AU296" s="207"/>
      <c r="AV296" s="207"/>
      <c r="AW296" s="207"/>
      <c r="AX296" s="207"/>
      <c r="AY296" s="284"/>
      <c r="AZ296" s="207"/>
      <c r="BA296" s="207"/>
      <c r="BB296" s="207"/>
      <c r="BC296" s="207"/>
      <c r="BD296" s="207"/>
      <c r="BE296" s="207"/>
      <c r="BF296" s="207"/>
      <c r="BG296" s="207"/>
      <c r="BH296" s="207"/>
      <c r="BI296" s="207"/>
      <c r="BJ296" s="207"/>
      <c r="BK296" s="207"/>
      <c r="BL296" s="207"/>
      <c r="BM296" s="207"/>
      <c r="BN296" s="207"/>
      <c r="BO296" s="207"/>
      <c r="BP296" s="207"/>
      <c r="BQ296" s="207"/>
      <c r="BR296" s="207"/>
      <c r="BS296" s="207"/>
      <c r="BT296" s="207"/>
      <c r="BU296" s="207"/>
      <c r="BV296" s="207"/>
      <c r="BW296" s="284"/>
      <c r="BX296" s="207"/>
      <c r="BY296" s="207"/>
      <c r="BZ296" s="207"/>
      <c r="CA296" s="207"/>
      <c r="CB296" s="207"/>
      <c r="CC296" s="6"/>
    </row>
    <row r="297" spans="1:81" s="706" customFormat="1" outlineLevel="1" x14ac:dyDescent="0.55000000000000004">
      <c r="A297" s="336" t="s">
        <v>1070</v>
      </c>
      <c r="B297" s="229"/>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759">
        <v>42</v>
      </c>
      <c r="AB297" s="759">
        <v>47</v>
      </c>
      <c r="AC297" s="759">
        <v>51</v>
      </c>
      <c r="AD297" s="37">
        <f>BR297-SUM(AA297,AB297,AC297)</f>
        <v>55</v>
      </c>
      <c r="AE297" s="759">
        <v>60</v>
      </c>
      <c r="AF297" s="759">
        <v>60</v>
      </c>
      <c r="AG297" s="759">
        <v>65</v>
      </c>
      <c r="AH297" s="37">
        <f>BS297-SUM(AE297,AF297,AG297)</f>
        <v>74</v>
      </c>
      <c r="AI297" s="759">
        <v>81</v>
      </c>
      <c r="AJ297" s="759">
        <v>83</v>
      </c>
      <c r="AK297" s="759">
        <v>88</v>
      </c>
      <c r="AL297" s="37">
        <f>BT297-SUM(AI297,AJ297,AK297)</f>
        <v>92</v>
      </c>
      <c r="AM297" s="759">
        <v>98</v>
      </c>
      <c r="AN297" s="759">
        <v>95</v>
      </c>
      <c r="AO297" s="759">
        <v>92</v>
      </c>
      <c r="AP297" s="37">
        <f>BU297-SUM(AM297,AN297,AO297)</f>
        <v>95</v>
      </c>
      <c r="AQ297" s="759">
        <v>104</v>
      </c>
      <c r="AR297" s="759">
        <v>80</v>
      </c>
      <c r="AS297" s="759">
        <v>80</v>
      </c>
      <c r="AT297" s="37">
        <f>BV297-SUM(AQ297,AR297,AS297)</f>
        <v>85</v>
      </c>
      <c r="AU297" s="37"/>
      <c r="AV297" s="37"/>
      <c r="AW297" s="37"/>
      <c r="AX297" s="37"/>
      <c r="AY297" s="273"/>
      <c r="AZ297" s="37"/>
      <c r="BA297" s="37"/>
      <c r="BB297" s="37"/>
      <c r="BC297" s="37"/>
      <c r="BD297" s="37"/>
      <c r="BE297" s="37"/>
      <c r="BF297" s="37"/>
      <c r="BG297" s="37"/>
      <c r="BH297" s="158"/>
      <c r="BI297" s="158"/>
      <c r="BJ297" s="158"/>
      <c r="BK297" s="158"/>
      <c r="BL297" s="158"/>
      <c r="BM297" s="158"/>
      <c r="BN297" s="158"/>
      <c r="BO297" s="158"/>
      <c r="BP297" s="158"/>
      <c r="BQ297" s="158"/>
      <c r="BR297" s="857">
        <v>195</v>
      </c>
      <c r="BS297" s="857">
        <v>259</v>
      </c>
      <c r="BT297" s="857">
        <v>344</v>
      </c>
      <c r="BU297" s="857">
        <v>380</v>
      </c>
      <c r="BV297" s="857">
        <v>349</v>
      </c>
      <c r="BW297" s="862">
        <v>387</v>
      </c>
      <c r="BX297" s="158"/>
      <c r="BY297" s="158"/>
      <c r="BZ297" s="158"/>
      <c r="CA297" s="158"/>
      <c r="CB297" s="158"/>
      <c r="CC297" s="117"/>
    </row>
    <row r="298" spans="1:81" s="706" customFormat="1" outlineLevel="1" x14ac:dyDescent="0.55000000000000004">
      <c r="A298" s="336" t="s">
        <v>1072</v>
      </c>
      <c r="B298" s="229"/>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759">
        <v>2</v>
      </c>
      <c r="AB298" s="759">
        <v>3</v>
      </c>
      <c r="AC298" s="759">
        <v>4</v>
      </c>
      <c r="AD298" s="37">
        <f>BR298-SUM(AA298,AB298,AC298)</f>
        <v>3</v>
      </c>
      <c r="AE298" s="759">
        <v>3</v>
      </c>
      <c r="AF298" s="759">
        <v>4</v>
      </c>
      <c r="AG298" s="759">
        <v>4</v>
      </c>
      <c r="AH298" s="37">
        <f>BS298-SUM(AE298,AF298,AG298)</f>
        <v>3</v>
      </c>
      <c r="AI298" s="759">
        <v>4</v>
      </c>
      <c r="AJ298" s="759">
        <v>4</v>
      </c>
      <c r="AK298" s="759">
        <v>4</v>
      </c>
      <c r="AL298" s="37">
        <f>BT298-SUM(AI298,AJ298,AK298)</f>
        <v>3</v>
      </c>
      <c r="AM298" s="759">
        <v>4</v>
      </c>
      <c r="AN298" s="759">
        <v>4</v>
      </c>
      <c r="AO298" s="759">
        <v>4</v>
      </c>
      <c r="AP298" s="37">
        <f>BU298-SUM(AM298,AN298,AO298)</f>
        <v>4</v>
      </c>
      <c r="AQ298" s="759">
        <v>5</v>
      </c>
      <c r="AR298" s="759">
        <v>5</v>
      </c>
      <c r="AS298" s="759">
        <v>5</v>
      </c>
      <c r="AT298" s="37">
        <f>BV298-SUM(AQ298,AR298,AS298)</f>
        <v>5</v>
      </c>
      <c r="AU298" s="37"/>
      <c r="AV298" s="37"/>
      <c r="AW298" s="37"/>
      <c r="AX298" s="37"/>
      <c r="AY298" s="273"/>
      <c r="AZ298" s="37"/>
      <c r="BA298" s="37"/>
      <c r="BB298" s="37"/>
      <c r="BC298" s="37"/>
      <c r="BD298" s="37"/>
      <c r="BE298" s="37"/>
      <c r="BF298" s="37"/>
      <c r="BG298" s="37"/>
      <c r="BH298" s="158"/>
      <c r="BI298" s="158"/>
      <c r="BJ298" s="158"/>
      <c r="BK298" s="158"/>
      <c r="BL298" s="158"/>
      <c r="BM298" s="158"/>
      <c r="BN298" s="158"/>
      <c r="BO298" s="158"/>
      <c r="BP298" s="158"/>
      <c r="BQ298" s="158"/>
      <c r="BR298" s="857">
        <v>12</v>
      </c>
      <c r="BS298" s="857">
        <v>14</v>
      </c>
      <c r="BT298" s="857">
        <v>15</v>
      </c>
      <c r="BU298" s="857">
        <v>16</v>
      </c>
      <c r="BV298" s="857">
        <v>20</v>
      </c>
      <c r="BW298" s="864">
        <v>23</v>
      </c>
      <c r="BX298" s="158"/>
      <c r="BY298" s="158"/>
      <c r="BZ298" s="158"/>
      <c r="CA298" s="158"/>
      <c r="CB298" s="158"/>
      <c r="CC298" s="117"/>
    </row>
    <row r="299" spans="1:81" s="706" customFormat="1" outlineLevel="1" x14ac:dyDescent="0.55000000000000004">
      <c r="A299" s="552" t="s">
        <v>1071</v>
      </c>
      <c r="B299" s="415"/>
      <c r="C299" s="173"/>
      <c r="D299" s="173"/>
      <c r="E299" s="173"/>
      <c r="F299" s="173"/>
      <c r="G299" s="173"/>
      <c r="H299" s="173"/>
      <c r="I299" s="173"/>
      <c r="J299" s="173"/>
      <c r="K299" s="173"/>
      <c r="L299" s="173"/>
      <c r="M299" s="173"/>
      <c r="N299" s="173"/>
      <c r="O299" s="173"/>
      <c r="P299" s="173"/>
      <c r="Q299" s="173"/>
      <c r="R299" s="173"/>
      <c r="S299" s="173"/>
      <c r="T299" s="173"/>
      <c r="U299" s="173"/>
      <c r="V299" s="173"/>
      <c r="W299" s="173"/>
      <c r="X299" s="173"/>
      <c r="Y299" s="173"/>
      <c r="Z299" s="173"/>
      <c r="AA299" s="173">
        <f t="shared" ref="AA299:AT299" si="355">SUM(AA297:AA298)</f>
        <v>44</v>
      </c>
      <c r="AB299" s="173">
        <f t="shared" si="355"/>
        <v>50</v>
      </c>
      <c r="AC299" s="173">
        <f t="shared" si="355"/>
        <v>55</v>
      </c>
      <c r="AD299" s="173">
        <f t="shared" si="355"/>
        <v>58</v>
      </c>
      <c r="AE299" s="173">
        <f t="shared" si="355"/>
        <v>63</v>
      </c>
      <c r="AF299" s="173">
        <f t="shared" si="355"/>
        <v>64</v>
      </c>
      <c r="AG299" s="173">
        <f t="shared" si="355"/>
        <v>69</v>
      </c>
      <c r="AH299" s="173">
        <f t="shared" si="355"/>
        <v>77</v>
      </c>
      <c r="AI299" s="173">
        <f t="shared" si="355"/>
        <v>85</v>
      </c>
      <c r="AJ299" s="173">
        <f t="shared" si="355"/>
        <v>87</v>
      </c>
      <c r="AK299" s="173">
        <f t="shared" si="355"/>
        <v>92</v>
      </c>
      <c r="AL299" s="173">
        <f t="shared" si="355"/>
        <v>95</v>
      </c>
      <c r="AM299" s="173">
        <f t="shared" si="355"/>
        <v>102</v>
      </c>
      <c r="AN299" s="173">
        <f t="shared" si="355"/>
        <v>99</v>
      </c>
      <c r="AO299" s="173">
        <f t="shared" si="355"/>
        <v>96</v>
      </c>
      <c r="AP299" s="173">
        <f t="shared" si="355"/>
        <v>99</v>
      </c>
      <c r="AQ299" s="173">
        <f t="shared" si="355"/>
        <v>109</v>
      </c>
      <c r="AR299" s="173">
        <f t="shared" si="355"/>
        <v>85</v>
      </c>
      <c r="AS299" s="173">
        <f t="shared" si="355"/>
        <v>85</v>
      </c>
      <c r="AT299" s="173">
        <f t="shared" si="355"/>
        <v>90</v>
      </c>
      <c r="AU299" s="173"/>
      <c r="AV299" s="173"/>
      <c r="AW299" s="173"/>
      <c r="AX299" s="173"/>
      <c r="AY299" s="635"/>
      <c r="AZ299" s="173"/>
      <c r="BA299" s="173"/>
      <c r="BB299" s="173"/>
      <c r="BC299" s="173"/>
      <c r="BD299" s="173"/>
      <c r="BE299" s="173"/>
      <c r="BF299" s="173"/>
      <c r="BG299" s="173"/>
      <c r="BH299" s="878"/>
      <c r="BI299" s="878"/>
      <c r="BJ299" s="878"/>
      <c r="BK299" s="878"/>
      <c r="BL299" s="878"/>
      <c r="BM299" s="878"/>
      <c r="BN299" s="878"/>
      <c r="BO299" s="878"/>
      <c r="BP299" s="878"/>
      <c r="BQ299" s="878"/>
      <c r="BR299" s="878">
        <f t="shared" ref="BR299:BW299" si="356">SUM(BR297:BR298)</f>
        <v>207</v>
      </c>
      <c r="BS299" s="878">
        <f t="shared" si="356"/>
        <v>273</v>
      </c>
      <c r="BT299" s="878">
        <f t="shared" si="356"/>
        <v>359</v>
      </c>
      <c r="BU299" s="878">
        <f t="shared" si="356"/>
        <v>396</v>
      </c>
      <c r="BV299" s="878">
        <f t="shared" si="356"/>
        <v>369</v>
      </c>
      <c r="BW299" s="846">
        <f t="shared" si="356"/>
        <v>410</v>
      </c>
      <c r="BX299" s="878"/>
      <c r="BY299" s="878"/>
      <c r="BZ299" s="878"/>
      <c r="CA299" s="878"/>
      <c r="CB299" s="878"/>
      <c r="CC299" s="117"/>
    </row>
    <row r="300" spans="1:81" s="706" customFormat="1" outlineLevel="1" x14ac:dyDescent="0.55000000000000004">
      <c r="A300" s="86" t="s">
        <v>1073</v>
      </c>
      <c r="B300" s="229"/>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759">
        <v>246</v>
      </c>
      <c r="AB300" s="759">
        <v>274</v>
      </c>
      <c r="AC300" s="759">
        <v>298</v>
      </c>
      <c r="AD300" s="37">
        <f>BR300-SUM(AA300,AB300,AC300)</f>
        <v>321</v>
      </c>
      <c r="AE300" s="759">
        <v>340</v>
      </c>
      <c r="AF300" s="759">
        <v>344</v>
      </c>
      <c r="AG300" s="759">
        <v>352</v>
      </c>
      <c r="AH300" s="37">
        <f>BS300-SUM(AE300,AF300,AG300)</f>
        <v>355</v>
      </c>
      <c r="AI300" s="759">
        <v>362</v>
      </c>
      <c r="AJ300" s="759">
        <v>371</v>
      </c>
      <c r="AK300" s="759">
        <v>386</v>
      </c>
      <c r="AL300" s="37">
        <f>BT300-SUM(AI300,AJ300,AK300)</f>
        <v>421</v>
      </c>
      <c r="AM300" s="759">
        <v>411</v>
      </c>
      <c r="AN300" s="759">
        <v>435</v>
      </c>
      <c r="AO300" s="759">
        <v>480</v>
      </c>
      <c r="AP300" s="37">
        <f>BU300-SUM(AM300,AN300,AO300)</f>
        <v>531</v>
      </c>
      <c r="AQ300" s="759">
        <v>557</v>
      </c>
      <c r="AR300" s="759">
        <v>516</v>
      </c>
      <c r="AS300" s="759">
        <v>487</v>
      </c>
      <c r="AT300" s="37">
        <f>BV300-SUM(AQ300,AR300,AS300)</f>
        <v>531</v>
      </c>
      <c r="AU300" s="759">
        <v>534</v>
      </c>
      <c r="AV300" s="759">
        <v>589</v>
      </c>
      <c r="AW300" s="759">
        <v>609</v>
      </c>
      <c r="AX300" s="37">
        <f>BW300-SUM(AU300,AV300,AW300)</f>
        <v>627</v>
      </c>
      <c r="AY300" s="273"/>
      <c r="AZ300" s="37"/>
      <c r="BA300" s="37"/>
      <c r="BB300" s="37"/>
      <c r="BC300" s="37"/>
      <c r="BD300" s="37"/>
      <c r="BE300" s="37"/>
      <c r="BF300" s="37"/>
      <c r="BG300" s="37"/>
      <c r="BH300" s="158"/>
      <c r="BI300" s="158"/>
      <c r="BJ300" s="158"/>
      <c r="BK300" s="158"/>
      <c r="BL300" s="158"/>
      <c r="BM300" s="158"/>
      <c r="BN300" s="158"/>
      <c r="BO300" s="158"/>
      <c r="BP300" s="158"/>
      <c r="BQ300" s="158"/>
      <c r="BR300" s="857">
        <v>1139</v>
      </c>
      <c r="BS300" s="857">
        <v>1391</v>
      </c>
      <c r="BT300" s="857">
        <v>1540</v>
      </c>
      <c r="BU300" s="857">
        <v>1857</v>
      </c>
      <c r="BV300" s="857">
        <v>2091</v>
      </c>
      <c r="BW300" s="862">
        <v>2359</v>
      </c>
      <c r="BX300" s="158"/>
      <c r="BY300" s="158"/>
      <c r="BZ300" s="158"/>
      <c r="CA300" s="158"/>
      <c r="CB300" s="158"/>
      <c r="CC300" s="117"/>
    </row>
    <row r="301" spans="1:81" s="706" customFormat="1" outlineLevel="1" x14ac:dyDescent="0.55000000000000004">
      <c r="A301" s="86" t="s">
        <v>1074</v>
      </c>
      <c r="B301" s="229"/>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759">
        <v>49</v>
      </c>
      <c r="AB301" s="759">
        <v>21</v>
      </c>
      <c r="AC301" s="759">
        <v>41</v>
      </c>
      <c r="AD301" s="37">
        <f>BR301-SUM(AA301,AB301,AC301)</f>
        <v>49</v>
      </c>
      <c r="AE301" s="759">
        <v>60</v>
      </c>
      <c r="AF301" s="759">
        <v>57</v>
      </c>
      <c r="AG301" s="759">
        <v>57</v>
      </c>
      <c r="AH301" s="37">
        <f>BS301-SUM(AE301,AF301,AG301)</f>
        <v>95</v>
      </c>
      <c r="AI301" s="759">
        <v>66</v>
      </c>
      <c r="AJ301" s="759">
        <v>59</v>
      </c>
      <c r="AK301" s="759">
        <v>68</v>
      </c>
      <c r="AL301" s="37">
        <f>BT301-SUM(AI301,AJ301,AK301)</f>
        <v>79</v>
      </c>
      <c r="AM301" s="759">
        <v>90</v>
      </c>
      <c r="AN301" s="759">
        <v>86</v>
      </c>
      <c r="AO301" s="759">
        <v>87</v>
      </c>
      <c r="AP301" s="37">
        <f>BU301-SUM(AM301,AN301,AO301)</f>
        <v>100</v>
      </c>
      <c r="AQ301" s="759">
        <v>124</v>
      </c>
      <c r="AR301" s="759">
        <v>112</v>
      </c>
      <c r="AS301" s="759">
        <v>163</v>
      </c>
      <c r="AT301" s="37">
        <f>BV301-SUM(AQ301,AR301,AS301)</f>
        <v>181</v>
      </c>
      <c r="AU301" s="759">
        <v>196</v>
      </c>
      <c r="AV301" s="759">
        <v>207</v>
      </c>
      <c r="AW301" s="759">
        <v>218</v>
      </c>
      <c r="AX301" s="37">
        <f>BW301-SUM(AU301,AV301,AW301)</f>
        <v>223</v>
      </c>
      <c r="AY301" s="273"/>
      <c r="AZ301" s="37"/>
      <c r="BA301" s="37"/>
      <c r="BB301" s="37"/>
      <c r="BC301" s="37"/>
      <c r="BD301" s="37"/>
      <c r="BE301" s="37"/>
      <c r="BF301" s="37"/>
      <c r="BG301" s="37"/>
      <c r="BH301" s="158"/>
      <c r="BI301" s="158"/>
      <c r="BJ301" s="158"/>
      <c r="BK301" s="158"/>
      <c r="BL301" s="158"/>
      <c r="BM301" s="158"/>
      <c r="BN301" s="158"/>
      <c r="BO301" s="158"/>
      <c r="BP301" s="158"/>
      <c r="BQ301" s="158"/>
      <c r="BR301" s="857">
        <v>160</v>
      </c>
      <c r="BS301" s="857">
        <v>269</v>
      </c>
      <c r="BT301" s="857">
        <v>272</v>
      </c>
      <c r="BU301" s="857">
        <v>363</v>
      </c>
      <c r="BV301" s="857">
        <v>580</v>
      </c>
      <c r="BW301" s="864">
        <v>844</v>
      </c>
      <c r="BX301" s="158"/>
      <c r="BY301" s="158"/>
      <c r="BZ301" s="158"/>
      <c r="CA301" s="158"/>
      <c r="CB301" s="158"/>
      <c r="CC301" s="117"/>
    </row>
    <row r="302" spans="1:81" s="706" customFormat="1" outlineLevel="1" x14ac:dyDescent="0.55000000000000004">
      <c r="A302" s="551" t="s">
        <v>1075</v>
      </c>
      <c r="B302" s="415"/>
      <c r="C302" s="173"/>
      <c r="D302" s="173"/>
      <c r="E302" s="173"/>
      <c r="F302" s="173"/>
      <c r="G302" s="173"/>
      <c r="H302" s="173"/>
      <c r="I302" s="173"/>
      <c r="J302" s="173"/>
      <c r="K302" s="173"/>
      <c r="L302" s="173"/>
      <c r="M302" s="173"/>
      <c r="N302" s="173"/>
      <c r="O302" s="173"/>
      <c r="P302" s="173"/>
      <c r="Q302" s="173"/>
      <c r="R302" s="173"/>
      <c r="S302" s="173"/>
      <c r="T302" s="173"/>
      <c r="U302" s="173"/>
      <c r="V302" s="173"/>
      <c r="W302" s="173"/>
      <c r="X302" s="173"/>
      <c r="Y302" s="173"/>
      <c r="Z302" s="173"/>
      <c r="AA302" s="173">
        <f t="shared" ref="AA302:AT302" si="357">SUM(AA299:AA301)</f>
        <v>339</v>
      </c>
      <c r="AB302" s="173">
        <f t="shared" si="357"/>
        <v>345</v>
      </c>
      <c r="AC302" s="173">
        <f t="shared" si="357"/>
        <v>394</v>
      </c>
      <c r="AD302" s="173">
        <f t="shared" si="357"/>
        <v>428</v>
      </c>
      <c r="AE302" s="173">
        <f t="shared" si="357"/>
        <v>463</v>
      </c>
      <c r="AF302" s="173">
        <f t="shared" si="357"/>
        <v>465</v>
      </c>
      <c r="AG302" s="173">
        <f t="shared" si="357"/>
        <v>478</v>
      </c>
      <c r="AH302" s="173">
        <f t="shared" si="357"/>
        <v>527</v>
      </c>
      <c r="AI302" s="173">
        <f t="shared" si="357"/>
        <v>513</v>
      </c>
      <c r="AJ302" s="173">
        <f t="shared" si="357"/>
        <v>517</v>
      </c>
      <c r="AK302" s="173">
        <f t="shared" si="357"/>
        <v>546</v>
      </c>
      <c r="AL302" s="173">
        <f t="shared" si="357"/>
        <v>595</v>
      </c>
      <c r="AM302" s="173">
        <f t="shared" si="357"/>
        <v>603</v>
      </c>
      <c r="AN302" s="173">
        <f t="shared" si="357"/>
        <v>620</v>
      </c>
      <c r="AO302" s="173">
        <f t="shared" si="357"/>
        <v>663</v>
      </c>
      <c r="AP302" s="173">
        <f t="shared" si="357"/>
        <v>730</v>
      </c>
      <c r="AQ302" s="173">
        <f t="shared" si="357"/>
        <v>790</v>
      </c>
      <c r="AR302" s="173">
        <f t="shared" si="357"/>
        <v>713</v>
      </c>
      <c r="AS302" s="173">
        <f t="shared" si="357"/>
        <v>735</v>
      </c>
      <c r="AT302" s="173">
        <f t="shared" si="357"/>
        <v>802</v>
      </c>
      <c r="AU302" s="173"/>
      <c r="AV302" s="173"/>
      <c r="AW302" s="173"/>
      <c r="AX302" s="173">
        <f>SUM(AX299:AX301)</f>
        <v>850</v>
      </c>
      <c r="AY302" s="635"/>
      <c r="AZ302" s="173"/>
      <c r="BA302" s="173"/>
      <c r="BB302" s="173"/>
      <c r="BC302" s="173"/>
      <c r="BD302" s="173"/>
      <c r="BE302" s="173"/>
      <c r="BF302" s="173"/>
      <c r="BG302" s="173"/>
      <c r="BH302" s="878"/>
      <c r="BI302" s="878"/>
      <c r="BJ302" s="878"/>
      <c r="BK302" s="878"/>
      <c r="BL302" s="878"/>
      <c r="BM302" s="878"/>
      <c r="BN302" s="878"/>
      <c r="BO302" s="878"/>
      <c r="BP302" s="878"/>
      <c r="BQ302" s="878"/>
      <c r="BR302" s="878">
        <f t="shared" ref="BR302:BW302" si="358">SUM(BR299:BR301)</f>
        <v>1506</v>
      </c>
      <c r="BS302" s="878">
        <f t="shared" si="358"/>
        <v>1933</v>
      </c>
      <c r="BT302" s="878">
        <f t="shared" si="358"/>
        <v>2171</v>
      </c>
      <c r="BU302" s="878">
        <f t="shared" si="358"/>
        <v>2616</v>
      </c>
      <c r="BV302" s="878">
        <f t="shared" si="358"/>
        <v>3040</v>
      </c>
      <c r="BW302" s="846">
        <f t="shared" si="358"/>
        <v>3613</v>
      </c>
      <c r="BX302" s="878"/>
      <c r="BY302" s="878"/>
      <c r="BZ302" s="878"/>
      <c r="CA302" s="878"/>
      <c r="CB302" s="878"/>
      <c r="CC302" s="117"/>
    </row>
    <row r="303" spans="1:81" s="706" customFormat="1" outlineLevel="1" x14ac:dyDescent="0.55000000000000004">
      <c r="A303" s="287"/>
      <c r="B303" s="229"/>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273"/>
      <c r="AZ303" s="37"/>
      <c r="BA303" s="37"/>
      <c r="BB303" s="37"/>
      <c r="BC303" s="37"/>
      <c r="BD303" s="37"/>
      <c r="BE303" s="37"/>
      <c r="BF303" s="37"/>
      <c r="BG303" s="37"/>
      <c r="BH303" s="158"/>
      <c r="BI303" s="158"/>
      <c r="BJ303" s="158"/>
      <c r="BK303" s="158"/>
      <c r="BL303" s="158"/>
      <c r="BM303" s="158"/>
      <c r="BN303" s="158"/>
      <c r="BO303" s="158"/>
      <c r="BP303" s="158"/>
      <c r="BQ303" s="158"/>
      <c r="BR303" s="158"/>
      <c r="BS303" s="158"/>
      <c r="BT303" s="158"/>
      <c r="BU303" s="158"/>
      <c r="BV303" s="158"/>
      <c r="BW303" s="846"/>
      <c r="BX303" s="158"/>
      <c r="BY303" s="158"/>
      <c r="BZ303" s="158"/>
      <c r="CA303" s="158"/>
      <c r="CB303" s="158"/>
      <c r="CC303" s="117"/>
    </row>
    <row r="304" spans="1:81" s="706" customFormat="1" outlineLevel="2" x14ac:dyDescent="0.55000000000000004">
      <c r="A304" s="287" t="s">
        <v>1062</v>
      </c>
      <c r="B304" s="229"/>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759">
        <v>188</v>
      </c>
      <c r="AB304" s="759">
        <v>388</v>
      </c>
      <c r="AC304" s="759">
        <v>633</v>
      </c>
      <c r="AD304" s="37">
        <f>BR304</f>
        <v>902</v>
      </c>
      <c r="AE304" s="759">
        <v>276</v>
      </c>
      <c r="AF304" s="759">
        <v>572</v>
      </c>
      <c r="AG304" s="759">
        <v>878</v>
      </c>
      <c r="AH304" s="37">
        <f>BS304</f>
        <v>1208</v>
      </c>
      <c r="AI304" s="759">
        <v>329</v>
      </c>
      <c r="AJ304" s="759">
        <v>682</v>
      </c>
      <c r="AK304" s="759">
        <v>1040</v>
      </c>
      <c r="AL304" s="37">
        <f>BT304</f>
        <v>1406</v>
      </c>
      <c r="AM304" s="759">
        <v>389</v>
      </c>
      <c r="AN304" s="759">
        <v>779</v>
      </c>
      <c r="AO304" s="759">
        <v>1197</v>
      </c>
      <c r="AP304" s="37">
        <f>BU304</f>
        <v>1654</v>
      </c>
      <c r="AQ304" s="759">
        <v>478</v>
      </c>
      <c r="AR304" s="759">
        <v>994</v>
      </c>
      <c r="AS304" s="759">
        <v>1685</v>
      </c>
      <c r="AT304" s="37">
        <f>BV304</f>
        <v>2233</v>
      </c>
      <c r="AU304" s="759">
        <v>709</v>
      </c>
      <c r="AV304" s="759">
        <v>1363</v>
      </c>
      <c r="AW304" s="759">
        <v>2079</v>
      </c>
      <c r="AX304" s="37">
        <f>BW304</f>
        <v>2830</v>
      </c>
      <c r="AY304" s="273"/>
      <c r="AZ304" s="37"/>
      <c r="BA304" s="37"/>
      <c r="BB304" s="37"/>
      <c r="BC304" s="37"/>
      <c r="BD304" s="37"/>
      <c r="BE304" s="37"/>
      <c r="BF304" s="37"/>
      <c r="BG304" s="37"/>
      <c r="BH304" s="158"/>
      <c r="BI304" s="158"/>
      <c r="BJ304" s="158"/>
      <c r="BK304" s="158"/>
      <c r="BL304" s="158"/>
      <c r="BM304" s="158"/>
      <c r="BN304" s="158"/>
      <c r="BO304" s="158"/>
      <c r="BP304" s="158"/>
      <c r="BQ304" s="158"/>
      <c r="BR304" s="857">
        <v>902</v>
      </c>
      <c r="BS304" s="857">
        <v>1208</v>
      </c>
      <c r="BT304" s="857">
        <v>1406</v>
      </c>
      <c r="BU304" s="857">
        <v>1654</v>
      </c>
      <c r="BV304" s="857">
        <v>2233</v>
      </c>
      <c r="BW304" s="862">
        <v>2830</v>
      </c>
      <c r="BX304" s="158"/>
      <c r="BY304" s="158"/>
      <c r="BZ304" s="158"/>
      <c r="CA304" s="158"/>
      <c r="CB304" s="158"/>
      <c r="CC304" s="117"/>
    </row>
    <row r="305" spans="1:81" s="706" customFormat="1" outlineLevel="2" x14ac:dyDescent="0.55000000000000004">
      <c r="A305" s="287" t="s">
        <v>1064</v>
      </c>
      <c r="B305" s="229"/>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759">
        <v>2</v>
      </c>
      <c r="AB305" s="759">
        <v>5</v>
      </c>
      <c r="AC305" s="759">
        <v>8</v>
      </c>
      <c r="AD305" s="37">
        <f>BR305</f>
        <v>12</v>
      </c>
      <c r="AE305" s="759">
        <v>3</v>
      </c>
      <c r="AF305" s="759">
        <v>7</v>
      </c>
      <c r="AG305" s="759">
        <v>11</v>
      </c>
      <c r="AH305" s="37">
        <f>BS305</f>
        <v>14</v>
      </c>
      <c r="AI305" s="759">
        <v>4</v>
      </c>
      <c r="AJ305" s="759">
        <v>7</v>
      </c>
      <c r="AK305" s="759">
        <v>11</v>
      </c>
      <c r="AL305" s="37">
        <f>BT305</f>
        <v>15</v>
      </c>
      <c r="AM305" s="759">
        <v>4</v>
      </c>
      <c r="AN305" s="759">
        <v>8</v>
      </c>
      <c r="AO305" s="759">
        <v>11</v>
      </c>
      <c r="AP305" s="37">
        <f>BU305</f>
        <v>16</v>
      </c>
      <c r="AQ305" s="759">
        <v>5</v>
      </c>
      <c r="AR305" s="759">
        <v>10</v>
      </c>
      <c r="AS305" s="759">
        <v>15</v>
      </c>
      <c r="AT305" s="37">
        <f>BV305</f>
        <v>20</v>
      </c>
      <c r="AU305" s="37"/>
      <c r="AV305" s="37"/>
      <c r="AW305" s="37"/>
      <c r="AX305" s="37">
        <f>BW305</f>
        <v>23</v>
      </c>
      <c r="AY305" s="273"/>
      <c r="AZ305" s="37"/>
      <c r="BA305" s="37"/>
      <c r="BB305" s="37"/>
      <c r="BC305" s="37"/>
      <c r="BD305" s="37"/>
      <c r="BE305" s="37"/>
      <c r="BF305" s="37"/>
      <c r="BG305" s="37"/>
      <c r="BH305" s="158"/>
      <c r="BI305" s="158"/>
      <c r="BJ305" s="158"/>
      <c r="BK305" s="158"/>
      <c r="BL305" s="158"/>
      <c r="BM305" s="158"/>
      <c r="BN305" s="158"/>
      <c r="BO305" s="158"/>
      <c r="BP305" s="158"/>
      <c r="BQ305" s="158"/>
      <c r="BR305" s="857">
        <v>12</v>
      </c>
      <c r="BS305" s="857">
        <v>14</v>
      </c>
      <c r="BT305" s="857">
        <v>15</v>
      </c>
      <c r="BU305" s="857">
        <v>16</v>
      </c>
      <c r="BV305" s="857">
        <v>20</v>
      </c>
      <c r="BW305" s="862">
        <v>23</v>
      </c>
      <c r="BX305" s="158"/>
      <c r="BY305" s="158"/>
      <c r="BZ305" s="158"/>
      <c r="CA305" s="158"/>
      <c r="CB305" s="158"/>
      <c r="CC305" s="117"/>
    </row>
    <row r="306" spans="1:81" s="706" customFormat="1" outlineLevel="2" x14ac:dyDescent="0.55000000000000004">
      <c r="A306" s="287" t="s">
        <v>1065</v>
      </c>
      <c r="B306" s="229"/>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759">
        <v>125</v>
      </c>
      <c r="AB306" s="759">
        <v>267</v>
      </c>
      <c r="AC306" s="759">
        <v>411</v>
      </c>
      <c r="AD306" s="37">
        <f>BR306</f>
        <v>552</v>
      </c>
      <c r="AE306" s="759">
        <v>100</v>
      </c>
      <c r="AF306" s="759">
        <v>209</v>
      </c>
      <c r="AG306" s="759">
        <v>398</v>
      </c>
      <c r="AH306" s="37">
        <f>BS306</f>
        <v>604</v>
      </c>
      <c r="AI306" s="759">
        <v>151</v>
      </c>
      <c r="AJ306" s="759">
        <v>274</v>
      </c>
      <c r="AK306" s="759">
        <v>505</v>
      </c>
      <c r="AL306" s="37">
        <f>BT306</f>
        <v>677</v>
      </c>
      <c r="AM306" s="759">
        <v>233</v>
      </c>
      <c r="AN306" s="759">
        <v>452</v>
      </c>
      <c r="AO306" s="759">
        <v>615</v>
      </c>
      <c r="AP306" s="37">
        <f>BU306</f>
        <v>850</v>
      </c>
      <c r="AQ306" s="759">
        <v>264</v>
      </c>
      <c r="AR306" s="759">
        <v>484</v>
      </c>
      <c r="AS306" s="759">
        <v>751</v>
      </c>
      <c r="AT306" s="37">
        <f>BV306</f>
        <v>1058</v>
      </c>
      <c r="AU306" s="37"/>
      <c r="AV306" s="37"/>
      <c r="AW306" s="37"/>
      <c r="AX306" s="37">
        <f>BW306</f>
        <v>1969</v>
      </c>
      <c r="AY306" s="273"/>
      <c r="AZ306" s="37"/>
      <c r="BA306" s="37"/>
      <c r="BB306" s="37"/>
      <c r="BC306" s="37"/>
      <c r="BD306" s="37"/>
      <c r="BE306" s="37"/>
      <c r="BF306" s="37"/>
      <c r="BG306" s="37"/>
      <c r="BH306" s="158"/>
      <c r="BI306" s="158"/>
      <c r="BJ306" s="158"/>
      <c r="BK306" s="158"/>
      <c r="BL306" s="158"/>
      <c r="BM306" s="158"/>
      <c r="BN306" s="158"/>
      <c r="BO306" s="158"/>
      <c r="BP306" s="158"/>
      <c r="BQ306" s="158"/>
      <c r="BR306" s="857">
        <v>552</v>
      </c>
      <c r="BS306" s="857">
        <v>604</v>
      </c>
      <c r="BT306" s="857">
        <v>677</v>
      </c>
      <c r="BU306" s="857">
        <v>850</v>
      </c>
      <c r="BV306" s="857">
        <v>1058</v>
      </c>
      <c r="BW306" s="862">
        <v>1969</v>
      </c>
      <c r="BX306" s="158"/>
      <c r="BY306" s="158"/>
      <c r="BZ306" s="158"/>
      <c r="CA306" s="158"/>
      <c r="CB306" s="158"/>
      <c r="CC306" s="117"/>
    </row>
    <row r="307" spans="1:81" s="706" customFormat="1" outlineLevel="2" x14ac:dyDescent="0.55000000000000004">
      <c r="A307" s="287"/>
      <c r="B307" s="229"/>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273"/>
      <c r="AZ307" s="37"/>
      <c r="BA307" s="37"/>
      <c r="BB307" s="37"/>
      <c r="BC307" s="37"/>
      <c r="BD307" s="37"/>
      <c r="BE307" s="37"/>
      <c r="BF307" s="37"/>
      <c r="BG307" s="37"/>
      <c r="BH307" s="158"/>
      <c r="BI307" s="158"/>
      <c r="BJ307" s="158"/>
      <c r="BK307" s="158"/>
      <c r="BL307" s="158"/>
      <c r="BM307" s="158"/>
      <c r="BN307" s="158"/>
      <c r="BO307" s="158"/>
      <c r="BP307" s="158"/>
      <c r="BQ307" s="158"/>
      <c r="BR307" s="158"/>
      <c r="BS307" s="158"/>
      <c r="BT307" s="158"/>
      <c r="BU307" s="158"/>
      <c r="BV307" s="158"/>
      <c r="BW307" s="846"/>
      <c r="BX307" s="158"/>
      <c r="BY307" s="158"/>
      <c r="BZ307" s="158"/>
      <c r="CA307" s="158"/>
      <c r="CB307" s="158"/>
      <c r="CC307" s="117"/>
    </row>
    <row r="308" spans="1:81" s="706" customFormat="1" outlineLevel="2" x14ac:dyDescent="0.55000000000000004">
      <c r="A308" s="287" t="s">
        <v>1063</v>
      </c>
      <c r="B308" s="229"/>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759">
        <v>1383</v>
      </c>
      <c r="AB308" s="759">
        <v>2203</v>
      </c>
      <c r="AC308" s="759">
        <v>3756</v>
      </c>
      <c r="AD308" s="37">
        <f>BR308</f>
        <v>5081</v>
      </c>
      <c r="AE308" s="759">
        <v>304</v>
      </c>
      <c r="AF308" s="759">
        <v>689</v>
      </c>
      <c r="AG308" s="759">
        <v>954</v>
      </c>
      <c r="AH308" s="37">
        <f>BS308</f>
        <v>1158</v>
      </c>
      <c r="AI308" s="759">
        <v>1282</v>
      </c>
      <c r="AJ308" s="759">
        <v>1941</v>
      </c>
      <c r="AK308" s="759">
        <v>2921</v>
      </c>
      <c r="AL308" s="37">
        <f>BT308</f>
        <v>4466</v>
      </c>
      <c r="AM308" s="759">
        <v>539</v>
      </c>
      <c r="AN308" s="759">
        <v>3073</v>
      </c>
      <c r="AO308" s="759">
        <v>3565</v>
      </c>
      <c r="AP308" s="37">
        <f>BU308</f>
        <v>4366</v>
      </c>
      <c r="AQ308" s="759">
        <v>1282</v>
      </c>
      <c r="AR308" s="759">
        <v>1868</v>
      </c>
      <c r="AS308" s="759">
        <v>3042</v>
      </c>
      <c r="AT308" s="37">
        <f>BV308</f>
        <v>4370</v>
      </c>
      <c r="AU308" s="759">
        <v>908</v>
      </c>
      <c r="AV308" s="759">
        <v>1797</v>
      </c>
      <c r="AW308" s="759">
        <v>2900</v>
      </c>
      <c r="AX308" s="37">
        <f>BW308</f>
        <v>3784</v>
      </c>
      <c r="AY308" s="273"/>
      <c r="AZ308" s="37"/>
      <c r="BA308" s="37"/>
      <c r="BB308" s="37"/>
      <c r="BC308" s="37"/>
      <c r="BD308" s="37"/>
      <c r="BE308" s="37"/>
      <c r="BF308" s="37"/>
      <c r="BG308" s="37"/>
      <c r="BH308" s="158"/>
      <c r="BI308" s="158"/>
      <c r="BJ308" s="158"/>
      <c r="BK308" s="158"/>
      <c r="BL308" s="158"/>
      <c r="BM308" s="158"/>
      <c r="BN308" s="158"/>
      <c r="BO308" s="158"/>
      <c r="BP308" s="158"/>
      <c r="BQ308" s="158"/>
      <c r="BR308" s="857">
        <v>5081</v>
      </c>
      <c r="BS308" s="857">
        <v>1158</v>
      </c>
      <c r="BT308" s="857">
        <v>4466</v>
      </c>
      <c r="BU308" s="857">
        <v>4366</v>
      </c>
      <c r="BV308" s="857">
        <v>4370</v>
      </c>
      <c r="BW308" s="862">
        <v>3784</v>
      </c>
      <c r="BX308" s="158"/>
      <c r="BY308" s="158"/>
      <c r="BZ308" s="158"/>
      <c r="CA308" s="158"/>
      <c r="CB308" s="158"/>
      <c r="CC308" s="117"/>
    </row>
    <row r="309" spans="1:81" s="706" customFormat="1" outlineLevel="2" x14ac:dyDescent="0.55000000000000004">
      <c r="A309" s="287" t="s">
        <v>1066</v>
      </c>
      <c r="B309" s="229"/>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759">
        <v>35</v>
      </c>
      <c r="AB309" s="759">
        <v>75</v>
      </c>
      <c r="AC309" s="759">
        <v>128</v>
      </c>
      <c r="AD309" s="37">
        <f>BR309</f>
        <v>193</v>
      </c>
      <c r="AE309" s="759">
        <v>25</v>
      </c>
      <c r="AF309" s="759">
        <v>33</v>
      </c>
      <c r="AG309" s="759">
        <v>101</v>
      </c>
      <c r="AH309" s="37">
        <f>BS309</f>
        <v>121</v>
      </c>
      <c r="AI309" s="759">
        <v>24</v>
      </c>
      <c r="AJ309" s="759">
        <v>70</v>
      </c>
      <c r="AK309" s="759">
        <v>124</v>
      </c>
      <c r="AL309" s="37">
        <f>BT309</f>
        <v>160</v>
      </c>
      <c r="AM309" s="759">
        <v>52</v>
      </c>
      <c r="AN309" s="759">
        <v>103</v>
      </c>
      <c r="AO309" s="759">
        <v>114</v>
      </c>
      <c r="AP309" s="37">
        <f>BU309</f>
        <v>223</v>
      </c>
      <c r="AQ309" s="759">
        <v>70</v>
      </c>
      <c r="AR309" s="759">
        <v>338</v>
      </c>
      <c r="AS309" s="759">
        <v>460</v>
      </c>
      <c r="AT309" s="37">
        <f>BV309</f>
        <v>588</v>
      </c>
      <c r="AU309" s="37"/>
      <c r="AV309" s="37"/>
      <c r="AW309" s="37"/>
      <c r="AX309" s="37">
        <f>BW309</f>
        <v>181</v>
      </c>
      <c r="AY309" s="273"/>
      <c r="AZ309" s="37"/>
      <c r="BA309" s="37"/>
      <c r="BB309" s="37"/>
      <c r="BC309" s="37"/>
      <c r="BD309" s="37"/>
      <c r="BE309" s="37"/>
      <c r="BF309" s="37"/>
      <c r="BG309" s="37"/>
      <c r="BH309" s="158"/>
      <c r="BI309" s="158"/>
      <c r="BJ309" s="158"/>
      <c r="BK309" s="158"/>
      <c r="BL309" s="158"/>
      <c r="BM309" s="158"/>
      <c r="BN309" s="158"/>
      <c r="BO309" s="158"/>
      <c r="BP309" s="158"/>
      <c r="BQ309" s="158"/>
      <c r="BR309" s="857">
        <v>193</v>
      </c>
      <c r="BS309" s="857">
        <v>121</v>
      </c>
      <c r="BT309" s="857">
        <v>160</v>
      </c>
      <c r="BU309" s="857">
        <v>223</v>
      </c>
      <c r="BV309" s="857">
        <v>588</v>
      </c>
      <c r="BW309" s="862">
        <v>181</v>
      </c>
      <c r="BX309" s="158"/>
      <c r="BY309" s="158"/>
      <c r="BZ309" s="158"/>
      <c r="CA309" s="158"/>
      <c r="CB309" s="158"/>
      <c r="CC309" s="117"/>
    </row>
    <row r="310" spans="1:81" s="709" customFormat="1" outlineLevel="2" x14ac:dyDescent="0.55000000000000004">
      <c r="A310" s="262"/>
      <c r="B310" s="237"/>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275"/>
      <c r="AZ310" s="55"/>
      <c r="BA310" s="55"/>
      <c r="BB310" s="55"/>
      <c r="BC310" s="55"/>
      <c r="BD310" s="55"/>
      <c r="BE310" s="55"/>
      <c r="BF310" s="55"/>
      <c r="BG310" s="55"/>
      <c r="BH310" s="156"/>
      <c r="BI310" s="156"/>
      <c r="BJ310" s="156"/>
      <c r="BK310" s="156"/>
      <c r="BL310" s="156"/>
      <c r="BM310" s="156"/>
      <c r="BN310" s="156"/>
      <c r="BO310" s="156"/>
      <c r="BP310" s="156"/>
      <c r="BQ310" s="156"/>
      <c r="BR310" s="156"/>
      <c r="BS310" s="156"/>
      <c r="BT310" s="156"/>
      <c r="BU310" s="156"/>
      <c r="BV310" s="156"/>
      <c r="BW310" s="856"/>
      <c r="BX310" s="156"/>
      <c r="BY310" s="156"/>
      <c r="BZ310" s="156"/>
      <c r="CA310" s="156"/>
      <c r="CB310" s="156"/>
      <c r="CC310" s="24"/>
    </row>
    <row r="311" spans="1:81" s="706" customFormat="1" outlineLevel="1" x14ac:dyDescent="0.55000000000000004">
      <c r="A311" s="287" t="s">
        <v>1060</v>
      </c>
      <c r="B311" s="229"/>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f>AA304</f>
        <v>188</v>
      </c>
      <c r="AB311" s="37">
        <f t="shared" ref="AB311:AD313" si="359">AB304-AA304</f>
        <v>200</v>
      </c>
      <c r="AC311" s="37">
        <f t="shared" si="359"/>
        <v>245</v>
      </c>
      <c r="AD311" s="37">
        <f t="shared" si="359"/>
        <v>269</v>
      </c>
      <c r="AE311" s="37">
        <f>AE304</f>
        <v>276</v>
      </c>
      <c r="AF311" s="37">
        <f t="shared" ref="AF311:AH313" si="360">AF304-AE304</f>
        <v>296</v>
      </c>
      <c r="AG311" s="37">
        <f t="shared" si="360"/>
        <v>306</v>
      </c>
      <c r="AH311" s="37">
        <f t="shared" si="360"/>
        <v>330</v>
      </c>
      <c r="AI311" s="37">
        <f>AI304</f>
        <v>329</v>
      </c>
      <c r="AJ311" s="37">
        <f t="shared" ref="AJ311:AL313" si="361">AJ304-AI304</f>
        <v>353</v>
      </c>
      <c r="AK311" s="37">
        <f t="shared" si="361"/>
        <v>358</v>
      </c>
      <c r="AL311" s="37">
        <f t="shared" si="361"/>
        <v>366</v>
      </c>
      <c r="AM311" s="37">
        <f>AM304</f>
        <v>389</v>
      </c>
      <c r="AN311" s="37">
        <f t="shared" ref="AN311:AP313" si="362">AN304-AM304</f>
        <v>390</v>
      </c>
      <c r="AO311" s="37">
        <f t="shared" si="362"/>
        <v>418</v>
      </c>
      <c r="AP311" s="37">
        <f t="shared" si="362"/>
        <v>457</v>
      </c>
      <c r="AQ311" s="37">
        <f>AQ304</f>
        <v>478</v>
      </c>
      <c r="AR311" s="37">
        <f t="shared" ref="AR311:AT313" si="363">AR304-AQ304</f>
        <v>516</v>
      </c>
      <c r="AS311" s="37">
        <f t="shared" si="363"/>
        <v>691</v>
      </c>
      <c r="AT311" s="37">
        <f t="shared" si="363"/>
        <v>548</v>
      </c>
      <c r="AU311" s="37">
        <f>AU304</f>
        <v>709</v>
      </c>
      <c r="AV311" s="37">
        <f>AV304-AU304</f>
        <v>654</v>
      </c>
      <c r="AW311" s="37">
        <f>AW304-AV304</f>
        <v>716</v>
      </c>
      <c r="AX311" s="37">
        <f>AX304-AW304</f>
        <v>751</v>
      </c>
      <c r="AY311" s="273"/>
      <c r="AZ311" s="37"/>
      <c r="BA311" s="37"/>
      <c r="BB311" s="37"/>
      <c r="BC311" s="37"/>
      <c r="BD311" s="37"/>
      <c r="BE311" s="37"/>
      <c r="BF311" s="37"/>
      <c r="BG311" s="37"/>
      <c r="BH311" s="158"/>
      <c r="BI311" s="158"/>
      <c r="BJ311" s="158"/>
      <c r="BK311" s="158"/>
      <c r="BL311" s="158"/>
      <c r="BM311" s="158"/>
      <c r="BN311" s="158"/>
      <c r="BO311" s="158"/>
      <c r="BP311" s="158"/>
      <c r="BQ311" s="158"/>
      <c r="BR311" s="158">
        <f t="shared" ref="BR311:BW313" si="364">BR304</f>
        <v>902</v>
      </c>
      <c r="BS311" s="158">
        <f t="shared" si="364"/>
        <v>1208</v>
      </c>
      <c r="BT311" s="158">
        <f t="shared" si="364"/>
        <v>1406</v>
      </c>
      <c r="BU311" s="158">
        <f t="shared" si="364"/>
        <v>1654</v>
      </c>
      <c r="BV311" s="158">
        <f t="shared" si="364"/>
        <v>2233</v>
      </c>
      <c r="BW311" s="846">
        <f t="shared" si="364"/>
        <v>2830</v>
      </c>
      <c r="BX311" s="158"/>
      <c r="BY311" s="158"/>
      <c r="BZ311" s="158"/>
      <c r="CA311" s="158"/>
      <c r="CB311" s="158"/>
      <c r="CC311" s="117"/>
    </row>
    <row r="312" spans="1:81" s="706" customFormat="1" outlineLevel="1" x14ac:dyDescent="0.55000000000000004">
      <c r="A312" s="287" t="s">
        <v>1067</v>
      </c>
      <c r="B312" s="229"/>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f>AA305</f>
        <v>2</v>
      </c>
      <c r="AB312" s="37">
        <f t="shared" si="359"/>
        <v>3</v>
      </c>
      <c r="AC312" s="37">
        <f t="shared" si="359"/>
        <v>3</v>
      </c>
      <c r="AD312" s="37">
        <f t="shared" si="359"/>
        <v>4</v>
      </c>
      <c r="AE312" s="37">
        <f>AE305</f>
        <v>3</v>
      </c>
      <c r="AF312" s="37">
        <f t="shared" si="360"/>
        <v>4</v>
      </c>
      <c r="AG312" s="37">
        <f t="shared" si="360"/>
        <v>4</v>
      </c>
      <c r="AH312" s="37">
        <f t="shared" si="360"/>
        <v>3</v>
      </c>
      <c r="AI312" s="37">
        <f>AI305</f>
        <v>4</v>
      </c>
      <c r="AJ312" s="37">
        <f t="shared" si="361"/>
        <v>3</v>
      </c>
      <c r="AK312" s="37">
        <f t="shared" si="361"/>
        <v>4</v>
      </c>
      <c r="AL312" s="37">
        <f t="shared" si="361"/>
        <v>4</v>
      </c>
      <c r="AM312" s="37">
        <f>AM305</f>
        <v>4</v>
      </c>
      <c r="AN312" s="37">
        <f t="shared" si="362"/>
        <v>4</v>
      </c>
      <c r="AO312" s="37">
        <f t="shared" si="362"/>
        <v>3</v>
      </c>
      <c r="AP312" s="37">
        <f t="shared" si="362"/>
        <v>5</v>
      </c>
      <c r="AQ312" s="37">
        <f>AQ305</f>
        <v>5</v>
      </c>
      <c r="AR312" s="37">
        <f t="shared" si="363"/>
        <v>5</v>
      </c>
      <c r="AS312" s="37">
        <f t="shared" si="363"/>
        <v>5</v>
      </c>
      <c r="AT312" s="37">
        <f t="shared" si="363"/>
        <v>5</v>
      </c>
      <c r="AU312" s="37"/>
      <c r="AV312" s="37"/>
      <c r="AW312" s="37"/>
      <c r="AX312" s="37"/>
      <c r="AY312" s="273"/>
      <c r="AZ312" s="37"/>
      <c r="BA312" s="37"/>
      <c r="BB312" s="37"/>
      <c r="BC312" s="37"/>
      <c r="BD312" s="37"/>
      <c r="BE312" s="37"/>
      <c r="BF312" s="37"/>
      <c r="BG312" s="37"/>
      <c r="BH312" s="158"/>
      <c r="BI312" s="158"/>
      <c r="BJ312" s="158"/>
      <c r="BK312" s="158"/>
      <c r="BL312" s="158"/>
      <c r="BM312" s="158"/>
      <c r="BN312" s="158"/>
      <c r="BO312" s="158"/>
      <c r="BP312" s="158"/>
      <c r="BQ312" s="158"/>
      <c r="BR312" s="158">
        <f t="shared" si="364"/>
        <v>12</v>
      </c>
      <c r="BS312" s="158">
        <f t="shared" si="364"/>
        <v>14</v>
      </c>
      <c r="BT312" s="158">
        <f t="shared" si="364"/>
        <v>15</v>
      </c>
      <c r="BU312" s="158">
        <f t="shared" si="364"/>
        <v>16</v>
      </c>
      <c r="BV312" s="158">
        <f t="shared" si="364"/>
        <v>20</v>
      </c>
      <c r="BW312" s="846">
        <f t="shared" si="364"/>
        <v>23</v>
      </c>
      <c r="BX312" s="158"/>
      <c r="BY312" s="158"/>
      <c r="BZ312" s="158"/>
      <c r="CA312" s="158"/>
      <c r="CB312" s="158"/>
      <c r="CC312" s="117"/>
    </row>
    <row r="313" spans="1:81" s="706" customFormat="1" outlineLevel="1" x14ac:dyDescent="0.55000000000000004">
      <c r="A313" s="287" t="s">
        <v>1068</v>
      </c>
      <c r="B313" s="229"/>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f>AA306</f>
        <v>125</v>
      </c>
      <c r="AB313" s="37">
        <f t="shared" si="359"/>
        <v>142</v>
      </c>
      <c r="AC313" s="37">
        <f t="shared" si="359"/>
        <v>144</v>
      </c>
      <c r="AD313" s="37">
        <f t="shared" si="359"/>
        <v>141</v>
      </c>
      <c r="AE313" s="37">
        <f>AE306</f>
        <v>100</v>
      </c>
      <c r="AF313" s="37">
        <f t="shared" si="360"/>
        <v>109</v>
      </c>
      <c r="AG313" s="37">
        <f t="shared" si="360"/>
        <v>189</v>
      </c>
      <c r="AH313" s="37">
        <f t="shared" si="360"/>
        <v>206</v>
      </c>
      <c r="AI313" s="37">
        <f>AI306</f>
        <v>151</v>
      </c>
      <c r="AJ313" s="37">
        <f t="shared" si="361"/>
        <v>123</v>
      </c>
      <c r="AK313" s="37">
        <f t="shared" si="361"/>
        <v>231</v>
      </c>
      <c r="AL313" s="37">
        <f t="shared" si="361"/>
        <v>172</v>
      </c>
      <c r="AM313" s="37">
        <f>AM306</f>
        <v>233</v>
      </c>
      <c r="AN313" s="37">
        <f t="shared" si="362"/>
        <v>219</v>
      </c>
      <c r="AO313" s="37">
        <f t="shared" si="362"/>
        <v>163</v>
      </c>
      <c r="AP313" s="37">
        <f t="shared" si="362"/>
        <v>235</v>
      </c>
      <c r="AQ313" s="37">
        <f>AQ306</f>
        <v>264</v>
      </c>
      <c r="AR313" s="37">
        <f t="shared" si="363"/>
        <v>220</v>
      </c>
      <c r="AS313" s="37">
        <f t="shared" si="363"/>
        <v>267</v>
      </c>
      <c r="AT313" s="37">
        <f t="shared" si="363"/>
        <v>307</v>
      </c>
      <c r="AU313" s="37"/>
      <c r="AV313" s="37"/>
      <c r="AW313" s="37"/>
      <c r="AX313" s="37"/>
      <c r="AY313" s="273"/>
      <c r="AZ313" s="37"/>
      <c r="BA313" s="37"/>
      <c r="BB313" s="37"/>
      <c r="BC313" s="37"/>
      <c r="BD313" s="37"/>
      <c r="BE313" s="37"/>
      <c r="BF313" s="37"/>
      <c r="BG313" s="37"/>
      <c r="BH313" s="158"/>
      <c r="BI313" s="158"/>
      <c r="BJ313" s="158"/>
      <c r="BK313" s="158"/>
      <c r="BL313" s="158"/>
      <c r="BM313" s="158"/>
      <c r="BN313" s="158"/>
      <c r="BO313" s="158"/>
      <c r="BP313" s="158"/>
      <c r="BQ313" s="158"/>
      <c r="BR313" s="158">
        <f t="shared" si="364"/>
        <v>552</v>
      </c>
      <c r="BS313" s="158">
        <f t="shared" si="364"/>
        <v>604</v>
      </c>
      <c r="BT313" s="158">
        <f t="shared" si="364"/>
        <v>677</v>
      </c>
      <c r="BU313" s="158">
        <f t="shared" si="364"/>
        <v>850</v>
      </c>
      <c r="BV313" s="158">
        <f t="shared" si="364"/>
        <v>1058</v>
      </c>
      <c r="BW313" s="846">
        <f t="shared" si="364"/>
        <v>1969</v>
      </c>
      <c r="BX313" s="158"/>
      <c r="BY313" s="158"/>
      <c r="BZ313" s="158"/>
      <c r="CA313" s="158"/>
      <c r="CB313" s="158"/>
      <c r="CC313" s="117"/>
    </row>
    <row r="314" spans="1:81" s="706" customFormat="1" outlineLevel="1" x14ac:dyDescent="0.55000000000000004">
      <c r="A314" s="287"/>
      <c r="B314" s="229"/>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273"/>
      <c r="AZ314" s="37"/>
      <c r="BA314" s="37"/>
      <c r="BB314" s="37"/>
      <c r="BC314" s="37"/>
      <c r="BD314" s="37"/>
      <c r="BE314" s="37"/>
      <c r="BF314" s="37"/>
      <c r="BG314" s="37"/>
      <c r="BH314" s="158"/>
      <c r="BI314" s="158"/>
      <c r="BJ314" s="158"/>
      <c r="BK314" s="158"/>
      <c r="BL314" s="158"/>
      <c r="BM314" s="158"/>
      <c r="BN314" s="158"/>
      <c r="BO314" s="158"/>
      <c r="BP314" s="158"/>
      <c r="BQ314" s="158"/>
      <c r="BR314" s="158"/>
      <c r="BS314" s="158"/>
      <c r="BT314" s="158"/>
      <c r="BU314" s="158"/>
      <c r="BV314" s="158"/>
      <c r="BW314" s="846"/>
      <c r="BX314" s="158"/>
      <c r="BY314" s="158"/>
      <c r="BZ314" s="158"/>
      <c r="CA314" s="158"/>
      <c r="CB314" s="158"/>
      <c r="CC314" s="117"/>
    </row>
    <row r="315" spans="1:81" s="706" customFormat="1" outlineLevel="1" x14ac:dyDescent="0.55000000000000004">
      <c r="A315" s="287" t="s">
        <v>1061</v>
      </c>
      <c r="B315" s="229"/>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f>AA308</f>
        <v>1383</v>
      </c>
      <c r="AB315" s="37">
        <f t="shared" ref="AB315:AD316" si="365">AB308-AA308</f>
        <v>820</v>
      </c>
      <c r="AC315" s="37">
        <f t="shared" si="365"/>
        <v>1553</v>
      </c>
      <c r="AD315" s="37">
        <f t="shared" si="365"/>
        <v>1325</v>
      </c>
      <c r="AE315" s="37">
        <f>AE308</f>
        <v>304</v>
      </c>
      <c r="AF315" s="37">
        <f t="shared" ref="AF315:AH316" si="366">AF308-AE308</f>
        <v>385</v>
      </c>
      <c r="AG315" s="37">
        <f t="shared" si="366"/>
        <v>265</v>
      </c>
      <c r="AH315" s="37">
        <f t="shared" si="366"/>
        <v>204</v>
      </c>
      <c r="AI315" s="37">
        <f>AI308</f>
        <v>1282</v>
      </c>
      <c r="AJ315" s="37">
        <f t="shared" ref="AJ315:AL316" si="367">AJ308-AI308</f>
        <v>659</v>
      </c>
      <c r="AK315" s="37">
        <f t="shared" si="367"/>
        <v>980</v>
      </c>
      <c r="AL315" s="37">
        <f t="shared" si="367"/>
        <v>1545</v>
      </c>
      <c r="AM315" s="37">
        <f>AM308</f>
        <v>539</v>
      </c>
      <c r="AN315" s="37">
        <f t="shared" ref="AN315:AP316" si="368">AN308-AM308</f>
        <v>2534</v>
      </c>
      <c r="AO315" s="37">
        <f t="shared" si="368"/>
        <v>492</v>
      </c>
      <c r="AP315" s="37">
        <f t="shared" si="368"/>
        <v>801</v>
      </c>
      <c r="AQ315" s="37">
        <f>AQ308</f>
        <v>1282</v>
      </c>
      <c r="AR315" s="37">
        <f t="shared" ref="AR315:AT316" si="369">AR308-AQ308</f>
        <v>586</v>
      </c>
      <c r="AS315" s="37">
        <f t="shared" si="369"/>
        <v>1174</v>
      </c>
      <c r="AT315" s="37">
        <f t="shared" si="369"/>
        <v>1328</v>
      </c>
      <c r="AU315" s="37">
        <f>AU308</f>
        <v>908</v>
      </c>
      <c r="AV315" s="37">
        <f>AV308-AU308</f>
        <v>889</v>
      </c>
      <c r="AW315" s="37">
        <f>AW308-AV308</f>
        <v>1103</v>
      </c>
      <c r="AX315" s="37">
        <f>AX308-AW308</f>
        <v>884</v>
      </c>
      <c r="AY315" s="273"/>
      <c r="AZ315" s="37"/>
      <c r="BA315" s="37"/>
      <c r="BB315" s="37"/>
      <c r="BC315" s="37"/>
      <c r="BD315" s="37"/>
      <c r="BE315" s="37"/>
      <c r="BF315" s="37"/>
      <c r="BG315" s="37"/>
      <c r="BH315" s="158"/>
      <c r="BI315" s="158"/>
      <c r="BJ315" s="158"/>
      <c r="BK315" s="158"/>
      <c r="BL315" s="158"/>
      <c r="BM315" s="158"/>
      <c r="BN315" s="158"/>
      <c r="BO315" s="158"/>
      <c r="BP315" s="158"/>
      <c r="BQ315" s="158"/>
      <c r="BR315" s="158">
        <f t="shared" ref="BR315:BW316" si="370">BR308</f>
        <v>5081</v>
      </c>
      <c r="BS315" s="158">
        <f t="shared" si="370"/>
        <v>1158</v>
      </c>
      <c r="BT315" s="158">
        <f t="shared" si="370"/>
        <v>4466</v>
      </c>
      <c r="BU315" s="158">
        <f t="shared" si="370"/>
        <v>4366</v>
      </c>
      <c r="BV315" s="158">
        <f t="shared" si="370"/>
        <v>4370</v>
      </c>
      <c r="BW315" s="846">
        <f t="shared" si="370"/>
        <v>3784</v>
      </c>
      <c r="BX315" s="158"/>
      <c r="BY315" s="158"/>
      <c r="BZ315" s="158"/>
      <c r="CA315" s="158"/>
      <c r="CB315" s="158"/>
      <c r="CC315" s="117"/>
    </row>
    <row r="316" spans="1:81" s="706" customFormat="1" outlineLevel="1" x14ac:dyDescent="0.55000000000000004">
      <c r="A316" s="287" t="s">
        <v>1069</v>
      </c>
      <c r="B316" s="229"/>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f>AA309</f>
        <v>35</v>
      </c>
      <c r="AB316" s="37">
        <f t="shared" si="365"/>
        <v>40</v>
      </c>
      <c r="AC316" s="37">
        <f t="shared" si="365"/>
        <v>53</v>
      </c>
      <c r="AD316" s="37">
        <f t="shared" si="365"/>
        <v>65</v>
      </c>
      <c r="AE316" s="37">
        <f>AE309</f>
        <v>25</v>
      </c>
      <c r="AF316" s="37">
        <f t="shared" si="366"/>
        <v>8</v>
      </c>
      <c r="AG316" s="37">
        <f t="shared" si="366"/>
        <v>68</v>
      </c>
      <c r="AH316" s="37">
        <f t="shared" si="366"/>
        <v>20</v>
      </c>
      <c r="AI316" s="37">
        <f>AI309</f>
        <v>24</v>
      </c>
      <c r="AJ316" s="37">
        <f t="shared" si="367"/>
        <v>46</v>
      </c>
      <c r="AK316" s="37">
        <f t="shared" si="367"/>
        <v>54</v>
      </c>
      <c r="AL316" s="37">
        <f t="shared" si="367"/>
        <v>36</v>
      </c>
      <c r="AM316" s="37">
        <f>AM309</f>
        <v>52</v>
      </c>
      <c r="AN316" s="37">
        <f t="shared" si="368"/>
        <v>51</v>
      </c>
      <c r="AO316" s="37">
        <f t="shared" si="368"/>
        <v>11</v>
      </c>
      <c r="AP316" s="37">
        <f t="shared" si="368"/>
        <v>109</v>
      </c>
      <c r="AQ316" s="37">
        <f>AQ309</f>
        <v>70</v>
      </c>
      <c r="AR316" s="37">
        <f t="shared" si="369"/>
        <v>268</v>
      </c>
      <c r="AS316" s="37">
        <f t="shared" si="369"/>
        <v>122</v>
      </c>
      <c r="AT316" s="37">
        <f t="shared" si="369"/>
        <v>128</v>
      </c>
      <c r="AU316" s="37"/>
      <c r="AV316" s="37"/>
      <c r="AW316" s="37"/>
      <c r="AX316" s="37"/>
      <c r="AY316" s="273"/>
      <c r="AZ316" s="37"/>
      <c r="BA316" s="37"/>
      <c r="BB316" s="37"/>
      <c r="BC316" s="37"/>
      <c r="BD316" s="37"/>
      <c r="BE316" s="37"/>
      <c r="BF316" s="37"/>
      <c r="BG316" s="37"/>
      <c r="BH316" s="158"/>
      <c r="BI316" s="158"/>
      <c r="BJ316" s="158"/>
      <c r="BK316" s="158"/>
      <c r="BL316" s="158"/>
      <c r="BM316" s="158"/>
      <c r="BN316" s="158"/>
      <c r="BO316" s="158"/>
      <c r="BP316" s="158"/>
      <c r="BQ316" s="158"/>
      <c r="BR316" s="158">
        <f t="shared" si="370"/>
        <v>193</v>
      </c>
      <c r="BS316" s="158">
        <f t="shared" si="370"/>
        <v>121</v>
      </c>
      <c r="BT316" s="158">
        <f t="shared" si="370"/>
        <v>160</v>
      </c>
      <c r="BU316" s="158">
        <f t="shared" si="370"/>
        <v>223</v>
      </c>
      <c r="BV316" s="158">
        <f t="shared" si="370"/>
        <v>588</v>
      </c>
      <c r="BW316" s="846">
        <f t="shared" si="370"/>
        <v>181</v>
      </c>
      <c r="BX316" s="158"/>
      <c r="BY316" s="158"/>
      <c r="BZ316" s="158"/>
      <c r="CA316" s="158"/>
      <c r="CB316" s="158"/>
      <c r="CC316" s="117"/>
    </row>
    <row r="317" spans="1:81" s="709" customFormat="1" x14ac:dyDescent="0.55000000000000004">
      <c r="A317" s="262"/>
      <c r="B317" s="237"/>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275"/>
      <c r="AZ317" s="55"/>
      <c r="BA317" s="55"/>
      <c r="BB317" s="55"/>
      <c r="BC317" s="55"/>
      <c r="BD317" s="55"/>
      <c r="BE317" s="55"/>
      <c r="BF317" s="55"/>
      <c r="BG317" s="55"/>
      <c r="BH317" s="156"/>
      <c r="BI317" s="156"/>
      <c r="BJ317" s="156"/>
      <c r="BK317" s="156"/>
      <c r="BL317" s="156"/>
      <c r="BM317" s="156"/>
      <c r="BN317" s="156"/>
      <c r="BO317" s="156"/>
      <c r="BP317" s="156"/>
      <c r="BQ317" s="156"/>
      <c r="BR317" s="156"/>
      <c r="BS317" s="156"/>
      <c r="BT317" s="156"/>
      <c r="BU317" s="156"/>
      <c r="BV317" s="156"/>
      <c r="BW317" s="856"/>
      <c r="BX317" s="156"/>
      <c r="BY317" s="156"/>
      <c r="BZ317" s="156"/>
      <c r="CA317" s="156"/>
      <c r="CB317" s="156"/>
      <c r="CC317" s="24"/>
    </row>
    <row r="318" spans="1:81" x14ac:dyDescent="0.55000000000000004">
      <c r="A318" s="31" t="s">
        <v>32</v>
      </c>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27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271"/>
      <c r="BX318" s="31"/>
      <c r="BY318" s="31"/>
      <c r="BZ318" s="31"/>
      <c r="CA318" s="31"/>
      <c r="CB318" s="31"/>
      <c r="CC318" s="9"/>
    </row>
    <row r="319" spans="1:81" outlineLevel="1" x14ac:dyDescent="0.55000000000000004">
      <c r="A319" s="198" t="s">
        <v>352</v>
      </c>
      <c r="B319" s="49"/>
      <c r="C319" s="568">
        <f t="shared" ref="C319:AH319" si="371">C382/C378</f>
        <v>0.2832647462277092</v>
      </c>
      <c r="D319" s="568">
        <f t="shared" si="371"/>
        <v>0.25648097076668508</v>
      </c>
      <c r="E319" s="568">
        <f t="shared" si="371"/>
        <v>0.25148809523809523</v>
      </c>
      <c r="F319" s="568">
        <f t="shared" si="371"/>
        <v>0.18994197292069631</v>
      </c>
      <c r="G319" s="568">
        <f t="shared" si="371"/>
        <v>0.18465227817745802</v>
      </c>
      <c r="H319" s="568">
        <f t="shared" si="371"/>
        <v>0.16254295532646049</v>
      </c>
      <c r="I319" s="568">
        <f t="shared" si="371"/>
        <v>0.17639712769278801</v>
      </c>
      <c r="J319" s="568">
        <f t="shared" si="371"/>
        <v>0.16956634640353155</v>
      </c>
      <c r="K319" s="568">
        <f t="shared" si="371"/>
        <v>0.18458933107535985</v>
      </c>
      <c r="L319" s="568">
        <f t="shared" si="371"/>
        <v>0.165264720435428</v>
      </c>
      <c r="M319" s="568">
        <f t="shared" si="371"/>
        <v>0.15996445234392356</v>
      </c>
      <c r="N319" s="568">
        <f t="shared" si="371"/>
        <v>0.14107173429207329</v>
      </c>
      <c r="O319" s="568">
        <f t="shared" si="371"/>
        <v>0.15570419918246006</v>
      </c>
      <c r="P319" s="568">
        <f t="shared" si="371"/>
        <v>0.14247980111870728</v>
      </c>
      <c r="Q319" s="568">
        <f t="shared" si="371"/>
        <v>0.14077877620881471</v>
      </c>
      <c r="R319" s="568">
        <f t="shared" si="371"/>
        <v>0.11885571574526053</v>
      </c>
      <c r="S319" s="568">
        <f t="shared" si="371"/>
        <v>0.14429780876494025</v>
      </c>
      <c r="T319" s="568">
        <f t="shared" si="371"/>
        <v>0.13271108250187749</v>
      </c>
      <c r="U319" s="568">
        <f t="shared" si="371"/>
        <v>0.14020139426800929</v>
      </c>
      <c r="V319" s="568">
        <f t="shared" si="371"/>
        <v>0.12419056429232192</v>
      </c>
      <c r="W319" s="568">
        <f t="shared" si="371"/>
        <v>0.1610396122346649</v>
      </c>
      <c r="X319" s="568">
        <f t="shared" si="371"/>
        <v>0.16733429068097649</v>
      </c>
      <c r="Y319" s="568">
        <f t="shared" si="371"/>
        <v>0.17614919501711954</v>
      </c>
      <c r="Z319" s="568">
        <f t="shared" si="371"/>
        <v>0.16530684639943241</v>
      </c>
      <c r="AA319" s="568">
        <f t="shared" si="371"/>
        <v>0.18677455727266698</v>
      </c>
      <c r="AB319" s="568">
        <f t="shared" si="371"/>
        <v>0.19584270993722611</v>
      </c>
      <c r="AC319" s="568">
        <f t="shared" si="371"/>
        <v>0.17873328801268978</v>
      </c>
      <c r="AD319" s="568">
        <f t="shared" si="371"/>
        <v>0.16563893368750593</v>
      </c>
      <c r="AE319" s="568">
        <f t="shared" si="371"/>
        <v>0.19501606810621863</v>
      </c>
      <c r="AF319" s="568">
        <f t="shared" si="371"/>
        <v>0.20490180339273292</v>
      </c>
      <c r="AG319" s="568">
        <f t="shared" si="371"/>
        <v>0.19534233814625057</v>
      </c>
      <c r="AH319" s="568">
        <f t="shared" si="371"/>
        <v>0.18559418637788544</v>
      </c>
      <c r="AI319" s="568">
        <f t="shared" ref="AI319:BF319" si="372">AI382/AI378</f>
        <v>0.19605670398532726</v>
      </c>
      <c r="AJ319" s="568">
        <f t="shared" si="372"/>
        <v>0.18567940296454241</v>
      </c>
      <c r="AK319" s="568">
        <f t="shared" si="372"/>
        <v>0.19893140296449499</v>
      </c>
      <c r="AL319" s="568">
        <f t="shared" si="372"/>
        <v>0.18853018918357042</v>
      </c>
      <c r="AM319" s="568">
        <f t="shared" si="372"/>
        <v>0.21517127705317471</v>
      </c>
      <c r="AN319" s="568">
        <f t="shared" si="372"/>
        <v>0.18014017070293525</v>
      </c>
      <c r="AO319" s="568">
        <f t="shared" si="372"/>
        <v>0.20624954896442232</v>
      </c>
      <c r="AP319" s="568">
        <f t="shared" si="372"/>
        <v>0.25916368723768068</v>
      </c>
      <c r="AQ319" s="568">
        <f t="shared" si="372"/>
        <v>0.21323093035433757</v>
      </c>
      <c r="AR319" s="568">
        <f t="shared" si="372"/>
        <v>0.18578705584549518</v>
      </c>
      <c r="AS319" s="568">
        <f t="shared" si="372"/>
        <v>0.18186610437532946</v>
      </c>
      <c r="AT319" s="568">
        <f t="shared" si="372"/>
        <v>0.19184263668320412</v>
      </c>
      <c r="AU319" s="568">
        <f t="shared" si="372"/>
        <v>0.18214236730215333</v>
      </c>
      <c r="AV319" s="568">
        <f t="shared" si="372"/>
        <v>0.18704409920401321</v>
      </c>
      <c r="AW319" s="568">
        <f t="shared" si="372"/>
        <v>0.18169947522727833</v>
      </c>
      <c r="AX319" s="568">
        <f t="shared" si="372"/>
        <v>0.18268058282525576</v>
      </c>
      <c r="AY319" s="642">
        <f t="shared" si="372"/>
        <v>0.17894786595453041</v>
      </c>
      <c r="AZ319" s="50">
        <f t="shared" si="372"/>
        <v>0.2300785914537179</v>
      </c>
      <c r="BA319" s="50">
        <f t="shared" si="372"/>
        <v>0.21045171377485775</v>
      </c>
      <c r="BB319" s="50">
        <f t="shared" si="372"/>
        <v>0.29129764930408575</v>
      </c>
      <c r="BC319" s="50">
        <f t="shared" si="372"/>
        <v>7.181823864395985E-2</v>
      </c>
      <c r="BD319" s="50">
        <f t="shared" si="372"/>
        <v>0.14042472906812686</v>
      </c>
      <c r="BE319" s="50">
        <f t="shared" si="372"/>
        <v>0.16898405936174254</v>
      </c>
      <c r="BF319" s="50">
        <f t="shared" si="372"/>
        <v>0.25029117638074988</v>
      </c>
      <c r="BG319" s="50"/>
      <c r="BH319" s="896">
        <f t="shared" ref="BH319:CB319" si="373">BH382/BH378</f>
        <v>0.28700128700128702</v>
      </c>
      <c r="BI319" s="896">
        <f t="shared" si="373"/>
        <v>0.24974670719351572</v>
      </c>
      <c r="BJ319" s="896">
        <f t="shared" si="373"/>
        <v>0.23174346537321477</v>
      </c>
      <c r="BK319" s="896">
        <f t="shared" si="373"/>
        <v>0.26802908233444683</v>
      </c>
      <c r="BL319" s="896">
        <f t="shared" si="373"/>
        <v>0.2381859756097561</v>
      </c>
      <c r="BM319" s="896">
        <f t="shared" si="373"/>
        <v>0.17270977057596662</v>
      </c>
      <c r="BN319" s="896">
        <f t="shared" si="373"/>
        <v>0.15991744756804999</v>
      </c>
      <c r="BO319" s="896">
        <f t="shared" si="373"/>
        <v>0.13709385628482523</v>
      </c>
      <c r="BP319" s="896">
        <f t="shared" si="373"/>
        <v>0.13415984060216959</v>
      </c>
      <c r="BQ319" s="896">
        <f t="shared" si="373"/>
        <v>0.16753823561015796</v>
      </c>
      <c r="BR319" s="896">
        <f t="shared" si="373"/>
        <v>0.18063001258893588</v>
      </c>
      <c r="BS319" s="896">
        <f t="shared" si="373"/>
        <v>0.19417204676321759</v>
      </c>
      <c r="BT319" s="896">
        <f t="shared" si="373"/>
        <v>0.19205623722748433</v>
      </c>
      <c r="BU319" s="896">
        <f t="shared" si="373"/>
        <v>0.21652702621581524</v>
      </c>
      <c r="BV319" s="896">
        <f t="shared" si="373"/>
        <v>0.19242857778239017</v>
      </c>
      <c r="BW319" s="897">
        <f t="shared" si="373"/>
        <v>0.18334842949282984</v>
      </c>
      <c r="BX319" s="898">
        <f t="shared" si="373"/>
        <v>0.23211211508220714</v>
      </c>
      <c r="BY319" s="898">
        <f t="shared" si="373"/>
        <v>0.1652824132658475</v>
      </c>
      <c r="BZ319" s="898">
        <f t="shared" si="373"/>
        <v>0.1348377439193042</v>
      </c>
      <c r="CA319" s="898">
        <f t="shared" si="373"/>
        <v>0.10468713297689461</v>
      </c>
      <c r="CB319" s="898">
        <f t="shared" si="373"/>
        <v>7.4747643433330208E-2</v>
      </c>
      <c r="CC319" s="9"/>
    </row>
    <row r="320" spans="1:81" outlineLevel="1" x14ac:dyDescent="0.55000000000000004">
      <c r="A320" s="51" t="s">
        <v>351</v>
      </c>
      <c r="B320" s="52"/>
      <c r="C320" s="36">
        <f t="shared" ref="C320:AH320" si="374">C340/C338</f>
        <v>0.71673525377229086</v>
      </c>
      <c r="D320" s="36">
        <f t="shared" si="374"/>
        <v>0.74351902923331492</v>
      </c>
      <c r="E320" s="36">
        <f t="shared" si="374"/>
        <v>0.74851190476190477</v>
      </c>
      <c r="F320" s="36">
        <f t="shared" si="374"/>
        <v>0.81005802707930363</v>
      </c>
      <c r="G320" s="36">
        <f t="shared" si="374"/>
        <v>0.815347721822542</v>
      </c>
      <c r="H320" s="36">
        <f t="shared" si="374"/>
        <v>0.83745704467353954</v>
      </c>
      <c r="I320" s="36">
        <f t="shared" si="374"/>
        <v>0.82360287230721196</v>
      </c>
      <c r="J320" s="36">
        <f t="shared" si="374"/>
        <v>0.83043365359646848</v>
      </c>
      <c r="K320" s="36">
        <f t="shared" si="374"/>
        <v>0.81541066892464009</v>
      </c>
      <c r="L320" s="36">
        <f t="shared" si="374"/>
        <v>0.83473527956457194</v>
      </c>
      <c r="M320" s="36">
        <f t="shared" si="374"/>
        <v>0.84003554765607646</v>
      </c>
      <c r="N320" s="36">
        <f t="shared" si="374"/>
        <v>0.85892826570792669</v>
      </c>
      <c r="O320" s="36">
        <f t="shared" si="374"/>
        <v>0.84429580081753997</v>
      </c>
      <c r="P320" s="36">
        <f t="shared" si="374"/>
        <v>0.85752019888129272</v>
      </c>
      <c r="Q320" s="36">
        <f t="shared" si="374"/>
        <v>0.85922122379118526</v>
      </c>
      <c r="R320" s="36">
        <f t="shared" si="374"/>
        <v>0.88114428425473945</v>
      </c>
      <c r="S320" s="36">
        <f t="shared" si="374"/>
        <v>0.85570219123505975</v>
      </c>
      <c r="T320" s="36">
        <f t="shared" si="374"/>
        <v>0.86728891749812254</v>
      </c>
      <c r="U320" s="36">
        <f t="shared" si="374"/>
        <v>0.85979860573199074</v>
      </c>
      <c r="V320" s="36">
        <f t="shared" si="374"/>
        <v>0.87580943570767811</v>
      </c>
      <c r="W320" s="36">
        <f t="shared" si="374"/>
        <v>0.8389603877653351</v>
      </c>
      <c r="X320" s="36">
        <f t="shared" si="374"/>
        <v>0.83266570931902351</v>
      </c>
      <c r="Y320" s="36">
        <f t="shared" si="374"/>
        <v>0.82385080498288044</v>
      </c>
      <c r="Z320" s="36">
        <f t="shared" si="374"/>
        <v>0.83469315360056762</v>
      </c>
      <c r="AA320" s="36">
        <f t="shared" si="374"/>
        <v>0.81322544272733299</v>
      </c>
      <c r="AB320" s="36">
        <f t="shared" si="374"/>
        <v>0.80415729006277392</v>
      </c>
      <c r="AC320" s="36">
        <f t="shared" si="374"/>
        <v>0.82126671198731027</v>
      </c>
      <c r="AD320" s="36">
        <f t="shared" si="374"/>
        <v>0.83436106631249407</v>
      </c>
      <c r="AE320" s="36">
        <f t="shared" si="374"/>
        <v>0.80498393189378137</v>
      </c>
      <c r="AF320" s="36">
        <f t="shared" si="374"/>
        <v>0.7950981966072671</v>
      </c>
      <c r="AG320" s="36">
        <f t="shared" si="374"/>
        <v>0.80465766185374943</v>
      </c>
      <c r="AH320" s="36">
        <f t="shared" si="374"/>
        <v>0.81440581362211462</v>
      </c>
      <c r="AI320" s="36">
        <f t="shared" ref="AI320:AY320" si="375">AI340/AI338</f>
        <v>0.80394329601467274</v>
      </c>
      <c r="AJ320" s="36">
        <f t="shared" si="375"/>
        <v>0.81432059703545756</v>
      </c>
      <c r="AK320" s="36">
        <f t="shared" si="375"/>
        <v>0.80106859703550504</v>
      </c>
      <c r="AL320" s="36">
        <f t="shared" si="375"/>
        <v>0.81146981081642955</v>
      </c>
      <c r="AM320" s="36">
        <f t="shared" si="375"/>
        <v>0.78482872294682526</v>
      </c>
      <c r="AN320" s="36">
        <f t="shared" si="375"/>
        <v>0.81985982929706469</v>
      </c>
      <c r="AO320" s="36">
        <f t="shared" si="375"/>
        <v>0.79375045103557773</v>
      </c>
      <c r="AP320" s="36">
        <f t="shared" si="375"/>
        <v>0.74083631276231932</v>
      </c>
      <c r="AQ320" s="36">
        <f t="shared" si="375"/>
        <v>0.7867690696456624</v>
      </c>
      <c r="AR320" s="36">
        <f t="shared" si="375"/>
        <v>0.81421294415450485</v>
      </c>
      <c r="AS320" s="36">
        <f t="shared" si="375"/>
        <v>0.81813389562467054</v>
      </c>
      <c r="AT320" s="36">
        <f t="shared" si="375"/>
        <v>0.80815736331679588</v>
      </c>
      <c r="AU320" s="36">
        <f t="shared" si="375"/>
        <v>0.81785763269784661</v>
      </c>
      <c r="AV320" s="36">
        <f t="shared" si="375"/>
        <v>0.81295590079598679</v>
      </c>
      <c r="AW320" s="36">
        <f t="shared" si="375"/>
        <v>0.81830052477272164</v>
      </c>
      <c r="AX320" s="36">
        <f t="shared" si="375"/>
        <v>0.81731941717474421</v>
      </c>
      <c r="AY320" s="641">
        <f t="shared" si="375"/>
        <v>0.82105213404546962</v>
      </c>
      <c r="AZ320" s="36">
        <f t="shared" ref="AZ320:BF320" si="376">AZ383/AZ378</f>
        <v>0.7699214085462821</v>
      </c>
      <c r="BA320" s="36">
        <f t="shared" si="376"/>
        <v>0.78954828622514228</v>
      </c>
      <c r="BB320" s="36">
        <f t="shared" si="376"/>
        <v>0.70870235069591425</v>
      </c>
      <c r="BC320" s="36">
        <f t="shared" si="376"/>
        <v>0.92818176135604014</v>
      </c>
      <c r="BD320" s="36">
        <f t="shared" si="376"/>
        <v>0.85957527093187314</v>
      </c>
      <c r="BE320" s="36">
        <f t="shared" si="376"/>
        <v>0.83101594063825746</v>
      </c>
      <c r="BF320" s="36">
        <f t="shared" si="376"/>
        <v>0.74970882361925006</v>
      </c>
      <c r="BG320" s="36"/>
      <c r="BH320" s="899">
        <f t="shared" ref="BH320:BW320" si="377">BH340/BH338</f>
        <v>0.71299871299871298</v>
      </c>
      <c r="BI320" s="899">
        <f t="shared" si="377"/>
        <v>0.75025329280648434</v>
      </c>
      <c r="BJ320" s="899">
        <f t="shared" si="377"/>
        <v>0.76825653462678523</v>
      </c>
      <c r="BK320" s="899">
        <f t="shared" si="377"/>
        <v>0.73197091766555311</v>
      </c>
      <c r="BL320" s="899">
        <f t="shared" si="377"/>
        <v>0.76181402439024393</v>
      </c>
      <c r="BM320" s="899">
        <f t="shared" si="377"/>
        <v>0.82729022942403341</v>
      </c>
      <c r="BN320" s="899">
        <f t="shared" si="377"/>
        <v>0.84008255243195007</v>
      </c>
      <c r="BO320" s="899">
        <f t="shared" si="377"/>
        <v>0.86290614371517471</v>
      </c>
      <c r="BP320" s="899">
        <f t="shared" si="377"/>
        <v>0.86584015939783043</v>
      </c>
      <c r="BQ320" s="899">
        <f t="shared" si="377"/>
        <v>0.8324617643898421</v>
      </c>
      <c r="BR320" s="899">
        <f t="shared" si="377"/>
        <v>0.81936998741106415</v>
      </c>
      <c r="BS320" s="899">
        <f t="shared" si="377"/>
        <v>0.80582795323678236</v>
      </c>
      <c r="BT320" s="899">
        <f t="shared" si="377"/>
        <v>0.80794376277251567</v>
      </c>
      <c r="BU320" s="899">
        <f t="shared" si="377"/>
        <v>0.78347297378418479</v>
      </c>
      <c r="BV320" s="899">
        <f t="shared" si="377"/>
        <v>0.8075714222176098</v>
      </c>
      <c r="BW320" s="900">
        <f t="shared" si="377"/>
        <v>0.81665157050717019</v>
      </c>
      <c r="BX320" s="899">
        <f>1-BX319</f>
        <v>0.76788788491779281</v>
      </c>
      <c r="BY320" s="899">
        <f>1-BY319</f>
        <v>0.83471758673415253</v>
      </c>
      <c r="BZ320" s="899">
        <f>BZ383/BZ378</f>
        <v>0.86516225608069575</v>
      </c>
      <c r="CA320" s="899">
        <f>CA383/CA378</f>
        <v>0.89531286702310542</v>
      </c>
      <c r="CB320" s="899">
        <f>CB383/CB378</f>
        <v>0.92525235656666982</v>
      </c>
      <c r="CC320" s="121"/>
    </row>
    <row r="321" spans="1:81" outlineLevel="1" x14ac:dyDescent="0.55000000000000004">
      <c r="A321" s="53" t="s">
        <v>33</v>
      </c>
      <c r="B321" s="75"/>
      <c r="C321" s="54"/>
      <c r="D321" s="54"/>
      <c r="E321" s="54"/>
      <c r="F321" s="54"/>
      <c r="G321" s="54"/>
      <c r="H321" s="54"/>
      <c r="I321" s="54"/>
      <c r="J321" s="54"/>
      <c r="K321" s="54"/>
      <c r="L321" s="54"/>
      <c r="M321" s="54"/>
      <c r="N321" s="54"/>
      <c r="O321" s="54"/>
      <c r="P321" s="567"/>
      <c r="Q321" s="567"/>
      <c r="R321" s="567"/>
      <c r="S321" s="54"/>
      <c r="T321" s="567"/>
      <c r="U321" s="54"/>
      <c r="V321" s="567"/>
      <c r="W321" s="54"/>
      <c r="X321" s="567"/>
      <c r="Y321" s="54"/>
      <c r="Z321" s="567"/>
      <c r="AA321" s="54"/>
      <c r="AB321" s="567"/>
      <c r="AC321" s="54"/>
      <c r="AD321" s="567"/>
      <c r="AE321" s="54"/>
      <c r="AF321" s="567"/>
      <c r="AG321" s="54"/>
      <c r="AH321" s="567"/>
      <c r="AI321" s="54"/>
      <c r="AJ321" s="567"/>
      <c r="AK321" s="54"/>
      <c r="AL321" s="567"/>
      <c r="AM321" s="54"/>
      <c r="AN321" s="567"/>
      <c r="AO321" s="54"/>
      <c r="AP321" s="567"/>
      <c r="AQ321" s="54"/>
      <c r="AR321" s="567"/>
      <c r="AS321" s="54"/>
      <c r="AT321" s="567"/>
      <c r="AU321" s="54"/>
      <c r="AV321" s="567"/>
      <c r="AW321" s="54"/>
      <c r="AX321" s="567"/>
      <c r="AY321" s="623"/>
      <c r="AZ321" s="224" t="str">
        <f t="shared" ref="AZ321:BF321" ca="1" si="378">IFERROR(VLOOKUP($A321,tb_ConsensusEstimate,MATCH(AZ$5,OFFSET(tb_ConsensusEstimate,0,0,1,COLUMNS(tb_ConsensusEstimate)),0),FALSE),"-")</f>
        <v>N/A</v>
      </c>
      <c r="BA321" s="224" t="str">
        <f t="shared" ca="1" si="378"/>
        <v>N/A</v>
      </c>
      <c r="BB321" s="224" t="str">
        <f t="shared" ca="1" si="378"/>
        <v>N/A</v>
      </c>
      <c r="BC321" s="224" t="str">
        <f t="shared" ca="1" si="378"/>
        <v>N/A</v>
      </c>
      <c r="BD321" s="224" t="str">
        <f t="shared" ca="1" si="378"/>
        <v>N/A</v>
      </c>
      <c r="BE321" s="224" t="str">
        <f t="shared" ca="1" si="378"/>
        <v>N/A</v>
      </c>
      <c r="BF321" s="224" t="str">
        <f t="shared" ca="1" si="378"/>
        <v>N/A</v>
      </c>
      <c r="BG321" s="224"/>
      <c r="BH321" s="815"/>
      <c r="BI321" s="815"/>
      <c r="BJ321" s="815"/>
      <c r="BK321" s="815"/>
      <c r="BL321" s="815"/>
      <c r="BM321" s="815"/>
      <c r="BN321" s="815"/>
      <c r="BO321" s="817"/>
      <c r="BP321" s="817"/>
      <c r="BQ321" s="817"/>
      <c r="BR321" s="817"/>
      <c r="BS321" s="817"/>
      <c r="BT321" s="817"/>
      <c r="BU321" s="817"/>
      <c r="BV321" s="817"/>
      <c r="BW321" s="819"/>
      <c r="BX321" s="817" t="str">
        <f ca="1">IFERROR(VLOOKUP($A321,tb_ConsensusEstimate,MATCH(BX$5,OFFSET(tb_ConsensusEstimate,0,0,1,COLUMNS(tb_ConsensusEstimate)),0),FALSE),"-")</f>
        <v>N/A</v>
      </c>
      <c r="BY321" s="817" t="str">
        <f ca="1">IFERROR(VLOOKUP($A321,tb_ConsensusEstimate,MATCH(BY$5,OFFSET(tb_ConsensusEstimate,0,0,1,COLUMNS(tb_ConsensusEstimate)),0),FALSE),"-")</f>
        <v>N/A</v>
      </c>
      <c r="BZ321" s="817" t="str">
        <f ca="1">IFERROR(VLOOKUP($A321,tb_ConsensusEstimate,MATCH(BZ5,OFFSET(tb_ConsensusEstimate,0,0,1,COLUMNS(tb_ConsensusEstimate)),0),FALSE),"-")</f>
        <v>N/A</v>
      </c>
      <c r="CA321" s="817" t="str">
        <f ca="1">IFERROR(VLOOKUP($A321,tb_ConsensusEstimate,MATCH(CA5,OFFSET(tb_ConsensusEstimate,0,0,1,COLUMNS(tb_ConsensusEstimate)),0),FALSE),"-")</f>
        <v>N/A</v>
      </c>
      <c r="CB321" s="817" t="str">
        <f ca="1">IFERROR(VLOOKUP($A321,tb_ConsensusEstimate,MATCH(CB5,OFFSET(tb_ConsensusEstimate,0,0,1,COLUMNS(tb_ConsensusEstimate)),0),FALSE),"-")</f>
        <v>N/A</v>
      </c>
      <c r="CC321" s="54"/>
    </row>
    <row r="322" spans="1:81" outlineLevel="1" x14ac:dyDescent="0.55000000000000004">
      <c r="A322" s="139"/>
      <c r="B322" s="49"/>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642"/>
      <c r="AZ322" s="50"/>
      <c r="BA322" s="50"/>
      <c r="BB322" s="50"/>
      <c r="BC322" s="50"/>
      <c r="BD322" s="50"/>
      <c r="BE322" s="50"/>
      <c r="BF322" s="50"/>
      <c r="BG322" s="50"/>
      <c r="BH322" s="898"/>
      <c r="BI322" s="898"/>
      <c r="BJ322" s="898"/>
      <c r="BK322" s="898"/>
      <c r="BL322" s="898"/>
      <c r="BM322" s="898"/>
      <c r="BN322" s="898"/>
      <c r="BO322" s="898"/>
      <c r="BP322" s="898"/>
      <c r="BQ322" s="898"/>
      <c r="BR322" s="898"/>
      <c r="BS322" s="898"/>
      <c r="BT322" s="898"/>
      <c r="BU322" s="898"/>
      <c r="BV322" s="898"/>
      <c r="BW322" s="901"/>
      <c r="BX322" s="898"/>
      <c r="BY322" s="898"/>
      <c r="BZ322" s="898"/>
      <c r="CA322" s="898"/>
      <c r="CB322" s="898"/>
      <c r="CC322" s="9"/>
    </row>
    <row r="323" spans="1:81" outlineLevel="1" x14ac:dyDescent="0.55000000000000004">
      <c r="A323" s="139" t="s">
        <v>34</v>
      </c>
      <c r="B323" s="49"/>
      <c r="C323" s="50">
        <f t="shared" ref="C323:AH323" si="379">C385/C378</f>
        <v>0.12071330589849108</v>
      </c>
      <c r="D323" s="50">
        <f t="shared" si="379"/>
        <v>9.5421952564809703E-2</v>
      </c>
      <c r="E323" s="50">
        <f t="shared" si="379"/>
        <v>8.4821428571428575E-2</v>
      </c>
      <c r="F323" s="50">
        <f t="shared" si="379"/>
        <v>0.10096711798839458</v>
      </c>
      <c r="G323" s="50">
        <f t="shared" si="379"/>
        <v>7.4740207833733016E-2</v>
      </c>
      <c r="H323" s="50">
        <f t="shared" si="379"/>
        <v>6.7697594501718208E-2</v>
      </c>
      <c r="I323" s="50">
        <f t="shared" si="379"/>
        <v>8.0861692163596621E-2</v>
      </c>
      <c r="J323" s="50">
        <f t="shared" si="379"/>
        <v>8.5692028044663721E-2</v>
      </c>
      <c r="K323" s="50">
        <f t="shared" si="379"/>
        <v>7.7335591306802148E-2</v>
      </c>
      <c r="L323" s="50">
        <f t="shared" si="379"/>
        <v>7.5457694210786741E-2</v>
      </c>
      <c r="M323" s="50">
        <f t="shared" si="379"/>
        <v>7.6649633414796706E-2</v>
      </c>
      <c r="N323" s="50">
        <f t="shared" si="379"/>
        <v>6.3516521143639787E-2</v>
      </c>
      <c r="O323" s="50">
        <f t="shared" si="379"/>
        <v>6.7818654775176512E-2</v>
      </c>
      <c r="P323" s="50">
        <f t="shared" si="379"/>
        <v>6.4170292106898688E-2</v>
      </c>
      <c r="Q323" s="50">
        <f t="shared" si="379"/>
        <v>6.2615889316787909E-2</v>
      </c>
      <c r="R323" s="50">
        <f t="shared" si="379"/>
        <v>5.8462935634010671E-2</v>
      </c>
      <c r="S323" s="50">
        <f t="shared" si="379"/>
        <v>8.1548804780876491E-2</v>
      </c>
      <c r="T323" s="50">
        <f t="shared" si="379"/>
        <v>6.8662160712369913E-2</v>
      </c>
      <c r="U323" s="50">
        <f t="shared" si="379"/>
        <v>5.1897753679318356E-2</v>
      </c>
      <c r="V323" s="50">
        <f t="shared" si="379"/>
        <v>5.2883132901634287E-2</v>
      </c>
      <c r="W323" s="50">
        <f t="shared" si="379"/>
        <v>6.3262577302356682E-2</v>
      </c>
      <c r="X323" s="50">
        <f t="shared" si="379"/>
        <v>5.865013982314262E-2</v>
      </c>
      <c r="Y323" s="50">
        <f t="shared" si="379"/>
        <v>6.8696729074087567E-2</v>
      </c>
      <c r="Z323" s="50">
        <f t="shared" si="379"/>
        <v>5.7644554806669031E-2</v>
      </c>
      <c r="AA323" s="50">
        <f t="shared" si="379"/>
        <v>0.26954964515487168</v>
      </c>
      <c r="AB323" s="50">
        <f t="shared" si="379"/>
        <v>0.19092739547554186</v>
      </c>
      <c r="AC323" s="50">
        <f t="shared" si="379"/>
        <v>7.6365284387038296E-2</v>
      </c>
      <c r="AD323" s="50">
        <f t="shared" si="379"/>
        <v>8.675647471776872E-2</v>
      </c>
      <c r="AE323" s="50">
        <f t="shared" si="379"/>
        <v>8.9248463663528219E-2</v>
      </c>
      <c r="AF323" s="50">
        <f t="shared" si="379"/>
        <v>8.5246427998073526E-2</v>
      </c>
      <c r="AG323" s="50">
        <f t="shared" si="379"/>
        <v>8.3372147182114581E-2</v>
      </c>
      <c r="AH323" s="50">
        <f t="shared" si="379"/>
        <v>5.6960672556283842E-2</v>
      </c>
      <c r="AI323" s="50">
        <f t="shared" ref="AI323:BF323" si="380">AI385/AI378</f>
        <v>6.1976997439914409E-2</v>
      </c>
      <c r="AJ323" s="50">
        <f t="shared" si="380"/>
        <v>6.7269663307769026E-2</v>
      </c>
      <c r="AK323" s="50">
        <f t="shared" si="380"/>
        <v>0.10155118924508789</v>
      </c>
      <c r="AL323" s="50">
        <f t="shared" si="380"/>
        <v>9.8155682931899857E-2</v>
      </c>
      <c r="AM323" s="50">
        <f t="shared" si="380"/>
        <v>8.4563566002579901E-2</v>
      </c>
      <c r="AN323" s="50">
        <f t="shared" si="380"/>
        <v>0.1036361113038651</v>
      </c>
      <c r="AO323" s="50">
        <f t="shared" si="380"/>
        <v>0.12210435159125352</v>
      </c>
      <c r="AP323" s="50">
        <f t="shared" si="380"/>
        <v>9.5911705269703093E-2</v>
      </c>
      <c r="AQ323" s="50">
        <f t="shared" si="380"/>
        <v>0.10071565718275441</v>
      </c>
      <c r="AR323" s="50">
        <f t="shared" si="380"/>
        <v>0.13012906653332917</v>
      </c>
      <c r="AS323" s="50">
        <f t="shared" si="380"/>
        <v>6.062203479177649E-2</v>
      </c>
      <c r="AT323" s="50">
        <f t="shared" si="380"/>
        <v>5.7066640073795215E-2</v>
      </c>
      <c r="AU323" s="50">
        <f t="shared" si="380"/>
        <v>9.4774379371828282E-2</v>
      </c>
      <c r="AV323" s="50">
        <f t="shared" si="380"/>
        <v>9.3624427324614165E-2</v>
      </c>
      <c r="AW323" s="50">
        <f t="shared" si="380"/>
        <v>4.5948409667643943E-2</v>
      </c>
      <c r="AX323" s="50">
        <f t="shared" si="380"/>
        <v>1.5728014880644826E-2</v>
      </c>
      <c r="AY323" s="642">
        <f t="shared" si="380"/>
        <v>5.3882875643994896E-2</v>
      </c>
      <c r="AZ323" s="50">
        <f t="shared" si="380"/>
        <v>8.362442732461417E-2</v>
      </c>
      <c r="BA323" s="50">
        <f t="shared" si="380"/>
        <v>4.4948409667643942E-2</v>
      </c>
      <c r="BB323" s="50">
        <f t="shared" si="380"/>
        <v>1.4728014880644826E-2</v>
      </c>
      <c r="BC323" s="50">
        <f t="shared" si="380"/>
        <v>5.0882875643994893E-2</v>
      </c>
      <c r="BD323" s="50">
        <f t="shared" si="380"/>
        <v>7.3624427324614175E-2</v>
      </c>
      <c r="BE323" s="50">
        <f t="shared" si="380"/>
        <v>4.3948409667643941E-2</v>
      </c>
      <c r="BF323" s="50">
        <f t="shared" si="380"/>
        <v>1.3728014880644825E-2</v>
      </c>
      <c r="BG323" s="50"/>
      <c r="BH323" s="898">
        <f t="shared" ref="BH323:CB323" si="381">BH385/BH378</f>
        <v>0.11583011583011583</v>
      </c>
      <c r="BI323" s="898">
        <f t="shared" si="381"/>
        <v>6.9908814589665649E-2</v>
      </c>
      <c r="BJ323" s="898">
        <f t="shared" si="381"/>
        <v>8.461331177580167E-2</v>
      </c>
      <c r="BK323" s="898">
        <f t="shared" si="381"/>
        <v>0.17528001572018079</v>
      </c>
      <c r="BL323" s="898">
        <f t="shared" si="381"/>
        <v>9.921239837398374E-2</v>
      </c>
      <c r="BM323" s="898">
        <f t="shared" si="381"/>
        <v>7.8052302262153053E-2</v>
      </c>
      <c r="BN323" s="898">
        <f t="shared" si="381"/>
        <v>7.2233377956269523E-2</v>
      </c>
      <c r="BO323" s="898">
        <f t="shared" si="381"/>
        <v>6.2631159997105432E-2</v>
      </c>
      <c r="BP323" s="898">
        <f t="shared" si="381"/>
        <v>6.1914249870858237E-2</v>
      </c>
      <c r="BQ323" s="898">
        <f t="shared" si="381"/>
        <v>6.1803789534009099E-2</v>
      </c>
      <c r="BR323" s="898">
        <f t="shared" si="381"/>
        <v>0.14802608314355631</v>
      </c>
      <c r="BS323" s="898">
        <f t="shared" si="381"/>
        <v>7.6356656778921658E-2</v>
      </c>
      <c r="BT323" s="898">
        <f t="shared" si="381"/>
        <v>8.3346759490880107E-2</v>
      </c>
      <c r="BU323" s="898">
        <f t="shared" si="381"/>
        <v>0.10133008601394404</v>
      </c>
      <c r="BV323" s="898">
        <f t="shared" si="381"/>
        <v>8.4565091696194278E-2</v>
      </c>
      <c r="BW323" s="901">
        <f t="shared" si="381"/>
        <v>5.9209366508410285E-2</v>
      </c>
      <c r="BX323" s="898">
        <f t="shared" si="381"/>
        <v>4.6856793353117328E-2</v>
      </c>
      <c r="BY323" s="898">
        <f t="shared" si="381"/>
        <v>4.3062071658576132E-2</v>
      </c>
      <c r="BZ323" s="898">
        <f t="shared" si="381"/>
        <v>4.0562071658576129E-2</v>
      </c>
      <c r="CA323" s="898">
        <f t="shared" si="381"/>
        <v>3.8062071658576127E-2</v>
      </c>
      <c r="CB323" s="898">
        <f t="shared" si="381"/>
        <v>3.5562071658576125E-2</v>
      </c>
      <c r="CC323" s="9"/>
    </row>
    <row r="324" spans="1:81" outlineLevel="1" x14ac:dyDescent="0.55000000000000004">
      <c r="A324" s="139" t="s">
        <v>35</v>
      </c>
      <c r="B324" s="49"/>
      <c r="C324" s="50">
        <f t="shared" ref="C324:AH324" si="382">C386/C378</f>
        <v>0.1392318244170096</v>
      </c>
      <c r="D324" s="50">
        <f t="shared" si="382"/>
        <v>0.14837286265857694</v>
      </c>
      <c r="E324" s="50">
        <f t="shared" si="382"/>
        <v>0.11557539682539683</v>
      </c>
      <c r="F324" s="50">
        <f t="shared" si="382"/>
        <v>0.11295938104448743</v>
      </c>
      <c r="G324" s="50">
        <f t="shared" si="382"/>
        <v>0.12909672262190247</v>
      </c>
      <c r="H324" s="50">
        <f t="shared" si="382"/>
        <v>0.12302405498281786</v>
      </c>
      <c r="I324" s="50">
        <f t="shared" si="382"/>
        <v>0.11676553231345614</v>
      </c>
      <c r="J324" s="50">
        <f t="shared" si="382"/>
        <v>0.16203583484809139</v>
      </c>
      <c r="K324" s="50">
        <f t="shared" si="382"/>
        <v>0.17499294383290998</v>
      </c>
      <c r="L324" s="50">
        <f t="shared" si="382"/>
        <v>0.15487382483918852</v>
      </c>
      <c r="M324" s="50">
        <f t="shared" si="382"/>
        <v>0.15685403243723617</v>
      </c>
      <c r="N324" s="50">
        <f t="shared" si="382"/>
        <v>0.13216914911830166</v>
      </c>
      <c r="O324" s="50">
        <f t="shared" si="382"/>
        <v>0.15347454477889261</v>
      </c>
      <c r="P324" s="50">
        <f t="shared" si="382"/>
        <v>0.13999378495960224</v>
      </c>
      <c r="Q324" s="50">
        <f t="shared" si="382"/>
        <v>0.13207816288689203</v>
      </c>
      <c r="R324" s="50">
        <f t="shared" si="382"/>
        <v>0.12691565444431832</v>
      </c>
      <c r="S324" s="50">
        <f t="shared" si="382"/>
        <v>0.13159860557768924</v>
      </c>
      <c r="T324" s="50">
        <f t="shared" si="382"/>
        <v>0.12058791975109967</v>
      </c>
      <c r="U324" s="50">
        <f t="shared" si="382"/>
        <v>0.11328427575522851</v>
      </c>
      <c r="V324" s="50">
        <f t="shared" si="382"/>
        <v>0.1059204440333025</v>
      </c>
      <c r="W324" s="50">
        <f t="shared" si="382"/>
        <v>0.13329433394618084</v>
      </c>
      <c r="X324" s="50">
        <f t="shared" si="382"/>
        <v>0.14020104300506386</v>
      </c>
      <c r="Y324" s="50">
        <f t="shared" si="382"/>
        <v>0.14045312158519704</v>
      </c>
      <c r="Z324" s="50">
        <f t="shared" si="382"/>
        <v>0.14591462693626581</v>
      </c>
      <c r="AA324" s="50">
        <f t="shared" si="382"/>
        <v>0.13397890827087616</v>
      </c>
      <c r="AB324" s="50">
        <f t="shared" si="382"/>
        <v>0.14295866398199691</v>
      </c>
      <c r="AC324" s="50">
        <f t="shared" si="382"/>
        <v>0.13686834353047814</v>
      </c>
      <c r="AD324" s="50">
        <f t="shared" si="382"/>
        <v>0.14353476899724885</v>
      </c>
      <c r="AE324" s="50">
        <f t="shared" si="382"/>
        <v>0.15712916502226984</v>
      </c>
      <c r="AF324" s="50">
        <f t="shared" si="382"/>
        <v>0.15197731042971049</v>
      </c>
      <c r="AG324" s="50">
        <f t="shared" si="382"/>
        <v>0.12496506753609687</v>
      </c>
      <c r="AH324" s="50">
        <f t="shared" si="382"/>
        <v>0.11684240524365916</v>
      </c>
      <c r="AI324" s="50">
        <f t="shared" ref="AI324:BF324" si="383">AI386/AI378</f>
        <v>0.10863169156700164</v>
      </c>
      <c r="AJ324" s="50">
        <f t="shared" si="383"/>
        <v>0.1120817140695395</v>
      </c>
      <c r="AK324" s="50">
        <f t="shared" si="383"/>
        <v>0.1225094794898311</v>
      </c>
      <c r="AL324" s="50">
        <f t="shared" si="383"/>
        <v>0.13029016067238872</v>
      </c>
      <c r="AM324" s="50">
        <f t="shared" si="383"/>
        <v>0.11867564855955282</v>
      </c>
      <c r="AN324" s="50">
        <f t="shared" si="383"/>
        <v>0.12473110818125044</v>
      </c>
      <c r="AO324" s="50">
        <f t="shared" si="383"/>
        <v>0.13639315869235766</v>
      </c>
      <c r="AP324" s="50">
        <f t="shared" si="383"/>
        <v>0.142204259288046</v>
      </c>
      <c r="AQ324" s="50">
        <f t="shared" si="383"/>
        <v>0.10626636411241054</v>
      </c>
      <c r="AR324" s="50">
        <f t="shared" si="383"/>
        <v>9.8565580174380454E-2</v>
      </c>
      <c r="AS324" s="50">
        <f t="shared" si="383"/>
        <v>8.4255842558425581E-2</v>
      </c>
      <c r="AT324" s="50">
        <f t="shared" si="383"/>
        <v>8.0426815586746775E-2</v>
      </c>
      <c r="AU324" s="50">
        <f t="shared" si="383"/>
        <v>7.0333287614867651E-2</v>
      </c>
      <c r="AV324" s="50">
        <f t="shared" si="383"/>
        <v>6.9642445803793099E-2</v>
      </c>
      <c r="AW324" s="50">
        <f t="shared" si="383"/>
        <v>6.9526226317475182E-2</v>
      </c>
      <c r="AX324" s="50">
        <f t="shared" si="383"/>
        <v>6.6962901725741444E-2</v>
      </c>
      <c r="AY324" s="642">
        <f t="shared" si="383"/>
        <v>6.5155740416883295E-2</v>
      </c>
      <c r="AZ324" s="50">
        <f t="shared" si="383"/>
        <v>6.8642445803793098E-2</v>
      </c>
      <c r="BA324" s="50">
        <f t="shared" si="383"/>
        <v>6.8526226317475181E-2</v>
      </c>
      <c r="BB324" s="50">
        <f t="shared" si="383"/>
        <v>6.5962901725741444E-2</v>
      </c>
      <c r="BC324" s="50">
        <f t="shared" si="383"/>
        <v>6.4155740416883295E-2</v>
      </c>
      <c r="BD324" s="50">
        <f t="shared" si="383"/>
        <v>6.7642445803793097E-2</v>
      </c>
      <c r="BE324" s="50">
        <f t="shared" si="383"/>
        <v>6.752622631747518E-2</v>
      </c>
      <c r="BF324" s="50">
        <f t="shared" si="383"/>
        <v>6.4962901725741443E-2</v>
      </c>
      <c r="BG324" s="50"/>
      <c r="BH324" s="898">
        <f t="shared" ref="BH324:CB324" si="384">BH386/BH378</f>
        <v>0.11196911196911197</v>
      </c>
      <c r="BI324" s="898">
        <f t="shared" si="384"/>
        <v>8.4599797365754806E-2</v>
      </c>
      <c r="BJ324" s="898">
        <f t="shared" si="384"/>
        <v>0.1059013742926435</v>
      </c>
      <c r="BK324" s="898">
        <f t="shared" si="384"/>
        <v>0.17606602475928473</v>
      </c>
      <c r="BL324" s="898">
        <f t="shared" si="384"/>
        <v>0.12665142276422764</v>
      </c>
      <c r="BM324" s="898">
        <f t="shared" si="384"/>
        <v>0.13476656505695492</v>
      </c>
      <c r="BN324" s="898">
        <f t="shared" si="384"/>
        <v>0.15199687639446677</v>
      </c>
      <c r="BO324" s="898">
        <f t="shared" si="384"/>
        <v>0.13647876112598595</v>
      </c>
      <c r="BP324" s="898">
        <f t="shared" si="384"/>
        <v>0.1162275846800974</v>
      </c>
      <c r="BQ324" s="898">
        <f t="shared" si="384"/>
        <v>0.14051362871163006</v>
      </c>
      <c r="BR324" s="898">
        <f t="shared" si="384"/>
        <v>0.139694753667058</v>
      </c>
      <c r="BS324" s="898">
        <f t="shared" si="384"/>
        <v>0.13483394404699586</v>
      </c>
      <c r="BT324" s="898">
        <f t="shared" si="384"/>
        <v>0.11908012448167965</v>
      </c>
      <c r="BU324" s="898">
        <f t="shared" si="384"/>
        <v>0.13088183587887728</v>
      </c>
      <c r="BV324" s="898">
        <f t="shared" si="384"/>
        <v>9.118471186490934E-2</v>
      </c>
      <c r="BW324" s="901">
        <f t="shared" si="384"/>
        <v>6.8978304083257849E-2</v>
      </c>
      <c r="BX324" s="898">
        <f t="shared" si="384"/>
        <v>6.7026517349629125E-2</v>
      </c>
      <c r="BY324" s="898">
        <f t="shared" si="384"/>
        <v>6.6010113747450458E-2</v>
      </c>
      <c r="BZ324" s="898">
        <f t="shared" si="384"/>
        <v>6.3510113747450456E-2</v>
      </c>
      <c r="CA324" s="898">
        <f t="shared" si="384"/>
        <v>6.1010113747450453E-2</v>
      </c>
      <c r="CB324" s="898">
        <f t="shared" si="384"/>
        <v>5.8510113747450451E-2</v>
      </c>
      <c r="CC324" s="9"/>
    </row>
    <row r="325" spans="1:81" outlineLevel="1" x14ac:dyDescent="0.55000000000000004">
      <c r="A325" s="139" t="s">
        <v>36</v>
      </c>
      <c r="B325" s="49"/>
      <c r="C325" s="50">
        <f t="shared" ref="C325:AH325" si="385">C387/C378</f>
        <v>0.20096021947873799</v>
      </c>
      <c r="D325" s="50">
        <f t="shared" si="385"/>
        <v>0.18974076116933261</v>
      </c>
      <c r="E325" s="50">
        <f t="shared" si="385"/>
        <v>0.18303571428571427</v>
      </c>
      <c r="F325" s="50">
        <f t="shared" si="385"/>
        <v>0.15783365570599614</v>
      </c>
      <c r="G325" s="50">
        <f t="shared" si="385"/>
        <v>0.18185451638689049</v>
      </c>
      <c r="H325" s="50">
        <f t="shared" si="385"/>
        <v>0.16907216494845362</v>
      </c>
      <c r="I325" s="50">
        <f t="shared" si="385"/>
        <v>0.18982204183577897</v>
      </c>
      <c r="J325" s="50">
        <f t="shared" si="385"/>
        <v>0.28849649441703451</v>
      </c>
      <c r="K325" s="50">
        <f t="shared" si="385"/>
        <v>0.29974597798475866</v>
      </c>
      <c r="L325" s="50">
        <f t="shared" si="385"/>
        <v>0.28946066303809997</v>
      </c>
      <c r="M325" s="50">
        <f t="shared" si="385"/>
        <v>0.28238169295712062</v>
      </c>
      <c r="N325" s="50">
        <f t="shared" si="385"/>
        <v>0.22496147919876733</v>
      </c>
      <c r="O325" s="50">
        <f t="shared" si="385"/>
        <v>0.24953548866592346</v>
      </c>
      <c r="P325" s="50">
        <f t="shared" si="385"/>
        <v>0.22855811062771908</v>
      </c>
      <c r="Q325" s="50">
        <f t="shared" si="385"/>
        <v>0.21994009413778348</v>
      </c>
      <c r="R325" s="50">
        <f t="shared" si="385"/>
        <v>0.17743217164263822</v>
      </c>
      <c r="S325" s="50">
        <f t="shared" si="385"/>
        <v>0.22833665338645417</v>
      </c>
      <c r="T325" s="50">
        <f t="shared" si="385"/>
        <v>0.20587919751099668</v>
      </c>
      <c r="U325" s="50">
        <f t="shared" si="385"/>
        <v>0.19868319132455461</v>
      </c>
      <c r="V325" s="50">
        <f t="shared" si="385"/>
        <v>0.15024668516805428</v>
      </c>
      <c r="W325" s="50">
        <f t="shared" si="385"/>
        <v>0.18702991810128697</v>
      </c>
      <c r="X325" s="50">
        <f t="shared" si="385"/>
        <v>0.19068853450230519</v>
      </c>
      <c r="Y325" s="50">
        <f t="shared" si="385"/>
        <v>0.19356013695636337</v>
      </c>
      <c r="Z325" s="50">
        <f t="shared" si="385"/>
        <v>0.16879508099798984</v>
      </c>
      <c r="AA325" s="50">
        <f t="shared" si="385"/>
        <v>0.1896929097300524</v>
      </c>
      <c r="AB325" s="50">
        <f t="shared" si="385"/>
        <v>0.19631647518654508</v>
      </c>
      <c r="AC325" s="50">
        <f t="shared" si="385"/>
        <v>0.20099705415816904</v>
      </c>
      <c r="AD325" s="50">
        <f t="shared" si="385"/>
        <v>0.1839009581633621</v>
      </c>
      <c r="AE325" s="50">
        <f t="shared" si="385"/>
        <v>0.22636297006258105</v>
      </c>
      <c r="AF325" s="50">
        <f t="shared" si="385"/>
        <v>0.23877561941456626</v>
      </c>
      <c r="AG325" s="50">
        <f t="shared" si="385"/>
        <v>0.22184443409408477</v>
      </c>
      <c r="AH325" s="50">
        <f t="shared" si="385"/>
        <v>0.18552294100883443</v>
      </c>
      <c r="AI325" s="50">
        <f t="shared" ref="AI325:BF325" si="386">AI387/AI378</f>
        <v>0.19857857934354819</v>
      </c>
      <c r="AJ325" s="50">
        <f t="shared" si="386"/>
        <v>0.2096502390205317</v>
      </c>
      <c r="AK325" s="50">
        <f t="shared" si="386"/>
        <v>0.21771802826611514</v>
      </c>
      <c r="AL325" s="50">
        <f t="shared" si="386"/>
        <v>0.20926019423242553</v>
      </c>
      <c r="AM325" s="50">
        <f t="shared" si="386"/>
        <v>0.27615737422961156</v>
      </c>
      <c r="AN325" s="50">
        <f t="shared" si="386"/>
        <v>0.30150579418499757</v>
      </c>
      <c r="AO325" s="50">
        <f t="shared" si="386"/>
        <v>0.33087969979071952</v>
      </c>
      <c r="AP325" s="50">
        <f t="shared" si="386"/>
        <v>0.30377739779263174</v>
      </c>
      <c r="AQ325" s="50">
        <f t="shared" si="386"/>
        <v>0.32749170884971202</v>
      </c>
      <c r="AR325" s="50">
        <f t="shared" si="386"/>
        <v>0.29200912528516515</v>
      </c>
      <c r="AS325" s="50">
        <f t="shared" si="386"/>
        <v>0.27063199203420607</v>
      </c>
      <c r="AT325" s="50">
        <f t="shared" si="386"/>
        <v>0.26219740220887039</v>
      </c>
      <c r="AU325" s="50">
        <f t="shared" si="386"/>
        <v>0.27370731038266355</v>
      </c>
      <c r="AV325" s="50">
        <f t="shared" si="386"/>
        <v>0.26968851577896652</v>
      </c>
      <c r="AW325" s="50">
        <f t="shared" si="386"/>
        <v>0.27537017418512405</v>
      </c>
      <c r="AX325" s="50">
        <f t="shared" si="386"/>
        <v>0.25173090833936135</v>
      </c>
      <c r="AY325" s="642">
        <f t="shared" si="386"/>
        <v>0.28713900836602541</v>
      </c>
      <c r="AZ325" s="50">
        <f t="shared" si="386"/>
        <v>0.26868851577896652</v>
      </c>
      <c r="BA325" s="50">
        <f t="shared" si="386"/>
        <v>0.27437017418512405</v>
      </c>
      <c r="BB325" s="50">
        <f t="shared" si="386"/>
        <v>0.25073090833936135</v>
      </c>
      <c r="BC325" s="50">
        <f t="shared" si="386"/>
        <v>0.2861390083660254</v>
      </c>
      <c r="BD325" s="50">
        <f t="shared" si="386"/>
        <v>0.26768851577896652</v>
      </c>
      <c r="BE325" s="50">
        <f t="shared" si="386"/>
        <v>0.27337017418512405</v>
      </c>
      <c r="BF325" s="50">
        <f t="shared" si="386"/>
        <v>0.24973090833936135</v>
      </c>
      <c r="BG325" s="50"/>
      <c r="BH325" s="898">
        <f t="shared" ref="BH325:CB325" si="387">BH387/BH378</f>
        <v>0.148005148005148</v>
      </c>
      <c r="BI325" s="898">
        <f t="shared" si="387"/>
        <v>7.29483282674772E-2</v>
      </c>
      <c r="BJ325" s="898">
        <f t="shared" si="387"/>
        <v>0.10455402856372946</v>
      </c>
      <c r="BK325" s="898">
        <f t="shared" si="387"/>
        <v>0.27490666142660641</v>
      </c>
      <c r="BL325" s="898">
        <f t="shared" si="387"/>
        <v>0.1797510162601626</v>
      </c>
      <c r="BM325" s="898">
        <f t="shared" si="387"/>
        <v>0.21386170383442965</v>
      </c>
      <c r="BN325" s="898">
        <f t="shared" si="387"/>
        <v>0.26863007585899151</v>
      </c>
      <c r="BO325" s="898">
        <f t="shared" si="387"/>
        <v>0.21416166148057023</v>
      </c>
      <c r="BP325" s="898">
        <f t="shared" si="387"/>
        <v>0.19073623102846038</v>
      </c>
      <c r="BQ325" s="898">
        <f t="shared" si="387"/>
        <v>0.18397865253053475</v>
      </c>
      <c r="BR325" s="898">
        <f t="shared" si="387"/>
        <v>0.19237025616362788</v>
      </c>
      <c r="BS325" s="898">
        <f t="shared" si="387"/>
        <v>0.21458733205374281</v>
      </c>
      <c r="BT325" s="898">
        <f t="shared" si="387"/>
        <v>0.20906647219937419</v>
      </c>
      <c r="BU325" s="898">
        <f t="shared" si="387"/>
        <v>0.30304693462768739</v>
      </c>
      <c r="BV325" s="898">
        <f t="shared" si="387"/>
        <v>0.28526634149234259</v>
      </c>
      <c r="BW325" s="901">
        <f t="shared" si="387"/>
        <v>0.26670354587510109</v>
      </c>
      <c r="BX325" s="898">
        <f t="shared" si="387"/>
        <v>0.26885084988880453</v>
      </c>
      <c r="BY325" s="898">
        <f t="shared" si="387"/>
        <v>0.26776623552740958</v>
      </c>
      <c r="BZ325" s="898">
        <f t="shared" si="387"/>
        <v>0.26526623552740958</v>
      </c>
      <c r="CA325" s="898">
        <f t="shared" si="387"/>
        <v>0.26276623552740958</v>
      </c>
      <c r="CB325" s="898">
        <f t="shared" si="387"/>
        <v>0.26026623552740957</v>
      </c>
      <c r="CC325" s="9"/>
    </row>
    <row r="326" spans="1:81" outlineLevel="1" x14ac:dyDescent="0.55000000000000004">
      <c r="A326" s="23" t="s">
        <v>454</v>
      </c>
      <c r="B326" s="52"/>
      <c r="C326" s="4">
        <f t="shared" ref="C326:AH326" si="388">C388/C378</f>
        <v>0.25582990397805211</v>
      </c>
      <c r="D326" s="4">
        <f t="shared" si="388"/>
        <v>0.3099834528405957</v>
      </c>
      <c r="E326" s="4">
        <f t="shared" si="388"/>
        <v>0.36507936507936506</v>
      </c>
      <c r="F326" s="4">
        <f t="shared" si="388"/>
        <v>0.43829787234042555</v>
      </c>
      <c r="G326" s="4">
        <f t="shared" si="388"/>
        <v>0.42965627498001596</v>
      </c>
      <c r="H326" s="4">
        <f t="shared" si="388"/>
        <v>0.47766323024054985</v>
      </c>
      <c r="I326" s="4">
        <f t="shared" si="388"/>
        <v>0.43615360599438024</v>
      </c>
      <c r="J326" s="4">
        <f t="shared" si="388"/>
        <v>0.2942092962866788</v>
      </c>
      <c r="K326" s="4">
        <f t="shared" si="388"/>
        <v>0.26333615580016934</v>
      </c>
      <c r="L326" s="4">
        <f t="shared" si="388"/>
        <v>0.31494309747649679</v>
      </c>
      <c r="M326" s="4">
        <f t="shared" si="388"/>
        <v>0.32415018884692293</v>
      </c>
      <c r="N326" s="4">
        <f t="shared" si="388"/>
        <v>0.43828111624721794</v>
      </c>
      <c r="O326" s="4">
        <f t="shared" si="388"/>
        <v>0.37346711259754739</v>
      </c>
      <c r="P326" s="4">
        <f t="shared" si="388"/>
        <v>0.42479801118707272</v>
      </c>
      <c r="Q326" s="4">
        <f t="shared" si="388"/>
        <v>0.44458707744972187</v>
      </c>
      <c r="R326" s="4">
        <f t="shared" si="388"/>
        <v>0.5183335225337723</v>
      </c>
      <c r="S326" s="4">
        <f t="shared" si="388"/>
        <v>0.41421812749003983</v>
      </c>
      <c r="T326" s="4">
        <f t="shared" si="388"/>
        <v>0.47215963952365625</v>
      </c>
      <c r="U326" s="4">
        <f t="shared" si="388"/>
        <v>0.49593338497288925</v>
      </c>
      <c r="V326" s="4">
        <f t="shared" si="388"/>
        <v>0.56675917360468697</v>
      </c>
      <c r="W326" s="4">
        <f t="shared" si="388"/>
        <v>0.45537355841551064</v>
      </c>
      <c r="X326" s="4">
        <f t="shared" si="388"/>
        <v>0.44312599198851182</v>
      </c>
      <c r="Y326" s="4">
        <f t="shared" si="388"/>
        <v>0.42114081736723247</v>
      </c>
      <c r="Z326" s="4">
        <f t="shared" si="388"/>
        <v>0.46233889085964291</v>
      </c>
      <c r="AA326" s="4">
        <f t="shared" si="388"/>
        <v>0.22000397957153281</v>
      </c>
      <c r="AB326" s="4">
        <f t="shared" si="388"/>
        <v>0.27395475541869002</v>
      </c>
      <c r="AC326" s="4">
        <f t="shared" si="388"/>
        <v>0.40703602991162474</v>
      </c>
      <c r="AD326" s="4">
        <f t="shared" si="388"/>
        <v>0.42016886443411439</v>
      </c>
      <c r="AE326" s="4">
        <f t="shared" si="388"/>
        <v>0.33224333314540228</v>
      </c>
      <c r="AF326" s="4">
        <f t="shared" si="388"/>
        <v>0.31909883876491679</v>
      </c>
      <c r="AG326" s="4">
        <f t="shared" si="388"/>
        <v>0.37447601304145317</v>
      </c>
      <c r="AH326" s="4">
        <f t="shared" si="388"/>
        <v>0.45507979481333716</v>
      </c>
      <c r="AI326" s="4">
        <f t="shared" ref="AI326:BF326" si="389">AI388/AI378</f>
        <v>0.43475602766420846</v>
      </c>
      <c r="AJ326" s="4">
        <f t="shared" si="389"/>
        <v>0.42531898063761736</v>
      </c>
      <c r="AK326" s="4">
        <f t="shared" si="389"/>
        <v>0.35928990003447087</v>
      </c>
      <c r="AL326" s="4">
        <f t="shared" si="389"/>
        <v>0.37376377297971547</v>
      </c>
      <c r="AM326" s="4">
        <f t="shared" si="389"/>
        <v>0.30543213415508097</v>
      </c>
      <c r="AN326" s="4">
        <f t="shared" si="389"/>
        <v>0.28998681562695161</v>
      </c>
      <c r="AO326" s="4">
        <f t="shared" si="389"/>
        <v>0.20437324096124701</v>
      </c>
      <c r="AP326" s="4">
        <f t="shared" si="389"/>
        <v>0.19894295041193844</v>
      </c>
      <c r="AQ326" s="4">
        <f t="shared" si="389"/>
        <v>0.25229533950078548</v>
      </c>
      <c r="AR326" s="4">
        <f t="shared" si="389"/>
        <v>0.29350917216163003</v>
      </c>
      <c r="AS326" s="4">
        <f t="shared" si="389"/>
        <v>0.40262402624026239</v>
      </c>
      <c r="AT326" s="4">
        <f t="shared" si="389"/>
        <v>0.4084665054473835</v>
      </c>
      <c r="AU326" s="4">
        <f t="shared" si="389"/>
        <v>0.37904265532848719</v>
      </c>
      <c r="AV326" s="4">
        <f t="shared" si="389"/>
        <v>0.38000051188861306</v>
      </c>
      <c r="AW326" s="4">
        <f t="shared" si="389"/>
        <v>0.4274557146024785</v>
      </c>
      <c r="AX326" s="4">
        <f t="shared" si="389"/>
        <v>0.48289759222899659</v>
      </c>
      <c r="AY326" s="641">
        <f t="shared" si="389"/>
        <v>0.41487450961856598</v>
      </c>
      <c r="AZ326" s="36">
        <f t="shared" si="389"/>
        <v>0.34896601963890833</v>
      </c>
      <c r="BA326" s="36">
        <f t="shared" si="389"/>
        <v>0.40170347605489909</v>
      </c>
      <c r="BB326" s="36">
        <f t="shared" si="389"/>
        <v>0.37728052575016663</v>
      </c>
      <c r="BC326" s="36">
        <f t="shared" si="389"/>
        <v>0.52700413692913661</v>
      </c>
      <c r="BD326" s="36">
        <f t="shared" si="389"/>
        <v>0.45061988202449937</v>
      </c>
      <c r="BE326" s="36">
        <f t="shared" si="389"/>
        <v>0.44617113046801427</v>
      </c>
      <c r="BF326" s="36">
        <f t="shared" si="389"/>
        <v>0.42128699867350244</v>
      </c>
      <c r="BG326" s="36"/>
      <c r="BH326" s="902">
        <f t="shared" ref="BH326:CB326" si="390">BH388/BH378</f>
        <v>0.33719433719433717</v>
      </c>
      <c r="BI326" s="902">
        <f t="shared" si="390"/>
        <v>0.52279635258358659</v>
      </c>
      <c r="BJ326" s="902">
        <f t="shared" si="390"/>
        <v>0.47318781999461063</v>
      </c>
      <c r="BK326" s="902">
        <f t="shared" si="390"/>
        <v>0.10571821575948123</v>
      </c>
      <c r="BL326" s="902">
        <f t="shared" si="390"/>
        <v>0.35619918699186992</v>
      </c>
      <c r="BM326" s="902">
        <f t="shared" si="390"/>
        <v>0.40060965827049577</v>
      </c>
      <c r="BN326" s="902">
        <f t="shared" si="390"/>
        <v>0.34722222222222221</v>
      </c>
      <c r="BO326" s="902">
        <f t="shared" si="390"/>
        <v>0.44963456111151312</v>
      </c>
      <c r="BP326" s="902">
        <f t="shared" si="390"/>
        <v>0.49696209381841439</v>
      </c>
      <c r="BQ326" s="902">
        <f t="shared" si="390"/>
        <v>0.44616569361366809</v>
      </c>
      <c r="BR326" s="902">
        <f t="shared" si="390"/>
        <v>0.33927889443682191</v>
      </c>
      <c r="BS326" s="902">
        <f t="shared" si="390"/>
        <v>0.3800500203571221</v>
      </c>
      <c r="BT326" s="902">
        <f t="shared" si="390"/>
        <v>0.39645040660058173</v>
      </c>
      <c r="BU326" s="902">
        <f t="shared" si="390"/>
        <v>0.24821411726367604</v>
      </c>
      <c r="BV326" s="902">
        <f t="shared" si="390"/>
        <v>0.34655527716416362</v>
      </c>
      <c r="BW326" s="903">
        <f t="shared" si="390"/>
        <v>0.42176035404040096</v>
      </c>
      <c r="BX326" s="899">
        <f t="shared" si="390"/>
        <v>0.3851537243262419</v>
      </c>
      <c r="BY326" s="899">
        <f t="shared" si="390"/>
        <v>0.45787916580071619</v>
      </c>
      <c r="BZ326" s="899">
        <f t="shared" si="390"/>
        <v>0.49582383514725958</v>
      </c>
      <c r="CA326" s="899">
        <f t="shared" si="390"/>
        <v>0.53347444608966921</v>
      </c>
      <c r="CB326" s="899">
        <f t="shared" si="390"/>
        <v>0.57091393563323367</v>
      </c>
      <c r="CC326" s="9"/>
    </row>
    <row r="327" spans="1:81" outlineLevel="1" x14ac:dyDescent="0.55000000000000004">
      <c r="A327" s="42" t="s">
        <v>605</v>
      </c>
      <c r="B327" s="49"/>
      <c r="C327" s="568">
        <f t="shared" ref="C327:AH327" si="391">C389/C378</f>
        <v>0.25582990397805211</v>
      </c>
      <c r="D327" s="568">
        <f t="shared" si="391"/>
        <v>0.3099834528405957</v>
      </c>
      <c r="E327" s="568">
        <f t="shared" si="391"/>
        <v>0.36507936507936506</v>
      </c>
      <c r="F327" s="568">
        <f t="shared" si="391"/>
        <v>0.43829787234042555</v>
      </c>
      <c r="G327" s="568">
        <f t="shared" si="391"/>
        <v>0.42965627498001596</v>
      </c>
      <c r="H327" s="568">
        <f t="shared" si="391"/>
        <v>0.47766323024054985</v>
      </c>
      <c r="I327" s="568">
        <f t="shared" si="391"/>
        <v>0.43615360599438024</v>
      </c>
      <c r="J327" s="568">
        <f t="shared" si="391"/>
        <v>0.2942092962866788</v>
      </c>
      <c r="K327" s="568">
        <f t="shared" si="391"/>
        <v>0.26333615580016934</v>
      </c>
      <c r="L327" s="568">
        <f t="shared" si="391"/>
        <v>0.31494309747649679</v>
      </c>
      <c r="M327" s="568">
        <f t="shared" si="391"/>
        <v>0.32415018884692293</v>
      </c>
      <c r="N327" s="568">
        <f t="shared" si="391"/>
        <v>0.43828111624721794</v>
      </c>
      <c r="O327" s="568">
        <f t="shared" si="391"/>
        <v>0.37346711259754739</v>
      </c>
      <c r="P327" s="568">
        <f t="shared" si="391"/>
        <v>0.42479801118707272</v>
      </c>
      <c r="Q327" s="568">
        <f t="shared" si="391"/>
        <v>0.44458707744972187</v>
      </c>
      <c r="R327" s="568">
        <f t="shared" si="391"/>
        <v>0.5183335225337723</v>
      </c>
      <c r="S327" s="568">
        <f t="shared" si="391"/>
        <v>0.41421812749003983</v>
      </c>
      <c r="T327" s="568">
        <f t="shared" si="391"/>
        <v>0.47215963952365625</v>
      </c>
      <c r="U327" s="568">
        <f t="shared" si="391"/>
        <v>0.49593338497288925</v>
      </c>
      <c r="V327" s="568">
        <f t="shared" si="391"/>
        <v>0.56675917360468697</v>
      </c>
      <c r="W327" s="568">
        <f t="shared" si="391"/>
        <v>0.45537355841551064</v>
      </c>
      <c r="X327" s="568">
        <f t="shared" si="391"/>
        <v>0.44312599198851182</v>
      </c>
      <c r="Y327" s="568">
        <f t="shared" si="391"/>
        <v>0.42114081736723247</v>
      </c>
      <c r="Z327" s="568">
        <f t="shared" si="391"/>
        <v>0.46233889085964291</v>
      </c>
      <c r="AA327" s="568">
        <f t="shared" si="391"/>
        <v>0.22000397957153281</v>
      </c>
      <c r="AB327" s="568">
        <f t="shared" si="391"/>
        <v>0.27395475541869002</v>
      </c>
      <c r="AC327" s="568">
        <f t="shared" si="391"/>
        <v>0.40703602991162474</v>
      </c>
      <c r="AD327" s="568">
        <f t="shared" si="391"/>
        <v>0.42016886443411439</v>
      </c>
      <c r="AE327" s="568">
        <f t="shared" si="391"/>
        <v>0.33224333314540228</v>
      </c>
      <c r="AF327" s="568">
        <f t="shared" si="391"/>
        <v>0.31909883876491679</v>
      </c>
      <c r="AG327" s="568">
        <f t="shared" si="391"/>
        <v>0.37447601304145317</v>
      </c>
      <c r="AH327" s="568">
        <f t="shared" si="391"/>
        <v>0.45507979481333716</v>
      </c>
      <c r="AI327" s="568">
        <f t="shared" ref="AI327:BF327" si="392">AI389/AI378</f>
        <v>0.43475602766420846</v>
      </c>
      <c r="AJ327" s="568">
        <f t="shared" si="392"/>
        <v>0.42531898063761736</v>
      </c>
      <c r="AK327" s="568">
        <f t="shared" si="392"/>
        <v>0.35928990003447087</v>
      </c>
      <c r="AL327" s="568">
        <f t="shared" si="392"/>
        <v>0.37376377297971547</v>
      </c>
      <c r="AM327" s="568">
        <f t="shared" si="392"/>
        <v>0.30543213415508097</v>
      </c>
      <c r="AN327" s="568">
        <f t="shared" si="392"/>
        <v>0.28998681562695161</v>
      </c>
      <c r="AO327" s="568">
        <f t="shared" si="392"/>
        <v>0.20437324096124701</v>
      </c>
      <c r="AP327" s="568">
        <f t="shared" si="392"/>
        <v>0.19894295041193844</v>
      </c>
      <c r="AQ327" s="568">
        <f t="shared" si="392"/>
        <v>0.25229533950078548</v>
      </c>
      <c r="AR327" s="568">
        <f t="shared" si="392"/>
        <v>0.29350917216163003</v>
      </c>
      <c r="AS327" s="568">
        <f t="shared" si="392"/>
        <v>0.40262402624026239</v>
      </c>
      <c r="AT327" s="568">
        <f t="shared" si="392"/>
        <v>0.4084665054473835</v>
      </c>
      <c r="AU327" s="568">
        <f t="shared" si="392"/>
        <v>0.37904265532848719</v>
      </c>
      <c r="AV327" s="568">
        <f t="shared" si="392"/>
        <v>0.38000051188861306</v>
      </c>
      <c r="AW327" s="568">
        <f t="shared" si="392"/>
        <v>0.4274557146024785</v>
      </c>
      <c r="AX327" s="568">
        <f t="shared" si="392"/>
        <v>0.48289759222899659</v>
      </c>
      <c r="AY327" s="642">
        <f t="shared" si="392"/>
        <v>0.41487450961856598</v>
      </c>
      <c r="AZ327" s="50">
        <f t="shared" si="392"/>
        <v>0.34896601963890833</v>
      </c>
      <c r="BA327" s="50">
        <f t="shared" si="392"/>
        <v>0.40170347605489909</v>
      </c>
      <c r="BB327" s="50">
        <f t="shared" si="392"/>
        <v>0.37728052575016663</v>
      </c>
      <c r="BC327" s="50">
        <f t="shared" si="392"/>
        <v>0.52700413692913661</v>
      </c>
      <c r="BD327" s="50">
        <f t="shared" si="392"/>
        <v>0.45061988202449937</v>
      </c>
      <c r="BE327" s="50">
        <f t="shared" si="392"/>
        <v>0.44617113046801427</v>
      </c>
      <c r="BF327" s="50">
        <f t="shared" si="392"/>
        <v>0.42128699867350244</v>
      </c>
      <c r="BG327" s="50"/>
      <c r="BH327" s="896">
        <f t="shared" ref="BH327:CB327" si="393">BH389/BH378</f>
        <v>0.33719433719433717</v>
      </c>
      <c r="BI327" s="896">
        <f t="shared" si="393"/>
        <v>0.52279635258358659</v>
      </c>
      <c r="BJ327" s="896">
        <f t="shared" si="393"/>
        <v>0.47318781999461063</v>
      </c>
      <c r="BK327" s="896">
        <f t="shared" si="393"/>
        <v>0.10571821575948123</v>
      </c>
      <c r="BL327" s="896">
        <f t="shared" si="393"/>
        <v>0.35619918699186992</v>
      </c>
      <c r="BM327" s="896">
        <f t="shared" si="393"/>
        <v>0.40060965827049577</v>
      </c>
      <c r="BN327" s="896">
        <f t="shared" si="393"/>
        <v>0.34722222222222221</v>
      </c>
      <c r="BO327" s="896">
        <f t="shared" si="393"/>
        <v>0.44963456111151312</v>
      </c>
      <c r="BP327" s="896">
        <f t="shared" si="393"/>
        <v>0.49696209381841439</v>
      </c>
      <c r="BQ327" s="896">
        <f t="shared" si="393"/>
        <v>0.44616569361366809</v>
      </c>
      <c r="BR327" s="896">
        <f t="shared" si="393"/>
        <v>0.33927889443682191</v>
      </c>
      <c r="BS327" s="896">
        <f t="shared" si="393"/>
        <v>0.3800500203571221</v>
      </c>
      <c r="BT327" s="896">
        <f t="shared" si="393"/>
        <v>0.39645040660058173</v>
      </c>
      <c r="BU327" s="896">
        <f t="shared" si="393"/>
        <v>0.24821411726367604</v>
      </c>
      <c r="BV327" s="896">
        <f t="shared" si="393"/>
        <v>0.34655527716416362</v>
      </c>
      <c r="BW327" s="897">
        <f t="shared" si="393"/>
        <v>0.42176035404040096</v>
      </c>
      <c r="BX327" s="898">
        <f t="shared" si="393"/>
        <v>0.3851537243262419</v>
      </c>
      <c r="BY327" s="898">
        <f t="shared" si="393"/>
        <v>0.45787916580071619</v>
      </c>
      <c r="BZ327" s="898">
        <f t="shared" si="393"/>
        <v>0.49582383514725958</v>
      </c>
      <c r="CA327" s="898">
        <f t="shared" si="393"/>
        <v>0.53347444608966921</v>
      </c>
      <c r="CB327" s="898">
        <f t="shared" si="393"/>
        <v>0.57091393563323367</v>
      </c>
      <c r="CC327" s="9"/>
    </row>
    <row r="328" spans="1:81" outlineLevel="1" x14ac:dyDescent="0.55000000000000004">
      <c r="A328" s="48" t="s">
        <v>456</v>
      </c>
      <c r="B328" s="286"/>
      <c r="C328" s="224"/>
      <c r="D328" s="224"/>
      <c r="E328" s="224"/>
      <c r="F328" s="224"/>
      <c r="G328" s="224"/>
      <c r="H328" s="224"/>
      <c r="I328" s="224"/>
      <c r="J328" s="224"/>
      <c r="K328" s="224"/>
      <c r="L328" s="224"/>
      <c r="M328" s="224"/>
      <c r="N328" s="224"/>
      <c r="O328" s="224"/>
      <c r="P328" s="224"/>
      <c r="Q328" s="224"/>
      <c r="R328" s="224"/>
      <c r="S328" s="224"/>
      <c r="T328" s="224"/>
      <c r="U328" s="224"/>
      <c r="V328" s="224"/>
      <c r="W328" s="224"/>
      <c r="X328" s="224"/>
      <c r="Y328" s="224"/>
      <c r="Z328" s="224"/>
      <c r="AA328" s="224"/>
      <c r="AB328" s="224"/>
      <c r="AC328" s="224"/>
      <c r="AD328" s="224"/>
      <c r="AE328" s="224"/>
      <c r="AF328" s="224"/>
      <c r="AG328" s="224"/>
      <c r="AH328" s="224"/>
      <c r="AI328" s="224"/>
      <c r="AJ328" s="224"/>
      <c r="AK328" s="224"/>
      <c r="AL328" s="224"/>
      <c r="AM328" s="224"/>
      <c r="AN328" s="224"/>
      <c r="AO328" s="224"/>
      <c r="AP328" s="224"/>
      <c r="AQ328" s="224"/>
      <c r="AR328" s="224"/>
      <c r="AS328" s="224"/>
      <c r="AT328" s="224"/>
      <c r="AU328" s="224"/>
      <c r="AV328" s="224"/>
      <c r="AW328" s="224"/>
      <c r="AX328" s="224"/>
      <c r="AY328" s="624"/>
      <c r="AZ328" s="224">
        <f t="shared" ref="AZ328:BF328" ca="1" si="394">IFERROR(AZ390/AZ379,0)</f>
        <v>0</v>
      </c>
      <c r="BA328" s="224">
        <f t="shared" ca="1" si="394"/>
        <v>0</v>
      </c>
      <c r="BB328" s="224">
        <f t="shared" ca="1" si="394"/>
        <v>0</v>
      </c>
      <c r="BC328" s="224">
        <f t="shared" ca="1" si="394"/>
        <v>0</v>
      </c>
      <c r="BD328" s="224">
        <f t="shared" ca="1" si="394"/>
        <v>0</v>
      </c>
      <c r="BE328" s="224">
        <f t="shared" ca="1" si="394"/>
        <v>0</v>
      </c>
      <c r="BF328" s="224">
        <f t="shared" ca="1" si="394"/>
        <v>0</v>
      </c>
      <c r="BG328" s="224"/>
      <c r="BH328" s="817"/>
      <c r="BI328" s="817"/>
      <c r="BJ328" s="817"/>
      <c r="BK328" s="817"/>
      <c r="BL328" s="817"/>
      <c r="BM328" s="817"/>
      <c r="BN328" s="817"/>
      <c r="BO328" s="817"/>
      <c r="BP328" s="817"/>
      <c r="BQ328" s="817"/>
      <c r="BR328" s="817"/>
      <c r="BS328" s="817"/>
      <c r="BT328" s="817"/>
      <c r="BU328" s="817"/>
      <c r="BV328" s="817"/>
      <c r="BW328" s="819"/>
      <c r="BX328" s="817">
        <f ca="1">IFERROR(BX390/BX379,0)</f>
        <v>0</v>
      </c>
      <c r="BY328" s="817">
        <f ca="1">IFERROR(BY390/BY379,0)</f>
        <v>0</v>
      </c>
      <c r="BZ328" s="817">
        <f ca="1">IFERROR(BZ390/BZ379,0)</f>
        <v>0</v>
      </c>
      <c r="CA328" s="817">
        <f ca="1">IFERROR(CA390/CA379,0)</f>
        <v>0</v>
      </c>
      <c r="CB328" s="817">
        <f ca="1">IFERROR(CB390/CB379,0)</f>
        <v>0</v>
      </c>
      <c r="CC328" s="9"/>
    </row>
    <row r="329" spans="1:81" outlineLevel="1" x14ac:dyDescent="0.55000000000000004">
      <c r="A329" s="228"/>
      <c r="B329" s="49"/>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0"/>
      <c r="AA329" s="50"/>
      <c r="AB329" s="50"/>
      <c r="AC329" s="50"/>
      <c r="AD329" s="50"/>
      <c r="AE329" s="50"/>
      <c r="AF329" s="50"/>
      <c r="AG329" s="50"/>
      <c r="AH329" s="50"/>
      <c r="AI329" s="50"/>
      <c r="AJ329" s="50"/>
      <c r="AK329" s="50"/>
      <c r="AL329" s="50"/>
      <c r="AM329" s="50"/>
      <c r="AN329" s="50"/>
      <c r="AO329" s="50"/>
      <c r="AP329" s="50"/>
      <c r="AQ329" s="50"/>
      <c r="AR329" s="50"/>
      <c r="AS329" s="50"/>
      <c r="AT329" s="50"/>
      <c r="AU329" s="50"/>
      <c r="AV329" s="50"/>
      <c r="AW329" s="50"/>
      <c r="AX329" s="50"/>
      <c r="AY329" s="642"/>
      <c r="AZ329" s="50"/>
      <c r="BA329" s="50"/>
      <c r="BB329" s="50"/>
      <c r="BC329" s="50"/>
      <c r="BD329" s="50"/>
      <c r="BE329" s="50"/>
      <c r="BF329" s="50"/>
      <c r="BG329" s="50"/>
      <c r="BH329" s="898"/>
      <c r="BI329" s="898"/>
      <c r="BJ329" s="898"/>
      <c r="BK329" s="898"/>
      <c r="BL329" s="898"/>
      <c r="BM329" s="898"/>
      <c r="BN329" s="898"/>
      <c r="BO329" s="898"/>
      <c r="BP329" s="898"/>
      <c r="BQ329" s="898"/>
      <c r="BR329" s="898"/>
      <c r="BS329" s="898"/>
      <c r="BT329" s="898"/>
      <c r="BU329" s="898"/>
      <c r="BV329" s="898"/>
      <c r="BW329" s="901"/>
      <c r="BX329" s="898"/>
      <c r="BY329" s="898"/>
      <c r="BZ329" s="898"/>
      <c r="CA329" s="898"/>
      <c r="CB329" s="898"/>
      <c r="CC329" s="9"/>
    </row>
    <row r="330" spans="1:81" outlineLevel="1" x14ac:dyDescent="0.55000000000000004">
      <c r="A330" s="321" t="s">
        <v>497</v>
      </c>
      <c r="B330" s="96"/>
      <c r="C330" s="61">
        <f t="shared" ref="C330:AH330" si="395">C392/C378</f>
        <v>0.15980795610425241</v>
      </c>
      <c r="D330" s="61">
        <f t="shared" si="395"/>
        <v>0.126861555432984</v>
      </c>
      <c r="E330" s="61">
        <f t="shared" si="395"/>
        <v>0.11755952380952381</v>
      </c>
      <c r="F330" s="61">
        <f t="shared" si="395"/>
        <v>9.0909090909090912E-2</v>
      </c>
      <c r="G330" s="61">
        <f t="shared" si="395"/>
        <v>8.9128697042366103E-2</v>
      </c>
      <c r="H330" s="61">
        <f t="shared" si="395"/>
        <v>7.422680412371134E-2</v>
      </c>
      <c r="I330" s="61">
        <f t="shared" si="395"/>
        <v>7.1807680299719012E-2</v>
      </c>
      <c r="J330" s="61">
        <f t="shared" si="395"/>
        <v>6.6476239937678525E-2</v>
      </c>
      <c r="K330" s="61">
        <f t="shared" si="395"/>
        <v>7.8464578041208016E-2</v>
      </c>
      <c r="L330" s="61">
        <f t="shared" si="395"/>
        <v>6.9025235032162291E-2</v>
      </c>
      <c r="M330" s="61">
        <f t="shared" si="395"/>
        <v>6.7984892246167522E-2</v>
      </c>
      <c r="N330" s="61">
        <f t="shared" si="395"/>
        <v>6.0263653483992465E-2</v>
      </c>
      <c r="O330" s="61">
        <f t="shared" si="395"/>
        <v>6.9119286510590863E-2</v>
      </c>
      <c r="P330" s="61">
        <f t="shared" si="395"/>
        <v>6.0907395898073334E-2</v>
      </c>
      <c r="Q330" s="61">
        <f t="shared" si="395"/>
        <v>5.6482670089858793E-2</v>
      </c>
      <c r="R330" s="61">
        <f t="shared" si="395"/>
        <v>4.8927233511181743E-2</v>
      </c>
      <c r="S330" s="61">
        <f t="shared" si="395"/>
        <v>6.1752988047808766E-2</v>
      </c>
      <c r="T330" s="61">
        <f t="shared" si="395"/>
        <v>5.9542967492758288E-2</v>
      </c>
      <c r="U330" s="61">
        <f t="shared" si="395"/>
        <v>5.7997676219984508E-2</v>
      </c>
      <c r="V330" s="61">
        <f t="shared" si="395"/>
        <v>5.265186555658341E-2</v>
      </c>
      <c r="W330" s="61">
        <f t="shared" si="395"/>
        <v>6.5184689954872144E-2</v>
      </c>
      <c r="X330" s="61">
        <f t="shared" si="395"/>
        <v>6.6208147532310482E-2</v>
      </c>
      <c r="Y330" s="61">
        <f t="shared" si="395"/>
        <v>6.9279522109710792E-2</v>
      </c>
      <c r="Z330" s="61">
        <f t="shared" si="395"/>
        <v>6.314295849592054E-2</v>
      </c>
      <c r="AA330" s="61">
        <f t="shared" si="395"/>
        <v>7.952510446375273E-2</v>
      </c>
      <c r="AB330" s="61">
        <f t="shared" si="395"/>
        <v>7.9711003197915437E-2</v>
      </c>
      <c r="AC330" s="61">
        <f t="shared" si="395"/>
        <v>7.2003172445048724E-2</v>
      </c>
      <c r="AD330" s="61">
        <f t="shared" si="395"/>
        <v>6.4652310027511622E-2</v>
      </c>
      <c r="AE330" s="61">
        <f t="shared" si="395"/>
        <v>8.3779669617184416E-2</v>
      </c>
      <c r="AF330" s="61">
        <f t="shared" si="395"/>
        <v>8.4871836035746773E-2</v>
      </c>
      <c r="AG330" s="61">
        <f t="shared" si="395"/>
        <v>7.3358174196553327E-2</v>
      </c>
      <c r="AH330" s="61">
        <f t="shared" si="395"/>
        <v>6.2054716443431177E-2</v>
      </c>
      <c r="AI330" s="61">
        <f t="shared" ref="AI330:BF330" si="396">AI392/AI378</f>
        <v>7.0841771426387992E-2</v>
      </c>
      <c r="AJ330" s="61">
        <f t="shared" si="396"/>
        <v>6.4105650514152082E-2</v>
      </c>
      <c r="AK330" s="61">
        <f t="shared" si="396"/>
        <v>6.449500172354361E-2</v>
      </c>
      <c r="AL330" s="61">
        <f t="shared" si="396"/>
        <v>5.8537019987526355E-2</v>
      </c>
      <c r="AM330" s="61">
        <f t="shared" si="396"/>
        <v>7.582055324638097E-2</v>
      </c>
      <c r="AN330" s="61">
        <f t="shared" si="396"/>
        <v>6.6823953924085772E-2</v>
      </c>
      <c r="AO330" s="61">
        <f t="shared" si="396"/>
        <v>7.6856462437757095E-2</v>
      </c>
      <c r="AP330" s="61">
        <f t="shared" si="396"/>
        <v>7.2407896782216694E-2</v>
      </c>
      <c r="AQ330" s="61">
        <f t="shared" si="396"/>
        <v>8.6472333740617913E-2</v>
      </c>
      <c r="AR330" s="61">
        <f t="shared" si="396"/>
        <v>8.0565017656801768E-2</v>
      </c>
      <c r="AS330" s="61">
        <f t="shared" si="396"/>
        <v>8.2791542201136298E-2</v>
      </c>
      <c r="AT330" s="61">
        <f t="shared" si="396"/>
        <v>7.8158111241305381E-2</v>
      </c>
      <c r="AU330" s="61">
        <f t="shared" si="396"/>
        <v>9.1345494445206413E-2</v>
      </c>
      <c r="AV330" s="61">
        <f t="shared" si="396"/>
        <v>9.1628061733766739E-2</v>
      </c>
      <c r="AW330" s="61">
        <f t="shared" si="396"/>
        <v>9.7563379240680967E-2</v>
      </c>
      <c r="AX330" s="61">
        <f t="shared" si="396"/>
        <v>9.1288622506975309E-2</v>
      </c>
      <c r="AY330" s="408">
        <f t="shared" si="396"/>
        <v>0.10445715366072694</v>
      </c>
      <c r="AZ330" s="61">
        <f t="shared" si="396"/>
        <v>9.5739994541497245E-2</v>
      </c>
      <c r="BA330" s="61">
        <f t="shared" si="396"/>
        <v>9.9478103153195233E-2</v>
      </c>
      <c r="BB330" s="61">
        <f t="shared" si="396"/>
        <v>8.7097330195028577E-2</v>
      </c>
      <c r="BC330" s="61">
        <f t="shared" si="396"/>
        <v>0.10685922235718717</v>
      </c>
      <c r="BD330" s="61">
        <f t="shared" si="396"/>
        <v>0.11052838018791872</v>
      </c>
      <c r="BE330" s="61">
        <f t="shared" si="396"/>
        <v>0.10783793639311753</v>
      </c>
      <c r="BF330" s="61">
        <f t="shared" si="396"/>
        <v>8.7853780387088951E-2</v>
      </c>
      <c r="BG330" s="61"/>
      <c r="BH330" s="831">
        <f t="shared" ref="BH330:CB330" si="397">BH392/BH378</f>
        <v>0.10038610038610038</v>
      </c>
      <c r="BI330" s="831">
        <f t="shared" si="397"/>
        <v>7.0415400202634246E-2</v>
      </c>
      <c r="BJ330" s="831">
        <f t="shared" si="397"/>
        <v>8.7038534087846939E-2</v>
      </c>
      <c r="BK330" s="831">
        <f t="shared" si="397"/>
        <v>0.12752996659461585</v>
      </c>
      <c r="BL330" s="831">
        <f t="shared" si="397"/>
        <v>0.11001016260162602</v>
      </c>
      <c r="BM330" s="831">
        <f t="shared" si="397"/>
        <v>7.4121610781325203E-2</v>
      </c>
      <c r="BN330" s="831">
        <f t="shared" si="397"/>
        <v>6.7771084337349394E-2</v>
      </c>
      <c r="BO330" s="831">
        <f t="shared" si="397"/>
        <v>5.7565670453723135E-2</v>
      </c>
      <c r="BP330" s="831">
        <f t="shared" si="397"/>
        <v>5.7388138636754973E-2</v>
      </c>
      <c r="BQ330" s="831">
        <f t="shared" si="397"/>
        <v>6.5815394534188193E-2</v>
      </c>
      <c r="BR330" s="831">
        <f t="shared" si="397"/>
        <v>7.3256290931722701E-2</v>
      </c>
      <c r="BS330" s="831">
        <f t="shared" si="397"/>
        <v>7.4320944570464731E-2</v>
      </c>
      <c r="BT330" s="831">
        <f t="shared" si="397"/>
        <v>6.4106369086484247E-2</v>
      </c>
      <c r="BU330" s="831">
        <f t="shared" si="397"/>
        <v>7.2901748578583128E-2</v>
      </c>
      <c r="BV330" s="831">
        <f t="shared" si="397"/>
        <v>8.1666691375961803E-2</v>
      </c>
      <c r="BW330" s="832">
        <f t="shared" si="397"/>
        <v>9.2929526264278028E-2</v>
      </c>
      <c r="BX330" s="831">
        <f t="shared" si="397"/>
        <v>9.6026369060305927E-2</v>
      </c>
      <c r="BY330" s="831">
        <f t="shared" si="397"/>
        <v>0.10214300869793978</v>
      </c>
      <c r="BZ330" s="831">
        <f t="shared" si="397"/>
        <v>9.7638199580078217E-2</v>
      </c>
      <c r="CA330" s="831">
        <f t="shared" si="397"/>
        <v>0.10113292092587235</v>
      </c>
      <c r="CB330" s="831">
        <f t="shared" si="397"/>
        <v>0.10335884023841675</v>
      </c>
      <c r="CC330" s="9"/>
    </row>
    <row r="331" spans="1:81" outlineLevel="1" x14ac:dyDescent="0.55000000000000004">
      <c r="A331" s="321" t="s">
        <v>498</v>
      </c>
      <c r="B331" s="96"/>
      <c r="C331" s="61">
        <f t="shared" ref="C331:AH331" si="398">C393/C378</f>
        <v>0</v>
      </c>
      <c r="D331" s="61">
        <f t="shared" si="398"/>
        <v>0</v>
      </c>
      <c r="E331" s="61">
        <f t="shared" si="398"/>
        <v>1.8353174603174604E-2</v>
      </c>
      <c r="F331" s="61">
        <f t="shared" si="398"/>
        <v>1.5087040618955513E-2</v>
      </c>
      <c r="G331" s="61">
        <f t="shared" si="398"/>
        <v>1.6386890487609912E-2</v>
      </c>
      <c r="H331" s="61">
        <f t="shared" si="398"/>
        <v>1.4089347079037801E-2</v>
      </c>
      <c r="I331" s="61">
        <f t="shared" si="398"/>
        <v>1.8420231033406183E-2</v>
      </c>
      <c r="J331" s="61">
        <f t="shared" si="398"/>
        <v>4.5962087769410541E-2</v>
      </c>
      <c r="K331" s="61">
        <f t="shared" si="398"/>
        <v>5.0522156364662715E-2</v>
      </c>
      <c r="L331" s="61">
        <f t="shared" si="398"/>
        <v>4.4532409698169226E-2</v>
      </c>
      <c r="M331" s="61">
        <f t="shared" si="398"/>
        <v>3.9991113085980891E-2</v>
      </c>
      <c r="N331" s="61">
        <f t="shared" si="398"/>
        <v>3.2699880157507279E-2</v>
      </c>
      <c r="O331" s="61">
        <f t="shared" si="398"/>
        <v>3.3444816053511704E-2</v>
      </c>
      <c r="P331" s="61">
        <f t="shared" si="398"/>
        <v>2.9987569919204475E-2</v>
      </c>
      <c r="Q331" s="61">
        <f t="shared" si="398"/>
        <v>2.7813436029097131E-2</v>
      </c>
      <c r="R331" s="61">
        <f t="shared" si="398"/>
        <v>2.0774208196163015E-2</v>
      </c>
      <c r="S331" s="61">
        <f t="shared" si="398"/>
        <v>2.1787848605577691E-2</v>
      </c>
      <c r="T331" s="61">
        <f t="shared" si="398"/>
        <v>1.8667524943675573E-2</v>
      </c>
      <c r="U331" s="61">
        <f t="shared" si="398"/>
        <v>1.6750580945003871E-2</v>
      </c>
      <c r="V331" s="61">
        <f t="shared" si="398"/>
        <v>1.3105149552883133E-2</v>
      </c>
      <c r="W331" s="61">
        <f t="shared" si="398"/>
        <v>1.4123349490222297E-2</v>
      </c>
      <c r="X331" s="61">
        <f t="shared" si="398"/>
        <v>1.1941652180485225E-2</v>
      </c>
      <c r="Y331" s="61">
        <f t="shared" si="398"/>
        <v>1.1364464194652873E-2</v>
      </c>
      <c r="Z331" s="61">
        <f t="shared" si="398"/>
        <v>9.2822513893815774E-3</v>
      </c>
      <c r="AA331" s="61">
        <f t="shared" si="398"/>
        <v>1.0346885985275585E-2</v>
      </c>
      <c r="AB331" s="61">
        <f t="shared" si="398"/>
        <v>9.2384223617197683E-3</v>
      </c>
      <c r="AC331" s="61">
        <f t="shared" si="398"/>
        <v>8.2143666440063455E-3</v>
      </c>
      <c r="AD331" s="61">
        <f t="shared" si="398"/>
        <v>4.9805521297789585E-3</v>
      </c>
      <c r="AE331" s="61">
        <f t="shared" si="398"/>
        <v>6.2581045272594015E-3</v>
      </c>
      <c r="AF331" s="61">
        <f t="shared" si="398"/>
        <v>6.3145502220795209E-3</v>
      </c>
      <c r="AG331" s="61">
        <f t="shared" si="398"/>
        <v>5.7289240801117842E-3</v>
      </c>
      <c r="AH331" s="61">
        <f t="shared" si="398"/>
        <v>4.3103448275862068E-3</v>
      </c>
      <c r="AI331" s="61">
        <f t="shared" ref="AI331:BF331" si="399">AI393/AI378</f>
        <v>4.5088074586374233E-3</v>
      </c>
      <c r="AJ331" s="61">
        <f t="shared" si="399"/>
        <v>4.1957560958833439E-3</v>
      </c>
      <c r="AK331" s="61">
        <f t="shared" si="399"/>
        <v>4.2743881420199935E-3</v>
      </c>
      <c r="AL331" s="61">
        <f t="shared" si="399"/>
        <v>1.2770633482819043E-3</v>
      </c>
      <c r="AM331" s="61">
        <f t="shared" si="399"/>
        <v>1.4332807797047442E-3</v>
      </c>
      <c r="AN331" s="61">
        <f t="shared" si="399"/>
        <v>1.8388730830615502E-3</v>
      </c>
      <c r="AO331" s="61">
        <f t="shared" si="399"/>
        <v>1.6237280796709244E-3</v>
      </c>
      <c r="AP331" s="61">
        <f t="shared" si="399"/>
        <v>1.4612156070262707E-3</v>
      </c>
      <c r="AQ331" s="61">
        <f t="shared" si="399"/>
        <v>1.6407750043637634E-3</v>
      </c>
      <c r="AR331" s="61">
        <f t="shared" si="399"/>
        <v>1.406293946685834E-3</v>
      </c>
      <c r="AS331" s="61">
        <f t="shared" si="399"/>
        <v>9.371522286651438E-4</v>
      </c>
      <c r="AT331" s="61">
        <f t="shared" si="399"/>
        <v>9.2244022836628352E-4</v>
      </c>
      <c r="AU331" s="61">
        <f t="shared" si="399"/>
        <v>1.2069674941708956E-3</v>
      </c>
      <c r="AV331" s="61">
        <f t="shared" si="399"/>
        <v>1.4588825471577385E-3</v>
      </c>
      <c r="AW331" s="61">
        <f t="shared" si="399"/>
        <v>1.6506935376579862E-3</v>
      </c>
      <c r="AX331" s="61">
        <f t="shared" si="399"/>
        <v>8.8870517722434636E-4</v>
      </c>
      <c r="AY331" s="408">
        <f t="shared" si="399"/>
        <v>-1.2289076901261993E-2</v>
      </c>
      <c r="AZ331" s="61">
        <f t="shared" si="399"/>
        <v>9.4444748184713842E-4</v>
      </c>
      <c r="BA331" s="61">
        <f t="shared" si="399"/>
        <v>1.1120525122945415E-3</v>
      </c>
      <c r="BB331" s="61">
        <f t="shared" si="399"/>
        <v>1.0663978377973712E-3</v>
      </c>
      <c r="BC331" s="61">
        <f t="shared" si="399"/>
        <v>1.4018820085031356E-3</v>
      </c>
      <c r="BD331" s="61">
        <f t="shared" si="399"/>
        <v>1.497089520841449E-3</v>
      </c>
      <c r="BE331" s="61">
        <f t="shared" si="399"/>
        <v>1.5014184262668263E-3</v>
      </c>
      <c r="BF331" s="61">
        <f t="shared" si="399"/>
        <v>1.2527044769650533E-3</v>
      </c>
      <c r="BG331" s="61"/>
      <c r="BH331" s="831">
        <f t="shared" ref="BH331:CB331" si="400">BH393/BH378</f>
        <v>0</v>
      </c>
      <c r="BI331" s="831">
        <f t="shared" si="400"/>
        <v>0</v>
      </c>
      <c r="BJ331" s="831">
        <f t="shared" si="400"/>
        <v>0</v>
      </c>
      <c r="BK331" s="831">
        <f t="shared" si="400"/>
        <v>0</v>
      </c>
      <c r="BL331" s="831">
        <f t="shared" si="400"/>
        <v>1.8419715447154473E-2</v>
      </c>
      <c r="BM331" s="831">
        <f t="shared" si="400"/>
        <v>2.5589603722124179E-2</v>
      </c>
      <c r="BN331" s="831">
        <f t="shared" si="400"/>
        <v>4.0718429272646142E-2</v>
      </c>
      <c r="BO331" s="831">
        <f t="shared" si="400"/>
        <v>2.7172733193429336E-2</v>
      </c>
      <c r="BP331" s="831">
        <f t="shared" si="400"/>
        <v>1.7022113989127494E-2</v>
      </c>
      <c r="BQ331" s="831">
        <f t="shared" si="400"/>
        <v>1.1461728571940256E-2</v>
      </c>
      <c r="BR331" s="831">
        <f t="shared" si="400"/>
        <v>7.9494179385263871E-3</v>
      </c>
      <c r="BS331" s="831">
        <f t="shared" si="400"/>
        <v>5.5022392834293025E-3</v>
      </c>
      <c r="BT331" s="831">
        <f t="shared" si="400"/>
        <v>3.4512291293914135E-3</v>
      </c>
      <c r="BU331" s="831">
        <f t="shared" si="400"/>
        <v>1.5864984692433688E-3</v>
      </c>
      <c r="BV331" s="831">
        <f t="shared" si="400"/>
        <v>1.1934589553898385E-3</v>
      </c>
      <c r="BW331" s="832">
        <f t="shared" si="400"/>
        <v>1.2826669746688469E-3</v>
      </c>
      <c r="BX331" s="831">
        <f t="shared" si="400"/>
        <v>-1.9577573366394963E-3</v>
      </c>
      <c r="BY331" s="831">
        <f t="shared" si="400"/>
        <v>1.4021943036986583E-3</v>
      </c>
      <c r="BZ331" s="831">
        <f t="shared" si="400"/>
        <v>1.4216053343642243E-3</v>
      </c>
      <c r="CA331" s="831">
        <f t="shared" si="400"/>
        <v>1.5754377120084275E-3</v>
      </c>
      <c r="CB331" s="831">
        <f t="shared" si="400"/>
        <v>1.676958662043099E-3</v>
      </c>
      <c r="CC331" s="9"/>
    </row>
    <row r="332" spans="1:81" outlineLevel="1" x14ac:dyDescent="0.55000000000000004">
      <c r="A332" s="321" t="s">
        <v>499</v>
      </c>
      <c r="B332" s="96"/>
      <c r="C332" s="61">
        <f t="shared" ref="C332:AH332" si="401">C394/C378</f>
        <v>0.11659807956104253</v>
      </c>
      <c r="D332" s="61">
        <f t="shared" si="401"/>
        <v>0.12355212355212356</v>
      </c>
      <c r="E332" s="61">
        <f t="shared" si="401"/>
        <v>0.1185515873015873</v>
      </c>
      <c r="F332" s="61">
        <f t="shared" si="401"/>
        <v>0.10560928433268858</v>
      </c>
      <c r="G332" s="61">
        <f t="shared" si="401"/>
        <v>0.10951239008792965</v>
      </c>
      <c r="H332" s="61">
        <f t="shared" si="401"/>
        <v>0.10790378006872853</v>
      </c>
      <c r="I332" s="61">
        <f t="shared" si="401"/>
        <v>0.11020917889478614</v>
      </c>
      <c r="J332" s="61">
        <f t="shared" si="401"/>
        <v>0.23266683978187483</v>
      </c>
      <c r="K332" s="61">
        <f t="shared" si="401"/>
        <v>0.19841941857183179</v>
      </c>
      <c r="L332" s="61">
        <f t="shared" si="401"/>
        <v>0.18876793666501732</v>
      </c>
      <c r="M332" s="61">
        <f t="shared" si="401"/>
        <v>0.16818484781159743</v>
      </c>
      <c r="N332" s="61">
        <f t="shared" si="401"/>
        <v>0.12771785653141585</v>
      </c>
      <c r="O332" s="61">
        <f t="shared" si="401"/>
        <v>0.13861018208844295</v>
      </c>
      <c r="P332" s="61">
        <f t="shared" si="401"/>
        <v>0.1269422001243008</v>
      </c>
      <c r="Q332" s="61">
        <f t="shared" si="401"/>
        <v>0.11752959634859507</v>
      </c>
      <c r="R332" s="61">
        <f t="shared" si="401"/>
        <v>9.4335338857986145E-2</v>
      </c>
      <c r="S332" s="61">
        <f t="shared" si="401"/>
        <v>0.10794322709163347</v>
      </c>
      <c r="T332" s="61">
        <f t="shared" si="401"/>
        <v>0.1107177341486965</v>
      </c>
      <c r="U332" s="61">
        <f t="shared" si="401"/>
        <v>9.7792408985282728E-2</v>
      </c>
      <c r="V332" s="61">
        <f t="shared" si="401"/>
        <v>6.2750539623805113E-2</v>
      </c>
      <c r="W332" s="61">
        <f t="shared" si="401"/>
        <v>7.9809460137054991E-2</v>
      </c>
      <c r="X332" s="61">
        <f t="shared" si="401"/>
        <v>8.9637971430730864E-2</v>
      </c>
      <c r="Y332" s="61">
        <f t="shared" si="401"/>
        <v>7.5763094631019157E-2</v>
      </c>
      <c r="Z332" s="61">
        <f t="shared" si="401"/>
        <v>5.7408064325410901E-2</v>
      </c>
      <c r="AA332" s="61">
        <f t="shared" si="401"/>
        <v>6.6989454135438081E-2</v>
      </c>
      <c r="AB332" s="61">
        <f t="shared" si="401"/>
        <v>7.7164514982826005E-2</v>
      </c>
      <c r="AC332" s="61">
        <f t="shared" si="401"/>
        <v>7.0756854747337408E-2</v>
      </c>
      <c r="AD332" s="61">
        <f t="shared" si="401"/>
        <v>6.043069917465136E-2</v>
      </c>
      <c r="AE332" s="61">
        <f t="shared" si="401"/>
        <v>7.5266392287309011E-2</v>
      </c>
      <c r="AF332" s="61">
        <f t="shared" si="401"/>
        <v>9.070476802054904E-2</v>
      </c>
      <c r="AG332" s="61">
        <f t="shared" si="401"/>
        <v>8.020493712156497E-2</v>
      </c>
      <c r="AH332" s="61">
        <f t="shared" si="401"/>
        <v>6.3550869193502418E-2</v>
      </c>
      <c r="AI332" s="61">
        <f t="shared" ref="AI332:BF332" si="402">AI394/AI378</f>
        <v>6.9924725841580382E-2</v>
      </c>
      <c r="AJ332" s="61">
        <f t="shared" si="402"/>
        <v>8.7629397805825904E-2</v>
      </c>
      <c r="AK332" s="61">
        <f t="shared" si="402"/>
        <v>8.2006204756980353E-2</v>
      </c>
      <c r="AL332" s="61">
        <f t="shared" si="402"/>
        <v>7.1456149208517714E-2</v>
      </c>
      <c r="AM332" s="61">
        <f t="shared" si="402"/>
        <v>8.9508384692561269E-2</v>
      </c>
      <c r="AN332" s="61">
        <f t="shared" si="402"/>
        <v>0.11626535285545764</v>
      </c>
      <c r="AO332" s="61">
        <f t="shared" si="402"/>
        <v>0.11308364003752616</v>
      </c>
      <c r="AP332" s="61">
        <f t="shared" si="402"/>
        <v>9.3517798849681325E-2</v>
      </c>
      <c r="AQ332" s="61">
        <f t="shared" si="402"/>
        <v>0.10651073485774132</v>
      </c>
      <c r="AR332" s="61">
        <f t="shared" si="402"/>
        <v>0.12687896496765524</v>
      </c>
      <c r="AS332" s="61">
        <f t="shared" si="402"/>
        <v>0.10226673695308382</v>
      </c>
      <c r="AT332" s="61">
        <f t="shared" si="402"/>
        <v>8.5363117349355533E-2</v>
      </c>
      <c r="AU332" s="61">
        <f t="shared" si="402"/>
        <v>9.7709504869016597E-2</v>
      </c>
      <c r="AV332" s="61">
        <f t="shared" si="402"/>
        <v>0.11814389188912493</v>
      </c>
      <c r="AW332" s="61">
        <f t="shared" si="402"/>
        <v>0.10470817216487226</v>
      </c>
      <c r="AX332" s="61">
        <f t="shared" si="402"/>
        <v>8.8085150356515443E-2</v>
      </c>
      <c r="AY332" s="408">
        <f t="shared" si="402"/>
        <v>9.8005388287564402E-2</v>
      </c>
      <c r="AZ332" s="61">
        <f t="shared" si="402"/>
        <v>0.10000000000000002</v>
      </c>
      <c r="BA332" s="61">
        <f t="shared" si="402"/>
        <v>0.1</v>
      </c>
      <c r="BB332" s="61">
        <f t="shared" si="402"/>
        <v>0.1</v>
      </c>
      <c r="BC332" s="61">
        <f t="shared" si="402"/>
        <v>0.1</v>
      </c>
      <c r="BD332" s="61">
        <f t="shared" si="402"/>
        <v>0.1</v>
      </c>
      <c r="BE332" s="61">
        <f t="shared" si="402"/>
        <v>0.1</v>
      </c>
      <c r="BF332" s="61">
        <f t="shared" si="402"/>
        <v>0.1</v>
      </c>
      <c r="BG332" s="61"/>
      <c r="BH332" s="831">
        <f t="shared" ref="BH332:CB332" si="403">BH394/BH378</f>
        <v>3.4749034749034749E-2</v>
      </c>
      <c r="BI332" s="831">
        <f t="shared" si="403"/>
        <v>1.0131712259371834E-2</v>
      </c>
      <c r="BJ332" s="831">
        <f t="shared" si="403"/>
        <v>5.8474804634869308E-2</v>
      </c>
      <c r="BK332" s="831">
        <f t="shared" si="403"/>
        <v>0.30890155236785222</v>
      </c>
      <c r="BL332" s="831">
        <f t="shared" si="403"/>
        <v>0.11509146341463415</v>
      </c>
      <c r="BM332" s="831">
        <f t="shared" si="403"/>
        <v>0.14736082143430129</v>
      </c>
      <c r="BN332" s="831">
        <f t="shared" si="403"/>
        <v>0.16560687193217313</v>
      </c>
      <c r="BO332" s="831">
        <f t="shared" si="403"/>
        <v>0.11643389536145886</v>
      </c>
      <c r="BP332" s="831">
        <f t="shared" si="403"/>
        <v>9.1579957198730716E-2</v>
      </c>
      <c r="BQ332" s="831">
        <f t="shared" si="403"/>
        <v>7.4357964110462416E-2</v>
      </c>
      <c r="BR332" s="831">
        <f t="shared" si="403"/>
        <v>6.84045999123018E-2</v>
      </c>
      <c r="BS332" s="831">
        <f t="shared" si="403"/>
        <v>7.6030942825568548E-2</v>
      </c>
      <c r="BT332" s="831">
        <f t="shared" si="403"/>
        <v>7.7707773321235657E-2</v>
      </c>
      <c r="BU332" s="831">
        <f t="shared" si="403"/>
        <v>0.10283940347657557</v>
      </c>
      <c r="BV332" s="831">
        <f t="shared" si="403"/>
        <v>0.10397918488977183</v>
      </c>
      <c r="BW332" s="832">
        <f t="shared" si="403"/>
        <v>0.10145834979726567</v>
      </c>
      <c r="BX332" s="831">
        <f t="shared" si="403"/>
        <v>9.9550898732517046E-2</v>
      </c>
      <c r="BY332" s="831">
        <f t="shared" si="403"/>
        <v>0.10000000000000002</v>
      </c>
      <c r="BZ332" s="831">
        <f t="shared" si="403"/>
        <v>0.1</v>
      </c>
      <c r="CA332" s="831">
        <f t="shared" si="403"/>
        <v>0.1</v>
      </c>
      <c r="CB332" s="831">
        <f t="shared" si="403"/>
        <v>0.1</v>
      </c>
      <c r="CC332" s="9"/>
    </row>
    <row r="333" spans="1:81" outlineLevel="1" x14ac:dyDescent="0.55000000000000004">
      <c r="A333" s="23" t="s">
        <v>37</v>
      </c>
      <c r="B333" s="52"/>
      <c r="C333" s="4">
        <f t="shared" ref="C333:AH333" si="404">C395/C378</f>
        <v>0.53223593964334703</v>
      </c>
      <c r="D333" s="4">
        <f t="shared" si="404"/>
        <v>0.56039713182570328</v>
      </c>
      <c r="E333" s="4">
        <f t="shared" si="404"/>
        <v>0.61954365079365081</v>
      </c>
      <c r="F333" s="4">
        <f t="shared" si="404"/>
        <v>0.6499032882011605</v>
      </c>
      <c r="G333" s="4">
        <f t="shared" si="404"/>
        <v>0.64468425259792161</v>
      </c>
      <c r="H333" s="4">
        <f t="shared" si="404"/>
        <v>0.67388316151202754</v>
      </c>
      <c r="I333" s="4">
        <f t="shared" si="404"/>
        <v>0.63659069622229159</v>
      </c>
      <c r="J333" s="4">
        <f t="shared" si="404"/>
        <v>0.63931446377564272</v>
      </c>
      <c r="K333" s="4">
        <f t="shared" si="404"/>
        <v>0.59074230877787182</v>
      </c>
      <c r="L333" s="4">
        <f t="shared" si="404"/>
        <v>0.61726867887184567</v>
      </c>
      <c r="M333" s="4">
        <f t="shared" si="404"/>
        <v>0.60031104199066876</v>
      </c>
      <c r="N333" s="4">
        <f t="shared" si="404"/>
        <v>0.65896250642013354</v>
      </c>
      <c r="O333" s="4">
        <f t="shared" si="404"/>
        <v>0.61464139725009292</v>
      </c>
      <c r="P333" s="4">
        <f t="shared" si="404"/>
        <v>0.64263517712865137</v>
      </c>
      <c r="Q333" s="4">
        <f t="shared" si="404"/>
        <v>0.64641277991727286</v>
      </c>
      <c r="R333" s="4">
        <f t="shared" si="404"/>
        <v>0.68237030309910318</v>
      </c>
      <c r="S333" s="4">
        <f t="shared" si="404"/>
        <v>0.60570219123505975</v>
      </c>
      <c r="T333" s="4">
        <f t="shared" si="404"/>
        <v>0.66108786610878656</v>
      </c>
      <c r="U333" s="4">
        <f t="shared" si="404"/>
        <v>0.66847405112316038</v>
      </c>
      <c r="V333" s="4">
        <f t="shared" si="404"/>
        <v>0.69526672833795866</v>
      </c>
      <c r="W333" s="4">
        <f t="shared" si="404"/>
        <v>0.61449105799766002</v>
      </c>
      <c r="X333" s="4">
        <f t="shared" si="404"/>
        <v>0.61091376313203838</v>
      </c>
      <c r="Y333" s="4">
        <f t="shared" si="404"/>
        <v>0.57754789830261533</v>
      </c>
      <c r="Z333" s="4">
        <f t="shared" si="404"/>
        <v>0.59217216507035597</v>
      </c>
      <c r="AA333" s="4">
        <f t="shared" si="404"/>
        <v>0.37686542415599922</v>
      </c>
      <c r="AB333" s="4">
        <f t="shared" si="404"/>
        <v>0.44006869596115122</v>
      </c>
      <c r="AC333" s="4">
        <f t="shared" si="404"/>
        <v>0.55801042374801724</v>
      </c>
      <c r="AD333" s="4">
        <f t="shared" si="404"/>
        <v>0.55023242576605635</v>
      </c>
      <c r="AE333" s="4">
        <f t="shared" si="404"/>
        <v>0.49754749957715511</v>
      </c>
      <c r="AF333" s="4">
        <f t="shared" si="404"/>
        <v>0.50098999304329217</v>
      </c>
      <c r="AG333" s="4">
        <f t="shared" si="404"/>
        <v>0.53376804843968328</v>
      </c>
      <c r="AH333" s="4">
        <f t="shared" si="404"/>
        <v>0.58499572527785693</v>
      </c>
      <c r="AI333" s="4">
        <f t="shared" ref="AI333:BF333" si="405">AI395/AI378</f>
        <v>0.58003133239081428</v>
      </c>
      <c r="AJ333" s="4">
        <f t="shared" si="405"/>
        <v>0.58124978505347868</v>
      </c>
      <c r="AK333" s="4">
        <f t="shared" si="405"/>
        <v>0.51006549465701478</v>
      </c>
      <c r="AL333" s="4">
        <f t="shared" si="405"/>
        <v>0.50503400552404143</v>
      </c>
      <c r="AM333" s="4">
        <f t="shared" si="405"/>
        <v>0.47219435287372796</v>
      </c>
      <c r="AN333" s="4">
        <f t="shared" si="405"/>
        <v>0.47491499548955657</v>
      </c>
      <c r="AO333" s="4">
        <f t="shared" si="405"/>
        <v>0.39593707151620122</v>
      </c>
      <c r="AP333" s="4">
        <f t="shared" si="405"/>
        <v>0.36632986165086273</v>
      </c>
      <c r="AQ333" s="4">
        <f t="shared" si="405"/>
        <v>0.44691918310350848</v>
      </c>
      <c r="AR333" s="4">
        <f t="shared" si="405"/>
        <v>0.50235944873277294</v>
      </c>
      <c r="AS333" s="4">
        <f t="shared" si="405"/>
        <v>0.58861945762314771</v>
      </c>
      <c r="AT333" s="4">
        <f t="shared" si="405"/>
        <v>0.57291017426641067</v>
      </c>
      <c r="AU333" s="4">
        <f t="shared" si="405"/>
        <v>0.56930462213688104</v>
      </c>
      <c r="AV333" s="4">
        <f t="shared" si="405"/>
        <v>0.5912313480586624</v>
      </c>
      <c r="AW333" s="4">
        <f t="shared" si="405"/>
        <v>0.63137795954568976</v>
      </c>
      <c r="AX333" s="4">
        <f t="shared" si="405"/>
        <v>0.66316007026971169</v>
      </c>
      <c r="AY333" s="641">
        <f t="shared" si="405"/>
        <v>0.60504797466559535</v>
      </c>
      <c r="AZ333" s="36">
        <f t="shared" si="405"/>
        <v>0.54565046166225273</v>
      </c>
      <c r="BA333" s="36">
        <f t="shared" si="405"/>
        <v>0.60229363172038886</v>
      </c>
      <c r="BB333" s="36">
        <f t="shared" si="405"/>
        <v>0.56544425378299257</v>
      </c>
      <c r="BC333" s="36">
        <f t="shared" si="405"/>
        <v>0.73526524129482684</v>
      </c>
      <c r="BD333" s="36">
        <f t="shared" si="405"/>
        <v>0.66264535173325956</v>
      </c>
      <c r="BE333" s="36">
        <f t="shared" si="405"/>
        <v>0.65551048528739864</v>
      </c>
      <c r="BF333" s="36">
        <f t="shared" si="405"/>
        <v>0.61039348353755651</v>
      </c>
      <c r="BG333" s="36"/>
      <c r="BH333" s="902">
        <f t="shared" ref="BH333:CB333" si="406">BH395/BH378</f>
        <v>0.47232947232947231</v>
      </c>
      <c r="BI333" s="902">
        <f t="shared" si="406"/>
        <v>0.60334346504559266</v>
      </c>
      <c r="BJ333" s="902">
        <f t="shared" si="406"/>
        <v>0.61870115871732689</v>
      </c>
      <c r="BK333" s="902">
        <f t="shared" si="406"/>
        <v>0.54214973472194927</v>
      </c>
      <c r="BL333" s="902">
        <f t="shared" si="406"/>
        <v>0.59972052845528456</v>
      </c>
      <c r="BM333" s="902">
        <f t="shared" si="406"/>
        <v>0.64768169420824639</v>
      </c>
      <c r="BN333" s="902">
        <f t="shared" si="406"/>
        <v>0.62131860776439085</v>
      </c>
      <c r="BO333" s="902">
        <f t="shared" si="406"/>
        <v>0.65080686012012445</v>
      </c>
      <c r="BP333" s="902">
        <f t="shared" si="406"/>
        <v>0.6629523036430276</v>
      </c>
      <c r="BQ333" s="902">
        <f t="shared" si="406"/>
        <v>0.597800780830259</v>
      </c>
      <c r="BR333" s="902">
        <f t="shared" si="406"/>
        <v>0.48888920321937279</v>
      </c>
      <c r="BS333" s="902">
        <f t="shared" si="406"/>
        <v>0.53590414703658462</v>
      </c>
      <c r="BT333" s="902">
        <f t="shared" si="406"/>
        <v>0.541715778137693</v>
      </c>
      <c r="BU333" s="902">
        <f t="shared" si="406"/>
        <v>0.42554176778807812</v>
      </c>
      <c r="BV333" s="902">
        <f t="shared" si="406"/>
        <v>0.53339461238528707</v>
      </c>
      <c r="BW333" s="903">
        <f t="shared" si="406"/>
        <v>0.61743089707661347</v>
      </c>
      <c r="BX333" s="899">
        <f t="shared" si="406"/>
        <v>0.57877323478242537</v>
      </c>
      <c r="BY333" s="899">
        <f t="shared" si="406"/>
        <v>0.66142436880235478</v>
      </c>
      <c r="BZ333" s="899">
        <f t="shared" si="406"/>
        <v>0.69488364006170211</v>
      </c>
      <c r="CA333" s="899">
        <f t="shared" si="406"/>
        <v>0.73618280472754993</v>
      </c>
      <c r="CB333" s="899">
        <f t="shared" si="406"/>
        <v>0.77594973453369354</v>
      </c>
      <c r="CC333" s="9"/>
    </row>
    <row r="334" spans="1:81" outlineLevel="1" x14ac:dyDescent="0.55000000000000004">
      <c r="A334" s="42" t="s">
        <v>606</v>
      </c>
      <c r="B334" s="49"/>
      <c r="C334" s="568">
        <f t="shared" ref="C334:AH334" si="407">C396/C378</f>
        <v>0.53223593964334703</v>
      </c>
      <c r="D334" s="568">
        <f t="shared" si="407"/>
        <v>0.56039713182570328</v>
      </c>
      <c r="E334" s="568">
        <f t="shared" si="407"/>
        <v>0.61954365079365081</v>
      </c>
      <c r="F334" s="568">
        <f t="shared" si="407"/>
        <v>0.6499032882011605</v>
      </c>
      <c r="G334" s="568">
        <f t="shared" si="407"/>
        <v>0.64468425259792161</v>
      </c>
      <c r="H334" s="568">
        <f t="shared" si="407"/>
        <v>0.67388316151202754</v>
      </c>
      <c r="I334" s="568">
        <f t="shared" si="407"/>
        <v>0.63659069622229159</v>
      </c>
      <c r="J334" s="568">
        <f t="shared" si="407"/>
        <v>0.63931446377564272</v>
      </c>
      <c r="K334" s="568">
        <f t="shared" si="407"/>
        <v>0.59074230877787182</v>
      </c>
      <c r="L334" s="568">
        <f t="shared" si="407"/>
        <v>0.61726867887184567</v>
      </c>
      <c r="M334" s="568">
        <f t="shared" si="407"/>
        <v>0.60031104199066876</v>
      </c>
      <c r="N334" s="568">
        <f t="shared" si="407"/>
        <v>0.65896250642013354</v>
      </c>
      <c r="O334" s="568">
        <f t="shared" si="407"/>
        <v>0.61464139725009292</v>
      </c>
      <c r="P334" s="568">
        <f t="shared" si="407"/>
        <v>0.64263517712865137</v>
      </c>
      <c r="Q334" s="568">
        <f t="shared" si="407"/>
        <v>0.64641277991727286</v>
      </c>
      <c r="R334" s="568">
        <f t="shared" si="407"/>
        <v>0.68237030309910318</v>
      </c>
      <c r="S334" s="568">
        <f t="shared" si="407"/>
        <v>0.60570219123505975</v>
      </c>
      <c r="T334" s="568">
        <f t="shared" si="407"/>
        <v>0.66108786610878656</v>
      </c>
      <c r="U334" s="568">
        <f t="shared" si="407"/>
        <v>0.66847405112316038</v>
      </c>
      <c r="V334" s="568">
        <f t="shared" si="407"/>
        <v>0.69526672833795866</v>
      </c>
      <c r="W334" s="568">
        <f t="shared" si="407"/>
        <v>0.61449105799766002</v>
      </c>
      <c r="X334" s="568">
        <f t="shared" si="407"/>
        <v>0.61091376313203838</v>
      </c>
      <c r="Y334" s="568">
        <f t="shared" si="407"/>
        <v>0.57754789830261533</v>
      </c>
      <c r="Z334" s="568">
        <f t="shared" si="407"/>
        <v>0.59217216507035597</v>
      </c>
      <c r="AA334" s="568">
        <f t="shared" si="407"/>
        <v>0.37686542415599922</v>
      </c>
      <c r="AB334" s="568">
        <f t="shared" si="407"/>
        <v>0.44006869596115122</v>
      </c>
      <c r="AC334" s="568">
        <f t="shared" si="407"/>
        <v>0.55801042374801724</v>
      </c>
      <c r="AD334" s="568">
        <f t="shared" si="407"/>
        <v>0.55023242576605635</v>
      </c>
      <c r="AE334" s="568">
        <f t="shared" si="407"/>
        <v>0.49754749957715511</v>
      </c>
      <c r="AF334" s="568">
        <f t="shared" si="407"/>
        <v>0.50098999304329217</v>
      </c>
      <c r="AG334" s="568">
        <f t="shared" si="407"/>
        <v>0.53376804843968328</v>
      </c>
      <c r="AH334" s="568">
        <f t="shared" si="407"/>
        <v>0.58499572527785693</v>
      </c>
      <c r="AI334" s="568">
        <f t="shared" ref="AI334:BF334" si="408">AI396/AI378</f>
        <v>0.58003133239081428</v>
      </c>
      <c r="AJ334" s="568">
        <f t="shared" si="408"/>
        <v>0.58124978505347868</v>
      </c>
      <c r="AK334" s="568">
        <f t="shared" si="408"/>
        <v>0.51006549465701478</v>
      </c>
      <c r="AL334" s="568">
        <f t="shared" si="408"/>
        <v>0.50503400552404143</v>
      </c>
      <c r="AM334" s="568">
        <f t="shared" si="408"/>
        <v>0.47219435287372796</v>
      </c>
      <c r="AN334" s="568">
        <f t="shared" si="408"/>
        <v>0.47491499548955657</v>
      </c>
      <c r="AO334" s="568">
        <f t="shared" si="408"/>
        <v>0.39593707151620122</v>
      </c>
      <c r="AP334" s="568">
        <f t="shared" si="408"/>
        <v>0.36632986165086273</v>
      </c>
      <c r="AQ334" s="568">
        <f t="shared" si="408"/>
        <v>0.44691918310350848</v>
      </c>
      <c r="AR334" s="568">
        <f t="shared" si="408"/>
        <v>0.50235944873277294</v>
      </c>
      <c r="AS334" s="568">
        <f t="shared" si="408"/>
        <v>0.58861945762314771</v>
      </c>
      <c r="AT334" s="568">
        <f t="shared" si="408"/>
        <v>0.57291017426641067</v>
      </c>
      <c r="AU334" s="568">
        <f t="shared" si="408"/>
        <v>0.56930462213688104</v>
      </c>
      <c r="AV334" s="568">
        <f t="shared" si="408"/>
        <v>0.5912313480586624</v>
      </c>
      <c r="AW334" s="568">
        <f t="shared" si="408"/>
        <v>0.63137795954568976</v>
      </c>
      <c r="AX334" s="568">
        <f t="shared" si="408"/>
        <v>0.66316007026971169</v>
      </c>
      <c r="AY334" s="642">
        <f t="shared" si="408"/>
        <v>0.60504797466559535</v>
      </c>
      <c r="AZ334" s="50">
        <f t="shared" si="408"/>
        <v>0.54565046166225273</v>
      </c>
      <c r="BA334" s="50">
        <f t="shared" si="408"/>
        <v>0.60229363172038886</v>
      </c>
      <c r="BB334" s="50">
        <f t="shared" si="408"/>
        <v>0.56544425378299257</v>
      </c>
      <c r="BC334" s="50">
        <f t="shared" si="408"/>
        <v>0.73526524129482684</v>
      </c>
      <c r="BD334" s="50">
        <f t="shared" si="408"/>
        <v>0.66264535173325956</v>
      </c>
      <c r="BE334" s="50">
        <f t="shared" si="408"/>
        <v>0.65551048528739864</v>
      </c>
      <c r="BF334" s="50">
        <f t="shared" si="408"/>
        <v>0.61039348353755651</v>
      </c>
      <c r="BG334" s="50"/>
      <c r="BH334" s="896">
        <f t="shared" ref="BH334:CB334" si="409">BH396/BH378</f>
        <v>0.47232947232947231</v>
      </c>
      <c r="BI334" s="896">
        <f t="shared" si="409"/>
        <v>0.60334346504559266</v>
      </c>
      <c r="BJ334" s="896">
        <f t="shared" si="409"/>
        <v>0.61870115871732689</v>
      </c>
      <c r="BK334" s="896">
        <f t="shared" si="409"/>
        <v>0.54214973472194927</v>
      </c>
      <c r="BL334" s="896">
        <f t="shared" si="409"/>
        <v>0.59972052845528456</v>
      </c>
      <c r="BM334" s="896">
        <f t="shared" si="409"/>
        <v>0.64768169420824639</v>
      </c>
      <c r="BN334" s="896">
        <f t="shared" si="409"/>
        <v>0.62131860776439085</v>
      </c>
      <c r="BO334" s="896">
        <f t="shared" si="409"/>
        <v>0.65080686012012445</v>
      </c>
      <c r="BP334" s="896">
        <f t="shared" si="409"/>
        <v>0.6629523036430276</v>
      </c>
      <c r="BQ334" s="896">
        <f t="shared" si="409"/>
        <v>0.597800780830259</v>
      </c>
      <c r="BR334" s="896">
        <f t="shared" si="409"/>
        <v>0.48888920321937279</v>
      </c>
      <c r="BS334" s="896">
        <f t="shared" si="409"/>
        <v>0.53590414703658462</v>
      </c>
      <c r="BT334" s="896">
        <f t="shared" si="409"/>
        <v>0.541715778137693</v>
      </c>
      <c r="BU334" s="896">
        <f t="shared" si="409"/>
        <v>0.42554176778807812</v>
      </c>
      <c r="BV334" s="896">
        <f t="shared" si="409"/>
        <v>0.53339461238528707</v>
      </c>
      <c r="BW334" s="897">
        <f t="shared" si="409"/>
        <v>0.61743089707661347</v>
      </c>
      <c r="BX334" s="898">
        <f t="shared" si="409"/>
        <v>0.57877323478242537</v>
      </c>
      <c r="BY334" s="898">
        <f t="shared" si="409"/>
        <v>0.66142436880235478</v>
      </c>
      <c r="BZ334" s="898">
        <f t="shared" si="409"/>
        <v>0.69488364006170211</v>
      </c>
      <c r="CA334" s="898">
        <f t="shared" si="409"/>
        <v>0.73618280472754993</v>
      </c>
      <c r="CB334" s="898">
        <f t="shared" si="409"/>
        <v>0.77594973453369354</v>
      </c>
      <c r="CC334" s="9"/>
    </row>
    <row r="335" spans="1:81" outlineLevel="1" x14ac:dyDescent="0.55000000000000004">
      <c r="A335" s="48" t="s">
        <v>38</v>
      </c>
      <c r="B335" s="238"/>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643"/>
      <c r="AZ335" s="516">
        <f t="shared" ref="AZ335:BF335" ca="1" si="410">IFERROR(AZ397/AZ379,0)</f>
        <v>0</v>
      </c>
      <c r="BA335" s="516">
        <f t="shared" ca="1" si="410"/>
        <v>0</v>
      </c>
      <c r="BB335" s="516">
        <f t="shared" ca="1" si="410"/>
        <v>0</v>
      </c>
      <c r="BC335" s="516">
        <f t="shared" ca="1" si="410"/>
        <v>0</v>
      </c>
      <c r="BD335" s="516">
        <f t="shared" ca="1" si="410"/>
        <v>0</v>
      </c>
      <c r="BE335" s="516">
        <f t="shared" ca="1" si="410"/>
        <v>0</v>
      </c>
      <c r="BF335" s="516">
        <f t="shared" ca="1" si="410"/>
        <v>0</v>
      </c>
      <c r="BG335" s="516"/>
      <c r="BH335" s="904"/>
      <c r="BI335" s="904"/>
      <c r="BJ335" s="904"/>
      <c r="BK335" s="904"/>
      <c r="BL335" s="904"/>
      <c r="BM335" s="904"/>
      <c r="BN335" s="904"/>
      <c r="BO335" s="904"/>
      <c r="BP335" s="904"/>
      <c r="BQ335" s="904"/>
      <c r="BR335" s="904"/>
      <c r="BS335" s="904"/>
      <c r="BT335" s="904"/>
      <c r="BU335" s="904"/>
      <c r="BV335" s="904"/>
      <c r="BW335" s="905"/>
      <c r="BX335" s="906">
        <f ca="1">IFERROR(BX397/BX379,0)</f>
        <v>0</v>
      </c>
      <c r="BY335" s="906">
        <f ca="1">IFERROR(BY397/BY379,0)</f>
        <v>0</v>
      </c>
      <c r="BZ335" s="906">
        <f ca="1">IFERROR(BZ397/BZ379,0)</f>
        <v>0</v>
      </c>
      <c r="CA335" s="906">
        <f ca="1">IFERROR(CA397/CA379,0)</f>
        <v>0</v>
      </c>
      <c r="CB335" s="906">
        <f ca="1">IFERROR(CB397/CB379,0)</f>
        <v>0</v>
      </c>
      <c r="CC335" s="48"/>
    </row>
    <row r="336" spans="1:81" x14ac:dyDescent="0.55000000000000004">
      <c r="A336" s="79"/>
      <c r="B336" s="238"/>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643"/>
      <c r="AZ336" s="79"/>
      <c r="BA336" s="79"/>
      <c r="BB336" s="79"/>
      <c r="BC336" s="79"/>
      <c r="BD336" s="79"/>
      <c r="BE336" s="79"/>
      <c r="BF336" s="79"/>
      <c r="BG336" s="79"/>
      <c r="BH336" s="904"/>
      <c r="BI336" s="904"/>
      <c r="BJ336" s="904"/>
      <c r="BK336" s="904"/>
      <c r="BL336" s="904"/>
      <c r="BM336" s="904"/>
      <c r="BN336" s="904"/>
      <c r="BO336" s="904"/>
      <c r="BP336" s="904"/>
      <c r="BQ336" s="904"/>
      <c r="BR336" s="904"/>
      <c r="BS336" s="904"/>
      <c r="BT336" s="904"/>
      <c r="BU336" s="904"/>
      <c r="BV336" s="904"/>
      <c r="BW336" s="905"/>
      <c r="BX336" s="904"/>
      <c r="BY336" s="904"/>
      <c r="BZ336" s="904"/>
      <c r="CA336" s="904"/>
      <c r="CB336" s="904"/>
      <c r="CC336" s="48"/>
    </row>
    <row r="337" spans="1:81" x14ac:dyDescent="0.55000000000000004">
      <c r="A337" s="598" t="s">
        <v>39</v>
      </c>
      <c r="B337" s="598"/>
      <c r="C337" s="598"/>
      <c r="D337" s="598"/>
      <c r="E337" s="598"/>
      <c r="F337" s="598"/>
      <c r="G337" s="598"/>
      <c r="H337" s="598"/>
      <c r="I337" s="598"/>
      <c r="J337" s="598"/>
      <c r="K337" s="598"/>
      <c r="L337" s="598"/>
      <c r="M337" s="598"/>
      <c r="N337" s="598"/>
      <c r="O337" s="598"/>
      <c r="P337" s="598"/>
      <c r="Q337" s="598"/>
      <c r="R337" s="598"/>
      <c r="S337" s="598"/>
      <c r="T337" s="598"/>
      <c r="U337" s="598"/>
      <c r="V337" s="598"/>
      <c r="W337" s="598"/>
      <c r="X337" s="598"/>
      <c r="Y337" s="598"/>
      <c r="Z337" s="598"/>
      <c r="AA337" s="598"/>
      <c r="AB337" s="598"/>
      <c r="AC337" s="598"/>
      <c r="AD337" s="598"/>
      <c r="AE337" s="598"/>
      <c r="AF337" s="598"/>
      <c r="AG337" s="598"/>
      <c r="AH337" s="598"/>
      <c r="AI337" s="598"/>
      <c r="AJ337" s="598"/>
      <c r="AK337" s="598"/>
      <c r="AL337" s="598"/>
      <c r="AM337" s="598"/>
      <c r="AN337" s="598"/>
      <c r="AO337" s="598"/>
      <c r="AP337" s="598"/>
      <c r="AQ337" s="598"/>
      <c r="AR337" s="598"/>
      <c r="AS337" s="598"/>
      <c r="AT337" s="598"/>
      <c r="AU337" s="598"/>
      <c r="AV337" s="598"/>
      <c r="AW337" s="598"/>
      <c r="AX337" s="598"/>
      <c r="AY337" s="599"/>
      <c r="AZ337" s="598"/>
      <c r="BA337" s="598"/>
      <c r="BB337" s="598"/>
      <c r="BC337" s="598"/>
      <c r="BD337" s="598"/>
      <c r="BE337" s="598"/>
      <c r="BF337" s="598"/>
      <c r="BG337" s="598"/>
      <c r="BH337" s="598"/>
      <c r="BI337" s="598"/>
      <c r="BJ337" s="598"/>
      <c r="BK337" s="598"/>
      <c r="BL337" s="598"/>
      <c r="BM337" s="598"/>
      <c r="BN337" s="598"/>
      <c r="BO337" s="598"/>
      <c r="BP337" s="598"/>
      <c r="BQ337" s="598"/>
      <c r="BR337" s="598"/>
      <c r="BS337" s="598"/>
      <c r="BT337" s="598"/>
      <c r="BU337" s="598"/>
      <c r="BV337" s="598"/>
      <c r="BW337" s="599"/>
      <c r="BX337" s="598"/>
      <c r="BY337" s="598"/>
      <c r="BZ337" s="598"/>
      <c r="CA337" s="598"/>
      <c r="CB337" s="598"/>
      <c r="CC337" s="217"/>
    </row>
    <row r="338" spans="1:81" outlineLevel="1" x14ac:dyDescent="0.55000000000000004">
      <c r="A338" s="19" t="s">
        <v>40</v>
      </c>
      <c r="B338" s="193"/>
      <c r="C338" s="771">
        <v>1458</v>
      </c>
      <c r="D338" s="771">
        <v>1813</v>
      </c>
      <c r="E338" s="771">
        <v>2016</v>
      </c>
      <c r="F338" s="771">
        <v>2585</v>
      </c>
      <c r="G338" s="771">
        <v>2502</v>
      </c>
      <c r="H338" s="771">
        <v>2910</v>
      </c>
      <c r="I338" s="771">
        <v>3203</v>
      </c>
      <c r="J338" s="771">
        <v>3851</v>
      </c>
      <c r="K338" s="771">
        <v>3543</v>
      </c>
      <c r="L338" s="771">
        <v>4042</v>
      </c>
      <c r="M338" s="771">
        <v>4501</v>
      </c>
      <c r="N338" s="771">
        <v>5841</v>
      </c>
      <c r="O338" s="771">
        <v>5382</v>
      </c>
      <c r="P338" s="771">
        <v>6436</v>
      </c>
      <c r="Q338" s="771">
        <v>7011</v>
      </c>
      <c r="R338" s="771">
        <v>8809</v>
      </c>
      <c r="S338" s="771">
        <v>8032</v>
      </c>
      <c r="T338" s="771">
        <v>9321</v>
      </c>
      <c r="U338" s="771">
        <v>10328</v>
      </c>
      <c r="V338" s="771">
        <v>12972</v>
      </c>
      <c r="W338" s="771">
        <v>11966</v>
      </c>
      <c r="X338" s="771">
        <v>13231</v>
      </c>
      <c r="Y338" s="771">
        <v>13727</v>
      </c>
      <c r="Z338" s="6">
        <f>BQ338-Y338-X338-W338</f>
        <v>16914</v>
      </c>
      <c r="AA338" s="771">
        <v>15077</v>
      </c>
      <c r="AB338" s="771">
        <v>16886</v>
      </c>
      <c r="AC338" s="771">
        <v>17652</v>
      </c>
      <c r="AD338" s="6">
        <f>BR338-AC338-AB338-AA338</f>
        <v>21082</v>
      </c>
      <c r="AE338" s="771">
        <v>17737</v>
      </c>
      <c r="AF338" s="771">
        <v>18687</v>
      </c>
      <c r="AG338" s="771">
        <v>21470</v>
      </c>
      <c r="AH338" s="771">
        <v>28072</v>
      </c>
      <c r="AI338" s="771">
        <v>26171</v>
      </c>
      <c r="AJ338" s="771">
        <v>29077</v>
      </c>
      <c r="AK338" s="771">
        <v>29010</v>
      </c>
      <c r="AL338" s="771">
        <v>33671</v>
      </c>
      <c r="AM338" s="771">
        <v>27908</v>
      </c>
      <c r="AN338" s="771">
        <v>28822</v>
      </c>
      <c r="AO338" s="771">
        <v>27714</v>
      </c>
      <c r="AP338" s="771">
        <v>32165</v>
      </c>
      <c r="AQ338" s="771">
        <v>28645</v>
      </c>
      <c r="AR338" s="771">
        <v>31999</v>
      </c>
      <c r="AS338" s="771">
        <v>34146</v>
      </c>
      <c r="AT338" s="771">
        <v>40111</v>
      </c>
      <c r="AU338" s="771">
        <v>36455</v>
      </c>
      <c r="AV338" s="771">
        <v>39071</v>
      </c>
      <c r="AW338" s="771">
        <v>40589</v>
      </c>
      <c r="AX338" s="771">
        <v>48385</v>
      </c>
      <c r="AY338" s="772">
        <v>42314</v>
      </c>
      <c r="AZ338" s="35"/>
      <c r="BA338" s="35"/>
      <c r="BB338" s="35"/>
      <c r="BC338" s="35"/>
      <c r="BD338" s="35"/>
      <c r="BE338" s="35"/>
      <c r="BF338" s="35"/>
      <c r="BG338" s="35"/>
      <c r="BH338" s="869">
        <v>777</v>
      </c>
      <c r="BI338" s="869">
        <v>1974</v>
      </c>
      <c r="BJ338" s="869">
        <v>3711</v>
      </c>
      <c r="BK338" s="869">
        <v>5089</v>
      </c>
      <c r="BL338" s="869">
        <v>7872</v>
      </c>
      <c r="BM338" s="869">
        <v>12466</v>
      </c>
      <c r="BN338" s="869">
        <v>17928</v>
      </c>
      <c r="BO338" s="869">
        <v>27638</v>
      </c>
      <c r="BP338" s="869">
        <v>40653</v>
      </c>
      <c r="BQ338" s="869">
        <v>55838</v>
      </c>
      <c r="BR338" s="869">
        <v>70697</v>
      </c>
      <c r="BS338" s="869">
        <v>85965</v>
      </c>
      <c r="BT338" s="869">
        <v>117929</v>
      </c>
      <c r="BU338" s="869">
        <v>116609</v>
      </c>
      <c r="BV338" s="869">
        <v>134902</v>
      </c>
      <c r="BW338" s="907">
        <v>164501</v>
      </c>
      <c r="BX338" s="812"/>
      <c r="BY338" s="812"/>
      <c r="BZ338" s="812"/>
      <c r="CA338" s="812"/>
      <c r="CB338" s="812"/>
      <c r="CC338" s="6"/>
    </row>
    <row r="339" spans="1:81" outlineLevel="1" x14ac:dyDescent="0.55000000000000004">
      <c r="A339" s="116" t="s">
        <v>41</v>
      </c>
      <c r="B339" s="87"/>
      <c r="C339" s="759">
        <v>413</v>
      </c>
      <c r="D339" s="759">
        <v>465</v>
      </c>
      <c r="E339" s="759">
        <v>507</v>
      </c>
      <c r="F339" s="759">
        <v>491</v>
      </c>
      <c r="G339" s="759">
        <v>462</v>
      </c>
      <c r="H339" s="759">
        <v>473</v>
      </c>
      <c r="I339" s="759">
        <v>565</v>
      </c>
      <c r="J339" s="759">
        <v>653</v>
      </c>
      <c r="K339" s="759">
        <v>654</v>
      </c>
      <c r="L339" s="759">
        <v>668</v>
      </c>
      <c r="M339" s="759">
        <v>720</v>
      </c>
      <c r="N339" s="759">
        <v>824</v>
      </c>
      <c r="O339" s="759">
        <v>838</v>
      </c>
      <c r="P339" s="759">
        <v>917</v>
      </c>
      <c r="Q339" s="759">
        <v>987</v>
      </c>
      <c r="R339" s="759">
        <v>1047</v>
      </c>
      <c r="S339" s="759">
        <v>1159</v>
      </c>
      <c r="T339" s="759">
        <v>1237</v>
      </c>
      <c r="U339" s="759">
        <v>1448</v>
      </c>
      <c r="V339" s="759">
        <v>1611</v>
      </c>
      <c r="W339" s="759">
        <v>1927</v>
      </c>
      <c r="X339" s="759">
        <v>2214</v>
      </c>
      <c r="Y339" s="759">
        <v>2418</v>
      </c>
      <c r="Z339" s="117">
        <f>BQ339-Y339-X339-W339</f>
        <v>2796</v>
      </c>
      <c r="AA339" s="759">
        <v>2816</v>
      </c>
      <c r="AB339" s="759">
        <v>3307</v>
      </c>
      <c r="AC339" s="759">
        <v>3155</v>
      </c>
      <c r="AD339" s="117">
        <f>BR339-AC339-AB339-AA339</f>
        <v>3492</v>
      </c>
      <c r="AE339" s="759">
        <v>3459</v>
      </c>
      <c r="AF339" s="759">
        <v>3829</v>
      </c>
      <c r="AG339" s="759">
        <v>4194</v>
      </c>
      <c r="AH339" s="759">
        <v>5210</v>
      </c>
      <c r="AI339" s="759">
        <v>5131</v>
      </c>
      <c r="AJ339" s="759">
        <v>5399</v>
      </c>
      <c r="AK339" s="759">
        <v>5771</v>
      </c>
      <c r="AL339" s="759">
        <v>6348</v>
      </c>
      <c r="AM339" s="759">
        <v>6005</v>
      </c>
      <c r="AN339" s="759">
        <v>5192</v>
      </c>
      <c r="AO339" s="759">
        <v>5716</v>
      </c>
      <c r="AP339" s="759">
        <v>8336</v>
      </c>
      <c r="AQ339" s="759">
        <v>6108</v>
      </c>
      <c r="AR339" s="759">
        <v>5945</v>
      </c>
      <c r="AS339" s="759">
        <v>6210</v>
      </c>
      <c r="AT339" s="759">
        <v>7695</v>
      </c>
      <c r="AU339" s="759">
        <v>6640</v>
      </c>
      <c r="AV339" s="759">
        <v>7308</v>
      </c>
      <c r="AW339" s="759">
        <v>7375</v>
      </c>
      <c r="AX339" s="759">
        <v>8839</v>
      </c>
      <c r="AY339" s="762">
        <v>7572</v>
      </c>
      <c r="AZ339" s="37"/>
      <c r="BA339" s="37"/>
      <c r="BB339" s="37"/>
      <c r="BC339" s="37"/>
      <c r="BD339" s="37"/>
      <c r="BE339" s="37"/>
      <c r="BF339" s="37"/>
      <c r="BG339" s="37"/>
      <c r="BH339" s="857">
        <v>223</v>
      </c>
      <c r="BI339" s="857">
        <v>493</v>
      </c>
      <c r="BJ339" s="857">
        <v>860</v>
      </c>
      <c r="BK339" s="857">
        <v>1364</v>
      </c>
      <c r="BL339" s="857">
        <v>1875</v>
      </c>
      <c r="BM339" s="857">
        <v>2153</v>
      </c>
      <c r="BN339" s="857">
        <v>2867</v>
      </c>
      <c r="BO339" s="857">
        <v>3789</v>
      </c>
      <c r="BP339" s="857">
        <v>5454</v>
      </c>
      <c r="BQ339" s="857">
        <v>9355</v>
      </c>
      <c r="BR339" s="857">
        <v>12770</v>
      </c>
      <c r="BS339" s="857">
        <v>16692</v>
      </c>
      <c r="BT339" s="857">
        <v>22649</v>
      </c>
      <c r="BU339" s="857">
        <v>25249</v>
      </c>
      <c r="BV339" s="857">
        <v>25959</v>
      </c>
      <c r="BW339" s="862">
        <v>30161</v>
      </c>
      <c r="BX339" s="158"/>
      <c r="BY339" s="158"/>
      <c r="BZ339" s="158"/>
      <c r="CA339" s="158"/>
      <c r="CB339" s="158"/>
      <c r="CC339" s="117"/>
    </row>
    <row r="340" spans="1:81" outlineLevel="1" x14ac:dyDescent="0.55000000000000004">
      <c r="A340" s="20" t="s">
        <v>42</v>
      </c>
      <c r="B340" s="195"/>
      <c r="C340" s="5">
        <f t="shared" ref="C340:AH340" si="411">C338-C339</f>
        <v>1045</v>
      </c>
      <c r="D340" s="5">
        <f t="shared" si="411"/>
        <v>1348</v>
      </c>
      <c r="E340" s="5">
        <f t="shared" si="411"/>
        <v>1509</v>
      </c>
      <c r="F340" s="5">
        <f t="shared" si="411"/>
        <v>2094</v>
      </c>
      <c r="G340" s="5">
        <f t="shared" si="411"/>
        <v>2040</v>
      </c>
      <c r="H340" s="5">
        <f t="shared" si="411"/>
        <v>2437</v>
      </c>
      <c r="I340" s="5">
        <f t="shared" si="411"/>
        <v>2638</v>
      </c>
      <c r="J340" s="5">
        <f t="shared" si="411"/>
        <v>3198</v>
      </c>
      <c r="K340" s="5">
        <f t="shared" si="411"/>
        <v>2889</v>
      </c>
      <c r="L340" s="5">
        <f t="shared" si="411"/>
        <v>3374</v>
      </c>
      <c r="M340" s="5">
        <f t="shared" si="411"/>
        <v>3781</v>
      </c>
      <c r="N340" s="5">
        <f t="shared" si="411"/>
        <v>5017</v>
      </c>
      <c r="O340" s="5">
        <f t="shared" si="411"/>
        <v>4544</v>
      </c>
      <c r="P340" s="5">
        <f t="shared" si="411"/>
        <v>5519</v>
      </c>
      <c r="Q340" s="5">
        <f t="shared" si="411"/>
        <v>6024</v>
      </c>
      <c r="R340" s="33">
        <f t="shared" si="411"/>
        <v>7762</v>
      </c>
      <c r="S340" s="5">
        <f t="shared" si="411"/>
        <v>6873</v>
      </c>
      <c r="T340" s="5">
        <f t="shared" si="411"/>
        <v>8084</v>
      </c>
      <c r="U340" s="5">
        <f t="shared" si="411"/>
        <v>8880</v>
      </c>
      <c r="V340" s="33">
        <f t="shared" si="411"/>
        <v>11361</v>
      </c>
      <c r="W340" s="5">
        <f t="shared" si="411"/>
        <v>10039</v>
      </c>
      <c r="X340" s="5">
        <f t="shared" si="411"/>
        <v>11017</v>
      </c>
      <c r="Y340" s="5">
        <f t="shared" si="411"/>
        <v>11309</v>
      </c>
      <c r="Z340" s="33">
        <f t="shared" si="411"/>
        <v>14118</v>
      </c>
      <c r="AA340" s="5">
        <f t="shared" si="411"/>
        <v>12261</v>
      </c>
      <c r="AB340" s="5">
        <f t="shared" si="411"/>
        <v>13579</v>
      </c>
      <c r="AC340" s="5">
        <f t="shared" si="411"/>
        <v>14497</v>
      </c>
      <c r="AD340" s="33">
        <f t="shared" si="411"/>
        <v>17590</v>
      </c>
      <c r="AE340" s="5">
        <f t="shared" si="411"/>
        <v>14278</v>
      </c>
      <c r="AF340" s="5">
        <f t="shared" si="411"/>
        <v>14858</v>
      </c>
      <c r="AG340" s="5">
        <f t="shared" si="411"/>
        <v>17276</v>
      </c>
      <c r="AH340" s="33">
        <f t="shared" si="411"/>
        <v>22862</v>
      </c>
      <c r="AI340" s="5">
        <f t="shared" ref="AI340:AY340" si="412">AI338-AI339</f>
        <v>21040</v>
      </c>
      <c r="AJ340" s="5">
        <f t="shared" si="412"/>
        <v>23678</v>
      </c>
      <c r="AK340" s="5">
        <f t="shared" si="412"/>
        <v>23239</v>
      </c>
      <c r="AL340" s="33">
        <f t="shared" si="412"/>
        <v>27323</v>
      </c>
      <c r="AM340" s="5">
        <f t="shared" si="412"/>
        <v>21903</v>
      </c>
      <c r="AN340" s="5">
        <f t="shared" si="412"/>
        <v>23630</v>
      </c>
      <c r="AO340" s="5">
        <f t="shared" si="412"/>
        <v>21998</v>
      </c>
      <c r="AP340" s="33">
        <f t="shared" si="412"/>
        <v>23829</v>
      </c>
      <c r="AQ340" s="5">
        <f t="shared" si="412"/>
        <v>22537</v>
      </c>
      <c r="AR340" s="5">
        <f t="shared" si="412"/>
        <v>26054</v>
      </c>
      <c r="AS340" s="5">
        <f t="shared" si="412"/>
        <v>27936</v>
      </c>
      <c r="AT340" s="33">
        <f t="shared" si="412"/>
        <v>32416</v>
      </c>
      <c r="AU340" s="5">
        <f t="shared" si="412"/>
        <v>29815</v>
      </c>
      <c r="AV340" s="5">
        <f t="shared" si="412"/>
        <v>31763</v>
      </c>
      <c r="AW340" s="5">
        <f t="shared" si="412"/>
        <v>33214</v>
      </c>
      <c r="AX340" s="33">
        <f t="shared" si="412"/>
        <v>39546</v>
      </c>
      <c r="AY340" s="409">
        <f t="shared" si="412"/>
        <v>34742</v>
      </c>
      <c r="AZ340" s="33"/>
      <c r="BA340" s="33"/>
      <c r="BB340" s="33"/>
      <c r="BC340" s="33"/>
      <c r="BD340" s="33"/>
      <c r="BE340" s="33"/>
      <c r="BF340" s="33"/>
      <c r="BG340" s="33"/>
      <c r="BH340" s="834">
        <f t="shared" ref="BH340:BW340" si="413">BH338-BH339</f>
        <v>554</v>
      </c>
      <c r="BI340" s="834">
        <f t="shared" si="413"/>
        <v>1481</v>
      </c>
      <c r="BJ340" s="834">
        <f t="shared" si="413"/>
        <v>2851</v>
      </c>
      <c r="BK340" s="834">
        <f t="shared" si="413"/>
        <v>3725</v>
      </c>
      <c r="BL340" s="834">
        <f t="shared" si="413"/>
        <v>5997</v>
      </c>
      <c r="BM340" s="834">
        <f t="shared" si="413"/>
        <v>10313</v>
      </c>
      <c r="BN340" s="834">
        <f t="shared" si="413"/>
        <v>15061</v>
      </c>
      <c r="BO340" s="833">
        <f t="shared" si="413"/>
        <v>23849</v>
      </c>
      <c r="BP340" s="833">
        <f t="shared" si="413"/>
        <v>35199</v>
      </c>
      <c r="BQ340" s="833">
        <f t="shared" si="413"/>
        <v>46483</v>
      </c>
      <c r="BR340" s="833">
        <f t="shared" si="413"/>
        <v>57927</v>
      </c>
      <c r="BS340" s="833">
        <f t="shared" si="413"/>
        <v>69273</v>
      </c>
      <c r="BT340" s="833">
        <f t="shared" si="413"/>
        <v>95280</v>
      </c>
      <c r="BU340" s="833">
        <f t="shared" si="413"/>
        <v>91360</v>
      </c>
      <c r="BV340" s="833">
        <f t="shared" si="413"/>
        <v>108943</v>
      </c>
      <c r="BW340" s="835">
        <f t="shared" si="413"/>
        <v>134340</v>
      </c>
      <c r="BX340" s="833"/>
      <c r="BY340" s="833"/>
      <c r="BZ340" s="833"/>
      <c r="CA340" s="833"/>
      <c r="CB340" s="833"/>
      <c r="CC340" s="6"/>
    </row>
    <row r="341" spans="1:81" outlineLevel="1" x14ac:dyDescent="0.55000000000000004">
      <c r="A341" s="116" t="s">
        <v>43</v>
      </c>
      <c r="B341" s="87"/>
      <c r="C341" s="759">
        <v>293</v>
      </c>
      <c r="D341" s="759">
        <v>344</v>
      </c>
      <c r="E341" s="759">
        <v>369</v>
      </c>
      <c r="F341" s="759">
        <v>408</v>
      </c>
      <c r="G341" s="759">
        <v>455</v>
      </c>
      <c r="H341" s="759">
        <v>492</v>
      </c>
      <c r="I341" s="759">
        <v>608</v>
      </c>
      <c r="J341" s="759">
        <v>1111</v>
      </c>
      <c r="K341" s="759">
        <v>1062</v>
      </c>
      <c r="L341" s="759">
        <v>1170</v>
      </c>
      <c r="M341" s="759">
        <v>1271</v>
      </c>
      <c r="N341" s="759">
        <v>1314</v>
      </c>
      <c r="O341" s="759">
        <v>1343</v>
      </c>
      <c r="P341" s="759">
        <v>1471</v>
      </c>
      <c r="Q341" s="759">
        <v>1542</v>
      </c>
      <c r="R341" s="759">
        <v>1563</v>
      </c>
      <c r="S341" s="759">
        <v>1834</v>
      </c>
      <c r="T341" s="759">
        <v>1919</v>
      </c>
      <c r="U341" s="759">
        <v>2052</v>
      </c>
      <c r="V341" s="759">
        <v>1949</v>
      </c>
      <c r="W341" s="759">
        <v>2238</v>
      </c>
      <c r="X341" s="759">
        <v>2523</v>
      </c>
      <c r="Y341" s="759">
        <v>2657</v>
      </c>
      <c r="Z341" s="117">
        <f>BQ341-Y341-X341-W341</f>
        <v>2855</v>
      </c>
      <c r="AA341" s="759">
        <v>2860</v>
      </c>
      <c r="AB341" s="759">
        <v>3315</v>
      </c>
      <c r="AC341" s="759">
        <v>3548</v>
      </c>
      <c r="AD341" s="117">
        <f>BR341-AC341-AB341-AA341</f>
        <v>3877</v>
      </c>
      <c r="AE341" s="759">
        <v>4015</v>
      </c>
      <c r="AF341" s="759">
        <v>4462</v>
      </c>
      <c r="AG341" s="759">
        <v>4763</v>
      </c>
      <c r="AH341" s="759">
        <v>5208</v>
      </c>
      <c r="AI341" s="759">
        <v>5197</v>
      </c>
      <c r="AJ341" s="759">
        <v>6096</v>
      </c>
      <c r="AK341" s="759">
        <v>6316</v>
      </c>
      <c r="AL341" s="759">
        <v>7046</v>
      </c>
      <c r="AM341" s="759">
        <v>7707</v>
      </c>
      <c r="AN341" s="759">
        <v>8690</v>
      </c>
      <c r="AO341" s="759">
        <v>9170</v>
      </c>
      <c r="AP341" s="759">
        <v>9771</v>
      </c>
      <c r="AQ341" s="759">
        <v>9381</v>
      </c>
      <c r="AR341" s="759">
        <v>9344</v>
      </c>
      <c r="AS341" s="759">
        <v>9241</v>
      </c>
      <c r="AT341" s="759">
        <v>10517</v>
      </c>
      <c r="AU341" s="759">
        <v>9978</v>
      </c>
      <c r="AV341" s="759">
        <v>10537</v>
      </c>
      <c r="AW341" s="759">
        <v>11177</v>
      </c>
      <c r="AX341" s="759">
        <v>12180</v>
      </c>
      <c r="AY341" s="762">
        <v>12150</v>
      </c>
      <c r="AZ341" s="37"/>
      <c r="BA341" s="37"/>
      <c r="BB341" s="37"/>
      <c r="BC341" s="37"/>
      <c r="BD341" s="37"/>
      <c r="BE341" s="37"/>
      <c r="BF341" s="37"/>
      <c r="BG341" s="37"/>
      <c r="BH341" s="857">
        <v>115</v>
      </c>
      <c r="BI341" s="857">
        <v>144</v>
      </c>
      <c r="BJ341" s="857">
        <v>388</v>
      </c>
      <c r="BK341" s="857">
        <v>1399</v>
      </c>
      <c r="BL341" s="857">
        <v>1415</v>
      </c>
      <c r="BM341" s="857">
        <v>2666</v>
      </c>
      <c r="BN341" s="857">
        <v>4816</v>
      </c>
      <c r="BO341" s="857">
        <v>5919</v>
      </c>
      <c r="BP341" s="857">
        <v>7754</v>
      </c>
      <c r="BQ341" s="857">
        <v>10273</v>
      </c>
      <c r="BR341" s="857">
        <v>13600</v>
      </c>
      <c r="BS341" s="857">
        <v>18447</v>
      </c>
      <c r="BT341" s="857">
        <v>24655</v>
      </c>
      <c r="BU341" s="857">
        <v>35338</v>
      </c>
      <c r="BV341" s="857">
        <v>38483</v>
      </c>
      <c r="BW341" s="862">
        <v>43873</v>
      </c>
      <c r="BX341" s="158"/>
      <c r="BY341" s="158"/>
      <c r="BZ341" s="158"/>
      <c r="CA341" s="158"/>
      <c r="CB341" s="158"/>
      <c r="CC341" s="117"/>
    </row>
    <row r="342" spans="1:81" outlineLevel="1" x14ac:dyDescent="0.55000000000000004">
      <c r="A342" s="116" t="s">
        <v>44</v>
      </c>
      <c r="B342" s="87"/>
      <c r="C342" s="759">
        <v>203</v>
      </c>
      <c r="D342" s="759">
        <v>269</v>
      </c>
      <c r="E342" s="759">
        <v>233</v>
      </c>
      <c r="F342" s="759">
        <v>292</v>
      </c>
      <c r="G342" s="759">
        <v>323</v>
      </c>
      <c r="H342" s="759">
        <v>358</v>
      </c>
      <c r="I342" s="759">
        <v>374</v>
      </c>
      <c r="J342" s="759">
        <v>624</v>
      </c>
      <c r="K342" s="759">
        <v>620</v>
      </c>
      <c r="L342" s="759">
        <v>626</v>
      </c>
      <c r="M342" s="759">
        <v>706</v>
      </c>
      <c r="N342" s="759">
        <v>772</v>
      </c>
      <c r="O342" s="759">
        <v>826</v>
      </c>
      <c r="P342" s="759">
        <v>901</v>
      </c>
      <c r="Q342" s="759">
        <v>926</v>
      </c>
      <c r="R342" s="759">
        <v>1118</v>
      </c>
      <c r="S342" s="759">
        <v>1057</v>
      </c>
      <c r="T342" s="759">
        <v>1124</v>
      </c>
      <c r="U342" s="759">
        <v>1170</v>
      </c>
      <c r="V342" s="759">
        <v>1374</v>
      </c>
      <c r="W342" s="759">
        <v>1595</v>
      </c>
      <c r="X342" s="759">
        <v>1855</v>
      </c>
      <c r="Y342" s="759">
        <v>1928</v>
      </c>
      <c r="Z342" s="117">
        <f>BQ342-Y342-X342-W342</f>
        <v>2468</v>
      </c>
      <c r="AA342" s="759">
        <v>2020</v>
      </c>
      <c r="AB342" s="759">
        <v>2414</v>
      </c>
      <c r="AC342" s="759">
        <v>2416</v>
      </c>
      <c r="AD342" s="117">
        <f>BR342-AC342-AB342-AA342</f>
        <v>3026</v>
      </c>
      <c r="AE342" s="759">
        <v>2787</v>
      </c>
      <c r="AF342" s="759">
        <v>2840</v>
      </c>
      <c r="AG342" s="759">
        <v>2683</v>
      </c>
      <c r="AH342" s="759">
        <v>3280</v>
      </c>
      <c r="AI342" s="759">
        <v>2843</v>
      </c>
      <c r="AJ342" s="759">
        <v>3259</v>
      </c>
      <c r="AK342" s="759">
        <v>3554</v>
      </c>
      <c r="AL342" s="759">
        <v>4387</v>
      </c>
      <c r="AM342" s="759">
        <v>3312</v>
      </c>
      <c r="AN342" s="759">
        <v>3595</v>
      </c>
      <c r="AO342" s="759">
        <v>3780</v>
      </c>
      <c r="AP342" s="759">
        <v>4574</v>
      </c>
      <c r="AQ342" s="759">
        <v>3044</v>
      </c>
      <c r="AR342" s="759">
        <v>3154</v>
      </c>
      <c r="AS342" s="759">
        <v>2877</v>
      </c>
      <c r="AT342" s="759">
        <v>3226</v>
      </c>
      <c r="AU342" s="759">
        <v>2564</v>
      </c>
      <c r="AV342" s="759">
        <v>2721</v>
      </c>
      <c r="AW342" s="759">
        <v>2822</v>
      </c>
      <c r="AX342" s="759">
        <v>3240</v>
      </c>
      <c r="AY342" s="762">
        <v>2757</v>
      </c>
      <c r="AZ342" s="37"/>
      <c r="BA342" s="37"/>
      <c r="BB342" s="37"/>
      <c r="BC342" s="37"/>
      <c r="BD342" s="37"/>
      <c r="BE342" s="37"/>
      <c r="BF342" s="37"/>
      <c r="BG342" s="37"/>
      <c r="BH342" s="857">
        <v>87</v>
      </c>
      <c r="BI342" s="857">
        <v>167</v>
      </c>
      <c r="BJ342" s="857">
        <v>393</v>
      </c>
      <c r="BK342" s="857">
        <v>896</v>
      </c>
      <c r="BL342" s="857">
        <v>997</v>
      </c>
      <c r="BM342" s="857">
        <v>1680</v>
      </c>
      <c r="BN342" s="857">
        <v>2725</v>
      </c>
      <c r="BO342" s="857">
        <v>3772</v>
      </c>
      <c r="BP342" s="857">
        <v>4725</v>
      </c>
      <c r="BQ342" s="857">
        <v>7846</v>
      </c>
      <c r="BR342" s="857">
        <v>9876</v>
      </c>
      <c r="BS342" s="857">
        <v>11591</v>
      </c>
      <c r="BT342" s="857">
        <v>14043</v>
      </c>
      <c r="BU342" s="857">
        <v>15262</v>
      </c>
      <c r="BV342" s="857">
        <v>12301</v>
      </c>
      <c r="BW342" s="862">
        <v>11347</v>
      </c>
      <c r="BX342" s="158"/>
      <c r="BY342" s="158"/>
      <c r="BZ342" s="158"/>
      <c r="CA342" s="158"/>
      <c r="CB342" s="158"/>
      <c r="CC342" s="117"/>
    </row>
    <row r="343" spans="1:81" outlineLevel="1" x14ac:dyDescent="0.55000000000000004">
      <c r="A343" s="116" t="s">
        <v>45</v>
      </c>
      <c r="B343" s="87"/>
      <c r="C343" s="759">
        <v>176</v>
      </c>
      <c r="D343" s="759">
        <v>173</v>
      </c>
      <c r="E343" s="759">
        <v>171</v>
      </c>
      <c r="F343" s="759">
        <v>261</v>
      </c>
      <c r="G343" s="759">
        <v>187</v>
      </c>
      <c r="H343" s="759">
        <v>197</v>
      </c>
      <c r="I343" s="759">
        <v>259</v>
      </c>
      <c r="J343" s="759">
        <v>330</v>
      </c>
      <c r="K343" s="759">
        <v>274</v>
      </c>
      <c r="L343" s="759">
        <v>305</v>
      </c>
      <c r="M343" s="759">
        <v>345</v>
      </c>
      <c r="N343" s="759">
        <v>371</v>
      </c>
      <c r="O343" s="759">
        <v>365</v>
      </c>
      <c r="P343" s="759">
        <v>413</v>
      </c>
      <c r="Q343" s="759">
        <v>439</v>
      </c>
      <c r="R343" s="759">
        <v>515</v>
      </c>
      <c r="S343" s="759">
        <v>655</v>
      </c>
      <c r="T343" s="759">
        <v>640</v>
      </c>
      <c r="U343" s="759">
        <v>536</v>
      </c>
      <c r="V343" s="759">
        <v>686</v>
      </c>
      <c r="W343" s="759">
        <v>757</v>
      </c>
      <c r="X343" s="759">
        <v>776</v>
      </c>
      <c r="Y343" s="759">
        <v>943</v>
      </c>
      <c r="Z343" s="117">
        <f>BQ343-Y343-X343-W343</f>
        <v>975</v>
      </c>
      <c r="AA343" s="759">
        <v>4064</v>
      </c>
      <c r="AB343" s="759">
        <v>3224</v>
      </c>
      <c r="AC343" s="759">
        <v>1348</v>
      </c>
      <c r="AD343" s="117">
        <f>BR343-AC343-AB343-AA343</f>
        <v>1829</v>
      </c>
      <c r="AE343" s="759">
        <v>1583</v>
      </c>
      <c r="AF343" s="759">
        <v>1593</v>
      </c>
      <c r="AG343" s="759">
        <v>1790</v>
      </c>
      <c r="AH343" s="759">
        <v>1599</v>
      </c>
      <c r="AI343" s="759">
        <v>1622</v>
      </c>
      <c r="AJ343" s="759">
        <v>1956</v>
      </c>
      <c r="AK343" s="759">
        <v>2946</v>
      </c>
      <c r="AL343" s="759">
        <v>3305</v>
      </c>
      <c r="AM343" s="759">
        <v>2360</v>
      </c>
      <c r="AN343" s="759">
        <v>2987</v>
      </c>
      <c r="AO343" s="759">
        <v>3384</v>
      </c>
      <c r="AP343" s="759">
        <v>3085</v>
      </c>
      <c r="AQ343" s="759">
        <v>2885</v>
      </c>
      <c r="AR343" s="759">
        <v>4164</v>
      </c>
      <c r="AS343" s="759">
        <v>2070</v>
      </c>
      <c r="AT343" s="759">
        <v>2289</v>
      </c>
      <c r="AU343" s="763">
        <v>3455</v>
      </c>
      <c r="AV343" s="759">
        <v>3658</v>
      </c>
      <c r="AW343" s="763">
        <v>1865</v>
      </c>
      <c r="AX343" s="759">
        <v>761</v>
      </c>
      <c r="AY343" s="764">
        <v>2280</v>
      </c>
      <c r="AZ343" s="37"/>
      <c r="BA343" s="37"/>
      <c r="BB343" s="37"/>
      <c r="BC343" s="37"/>
      <c r="BD343" s="37"/>
      <c r="BE343" s="37"/>
      <c r="BF343" s="37"/>
      <c r="BG343" s="37"/>
      <c r="BH343" s="857">
        <v>90</v>
      </c>
      <c r="BI343" s="857">
        <v>138</v>
      </c>
      <c r="BJ343" s="857">
        <v>314</v>
      </c>
      <c r="BK343" s="857">
        <v>892</v>
      </c>
      <c r="BL343" s="857">
        <v>781</v>
      </c>
      <c r="BM343" s="857">
        <v>973</v>
      </c>
      <c r="BN343" s="857">
        <v>1295</v>
      </c>
      <c r="BO343" s="857">
        <v>1731</v>
      </c>
      <c r="BP343" s="857">
        <v>2517</v>
      </c>
      <c r="BQ343" s="857">
        <v>3451</v>
      </c>
      <c r="BR343" s="857">
        <v>10465</v>
      </c>
      <c r="BS343" s="857">
        <v>6564</v>
      </c>
      <c r="BT343" s="857">
        <v>9829</v>
      </c>
      <c r="BU343" s="857">
        <v>11816</v>
      </c>
      <c r="BV343" s="857">
        <v>11408</v>
      </c>
      <c r="BW343" s="864">
        <v>9740</v>
      </c>
      <c r="BX343" s="158"/>
      <c r="BY343" s="158"/>
      <c r="BZ343" s="158"/>
      <c r="CA343" s="158"/>
      <c r="CB343" s="158"/>
      <c r="CC343" s="117"/>
    </row>
    <row r="344" spans="1:81" outlineLevel="1" x14ac:dyDescent="0.55000000000000004">
      <c r="A344" s="20" t="s">
        <v>46</v>
      </c>
      <c r="B344" s="195"/>
      <c r="C344" s="5">
        <f t="shared" ref="C344:AH344" si="414">SUM(C341:C343)</f>
        <v>672</v>
      </c>
      <c r="D344" s="5">
        <f t="shared" si="414"/>
        <v>786</v>
      </c>
      <c r="E344" s="5">
        <f t="shared" si="414"/>
        <v>773</v>
      </c>
      <c r="F344" s="5">
        <f t="shared" si="414"/>
        <v>961</v>
      </c>
      <c r="G344" s="5">
        <f t="shared" si="414"/>
        <v>965</v>
      </c>
      <c r="H344" s="5">
        <f t="shared" si="414"/>
        <v>1047</v>
      </c>
      <c r="I344" s="5">
        <f t="shared" si="414"/>
        <v>1241</v>
      </c>
      <c r="J344" s="5">
        <f t="shared" si="414"/>
        <v>2065</v>
      </c>
      <c r="K344" s="5">
        <f t="shared" si="414"/>
        <v>1956</v>
      </c>
      <c r="L344" s="5">
        <f t="shared" si="414"/>
        <v>2101</v>
      </c>
      <c r="M344" s="5">
        <f t="shared" si="414"/>
        <v>2322</v>
      </c>
      <c r="N344" s="5">
        <f t="shared" si="414"/>
        <v>2457</v>
      </c>
      <c r="O344" s="5">
        <f t="shared" si="414"/>
        <v>2534</v>
      </c>
      <c r="P344" s="5">
        <f t="shared" si="414"/>
        <v>2785</v>
      </c>
      <c r="Q344" s="5">
        <f t="shared" si="414"/>
        <v>2907</v>
      </c>
      <c r="R344" s="33">
        <f t="shared" si="414"/>
        <v>3196</v>
      </c>
      <c r="S344" s="5">
        <f t="shared" si="414"/>
        <v>3546</v>
      </c>
      <c r="T344" s="5">
        <f t="shared" si="414"/>
        <v>3683</v>
      </c>
      <c r="U344" s="5">
        <f t="shared" si="414"/>
        <v>3758</v>
      </c>
      <c r="V344" s="33">
        <f t="shared" si="414"/>
        <v>4009</v>
      </c>
      <c r="W344" s="5">
        <f t="shared" si="414"/>
        <v>4590</v>
      </c>
      <c r="X344" s="5">
        <f t="shared" si="414"/>
        <v>5154</v>
      </c>
      <c r="Y344" s="5">
        <f t="shared" si="414"/>
        <v>5528</v>
      </c>
      <c r="Z344" s="33">
        <f t="shared" si="414"/>
        <v>6298</v>
      </c>
      <c r="AA344" s="5">
        <f t="shared" si="414"/>
        <v>8944</v>
      </c>
      <c r="AB344" s="5">
        <f t="shared" si="414"/>
        <v>8953</v>
      </c>
      <c r="AC344" s="5">
        <f t="shared" si="414"/>
        <v>7312</v>
      </c>
      <c r="AD344" s="33">
        <f t="shared" si="414"/>
        <v>8732</v>
      </c>
      <c r="AE344" s="5">
        <f t="shared" si="414"/>
        <v>8385</v>
      </c>
      <c r="AF344" s="5">
        <f t="shared" si="414"/>
        <v>8895</v>
      </c>
      <c r="AG344" s="5">
        <f t="shared" si="414"/>
        <v>9236</v>
      </c>
      <c r="AH344" s="33">
        <f t="shared" si="414"/>
        <v>10087</v>
      </c>
      <c r="AI344" s="5">
        <f t="shared" ref="AI344:AY344" si="415">SUM(AI341:AI343)</f>
        <v>9662</v>
      </c>
      <c r="AJ344" s="5">
        <f t="shared" si="415"/>
        <v>11311</v>
      </c>
      <c r="AK344" s="5">
        <f t="shared" si="415"/>
        <v>12816</v>
      </c>
      <c r="AL344" s="33">
        <f t="shared" si="415"/>
        <v>14738</v>
      </c>
      <c r="AM344" s="5">
        <f t="shared" si="415"/>
        <v>13379</v>
      </c>
      <c r="AN344" s="5">
        <f t="shared" si="415"/>
        <v>15272</v>
      </c>
      <c r="AO344" s="5">
        <f t="shared" si="415"/>
        <v>16334</v>
      </c>
      <c r="AP344" s="33">
        <f t="shared" si="415"/>
        <v>17430</v>
      </c>
      <c r="AQ344" s="5">
        <f t="shared" si="415"/>
        <v>15310</v>
      </c>
      <c r="AR344" s="5">
        <f t="shared" si="415"/>
        <v>16662</v>
      </c>
      <c r="AS344" s="5">
        <f t="shared" si="415"/>
        <v>14188</v>
      </c>
      <c r="AT344" s="33">
        <f t="shared" si="415"/>
        <v>16032</v>
      </c>
      <c r="AU344" s="6">
        <f t="shared" si="415"/>
        <v>15997</v>
      </c>
      <c r="AV344" s="5">
        <f t="shared" si="415"/>
        <v>16916</v>
      </c>
      <c r="AW344" s="6">
        <f t="shared" si="415"/>
        <v>15864</v>
      </c>
      <c r="AX344" s="33">
        <f t="shared" si="415"/>
        <v>16181</v>
      </c>
      <c r="AY344" s="272">
        <f t="shared" si="415"/>
        <v>17187</v>
      </c>
      <c r="AZ344" s="33"/>
      <c r="BA344" s="33"/>
      <c r="BB344" s="33"/>
      <c r="BC344" s="33"/>
      <c r="BD344" s="33"/>
      <c r="BE344" s="33"/>
      <c r="BF344" s="33"/>
      <c r="BG344" s="33"/>
      <c r="BH344" s="834">
        <f t="shared" ref="BH344:BW344" si="416">SUM(BH341:BH343)</f>
        <v>292</v>
      </c>
      <c r="BI344" s="834">
        <f t="shared" si="416"/>
        <v>449</v>
      </c>
      <c r="BJ344" s="834">
        <f t="shared" si="416"/>
        <v>1095</v>
      </c>
      <c r="BK344" s="834">
        <f t="shared" si="416"/>
        <v>3187</v>
      </c>
      <c r="BL344" s="834">
        <f t="shared" si="416"/>
        <v>3193</v>
      </c>
      <c r="BM344" s="834">
        <f t="shared" si="416"/>
        <v>5319</v>
      </c>
      <c r="BN344" s="834">
        <f t="shared" si="416"/>
        <v>8836</v>
      </c>
      <c r="BO344" s="833">
        <f t="shared" si="416"/>
        <v>11422</v>
      </c>
      <c r="BP344" s="833">
        <f t="shared" si="416"/>
        <v>14996</v>
      </c>
      <c r="BQ344" s="833">
        <f t="shared" si="416"/>
        <v>21570</v>
      </c>
      <c r="BR344" s="833">
        <f t="shared" si="416"/>
        <v>33941</v>
      </c>
      <c r="BS344" s="833">
        <f t="shared" si="416"/>
        <v>36602</v>
      </c>
      <c r="BT344" s="833">
        <f t="shared" si="416"/>
        <v>48527</v>
      </c>
      <c r="BU344" s="833">
        <f t="shared" si="416"/>
        <v>62416</v>
      </c>
      <c r="BV344" s="833">
        <f t="shared" si="416"/>
        <v>62192</v>
      </c>
      <c r="BW344" s="814">
        <f t="shared" si="416"/>
        <v>64960</v>
      </c>
      <c r="BX344" s="833"/>
      <c r="BY344" s="833"/>
      <c r="BZ344" s="833"/>
      <c r="CA344" s="833"/>
      <c r="CB344" s="833"/>
      <c r="CC344" s="6"/>
    </row>
    <row r="345" spans="1:81" outlineLevel="1" x14ac:dyDescent="0.55000000000000004">
      <c r="A345" s="19" t="s">
        <v>47</v>
      </c>
      <c r="B345" s="193"/>
      <c r="C345" s="6">
        <f t="shared" ref="C345:AH345" si="417">C340-C344</f>
        <v>373</v>
      </c>
      <c r="D345" s="6">
        <f t="shared" si="417"/>
        <v>562</v>
      </c>
      <c r="E345" s="6">
        <f t="shared" si="417"/>
        <v>736</v>
      </c>
      <c r="F345" s="6">
        <f t="shared" si="417"/>
        <v>1133</v>
      </c>
      <c r="G345" s="6">
        <f t="shared" si="417"/>
        <v>1075</v>
      </c>
      <c r="H345" s="6">
        <f t="shared" si="417"/>
        <v>1390</v>
      </c>
      <c r="I345" s="6">
        <f t="shared" si="417"/>
        <v>1397</v>
      </c>
      <c r="J345" s="6">
        <f t="shared" si="417"/>
        <v>1133</v>
      </c>
      <c r="K345" s="6">
        <f t="shared" si="417"/>
        <v>933</v>
      </c>
      <c r="L345" s="6">
        <f t="shared" si="417"/>
        <v>1273</v>
      </c>
      <c r="M345" s="6">
        <f t="shared" si="417"/>
        <v>1459</v>
      </c>
      <c r="N345" s="6">
        <f t="shared" si="417"/>
        <v>2560</v>
      </c>
      <c r="O345" s="6">
        <f t="shared" si="417"/>
        <v>2010</v>
      </c>
      <c r="P345" s="6">
        <f t="shared" si="417"/>
        <v>2734</v>
      </c>
      <c r="Q345" s="6">
        <f t="shared" si="417"/>
        <v>3117</v>
      </c>
      <c r="R345" s="35">
        <f t="shared" si="417"/>
        <v>4566</v>
      </c>
      <c r="S345" s="6">
        <f t="shared" si="417"/>
        <v>3327</v>
      </c>
      <c r="T345" s="6">
        <f t="shared" si="417"/>
        <v>4401</v>
      </c>
      <c r="U345" s="6">
        <f t="shared" si="417"/>
        <v>5122</v>
      </c>
      <c r="V345" s="35">
        <f t="shared" si="417"/>
        <v>7352</v>
      </c>
      <c r="W345" s="6">
        <f t="shared" si="417"/>
        <v>5449</v>
      </c>
      <c r="X345" s="6">
        <f t="shared" si="417"/>
        <v>5863</v>
      </c>
      <c r="Y345" s="6">
        <f t="shared" si="417"/>
        <v>5781</v>
      </c>
      <c r="Z345" s="35">
        <f t="shared" si="417"/>
        <v>7820</v>
      </c>
      <c r="AA345" s="6">
        <f t="shared" si="417"/>
        <v>3317</v>
      </c>
      <c r="AB345" s="6">
        <f t="shared" si="417"/>
        <v>4626</v>
      </c>
      <c r="AC345" s="6">
        <f t="shared" si="417"/>
        <v>7185</v>
      </c>
      <c r="AD345" s="35">
        <f t="shared" si="417"/>
        <v>8858</v>
      </c>
      <c r="AE345" s="6">
        <f t="shared" si="417"/>
        <v>5893</v>
      </c>
      <c r="AF345" s="6">
        <f t="shared" si="417"/>
        <v>5963</v>
      </c>
      <c r="AG345" s="6">
        <f t="shared" si="417"/>
        <v>8040</v>
      </c>
      <c r="AH345" s="35">
        <f t="shared" si="417"/>
        <v>12775</v>
      </c>
      <c r="AI345" s="6">
        <f t="shared" ref="AI345:AY345" si="418">AI340-AI344</f>
        <v>11378</v>
      </c>
      <c r="AJ345" s="6">
        <f t="shared" si="418"/>
        <v>12367</v>
      </c>
      <c r="AK345" s="6">
        <f t="shared" si="418"/>
        <v>10423</v>
      </c>
      <c r="AL345" s="35">
        <f t="shared" si="418"/>
        <v>12585</v>
      </c>
      <c r="AM345" s="6">
        <f t="shared" si="418"/>
        <v>8524</v>
      </c>
      <c r="AN345" s="6">
        <f t="shared" si="418"/>
        <v>8358</v>
      </c>
      <c r="AO345" s="6">
        <f t="shared" si="418"/>
        <v>5664</v>
      </c>
      <c r="AP345" s="35">
        <f t="shared" si="418"/>
        <v>6399</v>
      </c>
      <c r="AQ345" s="6">
        <f t="shared" si="418"/>
        <v>7227</v>
      </c>
      <c r="AR345" s="6">
        <f t="shared" si="418"/>
        <v>9392</v>
      </c>
      <c r="AS345" s="6">
        <f t="shared" si="418"/>
        <v>13748</v>
      </c>
      <c r="AT345" s="35">
        <f t="shared" si="418"/>
        <v>16384</v>
      </c>
      <c r="AU345" s="6">
        <f t="shared" si="418"/>
        <v>13818</v>
      </c>
      <c r="AV345" s="6">
        <f t="shared" si="418"/>
        <v>14847</v>
      </c>
      <c r="AW345" s="6">
        <f t="shared" si="418"/>
        <v>17350</v>
      </c>
      <c r="AX345" s="35">
        <f t="shared" si="418"/>
        <v>23365</v>
      </c>
      <c r="AY345" s="272">
        <f t="shared" si="418"/>
        <v>17555</v>
      </c>
      <c r="AZ345" s="35"/>
      <c r="BA345" s="35"/>
      <c r="BB345" s="35"/>
      <c r="BC345" s="35"/>
      <c r="BD345" s="35"/>
      <c r="BE345" s="35"/>
      <c r="BF345" s="35"/>
      <c r="BG345" s="35"/>
      <c r="BH345" s="813">
        <f t="shared" ref="BH345:BW345" si="419">BH340-BH344</f>
        <v>262</v>
      </c>
      <c r="BI345" s="813">
        <f t="shared" si="419"/>
        <v>1032</v>
      </c>
      <c r="BJ345" s="813">
        <f t="shared" si="419"/>
        <v>1756</v>
      </c>
      <c r="BK345" s="813">
        <f t="shared" si="419"/>
        <v>538</v>
      </c>
      <c r="BL345" s="813">
        <f t="shared" si="419"/>
        <v>2804</v>
      </c>
      <c r="BM345" s="813">
        <f t="shared" si="419"/>
        <v>4994</v>
      </c>
      <c r="BN345" s="813">
        <f t="shared" si="419"/>
        <v>6225</v>
      </c>
      <c r="BO345" s="812">
        <f t="shared" si="419"/>
        <v>12427</v>
      </c>
      <c r="BP345" s="812">
        <f t="shared" si="419"/>
        <v>20203</v>
      </c>
      <c r="BQ345" s="812">
        <f t="shared" si="419"/>
        <v>24913</v>
      </c>
      <c r="BR345" s="812">
        <f t="shared" si="419"/>
        <v>23986</v>
      </c>
      <c r="BS345" s="812">
        <f t="shared" si="419"/>
        <v>32671</v>
      </c>
      <c r="BT345" s="812">
        <f t="shared" si="419"/>
        <v>46753</v>
      </c>
      <c r="BU345" s="812">
        <f t="shared" si="419"/>
        <v>28944</v>
      </c>
      <c r="BV345" s="812">
        <f t="shared" si="419"/>
        <v>46751</v>
      </c>
      <c r="BW345" s="814">
        <f t="shared" si="419"/>
        <v>69380</v>
      </c>
      <c r="BX345" s="812"/>
      <c r="BY345" s="812"/>
      <c r="BZ345" s="812"/>
      <c r="CA345" s="812"/>
      <c r="CB345" s="812"/>
      <c r="CC345" s="6"/>
    </row>
    <row r="346" spans="1:81" outlineLevel="2" x14ac:dyDescent="0.55000000000000004">
      <c r="A346" s="414" t="s">
        <v>1056</v>
      </c>
      <c r="B346" s="8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759">
        <v>81</v>
      </c>
      <c r="AN346" s="759">
        <v>96</v>
      </c>
      <c r="AO346" s="759">
        <v>142</v>
      </c>
      <c r="AP346" s="37">
        <f>BU346-SUM(AM346,AN346,AO346)</f>
        <v>142</v>
      </c>
      <c r="AQ346" s="759">
        <v>193</v>
      </c>
      <c r="AR346" s="759">
        <v>323</v>
      </c>
      <c r="AS346" s="759">
        <v>534</v>
      </c>
      <c r="AT346" s="37">
        <f>BV346-SUM(AQ346,AR346,AS346)</f>
        <v>589</v>
      </c>
      <c r="AU346" s="759">
        <v>585</v>
      </c>
      <c r="AV346" s="759">
        <v>540</v>
      </c>
      <c r="AW346" s="759">
        <v>661</v>
      </c>
      <c r="AX346" s="117">
        <f>BW346-SUM(AU346,AV346,AW346)</f>
        <v>731</v>
      </c>
      <c r="AY346" s="762">
        <v>700</v>
      </c>
      <c r="AZ346" s="37"/>
      <c r="BA346" s="37"/>
      <c r="BB346" s="37"/>
      <c r="BC346" s="37"/>
      <c r="BD346" s="37"/>
      <c r="BE346" s="37"/>
      <c r="BF346" s="37"/>
      <c r="BG346" s="37"/>
      <c r="BH346" s="158"/>
      <c r="BI346" s="158"/>
      <c r="BJ346" s="158"/>
      <c r="BK346" s="158"/>
      <c r="BL346" s="158"/>
      <c r="BM346" s="158"/>
      <c r="BN346" s="158"/>
      <c r="BO346" s="158"/>
      <c r="BP346" s="158"/>
      <c r="BQ346" s="158"/>
      <c r="BR346" s="158"/>
      <c r="BS346" s="158"/>
      <c r="BT346" s="158"/>
      <c r="BU346" s="857">
        <v>461</v>
      </c>
      <c r="BV346" s="857">
        <v>1639</v>
      </c>
      <c r="BW346" s="862">
        <v>2517</v>
      </c>
      <c r="BX346" s="158"/>
      <c r="BY346" s="158"/>
      <c r="BZ346" s="158"/>
      <c r="CA346" s="158"/>
      <c r="CB346" s="158"/>
      <c r="CC346" s="117"/>
    </row>
    <row r="347" spans="1:81" outlineLevel="2" x14ac:dyDescent="0.55000000000000004">
      <c r="A347" s="515" t="s">
        <v>78</v>
      </c>
      <c r="B347" s="244"/>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763">
        <v>-5</v>
      </c>
      <c r="AN347" s="763">
        <v>-5</v>
      </c>
      <c r="AO347" s="763">
        <v>-65</v>
      </c>
      <c r="AP347" s="82">
        <f>BU347-SUM(AM347,AN347,AO347)</f>
        <v>-110</v>
      </c>
      <c r="AQ347" s="763">
        <v>-55</v>
      </c>
      <c r="AR347" s="763">
        <v>-116</v>
      </c>
      <c r="AS347" s="763">
        <v>-139</v>
      </c>
      <c r="AT347" s="82">
        <f>BV347-SUM(AQ347,AR347,AS347)</f>
        <v>-136</v>
      </c>
      <c r="AU347" s="763">
        <v>-127</v>
      </c>
      <c r="AV347" s="763">
        <v>-128</v>
      </c>
      <c r="AW347" s="763">
        <v>-208</v>
      </c>
      <c r="AX347" s="14">
        <f>BW347-SUM(AU347,AV347,AW347)</f>
        <v>-252</v>
      </c>
      <c r="AY347" s="764">
        <v>-250</v>
      </c>
      <c r="AZ347" s="82"/>
      <c r="BA347" s="82"/>
      <c r="BB347" s="82"/>
      <c r="BC347" s="82"/>
      <c r="BD347" s="82"/>
      <c r="BE347" s="82"/>
      <c r="BF347" s="82"/>
      <c r="BG347" s="82"/>
      <c r="BH347" s="854"/>
      <c r="BI347" s="854"/>
      <c r="BJ347" s="854"/>
      <c r="BK347" s="854"/>
      <c r="BL347" s="854"/>
      <c r="BM347" s="854"/>
      <c r="BN347" s="854"/>
      <c r="BO347" s="854"/>
      <c r="BP347" s="854"/>
      <c r="BQ347" s="854"/>
      <c r="BR347" s="854"/>
      <c r="BS347" s="854"/>
      <c r="BT347" s="854"/>
      <c r="BU347" s="863">
        <v>-185</v>
      </c>
      <c r="BV347" s="863">
        <v>-446</v>
      </c>
      <c r="BW347" s="864">
        <v>-715</v>
      </c>
      <c r="BX347" s="854"/>
      <c r="BY347" s="854"/>
      <c r="BZ347" s="854"/>
      <c r="CA347" s="854"/>
      <c r="CB347" s="854"/>
      <c r="CC347" s="117"/>
    </row>
    <row r="348" spans="1:81" outlineLevel="1" x14ac:dyDescent="0.55000000000000004">
      <c r="A348" s="86" t="s">
        <v>406</v>
      </c>
      <c r="B348" s="87"/>
      <c r="C348" s="759">
        <v>-10</v>
      </c>
      <c r="D348" s="759">
        <v>-9</v>
      </c>
      <c r="E348" s="759">
        <v>-16</v>
      </c>
      <c r="F348" s="37">
        <f>BL348-SUM(C348,D348,E348)</f>
        <v>-2</v>
      </c>
      <c r="G348" s="759">
        <v>0</v>
      </c>
      <c r="H348" s="759">
        <v>0</v>
      </c>
      <c r="I348" s="759">
        <v>4</v>
      </c>
      <c r="J348" s="37">
        <f>BM348-SUM(G348,H348,I348)</f>
        <v>0</v>
      </c>
      <c r="K348" s="759">
        <v>2</v>
      </c>
      <c r="L348" s="759">
        <v>5</v>
      </c>
      <c r="M348" s="759">
        <v>7</v>
      </c>
      <c r="N348" s="37">
        <f>BN348-SUM(K348,L348,M348)</f>
        <v>15</v>
      </c>
      <c r="O348" s="759">
        <v>27</v>
      </c>
      <c r="P348" s="759">
        <v>32</v>
      </c>
      <c r="Q348" s="759">
        <v>50</v>
      </c>
      <c r="R348" s="759">
        <v>56</v>
      </c>
      <c r="S348" s="759">
        <v>67</v>
      </c>
      <c r="T348" s="759">
        <v>91</v>
      </c>
      <c r="U348" s="759">
        <v>108</v>
      </c>
      <c r="V348" s="37">
        <f>BP348-SUM(S348,T348,U348)</f>
        <v>126</v>
      </c>
      <c r="W348" s="759">
        <v>145</v>
      </c>
      <c r="X348" s="759">
        <v>143</v>
      </c>
      <c r="Y348" s="759">
        <v>176</v>
      </c>
      <c r="Z348" s="37">
        <f>BQ348-Y348-X348-W348</f>
        <v>188</v>
      </c>
      <c r="AA348" s="759">
        <v>198</v>
      </c>
      <c r="AB348" s="759">
        <v>219</v>
      </c>
      <c r="AC348" s="759">
        <v>258</v>
      </c>
      <c r="AD348" s="37">
        <f>BR348-AC348-AB348-AA348</f>
        <v>229</v>
      </c>
      <c r="AE348" s="759">
        <v>228</v>
      </c>
      <c r="AF348" s="759">
        <v>162</v>
      </c>
      <c r="AG348" s="759">
        <v>146</v>
      </c>
      <c r="AH348" s="37">
        <f>BS348-SUM(AE348,AF348,AG348)</f>
        <v>136</v>
      </c>
      <c r="AI348" s="759">
        <v>118</v>
      </c>
      <c r="AJ348" s="759">
        <v>121</v>
      </c>
      <c r="AK348" s="759">
        <v>120</v>
      </c>
      <c r="AL348" s="37">
        <f>BT348-SUM(AI348,AJ348,AK348)</f>
        <v>102</v>
      </c>
      <c r="AM348" s="37">
        <f t="shared" ref="AM348:AY348" si="420">SUM(AM346:AM347)</f>
        <v>76</v>
      </c>
      <c r="AN348" s="37">
        <f t="shared" si="420"/>
        <v>91</v>
      </c>
      <c r="AO348" s="37">
        <f t="shared" si="420"/>
        <v>77</v>
      </c>
      <c r="AP348" s="37">
        <f t="shared" si="420"/>
        <v>32</v>
      </c>
      <c r="AQ348" s="37">
        <f t="shared" si="420"/>
        <v>138</v>
      </c>
      <c r="AR348" s="37">
        <f t="shared" si="420"/>
        <v>207</v>
      </c>
      <c r="AS348" s="37">
        <f t="shared" si="420"/>
        <v>395</v>
      </c>
      <c r="AT348" s="37">
        <f t="shared" si="420"/>
        <v>453</v>
      </c>
      <c r="AU348" s="37">
        <f t="shared" si="420"/>
        <v>458</v>
      </c>
      <c r="AV348" s="37">
        <f t="shared" si="420"/>
        <v>412</v>
      </c>
      <c r="AW348" s="37">
        <f t="shared" si="420"/>
        <v>453</v>
      </c>
      <c r="AX348" s="117">
        <f t="shared" si="420"/>
        <v>479</v>
      </c>
      <c r="AY348" s="273">
        <f t="shared" si="420"/>
        <v>450</v>
      </c>
      <c r="AZ348" s="37"/>
      <c r="BA348" s="37"/>
      <c r="BB348" s="37"/>
      <c r="BC348" s="37"/>
      <c r="BD348" s="37"/>
      <c r="BE348" s="37"/>
      <c r="BF348" s="37"/>
      <c r="BG348" s="37"/>
      <c r="BH348" s="857">
        <v>-10</v>
      </c>
      <c r="BI348" s="857">
        <v>-22</v>
      </c>
      <c r="BJ348" s="857">
        <v>-42</v>
      </c>
      <c r="BK348" s="857">
        <v>-51</v>
      </c>
      <c r="BL348" s="857">
        <v>-37</v>
      </c>
      <c r="BM348" s="857">
        <v>4</v>
      </c>
      <c r="BN348" s="857">
        <v>29</v>
      </c>
      <c r="BO348" s="857">
        <v>166</v>
      </c>
      <c r="BP348" s="857">
        <v>392</v>
      </c>
      <c r="BQ348" s="857">
        <v>652</v>
      </c>
      <c r="BR348" s="857">
        <v>904</v>
      </c>
      <c r="BS348" s="857">
        <v>672</v>
      </c>
      <c r="BT348" s="857">
        <v>461</v>
      </c>
      <c r="BU348" s="158">
        <f>SUM(BU346:BU347)</f>
        <v>276</v>
      </c>
      <c r="BV348" s="158">
        <f>SUM(BV346:BV347)</f>
        <v>1193</v>
      </c>
      <c r="BW348" s="846">
        <f>SUM(BW346:BW347)</f>
        <v>1802</v>
      </c>
      <c r="BX348" s="158"/>
      <c r="BY348" s="158"/>
      <c r="BZ348" s="158"/>
      <c r="CA348" s="158"/>
      <c r="CB348" s="158"/>
      <c r="CC348" s="117"/>
    </row>
    <row r="349" spans="1:81" outlineLevel="1" x14ac:dyDescent="0.55000000000000004">
      <c r="A349" s="86" t="s">
        <v>565</v>
      </c>
      <c r="B349" s="8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759">
        <v>-93</v>
      </c>
      <c r="AJ349" s="37"/>
      <c r="AK349" s="759">
        <v>-48</v>
      </c>
      <c r="AL349" s="37">
        <f>BT349-SUM(AI349,AJ349,AK349)</f>
        <v>1</v>
      </c>
      <c r="AM349" s="759">
        <v>54</v>
      </c>
      <c r="AN349" s="759">
        <v>-60</v>
      </c>
      <c r="AO349" s="759">
        <v>-131</v>
      </c>
      <c r="AP349" s="37">
        <f>BU349-SUM(AM349,AN349,AO349)</f>
        <v>56</v>
      </c>
      <c r="AQ349" s="759">
        <v>-63</v>
      </c>
      <c r="AR349" s="759">
        <v>-145</v>
      </c>
      <c r="AS349" s="759">
        <v>-98</v>
      </c>
      <c r="AT349" s="37">
        <f>BV349-SUM(AQ349,AR349,AS349)</f>
        <v>-60</v>
      </c>
      <c r="AU349" s="759">
        <v>-148</v>
      </c>
      <c r="AV349" s="759">
        <v>-168</v>
      </c>
      <c r="AW349" s="759">
        <v>11</v>
      </c>
      <c r="AX349" s="117">
        <f>BW349-SUM(AU349,AV349,AW349)</f>
        <v>-385</v>
      </c>
      <c r="AY349" s="762">
        <v>350</v>
      </c>
      <c r="AZ349" s="37"/>
      <c r="BA349" s="37"/>
      <c r="BB349" s="37"/>
      <c r="BC349" s="37"/>
      <c r="BD349" s="37"/>
      <c r="BE349" s="37"/>
      <c r="BF349" s="37"/>
      <c r="BG349" s="37"/>
      <c r="BH349" s="158"/>
      <c r="BI349" s="158"/>
      <c r="BJ349" s="158"/>
      <c r="BK349" s="158"/>
      <c r="BL349" s="158"/>
      <c r="BM349" s="158"/>
      <c r="BN349" s="158"/>
      <c r="BO349" s="158"/>
      <c r="BP349" s="158"/>
      <c r="BQ349" s="158"/>
      <c r="BR349" s="158"/>
      <c r="BS349" s="158"/>
      <c r="BT349" s="857">
        <v>-140</v>
      </c>
      <c r="BU349" s="857">
        <v>-81</v>
      </c>
      <c r="BV349" s="857">
        <v>-366</v>
      </c>
      <c r="BW349" s="862">
        <v>-690</v>
      </c>
      <c r="BX349" s="158"/>
      <c r="BY349" s="158"/>
      <c r="BZ349" s="158"/>
      <c r="CA349" s="158"/>
      <c r="CB349" s="158"/>
      <c r="CC349" s="117"/>
    </row>
    <row r="350" spans="1:81" outlineLevel="1" x14ac:dyDescent="0.55000000000000004">
      <c r="A350" s="86" t="s">
        <v>48</v>
      </c>
      <c r="B350" s="87"/>
      <c r="C350" s="759">
        <v>-10</v>
      </c>
      <c r="D350" s="759">
        <v>-8</v>
      </c>
      <c r="E350" s="759">
        <v>6</v>
      </c>
      <c r="F350" s="37">
        <f>BL350-SUM(C350,D350,E350)</f>
        <v>-1</v>
      </c>
      <c r="G350" s="759">
        <v>0</v>
      </c>
      <c r="H350" s="759">
        <v>-4</v>
      </c>
      <c r="I350" s="759">
        <v>-65</v>
      </c>
      <c r="J350" s="759">
        <v>-19</v>
      </c>
      <c r="K350" s="759">
        <v>-3</v>
      </c>
      <c r="L350" s="759">
        <v>-5</v>
      </c>
      <c r="M350" s="759">
        <v>-34</v>
      </c>
      <c r="N350" s="37">
        <f>BN350-SUM(K350,L350,M350)</f>
        <v>-18</v>
      </c>
      <c r="O350" s="759">
        <v>29</v>
      </c>
      <c r="P350" s="759">
        <v>-12</v>
      </c>
      <c r="Q350" s="759">
        <v>-3</v>
      </c>
      <c r="R350" s="759">
        <v>-89</v>
      </c>
      <c r="S350" s="759">
        <v>14</v>
      </c>
      <c r="T350" s="759">
        <v>-4</v>
      </c>
      <c r="U350" s="759">
        <v>6</v>
      </c>
      <c r="V350" s="37">
        <f>BP350-SUM(S350,T350,U350)</f>
        <v>-17</v>
      </c>
      <c r="W350" s="759">
        <v>16</v>
      </c>
      <c r="X350" s="759">
        <v>-138</v>
      </c>
      <c r="Y350" s="759">
        <v>-45</v>
      </c>
      <c r="Z350" s="37">
        <f>BQ350-Y350-X350-W350</f>
        <v>-37</v>
      </c>
      <c r="AA350" s="759">
        <v>-33</v>
      </c>
      <c r="AB350" s="759">
        <v>-13</v>
      </c>
      <c r="AC350" s="759">
        <v>-114</v>
      </c>
      <c r="AD350" s="37">
        <f>BR350-AC350-AB350-AA350</f>
        <v>82</v>
      </c>
      <c r="AE350" s="759">
        <v>-260</v>
      </c>
      <c r="AF350" s="759">
        <v>6</v>
      </c>
      <c r="AG350" s="759">
        <v>-53</v>
      </c>
      <c r="AH350" s="37">
        <f>BS350-AG350-AF350-AE350</f>
        <v>144</v>
      </c>
      <c r="AI350" s="759">
        <v>100</v>
      </c>
      <c r="AJ350" s="759">
        <v>25</v>
      </c>
      <c r="AK350" s="759">
        <v>70</v>
      </c>
      <c r="AL350" s="37">
        <f>BT350-SUM(AI350,AJ350,AK350)</f>
        <v>15</v>
      </c>
      <c r="AM350" s="759">
        <v>254</v>
      </c>
      <c r="AN350" s="759">
        <v>-203</v>
      </c>
      <c r="AO350" s="759">
        <v>-34</v>
      </c>
      <c r="AP350" s="37">
        <f>-250-AP349-AP348</f>
        <v>-338</v>
      </c>
      <c r="AQ350" s="759">
        <v>5</v>
      </c>
      <c r="AR350" s="759">
        <v>-161</v>
      </c>
      <c r="AS350" s="759">
        <v>-25</v>
      </c>
      <c r="AT350" s="37">
        <f>424-AT349-AT348</f>
        <v>31</v>
      </c>
      <c r="AU350" s="763">
        <v>55</v>
      </c>
      <c r="AV350" s="759">
        <v>15</v>
      </c>
      <c r="AW350" s="763">
        <v>8</v>
      </c>
      <c r="AX350" s="117">
        <f>188-AX349-AX348</f>
        <v>94</v>
      </c>
      <c r="AY350" s="406">
        <f>827-AY349-AY348</f>
        <v>27</v>
      </c>
      <c r="AZ350" s="37"/>
      <c r="BA350" s="37"/>
      <c r="BB350" s="37"/>
      <c r="BC350" s="37"/>
      <c r="BD350" s="37"/>
      <c r="BE350" s="37"/>
      <c r="BF350" s="37"/>
      <c r="BG350" s="37"/>
      <c r="BH350" s="857">
        <v>2</v>
      </c>
      <c r="BI350" s="857">
        <v>-2</v>
      </c>
      <c r="BJ350" s="857">
        <v>-19</v>
      </c>
      <c r="BK350" s="857">
        <v>7</v>
      </c>
      <c r="BL350" s="857">
        <v>-13</v>
      </c>
      <c r="BM350" s="857">
        <v>-88</v>
      </c>
      <c r="BN350" s="857">
        <v>-60</v>
      </c>
      <c r="BO350" s="857">
        <v>-75</v>
      </c>
      <c r="BP350" s="857">
        <v>-1</v>
      </c>
      <c r="BQ350" s="857">
        <v>-204</v>
      </c>
      <c r="BR350" s="857">
        <v>-78</v>
      </c>
      <c r="BS350" s="857">
        <f>-129-34</f>
        <v>-163</v>
      </c>
      <c r="BT350" s="857">
        <v>210</v>
      </c>
      <c r="BU350" s="857">
        <v>-320</v>
      </c>
      <c r="BV350" s="857">
        <v>-150</v>
      </c>
      <c r="BW350" s="864">
        <v>171</v>
      </c>
      <c r="BX350" s="158"/>
      <c r="BY350" s="158"/>
      <c r="BZ350" s="158"/>
      <c r="CA350" s="158"/>
      <c r="CB350" s="158"/>
      <c r="CC350" s="117"/>
    </row>
    <row r="351" spans="1:81" outlineLevel="1" x14ac:dyDescent="0.55000000000000004">
      <c r="A351" s="20" t="s">
        <v>49</v>
      </c>
      <c r="B351" s="195"/>
      <c r="C351" s="5">
        <f t="shared" ref="C351:AH351" si="421">SUM(C348:C350,C345)</f>
        <v>353</v>
      </c>
      <c r="D351" s="5">
        <f t="shared" si="421"/>
        <v>545</v>
      </c>
      <c r="E351" s="5">
        <f t="shared" si="421"/>
        <v>726</v>
      </c>
      <c r="F351" s="5">
        <f t="shared" si="421"/>
        <v>1130</v>
      </c>
      <c r="G351" s="5">
        <f t="shared" si="421"/>
        <v>1075</v>
      </c>
      <c r="H351" s="5">
        <f t="shared" si="421"/>
        <v>1386</v>
      </c>
      <c r="I351" s="5">
        <f t="shared" si="421"/>
        <v>1336</v>
      </c>
      <c r="J351" s="5">
        <f t="shared" si="421"/>
        <v>1114</v>
      </c>
      <c r="K351" s="5">
        <f t="shared" si="421"/>
        <v>932</v>
      </c>
      <c r="L351" s="5">
        <f t="shared" si="421"/>
        <v>1273</v>
      </c>
      <c r="M351" s="5">
        <f t="shared" si="421"/>
        <v>1432</v>
      </c>
      <c r="N351" s="5">
        <f t="shared" si="421"/>
        <v>2557</v>
      </c>
      <c r="O351" s="5">
        <f t="shared" si="421"/>
        <v>2066</v>
      </c>
      <c r="P351" s="5">
        <f t="shared" si="421"/>
        <v>2754</v>
      </c>
      <c r="Q351" s="5">
        <f t="shared" si="421"/>
        <v>3164</v>
      </c>
      <c r="R351" s="33">
        <f t="shared" si="421"/>
        <v>4533</v>
      </c>
      <c r="S351" s="5">
        <f t="shared" si="421"/>
        <v>3408</v>
      </c>
      <c r="T351" s="5">
        <f t="shared" si="421"/>
        <v>4488</v>
      </c>
      <c r="U351" s="5">
        <f t="shared" si="421"/>
        <v>5236</v>
      </c>
      <c r="V351" s="33">
        <f t="shared" si="421"/>
        <v>7461</v>
      </c>
      <c r="W351" s="5">
        <f t="shared" si="421"/>
        <v>5610</v>
      </c>
      <c r="X351" s="5">
        <f t="shared" si="421"/>
        <v>5868</v>
      </c>
      <c r="Y351" s="5">
        <f t="shared" si="421"/>
        <v>5912</v>
      </c>
      <c r="Z351" s="33">
        <f t="shared" si="421"/>
        <v>7971</v>
      </c>
      <c r="AA351" s="5">
        <f t="shared" si="421"/>
        <v>3482</v>
      </c>
      <c r="AB351" s="5">
        <f t="shared" si="421"/>
        <v>4832</v>
      </c>
      <c r="AC351" s="5">
        <f t="shared" si="421"/>
        <v>7329</v>
      </c>
      <c r="AD351" s="33">
        <f t="shared" si="421"/>
        <v>9169</v>
      </c>
      <c r="AE351" s="5">
        <f t="shared" si="421"/>
        <v>5861</v>
      </c>
      <c r="AF351" s="5">
        <f t="shared" si="421"/>
        <v>6131</v>
      </c>
      <c r="AG351" s="5">
        <f t="shared" si="421"/>
        <v>8133</v>
      </c>
      <c r="AH351" s="33">
        <f t="shared" si="421"/>
        <v>13055</v>
      </c>
      <c r="AI351" s="5">
        <f t="shared" ref="AI351:AY351" si="422">SUM(AI348:AI350,AI345)</f>
        <v>11503</v>
      </c>
      <c r="AJ351" s="5">
        <f t="shared" si="422"/>
        <v>12513</v>
      </c>
      <c r="AK351" s="5">
        <f t="shared" si="422"/>
        <v>10565</v>
      </c>
      <c r="AL351" s="33">
        <f t="shared" si="422"/>
        <v>12703</v>
      </c>
      <c r="AM351" s="5">
        <f t="shared" si="422"/>
        <v>8908</v>
      </c>
      <c r="AN351" s="5">
        <f t="shared" si="422"/>
        <v>8186</v>
      </c>
      <c r="AO351" s="5">
        <f t="shared" si="422"/>
        <v>5576</v>
      </c>
      <c r="AP351" s="33">
        <f t="shared" si="422"/>
        <v>6149</v>
      </c>
      <c r="AQ351" s="5">
        <f t="shared" si="422"/>
        <v>7307</v>
      </c>
      <c r="AR351" s="5">
        <f t="shared" si="422"/>
        <v>9293</v>
      </c>
      <c r="AS351" s="5">
        <f t="shared" si="422"/>
        <v>14020</v>
      </c>
      <c r="AT351" s="33">
        <f t="shared" si="422"/>
        <v>16808</v>
      </c>
      <c r="AU351" s="6">
        <f t="shared" si="422"/>
        <v>14183</v>
      </c>
      <c r="AV351" s="5">
        <f t="shared" si="422"/>
        <v>15106</v>
      </c>
      <c r="AW351" s="6">
        <f t="shared" si="422"/>
        <v>17822</v>
      </c>
      <c r="AX351" s="33">
        <f t="shared" si="422"/>
        <v>23553</v>
      </c>
      <c r="AY351" s="272">
        <f t="shared" si="422"/>
        <v>18382</v>
      </c>
      <c r="AZ351" s="33"/>
      <c r="BA351" s="33"/>
      <c r="BB351" s="33"/>
      <c r="BC351" s="33"/>
      <c r="BD351" s="33"/>
      <c r="BE351" s="33"/>
      <c r="BF351" s="33"/>
      <c r="BG351" s="33"/>
      <c r="BH351" s="834">
        <f t="shared" ref="BH351:BW351" si="423">SUM(BH348:BH350,BH345)</f>
        <v>254</v>
      </c>
      <c r="BI351" s="834">
        <f t="shared" si="423"/>
        <v>1008</v>
      </c>
      <c r="BJ351" s="834">
        <f t="shared" si="423"/>
        <v>1695</v>
      </c>
      <c r="BK351" s="834">
        <f t="shared" si="423"/>
        <v>494</v>
      </c>
      <c r="BL351" s="834">
        <f t="shared" si="423"/>
        <v>2754</v>
      </c>
      <c r="BM351" s="834">
        <f t="shared" si="423"/>
        <v>4910</v>
      </c>
      <c r="BN351" s="834">
        <f t="shared" si="423"/>
        <v>6194</v>
      </c>
      <c r="BO351" s="833">
        <f t="shared" si="423"/>
        <v>12518</v>
      </c>
      <c r="BP351" s="833">
        <f t="shared" si="423"/>
        <v>20594</v>
      </c>
      <c r="BQ351" s="833">
        <f t="shared" si="423"/>
        <v>25361</v>
      </c>
      <c r="BR351" s="833">
        <f t="shared" si="423"/>
        <v>24812</v>
      </c>
      <c r="BS351" s="833">
        <f t="shared" si="423"/>
        <v>33180</v>
      </c>
      <c r="BT351" s="833">
        <f t="shared" si="423"/>
        <v>47284</v>
      </c>
      <c r="BU351" s="833">
        <f t="shared" si="423"/>
        <v>28819</v>
      </c>
      <c r="BV351" s="833">
        <f t="shared" si="423"/>
        <v>47428</v>
      </c>
      <c r="BW351" s="814">
        <f t="shared" si="423"/>
        <v>70663</v>
      </c>
      <c r="BX351" s="833"/>
      <c r="BY351" s="833"/>
      <c r="BZ351" s="833"/>
      <c r="CA351" s="833"/>
      <c r="CB351" s="833"/>
      <c r="CC351" s="6"/>
    </row>
    <row r="352" spans="1:81" outlineLevel="1" x14ac:dyDescent="0.55000000000000004">
      <c r="A352" s="116" t="s">
        <v>50</v>
      </c>
      <c r="B352" s="87"/>
      <c r="C352" s="759">
        <v>134</v>
      </c>
      <c r="D352" s="759">
        <v>212</v>
      </c>
      <c r="E352" s="759">
        <v>301</v>
      </c>
      <c r="F352" s="759">
        <v>607</v>
      </c>
      <c r="G352" s="759">
        <v>433</v>
      </c>
      <c r="H352" s="759">
        <v>595</v>
      </c>
      <c r="I352" s="759">
        <v>530</v>
      </c>
      <c r="J352" s="759">
        <v>413</v>
      </c>
      <c r="K352" s="759">
        <v>420</v>
      </c>
      <c r="L352" s="759">
        <v>554</v>
      </c>
      <c r="M352" s="759">
        <v>536</v>
      </c>
      <c r="N352" s="759">
        <v>995</v>
      </c>
      <c r="O352" s="759">
        <v>328</v>
      </c>
      <c r="P352" s="759">
        <v>471</v>
      </c>
      <c r="Q352" s="759">
        <v>537</v>
      </c>
      <c r="R352" s="759">
        <v>965</v>
      </c>
      <c r="S352" s="759">
        <v>344</v>
      </c>
      <c r="T352" s="759">
        <v>594</v>
      </c>
      <c r="U352" s="759">
        <v>529</v>
      </c>
      <c r="V352" s="759">
        <v>3194</v>
      </c>
      <c r="W352" s="759">
        <v>622</v>
      </c>
      <c r="X352" s="759">
        <v>762</v>
      </c>
      <c r="Y352" s="759">
        <v>775</v>
      </c>
      <c r="Z352" s="117">
        <f>BQ352-Y352-X352-W352</f>
        <v>1090</v>
      </c>
      <c r="AA352" s="759">
        <v>1053</v>
      </c>
      <c r="AB352" s="759">
        <v>2216</v>
      </c>
      <c r="AC352" s="759">
        <v>1238</v>
      </c>
      <c r="AD352" s="117">
        <f>BR352-AC352-AB352-AA352</f>
        <v>1820</v>
      </c>
      <c r="AE352" s="759">
        <v>959</v>
      </c>
      <c r="AF352" s="759">
        <v>953</v>
      </c>
      <c r="AG352" s="759">
        <v>287</v>
      </c>
      <c r="AH352" s="759">
        <v>1836</v>
      </c>
      <c r="AI352" s="759">
        <v>2006</v>
      </c>
      <c r="AJ352" s="759">
        <v>2119</v>
      </c>
      <c r="AK352" s="759">
        <v>1371</v>
      </c>
      <c r="AL352" s="759">
        <v>2417</v>
      </c>
      <c r="AM352" s="759">
        <v>1443</v>
      </c>
      <c r="AN352" s="759">
        <v>1499</v>
      </c>
      <c r="AO352" s="759">
        <v>1181</v>
      </c>
      <c r="AP352" s="759">
        <v>1497</v>
      </c>
      <c r="AQ352" s="759">
        <v>1598</v>
      </c>
      <c r="AR352" s="759">
        <v>1505</v>
      </c>
      <c r="AS352" s="759">
        <v>2437</v>
      </c>
      <c r="AT352" s="759">
        <v>2791</v>
      </c>
      <c r="AU352" s="759">
        <v>1814</v>
      </c>
      <c r="AV352" s="759">
        <v>1641</v>
      </c>
      <c r="AW352" s="759">
        <v>2134</v>
      </c>
      <c r="AX352" s="759">
        <v>2715</v>
      </c>
      <c r="AY352" s="762">
        <v>1738</v>
      </c>
      <c r="AZ352" s="37"/>
      <c r="BA352" s="37"/>
      <c r="BB352" s="37"/>
      <c r="BC352" s="37"/>
      <c r="BD352" s="37"/>
      <c r="BE352" s="37"/>
      <c r="BF352" s="37"/>
      <c r="BG352" s="37"/>
      <c r="BH352" s="857">
        <v>25</v>
      </c>
      <c r="BI352" s="857">
        <v>402</v>
      </c>
      <c r="BJ352" s="857">
        <v>695</v>
      </c>
      <c r="BK352" s="857">
        <v>441</v>
      </c>
      <c r="BL352" s="857">
        <v>1254</v>
      </c>
      <c r="BM352" s="857">
        <v>1970</v>
      </c>
      <c r="BN352" s="857">
        <v>2506</v>
      </c>
      <c r="BO352" s="857">
        <v>2301</v>
      </c>
      <c r="BP352" s="857">
        <v>4660</v>
      </c>
      <c r="BQ352" s="857">
        <v>3249</v>
      </c>
      <c r="BR352" s="857">
        <v>6327</v>
      </c>
      <c r="BS352" s="857">
        <v>4034</v>
      </c>
      <c r="BT352" s="857">
        <v>7914</v>
      </c>
      <c r="BU352" s="857">
        <v>5619</v>
      </c>
      <c r="BV352" s="857">
        <v>8330</v>
      </c>
      <c r="BW352" s="862">
        <v>8303</v>
      </c>
      <c r="BX352" s="158"/>
      <c r="BY352" s="158"/>
      <c r="BZ352" s="158"/>
      <c r="CA352" s="158"/>
      <c r="CB352" s="158"/>
      <c r="CC352" s="117"/>
    </row>
    <row r="353" spans="1:81" outlineLevel="1" x14ac:dyDescent="0.55000000000000004">
      <c r="A353" s="20" t="s">
        <v>51</v>
      </c>
      <c r="B353" s="195"/>
      <c r="C353" s="5">
        <f t="shared" ref="C353:AH353" si="424">C351-C352</f>
        <v>219</v>
      </c>
      <c r="D353" s="5">
        <f t="shared" si="424"/>
        <v>333</v>
      </c>
      <c r="E353" s="5">
        <f t="shared" si="424"/>
        <v>425</v>
      </c>
      <c r="F353" s="5">
        <f t="shared" si="424"/>
        <v>523</v>
      </c>
      <c r="G353" s="5">
        <f t="shared" si="424"/>
        <v>642</v>
      </c>
      <c r="H353" s="5">
        <f t="shared" si="424"/>
        <v>791</v>
      </c>
      <c r="I353" s="5">
        <f t="shared" si="424"/>
        <v>806</v>
      </c>
      <c r="J353" s="5">
        <f t="shared" si="424"/>
        <v>701</v>
      </c>
      <c r="K353" s="5">
        <f t="shared" si="424"/>
        <v>512</v>
      </c>
      <c r="L353" s="5">
        <f t="shared" si="424"/>
        <v>719</v>
      </c>
      <c r="M353" s="5">
        <f t="shared" si="424"/>
        <v>896</v>
      </c>
      <c r="N353" s="5">
        <f t="shared" si="424"/>
        <v>1562</v>
      </c>
      <c r="O353" s="5">
        <f t="shared" si="424"/>
        <v>1738</v>
      </c>
      <c r="P353" s="5">
        <f t="shared" si="424"/>
        <v>2283</v>
      </c>
      <c r="Q353" s="5">
        <f t="shared" si="424"/>
        <v>2627</v>
      </c>
      <c r="R353" s="33">
        <f t="shared" si="424"/>
        <v>3568</v>
      </c>
      <c r="S353" s="5">
        <f t="shared" si="424"/>
        <v>3064</v>
      </c>
      <c r="T353" s="5">
        <f t="shared" si="424"/>
        <v>3894</v>
      </c>
      <c r="U353" s="5">
        <f t="shared" si="424"/>
        <v>4707</v>
      </c>
      <c r="V353" s="33">
        <f t="shared" si="424"/>
        <v>4267</v>
      </c>
      <c r="W353" s="5">
        <f t="shared" si="424"/>
        <v>4988</v>
      </c>
      <c r="X353" s="5">
        <f t="shared" si="424"/>
        <v>5106</v>
      </c>
      <c r="Y353" s="5">
        <f t="shared" si="424"/>
        <v>5137</v>
      </c>
      <c r="Z353" s="33">
        <f t="shared" si="424"/>
        <v>6881</v>
      </c>
      <c r="AA353" s="5">
        <f t="shared" si="424"/>
        <v>2429</v>
      </c>
      <c r="AB353" s="5">
        <f t="shared" si="424"/>
        <v>2616</v>
      </c>
      <c r="AC353" s="5">
        <f t="shared" si="424"/>
        <v>6091</v>
      </c>
      <c r="AD353" s="33">
        <f t="shared" si="424"/>
        <v>7349</v>
      </c>
      <c r="AE353" s="5">
        <f t="shared" si="424"/>
        <v>4902</v>
      </c>
      <c r="AF353" s="5">
        <f t="shared" si="424"/>
        <v>5178</v>
      </c>
      <c r="AG353" s="5">
        <f t="shared" si="424"/>
        <v>7846</v>
      </c>
      <c r="AH353" s="33">
        <f t="shared" si="424"/>
        <v>11219</v>
      </c>
      <c r="AI353" s="5">
        <f t="shared" ref="AI353:AY353" si="425">AI351-AI352</f>
        <v>9497</v>
      </c>
      <c r="AJ353" s="5">
        <f t="shared" si="425"/>
        <v>10394</v>
      </c>
      <c r="AK353" s="5">
        <f t="shared" si="425"/>
        <v>9194</v>
      </c>
      <c r="AL353" s="33">
        <f t="shared" si="425"/>
        <v>10286</v>
      </c>
      <c r="AM353" s="5">
        <f t="shared" si="425"/>
        <v>7465</v>
      </c>
      <c r="AN353" s="5">
        <f t="shared" si="425"/>
        <v>6687</v>
      </c>
      <c r="AO353" s="5">
        <f t="shared" si="425"/>
        <v>4395</v>
      </c>
      <c r="AP353" s="33">
        <f t="shared" si="425"/>
        <v>4652</v>
      </c>
      <c r="AQ353" s="5">
        <f t="shared" si="425"/>
        <v>5709</v>
      </c>
      <c r="AR353" s="5">
        <f t="shared" si="425"/>
        <v>7788</v>
      </c>
      <c r="AS353" s="5">
        <f t="shared" si="425"/>
        <v>11583</v>
      </c>
      <c r="AT353" s="33">
        <f t="shared" si="425"/>
        <v>14017</v>
      </c>
      <c r="AU353" s="5">
        <f t="shared" si="425"/>
        <v>12369</v>
      </c>
      <c r="AV353" s="5">
        <f t="shared" si="425"/>
        <v>13465</v>
      </c>
      <c r="AW353" s="5">
        <f t="shared" si="425"/>
        <v>15688</v>
      </c>
      <c r="AX353" s="33">
        <f t="shared" si="425"/>
        <v>20838</v>
      </c>
      <c r="AY353" s="409">
        <f t="shared" si="425"/>
        <v>16644</v>
      </c>
      <c r="AZ353" s="33"/>
      <c r="BA353" s="33"/>
      <c r="BB353" s="33"/>
      <c r="BC353" s="33"/>
      <c r="BD353" s="33"/>
      <c r="BE353" s="33"/>
      <c r="BF353" s="33"/>
      <c r="BG353" s="33"/>
      <c r="BH353" s="834">
        <f t="shared" ref="BH353:BW353" si="426">BH351-BH352</f>
        <v>229</v>
      </c>
      <c r="BI353" s="834">
        <f t="shared" si="426"/>
        <v>606</v>
      </c>
      <c r="BJ353" s="834">
        <f t="shared" si="426"/>
        <v>1000</v>
      </c>
      <c r="BK353" s="834">
        <f t="shared" si="426"/>
        <v>53</v>
      </c>
      <c r="BL353" s="834">
        <f t="shared" si="426"/>
        <v>1500</v>
      </c>
      <c r="BM353" s="834">
        <f t="shared" si="426"/>
        <v>2940</v>
      </c>
      <c r="BN353" s="834">
        <f t="shared" si="426"/>
        <v>3688</v>
      </c>
      <c r="BO353" s="833">
        <f t="shared" si="426"/>
        <v>10217</v>
      </c>
      <c r="BP353" s="833">
        <f t="shared" si="426"/>
        <v>15934</v>
      </c>
      <c r="BQ353" s="833">
        <f t="shared" si="426"/>
        <v>22112</v>
      </c>
      <c r="BR353" s="833">
        <f t="shared" si="426"/>
        <v>18485</v>
      </c>
      <c r="BS353" s="833">
        <f t="shared" si="426"/>
        <v>29146</v>
      </c>
      <c r="BT353" s="833">
        <f t="shared" si="426"/>
        <v>39370</v>
      </c>
      <c r="BU353" s="833">
        <f t="shared" si="426"/>
        <v>23200</v>
      </c>
      <c r="BV353" s="833">
        <f t="shared" si="426"/>
        <v>39098</v>
      </c>
      <c r="BW353" s="835">
        <f t="shared" si="426"/>
        <v>62360</v>
      </c>
      <c r="BX353" s="833"/>
      <c r="BY353" s="833"/>
      <c r="BZ353" s="833"/>
      <c r="CA353" s="833"/>
      <c r="CB353" s="833"/>
      <c r="CC353" s="6"/>
    </row>
    <row r="354" spans="1:81" outlineLevel="1" x14ac:dyDescent="0.55000000000000004">
      <c r="A354" s="116" t="s">
        <v>52</v>
      </c>
      <c r="B354" s="87"/>
      <c r="C354" s="759">
        <v>2</v>
      </c>
      <c r="D354" s="759">
        <v>2</v>
      </c>
      <c r="E354" s="759">
        <v>3</v>
      </c>
      <c r="F354" s="759">
        <v>3</v>
      </c>
      <c r="G354" s="759">
        <v>3</v>
      </c>
      <c r="H354" s="759">
        <v>3</v>
      </c>
      <c r="I354" s="759">
        <v>4</v>
      </c>
      <c r="J354" s="759">
        <v>5</v>
      </c>
      <c r="K354" s="759">
        <v>3</v>
      </c>
      <c r="L354" s="759">
        <v>4</v>
      </c>
      <c r="M354" s="759">
        <v>5</v>
      </c>
      <c r="N354" s="759">
        <v>7</v>
      </c>
      <c r="O354" s="759">
        <v>6</v>
      </c>
      <c r="P354" s="759">
        <v>7</v>
      </c>
      <c r="Q354" s="759">
        <v>7</v>
      </c>
      <c r="R354" s="759">
        <v>7</v>
      </c>
      <c r="S354" s="759">
        <v>5</v>
      </c>
      <c r="T354" s="759">
        <v>4</v>
      </c>
      <c r="U354" s="759">
        <v>3</v>
      </c>
      <c r="V354" s="759">
        <v>2</v>
      </c>
      <c r="W354" s="759">
        <v>1</v>
      </c>
      <c r="X354" s="759">
        <v>0</v>
      </c>
      <c r="Y354" s="759">
        <v>0</v>
      </c>
      <c r="Z354" s="117">
        <f>BQ354-Y354-X354-W354</f>
        <v>0</v>
      </c>
      <c r="AA354" s="759">
        <v>0</v>
      </c>
      <c r="AB354" s="759">
        <v>0</v>
      </c>
      <c r="AC354" s="37"/>
      <c r="AD354" s="117">
        <f>BR354-AC354-AB354-AA354</f>
        <v>0</v>
      </c>
      <c r="AE354" s="37"/>
      <c r="AF354" s="37"/>
      <c r="AG354" s="37"/>
      <c r="AH354" s="37"/>
      <c r="AI354" s="37"/>
      <c r="AJ354" s="37"/>
      <c r="AK354" s="37"/>
      <c r="AL354" s="37"/>
      <c r="AM354" s="37"/>
      <c r="AN354" s="37"/>
      <c r="AO354" s="37"/>
      <c r="AP354" s="37"/>
      <c r="AQ354" s="37"/>
      <c r="AR354" s="37"/>
      <c r="AS354" s="37"/>
      <c r="AT354" s="37"/>
      <c r="AU354" s="37"/>
      <c r="AV354" s="37"/>
      <c r="AW354" s="37"/>
      <c r="AX354" s="37"/>
      <c r="AY354" s="273"/>
      <c r="AZ354" s="37"/>
      <c r="BA354" s="37"/>
      <c r="BB354" s="37"/>
      <c r="BC354" s="37"/>
      <c r="BD354" s="37"/>
      <c r="BE354" s="37"/>
      <c r="BF354" s="37"/>
      <c r="BG354" s="37"/>
      <c r="BH354" s="857">
        <v>107</v>
      </c>
      <c r="BI354" s="857">
        <v>234</v>
      </c>
      <c r="BJ354" s="857">
        <v>332</v>
      </c>
      <c r="BK354" s="857">
        <v>21</v>
      </c>
      <c r="BL354" s="857">
        <v>9</v>
      </c>
      <c r="BM354" s="857">
        <v>15</v>
      </c>
      <c r="BN354" s="857">
        <v>19</v>
      </c>
      <c r="BO354" s="857">
        <v>29</v>
      </c>
      <c r="BP354" s="857">
        <v>14</v>
      </c>
      <c r="BQ354" s="857">
        <v>1</v>
      </c>
      <c r="BR354" s="158"/>
      <c r="BS354" s="158"/>
      <c r="BT354" s="158"/>
      <c r="BU354" s="158"/>
      <c r="BV354" s="158"/>
      <c r="BW354" s="846"/>
      <c r="BX354" s="158"/>
      <c r="BY354" s="158"/>
      <c r="BZ354" s="158"/>
      <c r="CA354" s="158"/>
      <c r="CB354" s="158"/>
      <c r="CC354" s="117"/>
    </row>
    <row r="355" spans="1:81" outlineLevel="1" x14ac:dyDescent="0.55000000000000004">
      <c r="A355" s="17" t="s">
        <v>53</v>
      </c>
      <c r="B355" s="239"/>
      <c r="C355" s="7">
        <f t="shared" ref="C355:AH355" si="427">C353-C354</f>
        <v>217</v>
      </c>
      <c r="D355" s="7">
        <f t="shared" si="427"/>
        <v>331</v>
      </c>
      <c r="E355" s="7">
        <f t="shared" si="427"/>
        <v>422</v>
      </c>
      <c r="F355" s="7">
        <f t="shared" si="427"/>
        <v>520</v>
      </c>
      <c r="G355" s="7">
        <f t="shared" si="427"/>
        <v>639</v>
      </c>
      <c r="H355" s="7">
        <f t="shared" si="427"/>
        <v>788</v>
      </c>
      <c r="I355" s="7">
        <f t="shared" si="427"/>
        <v>802</v>
      </c>
      <c r="J355" s="7">
        <f t="shared" si="427"/>
        <v>696</v>
      </c>
      <c r="K355" s="7">
        <f t="shared" si="427"/>
        <v>509</v>
      </c>
      <c r="L355" s="7">
        <f t="shared" si="427"/>
        <v>715</v>
      </c>
      <c r="M355" s="7">
        <f t="shared" si="427"/>
        <v>891</v>
      </c>
      <c r="N355" s="7">
        <f t="shared" si="427"/>
        <v>1555</v>
      </c>
      <c r="O355" s="7">
        <f t="shared" si="427"/>
        <v>1732</v>
      </c>
      <c r="P355" s="7">
        <f t="shared" si="427"/>
        <v>2276</v>
      </c>
      <c r="Q355" s="7">
        <f t="shared" si="427"/>
        <v>2620</v>
      </c>
      <c r="R355" s="38">
        <f t="shared" si="427"/>
        <v>3561</v>
      </c>
      <c r="S355" s="7">
        <f t="shared" si="427"/>
        <v>3059</v>
      </c>
      <c r="T355" s="7">
        <f t="shared" si="427"/>
        <v>3890</v>
      </c>
      <c r="U355" s="7">
        <f t="shared" si="427"/>
        <v>4704</v>
      </c>
      <c r="V355" s="38">
        <f t="shared" si="427"/>
        <v>4265</v>
      </c>
      <c r="W355" s="7">
        <f t="shared" si="427"/>
        <v>4987</v>
      </c>
      <c r="X355" s="7">
        <f t="shared" si="427"/>
        <v>5106</v>
      </c>
      <c r="Y355" s="7">
        <f t="shared" si="427"/>
        <v>5137</v>
      </c>
      <c r="Z355" s="38">
        <f t="shared" si="427"/>
        <v>6881</v>
      </c>
      <c r="AA355" s="7">
        <f t="shared" si="427"/>
        <v>2429</v>
      </c>
      <c r="AB355" s="7">
        <f t="shared" si="427"/>
        <v>2616</v>
      </c>
      <c r="AC355" s="7">
        <f t="shared" si="427"/>
        <v>6091</v>
      </c>
      <c r="AD355" s="38">
        <f t="shared" si="427"/>
        <v>7349</v>
      </c>
      <c r="AE355" s="7">
        <f t="shared" si="427"/>
        <v>4902</v>
      </c>
      <c r="AF355" s="7">
        <f t="shared" si="427"/>
        <v>5178</v>
      </c>
      <c r="AG355" s="7">
        <f t="shared" si="427"/>
        <v>7846</v>
      </c>
      <c r="AH355" s="38">
        <f t="shared" si="427"/>
        <v>11219</v>
      </c>
      <c r="AI355" s="7">
        <f t="shared" ref="AI355:AY355" si="428">AI353-AI354</f>
        <v>9497</v>
      </c>
      <c r="AJ355" s="7">
        <f t="shared" si="428"/>
        <v>10394</v>
      </c>
      <c r="AK355" s="7">
        <f t="shared" si="428"/>
        <v>9194</v>
      </c>
      <c r="AL355" s="38">
        <f t="shared" si="428"/>
        <v>10286</v>
      </c>
      <c r="AM355" s="7">
        <f t="shared" si="428"/>
        <v>7465</v>
      </c>
      <c r="AN355" s="7">
        <f t="shared" si="428"/>
        <v>6687</v>
      </c>
      <c r="AO355" s="7">
        <f t="shared" si="428"/>
        <v>4395</v>
      </c>
      <c r="AP355" s="38">
        <f t="shared" si="428"/>
        <v>4652</v>
      </c>
      <c r="AQ355" s="7">
        <f t="shared" si="428"/>
        <v>5709</v>
      </c>
      <c r="AR355" s="7">
        <f t="shared" si="428"/>
        <v>7788</v>
      </c>
      <c r="AS355" s="7">
        <f t="shared" si="428"/>
        <v>11583</v>
      </c>
      <c r="AT355" s="38">
        <f t="shared" si="428"/>
        <v>14017</v>
      </c>
      <c r="AU355" s="7">
        <f t="shared" si="428"/>
        <v>12369</v>
      </c>
      <c r="AV355" s="7">
        <f t="shared" si="428"/>
        <v>13465</v>
      </c>
      <c r="AW355" s="7">
        <f t="shared" si="428"/>
        <v>15688</v>
      </c>
      <c r="AX355" s="38">
        <f t="shared" si="428"/>
        <v>20838</v>
      </c>
      <c r="AY355" s="640">
        <f t="shared" si="428"/>
        <v>16644</v>
      </c>
      <c r="AZ355" s="38"/>
      <c r="BA355" s="38"/>
      <c r="BB355" s="38"/>
      <c r="BC355" s="38"/>
      <c r="BD355" s="38"/>
      <c r="BE355" s="38"/>
      <c r="BF355" s="38"/>
      <c r="BG355" s="38"/>
      <c r="BH355" s="908">
        <f t="shared" ref="BH355:BW355" si="429">BH353-BH354</f>
        <v>122</v>
      </c>
      <c r="BI355" s="908">
        <f t="shared" si="429"/>
        <v>372</v>
      </c>
      <c r="BJ355" s="908">
        <f t="shared" si="429"/>
        <v>668</v>
      </c>
      <c r="BK355" s="908">
        <f t="shared" si="429"/>
        <v>32</v>
      </c>
      <c r="BL355" s="908">
        <f t="shared" si="429"/>
        <v>1491</v>
      </c>
      <c r="BM355" s="908">
        <f t="shared" si="429"/>
        <v>2925</v>
      </c>
      <c r="BN355" s="908">
        <f t="shared" si="429"/>
        <v>3669</v>
      </c>
      <c r="BO355" s="894">
        <f t="shared" si="429"/>
        <v>10188</v>
      </c>
      <c r="BP355" s="894">
        <f t="shared" si="429"/>
        <v>15920</v>
      </c>
      <c r="BQ355" s="894">
        <f t="shared" si="429"/>
        <v>22111</v>
      </c>
      <c r="BR355" s="894">
        <f t="shared" si="429"/>
        <v>18485</v>
      </c>
      <c r="BS355" s="894">
        <f t="shared" si="429"/>
        <v>29146</v>
      </c>
      <c r="BT355" s="894">
        <f t="shared" si="429"/>
        <v>39370</v>
      </c>
      <c r="BU355" s="894">
        <f t="shared" si="429"/>
        <v>23200</v>
      </c>
      <c r="BV355" s="894">
        <f t="shared" si="429"/>
        <v>39098</v>
      </c>
      <c r="BW355" s="895">
        <f t="shared" si="429"/>
        <v>62360</v>
      </c>
      <c r="BX355" s="894"/>
      <c r="BY355" s="894"/>
      <c r="BZ355" s="894"/>
      <c r="CA355" s="894"/>
      <c r="CB355" s="894"/>
      <c r="CC355" s="6"/>
    </row>
    <row r="356" spans="1:81" outlineLevel="1" x14ac:dyDescent="0.55000000000000004">
      <c r="A356" s="240"/>
      <c r="B356" s="241"/>
      <c r="C356" s="600"/>
      <c r="D356" s="600"/>
      <c r="E356" s="600"/>
      <c r="F356" s="600"/>
      <c r="G356" s="600"/>
      <c r="H356" s="600"/>
      <c r="I356" s="600"/>
      <c r="J356" s="600"/>
      <c r="K356" s="600"/>
      <c r="L356" s="600"/>
      <c r="M356" s="600"/>
      <c r="N356" s="600"/>
      <c r="O356" s="600"/>
      <c r="P356" s="600"/>
      <c r="Q356" s="600"/>
      <c r="R356" s="600"/>
      <c r="S356" s="600"/>
      <c r="T356" s="600"/>
      <c r="U356" s="600"/>
      <c r="V356" s="600"/>
      <c r="W356" s="600"/>
      <c r="X356" s="600"/>
      <c r="Y356" s="600"/>
      <c r="Z356" s="600"/>
      <c r="AA356" s="600"/>
      <c r="AB356" s="600"/>
      <c r="AC356" s="600"/>
      <c r="AD356" s="600"/>
      <c r="AE356" s="600"/>
      <c r="AF356" s="600"/>
      <c r="AG356" s="600"/>
      <c r="AH356" s="600"/>
      <c r="AI356" s="600"/>
      <c r="AJ356" s="600"/>
      <c r="AK356" s="600"/>
      <c r="AL356" s="600"/>
      <c r="AM356" s="600"/>
      <c r="AN356" s="600"/>
      <c r="AO356" s="600"/>
      <c r="AP356" s="600"/>
      <c r="AQ356" s="600"/>
      <c r="AR356" s="600"/>
      <c r="AS356" s="600"/>
      <c r="AT356" s="600"/>
      <c r="AU356" s="600"/>
      <c r="AV356" s="600"/>
      <c r="AW356" s="600"/>
      <c r="AX356" s="600"/>
      <c r="AY356" s="604"/>
      <c r="AZ356" s="600"/>
      <c r="BA356" s="600"/>
      <c r="BB356" s="600"/>
      <c r="BC356" s="600"/>
      <c r="BD356" s="600"/>
      <c r="BE356" s="600"/>
      <c r="BF356" s="600"/>
      <c r="BG356" s="600"/>
      <c r="BH356" s="186"/>
      <c r="BI356" s="186"/>
      <c r="BJ356" s="186"/>
      <c r="BK356" s="186"/>
      <c r="BL356" s="186"/>
      <c r="BM356" s="186"/>
      <c r="BN356" s="186"/>
      <c r="BO356" s="186"/>
      <c r="BP356" s="186"/>
      <c r="BQ356" s="186"/>
      <c r="BR356" s="186"/>
      <c r="BS356" s="186"/>
      <c r="BT356" s="186"/>
      <c r="BU356" s="186"/>
      <c r="BV356" s="186"/>
      <c r="BW356" s="909"/>
      <c r="BX356" s="186"/>
      <c r="BY356" s="186"/>
      <c r="BZ356" s="186"/>
      <c r="CA356" s="186"/>
      <c r="CB356" s="186"/>
      <c r="CC356" s="358"/>
    </row>
    <row r="357" spans="1:81" outlineLevel="1" x14ac:dyDescent="0.55000000000000004">
      <c r="A357" s="553" t="s">
        <v>54</v>
      </c>
      <c r="B357" s="553"/>
      <c r="C357" s="554">
        <f t="shared" ref="C357:AH357" si="430">IF(ISBLANK(INDEX(MO_IS_FirstRow,0,COLUMN())),0,ROUND(C353-C803,6))</f>
        <v>0</v>
      </c>
      <c r="D357" s="554">
        <f t="shared" si="430"/>
        <v>0</v>
      </c>
      <c r="E357" s="554">
        <f t="shared" si="430"/>
        <v>0</v>
      </c>
      <c r="F357" s="554">
        <f t="shared" si="430"/>
        <v>0</v>
      </c>
      <c r="G357" s="554">
        <f t="shared" si="430"/>
        <v>0</v>
      </c>
      <c r="H357" s="554">
        <f t="shared" si="430"/>
        <v>0</v>
      </c>
      <c r="I357" s="554">
        <f t="shared" si="430"/>
        <v>0</v>
      </c>
      <c r="J357" s="554">
        <f t="shared" si="430"/>
        <v>0</v>
      </c>
      <c r="K357" s="554">
        <f t="shared" si="430"/>
        <v>0</v>
      </c>
      <c r="L357" s="554">
        <f t="shared" si="430"/>
        <v>0</v>
      </c>
      <c r="M357" s="554">
        <f t="shared" si="430"/>
        <v>0</v>
      </c>
      <c r="N357" s="554">
        <f t="shared" si="430"/>
        <v>1</v>
      </c>
      <c r="O357" s="554">
        <f t="shared" si="430"/>
        <v>0</v>
      </c>
      <c r="P357" s="554">
        <f t="shared" si="430"/>
        <v>0</v>
      </c>
      <c r="Q357" s="554">
        <f t="shared" si="430"/>
        <v>0</v>
      </c>
      <c r="R357" s="554">
        <f t="shared" si="430"/>
        <v>-1</v>
      </c>
      <c r="S357" s="554">
        <f t="shared" si="430"/>
        <v>0</v>
      </c>
      <c r="T357" s="554">
        <f t="shared" si="430"/>
        <v>-1</v>
      </c>
      <c r="U357" s="554">
        <f t="shared" si="430"/>
        <v>1</v>
      </c>
      <c r="V357" s="554">
        <f t="shared" si="430"/>
        <v>-2</v>
      </c>
      <c r="W357" s="554">
        <f t="shared" si="430"/>
        <v>0</v>
      </c>
      <c r="X357" s="554">
        <f t="shared" si="430"/>
        <v>1</v>
      </c>
      <c r="Y357" s="554">
        <f t="shared" si="430"/>
        <v>0</v>
      </c>
      <c r="Z357" s="554">
        <f t="shared" si="430"/>
        <v>-1</v>
      </c>
      <c r="AA357" s="554">
        <f t="shared" si="430"/>
        <v>0</v>
      </c>
      <c r="AB357" s="554">
        <f t="shared" si="430"/>
        <v>0</v>
      </c>
      <c r="AC357" s="554">
        <f t="shared" si="430"/>
        <v>0</v>
      </c>
      <c r="AD357" s="554">
        <f t="shared" si="430"/>
        <v>0</v>
      </c>
      <c r="AE357" s="554">
        <f t="shared" si="430"/>
        <v>0</v>
      </c>
      <c r="AF357" s="554">
        <f t="shared" si="430"/>
        <v>-1</v>
      </c>
      <c r="AG357" s="554">
        <f t="shared" si="430"/>
        <v>0</v>
      </c>
      <c r="AH357" s="554">
        <f t="shared" si="430"/>
        <v>0</v>
      </c>
      <c r="AI357" s="554">
        <f t="shared" ref="AI357:BF357" si="431">IF(ISBLANK(INDEX(MO_IS_FirstRow,0,COLUMN())),0,ROUND(AI353-AI803,6))</f>
        <v>0</v>
      </c>
      <c r="AJ357" s="554">
        <f t="shared" si="431"/>
        <v>-1</v>
      </c>
      <c r="AK357" s="554">
        <f t="shared" si="431"/>
        <v>1</v>
      </c>
      <c r="AL357" s="554">
        <f t="shared" si="431"/>
        <v>1</v>
      </c>
      <c r="AM357" s="554">
        <f t="shared" si="431"/>
        <v>0</v>
      </c>
      <c r="AN357" s="554">
        <f t="shared" si="431"/>
        <v>0</v>
      </c>
      <c r="AO357" s="554">
        <f t="shared" si="431"/>
        <v>0</v>
      </c>
      <c r="AP357" s="554">
        <f t="shared" si="431"/>
        <v>-1</v>
      </c>
      <c r="AQ357" s="554">
        <f t="shared" si="431"/>
        <v>0</v>
      </c>
      <c r="AR357" s="554">
        <f t="shared" si="431"/>
        <v>-1</v>
      </c>
      <c r="AS357" s="554">
        <f t="shared" si="431"/>
        <v>0</v>
      </c>
      <c r="AT357" s="554">
        <f t="shared" si="431"/>
        <v>0</v>
      </c>
      <c r="AU357" s="554">
        <f t="shared" si="431"/>
        <v>0</v>
      </c>
      <c r="AV357" s="554">
        <f t="shared" si="431"/>
        <v>0</v>
      </c>
      <c r="AW357" s="554">
        <f t="shared" si="431"/>
        <v>0</v>
      </c>
      <c r="AX357" s="554">
        <f t="shared" si="431"/>
        <v>0</v>
      </c>
      <c r="AY357" s="555">
        <f t="shared" si="431"/>
        <v>0</v>
      </c>
      <c r="AZ357" s="554">
        <f t="shared" si="431"/>
        <v>0</v>
      </c>
      <c r="BA357" s="554">
        <f t="shared" si="431"/>
        <v>0</v>
      </c>
      <c r="BB357" s="554">
        <f t="shared" si="431"/>
        <v>0</v>
      </c>
      <c r="BC357" s="554">
        <f t="shared" si="431"/>
        <v>0</v>
      </c>
      <c r="BD357" s="554">
        <f t="shared" si="431"/>
        <v>0</v>
      </c>
      <c r="BE357" s="554">
        <f t="shared" si="431"/>
        <v>0</v>
      </c>
      <c r="BF357" s="554">
        <f t="shared" si="431"/>
        <v>0</v>
      </c>
      <c r="BG357" s="554"/>
      <c r="BH357" s="554">
        <f t="shared" ref="BH357:CB357" si="432">IF(ISBLANK(INDEX(MO_IS_FirstRow,0,COLUMN())),0,ROUND(BH353-BH803,6))</f>
        <v>0</v>
      </c>
      <c r="BI357" s="554">
        <f t="shared" si="432"/>
        <v>0</v>
      </c>
      <c r="BJ357" s="554">
        <f t="shared" si="432"/>
        <v>0</v>
      </c>
      <c r="BK357" s="554">
        <f t="shared" si="432"/>
        <v>0</v>
      </c>
      <c r="BL357" s="554">
        <f t="shared" si="432"/>
        <v>0</v>
      </c>
      <c r="BM357" s="554">
        <f t="shared" si="432"/>
        <v>0</v>
      </c>
      <c r="BN357" s="554">
        <f t="shared" si="432"/>
        <v>0</v>
      </c>
      <c r="BO357" s="554">
        <f t="shared" si="432"/>
        <v>0</v>
      </c>
      <c r="BP357" s="554">
        <f t="shared" si="432"/>
        <v>0</v>
      </c>
      <c r="BQ357" s="554">
        <f t="shared" si="432"/>
        <v>0</v>
      </c>
      <c r="BR357" s="554">
        <f t="shared" si="432"/>
        <v>0</v>
      </c>
      <c r="BS357" s="554">
        <f t="shared" si="432"/>
        <v>0</v>
      </c>
      <c r="BT357" s="554">
        <f t="shared" si="432"/>
        <v>0</v>
      </c>
      <c r="BU357" s="554">
        <f t="shared" si="432"/>
        <v>0</v>
      </c>
      <c r="BV357" s="554">
        <f t="shared" si="432"/>
        <v>0</v>
      </c>
      <c r="BW357" s="555">
        <f t="shared" si="432"/>
        <v>0</v>
      </c>
      <c r="BX357" s="554">
        <f t="shared" si="432"/>
        <v>0</v>
      </c>
      <c r="BY357" s="554">
        <f t="shared" si="432"/>
        <v>0</v>
      </c>
      <c r="BZ357" s="554">
        <f t="shared" si="432"/>
        <v>0</v>
      </c>
      <c r="CA357" s="554">
        <f t="shared" si="432"/>
        <v>0</v>
      </c>
      <c r="CB357" s="554">
        <f t="shared" si="432"/>
        <v>0</v>
      </c>
      <c r="CC357" s="117"/>
    </row>
    <row r="358" spans="1:81" x14ac:dyDescent="0.55000000000000004">
      <c r="A358" s="240"/>
      <c r="B358" s="241"/>
      <c r="C358" s="600"/>
      <c r="D358" s="600"/>
      <c r="E358" s="600"/>
      <c r="F358" s="600"/>
      <c r="G358" s="600"/>
      <c r="H358" s="600"/>
      <c r="I358" s="600"/>
      <c r="J358" s="600"/>
      <c r="K358" s="600"/>
      <c r="L358" s="600"/>
      <c r="M358" s="600"/>
      <c r="N358" s="600"/>
      <c r="O358" s="600"/>
      <c r="P358" s="600"/>
      <c r="Q358" s="600"/>
      <c r="R358" s="600"/>
      <c r="S358" s="600"/>
      <c r="T358" s="600"/>
      <c r="U358" s="600"/>
      <c r="V358" s="600"/>
      <c r="W358" s="600"/>
      <c r="X358" s="600"/>
      <c r="Y358" s="600"/>
      <c r="Z358" s="600"/>
      <c r="AA358" s="600"/>
      <c r="AB358" s="600"/>
      <c r="AC358" s="600"/>
      <c r="AD358" s="600"/>
      <c r="AE358" s="600"/>
      <c r="AF358" s="600"/>
      <c r="AG358" s="600"/>
      <c r="AH358" s="600"/>
      <c r="AI358" s="600"/>
      <c r="AJ358" s="600"/>
      <c r="AK358" s="600"/>
      <c r="AL358" s="600"/>
      <c r="AM358" s="600"/>
      <c r="AN358" s="600"/>
      <c r="AO358" s="600"/>
      <c r="AP358" s="600"/>
      <c r="AQ358" s="600"/>
      <c r="AR358" s="600"/>
      <c r="AS358" s="600"/>
      <c r="AT358" s="600"/>
      <c r="AU358" s="600"/>
      <c r="AV358" s="600"/>
      <c r="AW358" s="600"/>
      <c r="AX358" s="600"/>
      <c r="AY358" s="604"/>
      <c r="AZ358" s="600"/>
      <c r="BA358" s="600"/>
      <c r="BB358" s="600"/>
      <c r="BC358" s="600"/>
      <c r="BD358" s="600"/>
      <c r="BE358" s="600"/>
      <c r="BF358" s="600"/>
      <c r="BG358" s="600"/>
      <c r="BH358" s="186"/>
      <c r="BI358" s="186"/>
      <c r="BJ358" s="186"/>
      <c r="BK358" s="186"/>
      <c r="BL358" s="186"/>
      <c r="BM358" s="186"/>
      <c r="BN358" s="186"/>
      <c r="BO358" s="186"/>
      <c r="BP358" s="186"/>
      <c r="BQ358" s="186"/>
      <c r="BR358" s="186"/>
      <c r="BS358" s="186"/>
      <c r="BT358" s="186"/>
      <c r="BU358" s="186"/>
      <c r="BV358" s="186"/>
      <c r="BW358" s="909"/>
      <c r="BX358" s="186"/>
      <c r="BY358" s="186"/>
      <c r="BZ358" s="186"/>
      <c r="CA358" s="186"/>
      <c r="CB358" s="186"/>
      <c r="CC358" s="358"/>
    </row>
    <row r="359" spans="1:81" x14ac:dyDescent="0.55000000000000004">
      <c r="A359" s="598" t="s">
        <v>55</v>
      </c>
      <c r="B359" s="598"/>
      <c r="C359" s="598"/>
      <c r="D359" s="598"/>
      <c r="E359" s="598"/>
      <c r="F359" s="598"/>
      <c r="G359" s="598"/>
      <c r="H359" s="598"/>
      <c r="I359" s="598"/>
      <c r="J359" s="598"/>
      <c r="K359" s="598"/>
      <c r="L359" s="598"/>
      <c r="M359" s="598"/>
      <c r="N359" s="598"/>
      <c r="O359" s="598"/>
      <c r="P359" s="598"/>
      <c r="Q359" s="598"/>
      <c r="R359" s="598"/>
      <c r="S359" s="598"/>
      <c r="T359" s="598"/>
      <c r="U359" s="598"/>
      <c r="V359" s="598"/>
      <c r="W359" s="598"/>
      <c r="X359" s="598"/>
      <c r="Y359" s="598"/>
      <c r="Z359" s="598"/>
      <c r="AA359" s="598"/>
      <c r="AB359" s="598"/>
      <c r="AC359" s="598"/>
      <c r="AD359" s="598"/>
      <c r="AE359" s="598"/>
      <c r="AF359" s="598"/>
      <c r="AG359" s="598"/>
      <c r="AH359" s="598"/>
      <c r="AI359" s="598"/>
      <c r="AJ359" s="598"/>
      <c r="AK359" s="598"/>
      <c r="AL359" s="598"/>
      <c r="AM359" s="598"/>
      <c r="AN359" s="598"/>
      <c r="AO359" s="598"/>
      <c r="AP359" s="598"/>
      <c r="AQ359" s="598"/>
      <c r="AR359" s="598"/>
      <c r="AS359" s="598"/>
      <c r="AT359" s="598"/>
      <c r="AU359" s="598"/>
      <c r="AV359" s="598"/>
      <c r="AW359" s="598"/>
      <c r="AX359" s="598"/>
      <c r="AY359" s="599"/>
      <c r="AZ359" s="598"/>
      <c r="BA359" s="598"/>
      <c r="BB359" s="598"/>
      <c r="BC359" s="598"/>
      <c r="BD359" s="598"/>
      <c r="BE359" s="598"/>
      <c r="BF359" s="598"/>
      <c r="BG359" s="598"/>
      <c r="BH359" s="598"/>
      <c r="BI359" s="598"/>
      <c r="BJ359" s="598"/>
      <c r="BK359" s="598"/>
      <c r="BL359" s="598"/>
      <c r="BM359" s="598"/>
      <c r="BN359" s="598"/>
      <c r="BO359" s="598"/>
      <c r="BP359" s="598"/>
      <c r="BQ359" s="598"/>
      <c r="BR359" s="598"/>
      <c r="BS359" s="598"/>
      <c r="BT359" s="598"/>
      <c r="BU359" s="598"/>
      <c r="BV359" s="598"/>
      <c r="BW359" s="599"/>
      <c r="BX359" s="598"/>
      <c r="BY359" s="598"/>
      <c r="BZ359" s="598"/>
      <c r="CA359" s="598"/>
      <c r="CB359" s="598"/>
      <c r="CC359" s="217"/>
    </row>
    <row r="360" spans="1:81" outlineLevel="1" x14ac:dyDescent="0.55000000000000004">
      <c r="A360" s="19" t="s">
        <v>56</v>
      </c>
      <c r="B360" s="193"/>
      <c r="C360" s="6">
        <f t="shared" ref="C360:N360" si="433">C353</f>
        <v>219</v>
      </c>
      <c r="D360" s="6">
        <f t="shared" si="433"/>
        <v>333</v>
      </c>
      <c r="E360" s="6">
        <f t="shared" si="433"/>
        <v>425</v>
      </c>
      <c r="F360" s="6">
        <f t="shared" si="433"/>
        <v>523</v>
      </c>
      <c r="G360" s="6">
        <f t="shared" si="433"/>
        <v>642</v>
      </c>
      <c r="H360" s="6">
        <f t="shared" si="433"/>
        <v>791</v>
      </c>
      <c r="I360" s="6">
        <f t="shared" si="433"/>
        <v>806</v>
      </c>
      <c r="J360" s="6">
        <f t="shared" si="433"/>
        <v>701</v>
      </c>
      <c r="K360" s="6">
        <f t="shared" si="433"/>
        <v>512</v>
      </c>
      <c r="L360" s="6">
        <f t="shared" si="433"/>
        <v>719</v>
      </c>
      <c r="M360" s="6">
        <f t="shared" si="433"/>
        <v>896</v>
      </c>
      <c r="N360" s="6">
        <f t="shared" si="433"/>
        <v>1562</v>
      </c>
      <c r="O360" s="771">
        <v>1510</v>
      </c>
      <c r="P360" s="771">
        <v>2055</v>
      </c>
      <c r="Q360" s="771">
        <v>2379</v>
      </c>
      <c r="R360" s="771">
        <v>3568</v>
      </c>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272"/>
      <c r="AZ360" s="35"/>
      <c r="BA360" s="35"/>
      <c r="BB360" s="35"/>
      <c r="BC360" s="35"/>
      <c r="BD360" s="35"/>
      <c r="BE360" s="35"/>
      <c r="BF360" s="35"/>
      <c r="BG360" s="35"/>
      <c r="BH360" s="812"/>
      <c r="BI360" s="812"/>
      <c r="BJ360" s="813">
        <f>BJ353</f>
        <v>1000</v>
      </c>
      <c r="BK360" s="813">
        <f>BK353</f>
        <v>53</v>
      </c>
      <c r="BL360" s="813">
        <f>BL353</f>
        <v>1500</v>
      </c>
      <c r="BM360" s="813">
        <f>BM353</f>
        <v>2940</v>
      </c>
      <c r="BN360" s="813">
        <f>BN353</f>
        <v>3688</v>
      </c>
      <c r="BO360" s="869">
        <v>10217</v>
      </c>
      <c r="BP360" s="812"/>
      <c r="BQ360" s="812"/>
      <c r="BR360" s="812"/>
      <c r="BS360" s="812"/>
      <c r="BT360" s="812"/>
      <c r="BU360" s="812"/>
      <c r="BV360" s="812"/>
      <c r="BW360" s="814"/>
      <c r="BX360" s="812"/>
      <c r="BY360" s="812"/>
      <c r="BZ360" s="812"/>
      <c r="CA360" s="812"/>
      <c r="CB360" s="812"/>
      <c r="CC360" s="6"/>
    </row>
    <row r="361" spans="1:81" outlineLevel="1" x14ac:dyDescent="0.55000000000000004">
      <c r="A361" s="116" t="s">
        <v>57</v>
      </c>
      <c r="B361" s="87"/>
      <c r="C361" s="759">
        <v>170</v>
      </c>
      <c r="D361" s="759">
        <v>224</v>
      </c>
      <c r="E361" s="759">
        <v>239</v>
      </c>
      <c r="F361" s="759">
        <v>273</v>
      </c>
      <c r="G361" s="759">
        <v>274</v>
      </c>
      <c r="H361" s="759">
        <v>314</v>
      </c>
      <c r="I361" s="759">
        <v>353</v>
      </c>
      <c r="J361" s="759">
        <v>896</v>
      </c>
      <c r="K361" s="759">
        <v>703</v>
      </c>
      <c r="L361" s="759">
        <v>763</v>
      </c>
      <c r="M361" s="759">
        <v>757</v>
      </c>
      <c r="N361" s="759">
        <v>746</v>
      </c>
      <c r="O361" s="759">
        <v>747</v>
      </c>
      <c r="P361" s="759">
        <v>805</v>
      </c>
      <c r="Q361" s="759">
        <v>819</v>
      </c>
      <c r="R361" s="759">
        <v>831</v>
      </c>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273"/>
      <c r="AZ361" s="37"/>
      <c r="BA361" s="37"/>
      <c r="BB361" s="37"/>
      <c r="BC361" s="37"/>
      <c r="BD361" s="37"/>
      <c r="BE361" s="37"/>
      <c r="BF361" s="37"/>
      <c r="BG361" s="37"/>
      <c r="BH361" s="158"/>
      <c r="BI361" s="158"/>
      <c r="BJ361" s="857">
        <v>217</v>
      </c>
      <c r="BK361" s="857">
        <v>1572</v>
      </c>
      <c r="BL361" s="857">
        <v>906</v>
      </c>
      <c r="BM361" s="857">
        <v>1837</v>
      </c>
      <c r="BN361" s="857">
        <v>2969</v>
      </c>
      <c r="BO361" s="857">
        <v>3218</v>
      </c>
      <c r="BP361" s="158"/>
      <c r="BQ361" s="158"/>
      <c r="BR361" s="158"/>
      <c r="BS361" s="158"/>
      <c r="BT361" s="158"/>
      <c r="BU361" s="158"/>
      <c r="BV361" s="158"/>
      <c r="BW361" s="846"/>
      <c r="BX361" s="158"/>
      <c r="BY361" s="158"/>
      <c r="BZ361" s="158"/>
      <c r="CA361" s="158"/>
      <c r="CB361" s="158"/>
      <c r="CC361" s="117"/>
    </row>
    <row r="362" spans="1:81" outlineLevel="1" x14ac:dyDescent="0.55000000000000004">
      <c r="A362" s="116" t="s">
        <v>58</v>
      </c>
      <c r="B362" s="87"/>
      <c r="C362" s="759">
        <v>20</v>
      </c>
      <c r="D362" s="759">
        <v>8</v>
      </c>
      <c r="E362" s="759">
        <v>12</v>
      </c>
      <c r="F362" s="759">
        <v>53</v>
      </c>
      <c r="G362" s="759">
        <v>25</v>
      </c>
      <c r="H362" s="759">
        <v>8</v>
      </c>
      <c r="I362" s="759">
        <v>11</v>
      </c>
      <c r="J362" s="759">
        <v>13</v>
      </c>
      <c r="K362" s="759">
        <v>25</v>
      </c>
      <c r="L362" s="759">
        <v>12</v>
      </c>
      <c r="M362" s="759">
        <v>14</v>
      </c>
      <c r="N362" s="759">
        <v>26</v>
      </c>
      <c r="O362" s="759">
        <v>41</v>
      </c>
      <c r="P362" s="759">
        <v>20</v>
      </c>
      <c r="Q362" s="759">
        <v>20</v>
      </c>
      <c r="R362" s="759">
        <v>17</v>
      </c>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273"/>
      <c r="AZ362" s="37"/>
      <c r="BA362" s="37"/>
      <c r="BB362" s="37"/>
      <c r="BC362" s="37"/>
      <c r="BD362" s="37"/>
      <c r="BE362" s="37"/>
      <c r="BF362" s="37"/>
      <c r="BG362" s="37"/>
      <c r="BH362" s="158"/>
      <c r="BI362" s="158"/>
      <c r="BJ362" s="857">
        <v>7</v>
      </c>
      <c r="BK362" s="857">
        <v>151</v>
      </c>
      <c r="BL362" s="857">
        <v>93</v>
      </c>
      <c r="BM362" s="857">
        <v>57</v>
      </c>
      <c r="BN362" s="857">
        <v>77</v>
      </c>
      <c r="BO362" s="857">
        <v>98</v>
      </c>
      <c r="BP362" s="158"/>
      <c r="BQ362" s="158"/>
      <c r="BR362" s="158"/>
      <c r="BS362" s="158"/>
      <c r="BT362" s="158"/>
      <c r="BU362" s="158"/>
      <c r="BV362" s="158"/>
      <c r="BW362" s="846"/>
      <c r="BX362" s="158"/>
      <c r="BY362" s="158"/>
      <c r="BZ362" s="158"/>
      <c r="CA362" s="158"/>
      <c r="CB362" s="158"/>
      <c r="CC362" s="117"/>
    </row>
    <row r="363" spans="1:81" outlineLevel="1" x14ac:dyDescent="0.55000000000000004">
      <c r="A363" s="116" t="s">
        <v>59</v>
      </c>
      <c r="B363" s="87"/>
      <c r="C363" s="37"/>
      <c r="D363" s="37"/>
      <c r="E363" s="759">
        <v>37</v>
      </c>
      <c r="F363" s="759">
        <v>39</v>
      </c>
      <c r="G363" s="759">
        <v>41</v>
      </c>
      <c r="H363" s="759">
        <v>41</v>
      </c>
      <c r="I363" s="759">
        <v>59</v>
      </c>
      <c r="J363" s="759">
        <v>177</v>
      </c>
      <c r="K363" s="759">
        <v>179</v>
      </c>
      <c r="L363" s="759">
        <v>180</v>
      </c>
      <c r="M363" s="759">
        <v>180</v>
      </c>
      <c r="N363" s="759">
        <v>191</v>
      </c>
      <c r="O363" s="759">
        <v>180</v>
      </c>
      <c r="P363" s="759">
        <v>193</v>
      </c>
      <c r="Q363" s="759">
        <v>195</v>
      </c>
      <c r="R363" s="759">
        <v>183</v>
      </c>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273"/>
      <c r="AZ363" s="37"/>
      <c r="BA363" s="37"/>
      <c r="BB363" s="37"/>
      <c r="BC363" s="37"/>
      <c r="BD363" s="37"/>
      <c r="BE363" s="37"/>
      <c r="BF363" s="37"/>
      <c r="BG363" s="37"/>
      <c r="BH363" s="158"/>
      <c r="BI363" s="158"/>
      <c r="BJ363" s="158"/>
      <c r="BK363" s="158"/>
      <c r="BL363" s="857">
        <v>145</v>
      </c>
      <c r="BM363" s="857">
        <v>319</v>
      </c>
      <c r="BN363" s="857">
        <v>730</v>
      </c>
      <c r="BO363" s="857">
        <v>751</v>
      </c>
      <c r="BP363" s="158"/>
      <c r="BQ363" s="158"/>
      <c r="BR363" s="158"/>
      <c r="BS363" s="158"/>
      <c r="BT363" s="158"/>
      <c r="BU363" s="158"/>
      <c r="BV363" s="158"/>
      <c r="BW363" s="846"/>
      <c r="BX363" s="158"/>
      <c r="BY363" s="158"/>
      <c r="BZ363" s="158"/>
      <c r="CA363" s="158"/>
      <c r="CB363" s="158"/>
      <c r="CC363" s="117"/>
    </row>
    <row r="364" spans="1:81" outlineLevel="1" x14ac:dyDescent="0.55000000000000004">
      <c r="A364" s="116" t="s">
        <v>60</v>
      </c>
      <c r="B364" s="87"/>
      <c r="C364" s="759">
        <v>-97</v>
      </c>
      <c r="D364" s="759">
        <v>-77</v>
      </c>
      <c r="E364" s="759">
        <v>-47</v>
      </c>
      <c r="F364" s="759">
        <v>-74</v>
      </c>
      <c r="G364" s="759">
        <v>-56</v>
      </c>
      <c r="H364" s="759">
        <v>-32</v>
      </c>
      <c r="I364" s="759">
        <v>-80</v>
      </c>
      <c r="J364" s="759">
        <v>-269</v>
      </c>
      <c r="K364" s="759">
        <v>-230</v>
      </c>
      <c r="L364" s="759">
        <v>-237</v>
      </c>
      <c r="M364" s="759">
        <v>-219</v>
      </c>
      <c r="N364" s="759">
        <v>-260</v>
      </c>
      <c r="O364" s="759">
        <v>-249</v>
      </c>
      <c r="P364" s="759">
        <v>-252</v>
      </c>
      <c r="Q364" s="759">
        <v>-245</v>
      </c>
      <c r="R364" s="759">
        <v>-449</v>
      </c>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273"/>
      <c r="AZ364" s="37"/>
      <c r="BA364" s="37"/>
      <c r="BB364" s="37"/>
      <c r="BC364" s="37"/>
      <c r="BD364" s="37"/>
      <c r="BE364" s="37"/>
      <c r="BF364" s="37"/>
      <c r="BG364" s="37"/>
      <c r="BH364" s="158"/>
      <c r="BI364" s="158"/>
      <c r="BJ364" s="857">
        <v>-60</v>
      </c>
      <c r="BK364" s="857">
        <v>-459</v>
      </c>
      <c r="BL364" s="857">
        <v>-310</v>
      </c>
      <c r="BM364" s="857">
        <v>-440</v>
      </c>
      <c r="BN364" s="857">
        <v>-946</v>
      </c>
      <c r="BO364" s="857">
        <v>-1916</v>
      </c>
      <c r="BP364" s="158"/>
      <c r="BQ364" s="158"/>
      <c r="BR364" s="158"/>
      <c r="BS364" s="158"/>
      <c r="BT364" s="158"/>
      <c r="BU364" s="158"/>
      <c r="BV364" s="158"/>
      <c r="BW364" s="846"/>
      <c r="BX364" s="158"/>
      <c r="BY364" s="158"/>
      <c r="BZ364" s="158"/>
      <c r="CA364" s="158"/>
      <c r="CB364" s="158"/>
      <c r="CC364" s="117"/>
    </row>
    <row r="365" spans="1:81" outlineLevel="1" x14ac:dyDescent="0.55000000000000004">
      <c r="A365" s="20" t="s">
        <v>61</v>
      </c>
      <c r="B365" s="195"/>
      <c r="C365" s="5">
        <f t="shared" ref="C365:R365" si="434">SUM(C360:C364)</f>
        <v>312</v>
      </c>
      <c r="D365" s="5">
        <f t="shared" si="434"/>
        <v>488</v>
      </c>
      <c r="E365" s="5">
        <f t="shared" si="434"/>
        <v>666</v>
      </c>
      <c r="F365" s="5">
        <f t="shared" si="434"/>
        <v>814</v>
      </c>
      <c r="G365" s="5">
        <f t="shared" si="434"/>
        <v>926</v>
      </c>
      <c r="H365" s="5">
        <f t="shared" si="434"/>
        <v>1122</v>
      </c>
      <c r="I365" s="5">
        <f t="shared" si="434"/>
        <v>1149</v>
      </c>
      <c r="J365" s="5">
        <f t="shared" si="434"/>
        <v>1518</v>
      </c>
      <c r="K365" s="5">
        <f t="shared" si="434"/>
        <v>1189</v>
      </c>
      <c r="L365" s="5">
        <f t="shared" si="434"/>
        <v>1437</v>
      </c>
      <c r="M365" s="5">
        <f t="shared" si="434"/>
        <v>1628</v>
      </c>
      <c r="N365" s="5">
        <f t="shared" si="434"/>
        <v>2265</v>
      </c>
      <c r="O365" s="5">
        <f t="shared" si="434"/>
        <v>2229</v>
      </c>
      <c r="P365" s="5">
        <f t="shared" si="434"/>
        <v>2821</v>
      </c>
      <c r="Q365" s="5">
        <f t="shared" si="434"/>
        <v>3168</v>
      </c>
      <c r="R365" s="33">
        <f t="shared" si="434"/>
        <v>4150</v>
      </c>
      <c r="S365" s="33"/>
      <c r="T365" s="33"/>
      <c r="U365" s="33"/>
      <c r="V365" s="33"/>
      <c r="W365" s="33"/>
      <c r="X365" s="33"/>
      <c r="Y365" s="33"/>
      <c r="Z365" s="33"/>
      <c r="AA365" s="33"/>
      <c r="AB365" s="3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409"/>
      <c r="AZ365" s="33"/>
      <c r="BA365" s="33"/>
      <c r="BB365" s="33"/>
      <c r="BC365" s="33"/>
      <c r="BD365" s="33"/>
      <c r="BE365" s="33"/>
      <c r="BF365" s="33"/>
      <c r="BG365" s="33"/>
      <c r="BH365" s="833"/>
      <c r="BI365" s="833"/>
      <c r="BJ365" s="834">
        <f t="shared" ref="BJ365:BO365" si="435">SUM(BJ360:BJ364)</f>
        <v>1164</v>
      </c>
      <c r="BK365" s="834">
        <f t="shared" si="435"/>
        <v>1317</v>
      </c>
      <c r="BL365" s="834">
        <f t="shared" si="435"/>
        <v>2334</v>
      </c>
      <c r="BM365" s="834">
        <f t="shared" si="435"/>
        <v>4713</v>
      </c>
      <c r="BN365" s="834">
        <f t="shared" si="435"/>
        <v>6518</v>
      </c>
      <c r="BO365" s="833">
        <f t="shared" si="435"/>
        <v>12368</v>
      </c>
      <c r="BP365" s="833"/>
      <c r="BQ365" s="833"/>
      <c r="BR365" s="833"/>
      <c r="BS365" s="833"/>
      <c r="BT365" s="833"/>
      <c r="BU365" s="833"/>
      <c r="BV365" s="833"/>
      <c r="BW365" s="835"/>
      <c r="BX365" s="833"/>
      <c r="BY365" s="833"/>
      <c r="BZ365" s="833"/>
      <c r="CA365" s="833"/>
      <c r="CB365" s="833"/>
      <c r="CC365" s="6"/>
    </row>
    <row r="366" spans="1:81" outlineLevel="1" x14ac:dyDescent="0.55000000000000004">
      <c r="A366" s="192"/>
      <c r="B366" s="193"/>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272"/>
      <c r="AZ366" s="35"/>
      <c r="BA366" s="35"/>
      <c r="BB366" s="35"/>
      <c r="BC366" s="35"/>
      <c r="BD366" s="35"/>
      <c r="BE366" s="35"/>
      <c r="BF366" s="35"/>
      <c r="BG366" s="35"/>
      <c r="BH366" s="812"/>
      <c r="BI366" s="812"/>
      <c r="BJ366" s="812"/>
      <c r="BK366" s="812"/>
      <c r="BL366" s="812"/>
      <c r="BM366" s="812"/>
      <c r="BN366" s="812"/>
      <c r="BO366" s="812"/>
      <c r="BP366" s="812"/>
      <c r="BQ366" s="812"/>
      <c r="BR366" s="812"/>
      <c r="BS366" s="812"/>
      <c r="BT366" s="812"/>
      <c r="BU366" s="812"/>
      <c r="BV366" s="812"/>
      <c r="BW366" s="814"/>
      <c r="BX366" s="812"/>
      <c r="BY366" s="812"/>
      <c r="BZ366" s="812"/>
      <c r="CA366" s="812"/>
      <c r="CB366" s="812"/>
      <c r="CC366" s="6"/>
    </row>
    <row r="367" spans="1:81" outlineLevel="1" x14ac:dyDescent="0.55000000000000004">
      <c r="A367" s="19" t="s">
        <v>62</v>
      </c>
      <c r="B367" s="193"/>
      <c r="C367" s="771">
        <v>155</v>
      </c>
      <c r="D367" s="771">
        <v>243</v>
      </c>
      <c r="E367" s="771">
        <v>318</v>
      </c>
      <c r="F367" s="6">
        <f>BL367-SUM(C367,D367,E367)</f>
        <v>391</v>
      </c>
      <c r="G367" s="771">
        <v>496</v>
      </c>
      <c r="H367" s="771">
        <v>615</v>
      </c>
      <c r="I367" s="771">
        <v>629</v>
      </c>
      <c r="J367" s="6">
        <f>BM367-SUM(G367,H367,I367)</f>
        <v>556</v>
      </c>
      <c r="K367" s="771">
        <v>408</v>
      </c>
      <c r="L367" s="771">
        <v>573</v>
      </c>
      <c r="M367" s="771">
        <v>715</v>
      </c>
      <c r="N367" s="6">
        <f>BN367-SUM(K367,L367,M367)</f>
        <v>1248</v>
      </c>
      <c r="O367" s="771">
        <v>1399</v>
      </c>
      <c r="P367" s="771">
        <v>1841</v>
      </c>
      <c r="Q367" s="771">
        <v>2120</v>
      </c>
      <c r="R367" s="6">
        <f>BO367-SUM(O367,P367,Q367)</f>
        <v>2886</v>
      </c>
      <c r="S367" s="771">
        <v>2493</v>
      </c>
      <c r="T367" s="771">
        <v>3173</v>
      </c>
      <c r="U367" s="771">
        <v>3850</v>
      </c>
      <c r="V367" s="6">
        <f>BP367-SUM(S367,T367,U367)</f>
        <v>3506</v>
      </c>
      <c r="W367" s="771">
        <v>4122</v>
      </c>
      <c r="X367" s="771">
        <v>4246</v>
      </c>
      <c r="Y367" s="771">
        <v>4293</v>
      </c>
      <c r="Z367" s="6">
        <f>BQ367-SUM(W367,X367,Y367)</f>
        <v>5749</v>
      </c>
      <c r="AA367" s="771">
        <v>2038</v>
      </c>
      <c r="AB367" s="6">
        <f>AB370-AB369</f>
        <v>2204</v>
      </c>
      <c r="AC367" s="6">
        <f>AC370-AC369</f>
        <v>5138</v>
      </c>
      <c r="AD367" s="6">
        <f>BR367-SUM(AA367,AB367,AC367)</f>
        <v>6189</v>
      </c>
      <c r="AE367" s="771">
        <v>4138</v>
      </c>
      <c r="AF367" s="771">
        <v>4371</v>
      </c>
      <c r="AG367" s="771">
        <v>6623</v>
      </c>
      <c r="AH367" s="6">
        <f>BS367-SUM(AE367,AF367,AG367)</f>
        <v>9475</v>
      </c>
      <c r="AI367" s="771">
        <v>8025</v>
      </c>
      <c r="AJ367" s="771">
        <v>8785</v>
      </c>
      <c r="AK367" s="771">
        <v>7782</v>
      </c>
      <c r="AL367" s="35">
        <f>BT367-SUM(AI367,AJ367,AK367)</f>
        <v>8736</v>
      </c>
      <c r="AM367" s="771">
        <v>6334</v>
      </c>
      <c r="AN367" s="771">
        <v>5673</v>
      </c>
      <c r="AO367" s="771">
        <v>3729</v>
      </c>
      <c r="AP367" s="35">
        <f>BU367-SUM(AM367,AN367,AO367)</f>
        <v>3993</v>
      </c>
      <c r="AQ367" s="771">
        <v>4905</v>
      </c>
      <c r="AR367" s="771">
        <v>6725</v>
      </c>
      <c r="AS367" s="771">
        <v>10007</v>
      </c>
      <c r="AT367" s="35">
        <f>BV367-SUM(AQ367,AR367,AS367)</f>
        <v>12085</v>
      </c>
      <c r="AU367" s="35"/>
      <c r="AV367" s="35"/>
      <c r="AW367" s="35"/>
      <c r="AX367" s="35"/>
      <c r="AY367" s="272"/>
      <c r="AZ367" s="35"/>
      <c r="BA367" s="35"/>
      <c r="BB367" s="35"/>
      <c r="BC367" s="35"/>
      <c r="BD367" s="35"/>
      <c r="BE367" s="35"/>
      <c r="BF367" s="35"/>
      <c r="BG367" s="35"/>
      <c r="BH367" s="812"/>
      <c r="BI367" s="869">
        <v>11</v>
      </c>
      <c r="BJ367" s="869">
        <v>57</v>
      </c>
      <c r="BK367" s="869">
        <v>11</v>
      </c>
      <c r="BL367" s="869">
        <v>1107</v>
      </c>
      <c r="BM367" s="869">
        <v>2296</v>
      </c>
      <c r="BN367" s="869">
        <v>2944</v>
      </c>
      <c r="BO367" s="869">
        <v>8246</v>
      </c>
      <c r="BP367" s="869">
        <v>13022</v>
      </c>
      <c r="BQ367" s="869">
        <v>18410</v>
      </c>
      <c r="BR367" s="869">
        <v>15569</v>
      </c>
      <c r="BS367" s="869">
        <v>24607</v>
      </c>
      <c r="BT367" s="869">
        <v>33328</v>
      </c>
      <c r="BU367" s="869">
        <v>19729</v>
      </c>
      <c r="BV367" s="869">
        <v>33722</v>
      </c>
      <c r="BW367" s="814"/>
      <c r="BX367" s="812"/>
      <c r="BY367" s="812"/>
      <c r="BZ367" s="812"/>
      <c r="CA367" s="812"/>
      <c r="CB367" s="812"/>
      <c r="CC367" s="6"/>
    </row>
    <row r="368" spans="1:81" outlineLevel="1" x14ac:dyDescent="0.55000000000000004">
      <c r="A368" s="116" t="s">
        <v>63</v>
      </c>
      <c r="B368" s="87"/>
      <c r="C368" s="759">
        <v>2</v>
      </c>
      <c r="D368" s="759">
        <v>2</v>
      </c>
      <c r="E368" s="759">
        <v>3</v>
      </c>
      <c r="F368" s="117">
        <f>BL368-SUM(C368,D368,E368)</f>
        <v>2</v>
      </c>
      <c r="G368" s="759">
        <v>3</v>
      </c>
      <c r="H368" s="759">
        <v>3</v>
      </c>
      <c r="I368" s="759">
        <v>4</v>
      </c>
      <c r="J368" s="117">
        <f>+BM368-SUM(G368,H368,I368)</f>
        <v>5</v>
      </c>
      <c r="K368" s="759">
        <v>3</v>
      </c>
      <c r="L368" s="759">
        <v>4</v>
      </c>
      <c r="M368" s="759">
        <v>5</v>
      </c>
      <c r="N368" s="117">
        <f>+BN368-SUM(K368,L368,M368)</f>
        <v>7</v>
      </c>
      <c r="O368" s="759">
        <v>6</v>
      </c>
      <c r="P368" s="759">
        <v>7</v>
      </c>
      <c r="Q368" s="759">
        <v>7</v>
      </c>
      <c r="R368" s="117">
        <f>+BO368-SUM(O368,P368,Q368)</f>
        <v>9</v>
      </c>
      <c r="S368" s="759">
        <v>5</v>
      </c>
      <c r="T368" s="759">
        <v>4</v>
      </c>
      <c r="U368" s="759">
        <v>3</v>
      </c>
      <c r="V368" s="117">
        <f>BP368-SUM(S368,T368,U368)</f>
        <v>2</v>
      </c>
      <c r="W368" s="759">
        <v>1</v>
      </c>
      <c r="X368" s="759">
        <v>0</v>
      </c>
      <c r="Y368" s="37"/>
      <c r="Z368" s="117">
        <f>BQ368-SUM(W368,X368,Y368)</f>
        <v>0</v>
      </c>
      <c r="AA368" s="759">
        <v>0</v>
      </c>
      <c r="AB368" s="37"/>
      <c r="AC368" s="37"/>
      <c r="AD368" s="117">
        <f>BR368-SUM(AA368,AB368,AC368)</f>
        <v>0</v>
      </c>
      <c r="AE368" s="37"/>
      <c r="AF368" s="37"/>
      <c r="AG368" s="37"/>
      <c r="AH368" s="37"/>
      <c r="AI368" s="37"/>
      <c r="AJ368" s="37"/>
      <c r="AK368" s="37"/>
      <c r="AL368" s="37"/>
      <c r="AM368" s="37"/>
      <c r="AN368" s="37"/>
      <c r="AO368" s="37"/>
      <c r="AP368" s="37"/>
      <c r="AQ368" s="37"/>
      <c r="AR368" s="37"/>
      <c r="AS368" s="37"/>
      <c r="AT368" s="37"/>
      <c r="AU368" s="37"/>
      <c r="AV368" s="37"/>
      <c r="AW368" s="37"/>
      <c r="AX368" s="37"/>
      <c r="AY368" s="273"/>
      <c r="AZ368" s="37"/>
      <c r="BA368" s="37"/>
      <c r="BB368" s="37"/>
      <c r="BC368" s="37"/>
      <c r="BD368" s="37"/>
      <c r="BE368" s="37"/>
      <c r="BF368" s="37"/>
      <c r="BG368" s="37"/>
      <c r="BH368" s="158"/>
      <c r="BI368" s="857">
        <v>30</v>
      </c>
      <c r="BJ368" s="857">
        <v>31</v>
      </c>
      <c r="BK368" s="857">
        <v>0</v>
      </c>
      <c r="BL368" s="857">
        <v>9</v>
      </c>
      <c r="BM368" s="857">
        <v>15</v>
      </c>
      <c r="BN368" s="857">
        <v>19</v>
      </c>
      <c r="BO368" s="857">
        <v>29</v>
      </c>
      <c r="BP368" s="857">
        <v>14</v>
      </c>
      <c r="BQ368" s="857">
        <v>1</v>
      </c>
      <c r="BR368" s="158"/>
      <c r="BS368" s="158"/>
      <c r="BT368" s="158"/>
      <c r="BU368" s="158"/>
      <c r="BV368" s="158"/>
      <c r="BW368" s="846"/>
      <c r="BX368" s="158"/>
      <c r="BY368" s="158"/>
      <c r="BZ368" s="158"/>
      <c r="CA368" s="158"/>
      <c r="CB368" s="158"/>
      <c r="CC368" s="117"/>
    </row>
    <row r="369" spans="1:81" outlineLevel="1" x14ac:dyDescent="0.55000000000000004">
      <c r="A369" s="116" t="s">
        <v>64</v>
      </c>
      <c r="B369" s="87"/>
      <c r="C369" s="759">
        <v>62</v>
      </c>
      <c r="D369" s="759">
        <v>88</v>
      </c>
      <c r="E369" s="759">
        <v>104</v>
      </c>
      <c r="F369" s="117">
        <f>BL369-SUM(C369,D369,E369)</f>
        <v>130</v>
      </c>
      <c r="G369" s="759">
        <v>143</v>
      </c>
      <c r="H369" s="759">
        <v>173</v>
      </c>
      <c r="I369" s="759">
        <v>173</v>
      </c>
      <c r="J369" s="117">
        <f>+BM369-SUM(G369,H369,I369)</f>
        <v>140</v>
      </c>
      <c r="K369" s="759">
        <v>101</v>
      </c>
      <c r="L369" s="759">
        <v>142</v>
      </c>
      <c r="M369" s="759">
        <v>176</v>
      </c>
      <c r="N369" s="117">
        <f>+BN369-SUM(K369,L369,M369)</f>
        <v>306</v>
      </c>
      <c r="O369" s="759">
        <v>333</v>
      </c>
      <c r="P369" s="759">
        <v>435</v>
      </c>
      <c r="Q369" s="759">
        <v>500</v>
      </c>
      <c r="R369" s="117">
        <f>+BO369-SUM(O369,P369,Q369)</f>
        <v>674</v>
      </c>
      <c r="S369" s="759">
        <v>566</v>
      </c>
      <c r="T369" s="759">
        <v>717</v>
      </c>
      <c r="U369" s="759">
        <v>854</v>
      </c>
      <c r="V369" s="117">
        <f>BP369-SUM(S369,T369,U369)</f>
        <v>761</v>
      </c>
      <c r="W369" s="759">
        <v>865</v>
      </c>
      <c r="X369" s="759">
        <v>860</v>
      </c>
      <c r="Y369" s="759">
        <v>844</v>
      </c>
      <c r="Z369" s="117">
        <f>BQ369-SUM(W369,X369,Y369)</f>
        <v>1132</v>
      </c>
      <c r="AA369" s="759">
        <v>391</v>
      </c>
      <c r="AB369" s="759">
        <v>412</v>
      </c>
      <c r="AC369" s="759">
        <v>953</v>
      </c>
      <c r="AD369" s="117">
        <f>BR369-SUM(AA369,AB369,AC369)</f>
        <v>1160</v>
      </c>
      <c r="AE369" s="759">
        <v>764</v>
      </c>
      <c r="AF369" s="759">
        <v>807</v>
      </c>
      <c r="AG369" s="759">
        <v>1223</v>
      </c>
      <c r="AH369" s="117">
        <f>BS369-SUM(AE369,AF369,AG369)</f>
        <v>1745</v>
      </c>
      <c r="AI369" s="759">
        <v>1472</v>
      </c>
      <c r="AJ369" s="759">
        <v>1609</v>
      </c>
      <c r="AK369" s="759">
        <v>1412</v>
      </c>
      <c r="AL369" s="37">
        <f>BT369-SUM(AI369,AJ369,AK369)</f>
        <v>1549</v>
      </c>
      <c r="AM369" s="759">
        <v>1131</v>
      </c>
      <c r="AN369" s="759">
        <v>1014</v>
      </c>
      <c r="AO369" s="759">
        <v>666</v>
      </c>
      <c r="AP369" s="37">
        <f>BU369-SUM(AM369,AN369,AO369)</f>
        <v>660</v>
      </c>
      <c r="AQ369" s="759">
        <v>804</v>
      </c>
      <c r="AR369" s="759">
        <v>1063</v>
      </c>
      <c r="AS369" s="759">
        <v>1576</v>
      </c>
      <c r="AT369" s="37">
        <f>BV369-SUM(AQ369,AR369,AS369)</f>
        <v>1933</v>
      </c>
      <c r="AU369" s="37"/>
      <c r="AV369" s="37"/>
      <c r="AW369" s="37"/>
      <c r="AX369" s="37"/>
      <c r="AY369" s="273"/>
      <c r="AZ369" s="37"/>
      <c r="BA369" s="37"/>
      <c r="BB369" s="37"/>
      <c r="BC369" s="37"/>
      <c r="BD369" s="37"/>
      <c r="BE369" s="37"/>
      <c r="BF369" s="37"/>
      <c r="BG369" s="37"/>
      <c r="BH369" s="158"/>
      <c r="BI369" s="857">
        <v>361</v>
      </c>
      <c r="BJ369" s="857">
        <v>611</v>
      </c>
      <c r="BK369" s="857">
        <v>21</v>
      </c>
      <c r="BL369" s="857">
        <v>384</v>
      </c>
      <c r="BM369" s="857">
        <v>629</v>
      </c>
      <c r="BN369" s="857">
        <v>725</v>
      </c>
      <c r="BO369" s="857">
        <v>1942</v>
      </c>
      <c r="BP369" s="857">
        <v>2898</v>
      </c>
      <c r="BQ369" s="857">
        <v>3701</v>
      </c>
      <c r="BR369" s="857">
        <v>2916</v>
      </c>
      <c r="BS369" s="857">
        <v>4539</v>
      </c>
      <c r="BT369" s="857">
        <v>6042</v>
      </c>
      <c r="BU369" s="857">
        <v>3471</v>
      </c>
      <c r="BV369" s="857">
        <v>5376</v>
      </c>
      <c r="BW369" s="846"/>
      <c r="BX369" s="158"/>
      <c r="BY369" s="158"/>
      <c r="BZ369" s="158"/>
      <c r="CA369" s="158"/>
      <c r="CB369" s="158"/>
      <c r="CC369" s="117"/>
    </row>
    <row r="370" spans="1:81" outlineLevel="1" x14ac:dyDescent="0.55000000000000004">
      <c r="A370" s="20" t="s">
        <v>65</v>
      </c>
      <c r="B370" s="195"/>
      <c r="C370" s="5">
        <f t="shared" ref="C370:AA370" si="436">SUM(C367:C369)</f>
        <v>219</v>
      </c>
      <c r="D370" s="5">
        <f t="shared" si="436"/>
        <v>333</v>
      </c>
      <c r="E370" s="5">
        <f t="shared" si="436"/>
        <v>425</v>
      </c>
      <c r="F370" s="5">
        <f t="shared" si="436"/>
        <v>523</v>
      </c>
      <c r="G370" s="5">
        <f t="shared" si="436"/>
        <v>642</v>
      </c>
      <c r="H370" s="5">
        <f t="shared" si="436"/>
        <v>791</v>
      </c>
      <c r="I370" s="5">
        <f t="shared" si="436"/>
        <v>806</v>
      </c>
      <c r="J370" s="5">
        <f t="shared" si="436"/>
        <v>701</v>
      </c>
      <c r="K370" s="5">
        <f t="shared" si="436"/>
        <v>512</v>
      </c>
      <c r="L370" s="5">
        <f t="shared" si="436"/>
        <v>719</v>
      </c>
      <c r="M370" s="5">
        <f t="shared" si="436"/>
        <v>896</v>
      </c>
      <c r="N370" s="5">
        <f t="shared" si="436"/>
        <v>1561</v>
      </c>
      <c r="O370" s="5">
        <f t="shared" si="436"/>
        <v>1738</v>
      </c>
      <c r="P370" s="5">
        <f t="shared" si="436"/>
        <v>2283</v>
      </c>
      <c r="Q370" s="5">
        <f t="shared" si="436"/>
        <v>2627</v>
      </c>
      <c r="R370" s="33">
        <f t="shared" si="436"/>
        <v>3569</v>
      </c>
      <c r="S370" s="5">
        <f t="shared" si="436"/>
        <v>3064</v>
      </c>
      <c r="T370" s="5">
        <f t="shared" si="436"/>
        <v>3894</v>
      </c>
      <c r="U370" s="5">
        <f t="shared" si="436"/>
        <v>4707</v>
      </c>
      <c r="V370" s="33">
        <f t="shared" si="436"/>
        <v>4269</v>
      </c>
      <c r="W370" s="5">
        <f t="shared" si="436"/>
        <v>4988</v>
      </c>
      <c r="X370" s="5">
        <f t="shared" si="436"/>
        <v>5106</v>
      </c>
      <c r="Y370" s="5">
        <f t="shared" si="436"/>
        <v>5137</v>
      </c>
      <c r="Z370" s="33">
        <f t="shared" si="436"/>
        <v>6881</v>
      </c>
      <c r="AA370" s="5">
        <f t="shared" si="436"/>
        <v>2429</v>
      </c>
      <c r="AB370" s="5">
        <f>AB355</f>
        <v>2616</v>
      </c>
      <c r="AC370" s="753">
        <v>6091</v>
      </c>
      <c r="AD370" s="33">
        <f t="shared" ref="AD370:AT370" si="437">SUM(AD367:AD369)</f>
        <v>7349</v>
      </c>
      <c r="AE370" s="5">
        <f t="shared" si="437"/>
        <v>4902</v>
      </c>
      <c r="AF370" s="5">
        <f t="shared" si="437"/>
        <v>5178</v>
      </c>
      <c r="AG370" s="5">
        <f t="shared" si="437"/>
        <v>7846</v>
      </c>
      <c r="AH370" s="33">
        <f t="shared" si="437"/>
        <v>11220</v>
      </c>
      <c r="AI370" s="5">
        <f t="shared" si="437"/>
        <v>9497</v>
      </c>
      <c r="AJ370" s="33">
        <f t="shared" si="437"/>
        <v>10394</v>
      </c>
      <c r="AK370" s="33">
        <f t="shared" si="437"/>
        <v>9194</v>
      </c>
      <c r="AL370" s="33">
        <f t="shared" si="437"/>
        <v>10285</v>
      </c>
      <c r="AM370" s="33">
        <f t="shared" si="437"/>
        <v>7465</v>
      </c>
      <c r="AN370" s="33">
        <f t="shared" si="437"/>
        <v>6687</v>
      </c>
      <c r="AO370" s="33">
        <f t="shared" si="437"/>
        <v>4395</v>
      </c>
      <c r="AP370" s="33">
        <f t="shared" si="437"/>
        <v>4653</v>
      </c>
      <c r="AQ370" s="33">
        <f t="shared" si="437"/>
        <v>5709</v>
      </c>
      <c r="AR370" s="33">
        <f t="shared" si="437"/>
        <v>7788</v>
      </c>
      <c r="AS370" s="33">
        <f t="shared" si="437"/>
        <v>11583</v>
      </c>
      <c r="AT370" s="33">
        <f t="shared" si="437"/>
        <v>14018</v>
      </c>
      <c r="AU370" s="33"/>
      <c r="AV370" s="33"/>
      <c r="AW370" s="33"/>
      <c r="AX370" s="33"/>
      <c r="AY370" s="409"/>
      <c r="AZ370" s="33"/>
      <c r="BA370" s="33"/>
      <c r="BB370" s="33"/>
      <c r="BC370" s="33"/>
      <c r="BD370" s="33"/>
      <c r="BE370" s="33"/>
      <c r="BF370" s="33"/>
      <c r="BG370" s="33"/>
      <c r="BH370" s="833"/>
      <c r="BI370" s="834">
        <f t="shared" ref="BI370:BQ370" si="438">SUM(BI367:BI369)</f>
        <v>402</v>
      </c>
      <c r="BJ370" s="834">
        <f t="shared" si="438"/>
        <v>699</v>
      </c>
      <c r="BK370" s="834">
        <f t="shared" si="438"/>
        <v>32</v>
      </c>
      <c r="BL370" s="834">
        <f t="shared" si="438"/>
        <v>1500</v>
      </c>
      <c r="BM370" s="834">
        <f t="shared" si="438"/>
        <v>2940</v>
      </c>
      <c r="BN370" s="834">
        <f t="shared" si="438"/>
        <v>3688</v>
      </c>
      <c r="BO370" s="833">
        <f t="shared" si="438"/>
        <v>10217</v>
      </c>
      <c r="BP370" s="833">
        <f t="shared" si="438"/>
        <v>15934</v>
      </c>
      <c r="BQ370" s="834">
        <f t="shared" si="438"/>
        <v>22112</v>
      </c>
      <c r="BR370" s="910">
        <v>18485</v>
      </c>
      <c r="BS370" s="834">
        <f>SUM(BS367:BS369)</f>
        <v>29146</v>
      </c>
      <c r="BT370" s="833">
        <f>SUM(BT367:BT369)</f>
        <v>39370</v>
      </c>
      <c r="BU370" s="833">
        <f>SUM(BU367:BU369)</f>
        <v>23200</v>
      </c>
      <c r="BV370" s="833">
        <f>SUM(BV367:BV369)</f>
        <v>39098</v>
      </c>
      <c r="BW370" s="835"/>
      <c r="BX370" s="833"/>
      <c r="BY370" s="833"/>
      <c r="BZ370" s="833"/>
      <c r="CA370" s="833"/>
      <c r="CB370" s="833"/>
      <c r="CC370" s="6"/>
    </row>
    <row r="371" spans="1:81" outlineLevel="1" x14ac:dyDescent="0.55000000000000004">
      <c r="A371" s="242"/>
      <c r="B371" s="243"/>
      <c r="C371" s="601"/>
      <c r="D371" s="601"/>
      <c r="E371" s="601"/>
      <c r="F371" s="601"/>
      <c r="G371" s="601"/>
      <c r="H371" s="601"/>
      <c r="I371" s="601"/>
      <c r="J371" s="601"/>
      <c r="K371" s="601"/>
      <c r="L371" s="601"/>
      <c r="M371" s="601"/>
      <c r="N371" s="601"/>
      <c r="O371" s="601"/>
      <c r="P371" s="601"/>
      <c r="Q371" s="601"/>
      <c r="R371" s="601"/>
      <c r="S371" s="601"/>
      <c r="T371" s="601"/>
      <c r="U371" s="601"/>
      <c r="V371" s="601"/>
      <c r="W371" s="601"/>
      <c r="X371" s="601"/>
      <c r="Y371" s="601"/>
      <c r="Z371" s="601"/>
      <c r="AA371" s="601"/>
      <c r="AB371" s="601"/>
      <c r="AC371" s="601"/>
      <c r="AD371" s="601"/>
      <c r="AE371" s="601"/>
      <c r="AF371" s="601"/>
      <c r="AG371" s="601"/>
      <c r="AH371" s="601"/>
      <c r="AI371" s="601"/>
      <c r="AJ371" s="601"/>
      <c r="AK371" s="601"/>
      <c r="AL371" s="601"/>
      <c r="AM371" s="601"/>
      <c r="AN371" s="601"/>
      <c r="AO371" s="601"/>
      <c r="AP371" s="601"/>
      <c r="AQ371" s="601"/>
      <c r="AR371" s="601"/>
      <c r="AS371" s="601"/>
      <c r="AT371" s="601"/>
      <c r="AU371" s="601"/>
      <c r="AV371" s="601"/>
      <c r="AW371" s="601"/>
      <c r="AX371" s="601"/>
      <c r="AY371" s="617"/>
      <c r="AZ371" s="601"/>
      <c r="BA371" s="601"/>
      <c r="BB371" s="601"/>
      <c r="BC371" s="601"/>
      <c r="BD371" s="601"/>
      <c r="BE371" s="601"/>
      <c r="BF371" s="601"/>
      <c r="BG371" s="601"/>
      <c r="BH371" s="911"/>
      <c r="BI371" s="911"/>
      <c r="BJ371" s="911"/>
      <c r="BK371" s="911"/>
      <c r="BL371" s="911"/>
      <c r="BM371" s="911"/>
      <c r="BN371" s="911"/>
      <c r="BO371" s="911"/>
      <c r="BP371" s="911"/>
      <c r="BQ371" s="911"/>
      <c r="BR371" s="911"/>
      <c r="BS371" s="911"/>
      <c r="BT371" s="911"/>
      <c r="BU371" s="911"/>
      <c r="BV371" s="911"/>
      <c r="BW371" s="912"/>
      <c r="BX371" s="911"/>
      <c r="BY371" s="911"/>
      <c r="BZ371" s="911"/>
      <c r="CA371" s="911"/>
      <c r="CB371" s="911"/>
      <c r="CC371" s="217"/>
    </row>
    <row r="372" spans="1:81" outlineLevel="1" x14ac:dyDescent="0.55000000000000004">
      <c r="A372" s="192" t="s">
        <v>394</v>
      </c>
      <c r="B372" s="193"/>
      <c r="C372" s="35"/>
      <c r="D372" s="35"/>
      <c r="E372" s="35"/>
      <c r="F372" s="35"/>
      <c r="G372" s="35"/>
      <c r="H372" s="35"/>
      <c r="I372" s="35"/>
      <c r="J372" s="35"/>
      <c r="K372" s="35"/>
      <c r="L372" s="35"/>
      <c r="M372" s="35"/>
      <c r="N372" s="35"/>
      <c r="O372" s="35"/>
      <c r="P372" s="35"/>
      <c r="Q372" s="35"/>
      <c r="R372" s="35"/>
      <c r="S372" s="771">
        <v>5058</v>
      </c>
      <c r="T372" s="771">
        <v>5360</v>
      </c>
      <c r="U372" s="771">
        <v>6128</v>
      </c>
      <c r="V372" s="771">
        <v>7670</v>
      </c>
      <c r="W372" s="35">
        <f>W827</f>
        <v>7860</v>
      </c>
      <c r="X372" s="771">
        <v>6299</v>
      </c>
      <c r="Y372" s="771">
        <v>7496</v>
      </c>
      <c r="Z372" s="771">
        <v>7684</v>
      </c>
      <c r="AA372" s="35">
        <f>AA827</f>
        <v>9308</v>
      </c>
      <c r="AB372" s="771">
        <v>8615</v>
      </c>
      <c r="AC372" s="35">
        <f>AC827</f>
        <v>9307</v>
      </c>
      <c r="AD372" s="35">
        <f>AD827</f>
        <v>9083</v>
      </c>
      <c r="AE372" s="35">
        <f>AE827</f>
        <v>11001</v>
      </c>
      <c r="AF372" s="771">
        <v>3878</v>
      </c>
      <c r="AG372" s="771">
        <v>9828</v>
      </c>
      <c r="AH372" s="35">
        <f>AH827</f>
        <v>14040</v>
      </c>
      <c r="AI372" s="35">
        <f>AI827</f>
        <v>12242</v>
      </c>
      <c r="AJ372" s="771">
        <v>13246</v>
      </c>
      <c r="AK372" s="771">
        <v>14091</v>
      </c>
      <c r="AL372" s="35">
        <f>AL827</f>
        <v>18104</v>
      </c>
      <c r="AM372" s="35">
        <f>AM827</f>
        <v>14076</v>
      </c>
      <c r="AN372" s="771">
        <v>12197</v>
      </c>
      <c r="AO372" s="771">
        <v>9691</v>
      </c>
      <c r="AP372" s="35">
        <f t="shared" ref="AP372:AY372" si="439">AP827</f>
        <v>14511</v>
      </c>
      <c r="AQ372" s="35">
        <f t="shared" si="439"/>
        <v>13998</v>
      </c>
      <c r="AR372" s="35">
        <f t="shared" si="439"/>
        <v>17309</v>
      </c>
      <c r="AS372" s="35">
        <f t="shared" si="439"/>
        <v>20402</v>
      </c>
      <c r="AT372" s="35">
        <f t="shared" si="439"/>
        <v>19404</v>
      </c>
      <c r="AU372" s="35">
        <f t="shared" si="439"/>
        <v>19246</v>
      </c>
      <c r="AV372" s="35">
        <f t="shared" si="439"/>
        <v>19370</v>
      </c>
      <c r="AW372" s="35">
        <f t="shared" si="439"/>
        <v>24724</v>
      </c>
      <c r="AX372" s="35">
        <f t="shared" si="439"/>
        <v>27988</v>
      </c>
      <c r="AY372" s="272">
        <f t="shared" si="439"/>
        <v>24026</v>
      </c>
      <c r="AZ372" s="35"/>
      <c r="BA372" s="35"/>
      <c r="BB372" s="35"/>
      <c r="BC372" s="35"/>
      <c r="BD372" s="35"/>
      <c r="BE372" s="35"/>
      <c r="BF372" s="35"/>
      <c r="BG372" s="35"/>
      <c r="BH372" s="812"/>
      <c r="BI372" s="812"/>
      <c r="BJ372" s="812"/>
      <c r="BK372" s="812"/>
      <c r="BL372" s="812"/>
      <c r="BM372" s="812"/>
      <c r="BN372" s="812"/>
      <c r="BO372" s="812"/>
      <c r="BP372" s="869">
        <v>24216</v>
      </c>
      <c r="BQ372" s="812">
        <f t="shared" ref="BQ372:BW372" si="440">BQ827</f>
        <v>29274</v>
      </c>
      <c r="BR372" s="812">
        <f t="shared" si="440"/>
        <v>36314</v>
      </c>
      <c r="BS372" s="812">
        <f t="shared" si="440"/>
        <v>38747</v>
      </c>
      <c r="BT372" s="812">
        <f t="shared" si="440"/>
        <v>57683</v>
      </c>
      <c r="BU372" s="812">
        <f t="shared" si="440"/>
        <v>50475</v>
      </c>
      <c r="BV372" s="812">
        <f t="shared" si="440"/>
        <v>71113</v>
      </c>
      <c r="BW372" s="814">
        <f t="shared" si="440"/>
        <v>91328</v>
      </c>
      <c r="BX372" s="812"/>
      <c r="BY372" s="812"/>
      <c r="BZ372" s="812"/>
      <c r="CA372" s="812"/>
      <c r="CB372" s="812"/>
      <c r="CC372" s="6"/>
    </row>
    <row r="373" spans="1:81" outlineLevel="1" x14ac:dyDescent="0.55000000000000004">
      <c r="A373" s="86" t="s">
        <v>395</v>
      </c>
      <c r="B373" s="87"/>
      <c r="C373" s="37"/>
      <c r="D373" s="37"/>
      <c r="E373" s="37"/>
      <c r="F373" s="37"/>
      <c r="G373" s="37"/>
      <c r="H373" s="37"/>
      <c r="I373" s="37"/>
      <c r="J373" s="37"/>
      <c r="K373" s="37"/>
      <c r="L373" s="37"/>
      <c r="M373" s="37"/>
      <c r="N373" s="37"/>
      <c r="O373" s="37"/>
      <c r="P373" s="37"/>
      <c r="Q373" s="37"/>
      <c r="R373" s="37"/>
      <c r="S373" s="759">
        <v>-1271</v>
      </c>
      <c r="T373" s="759">
        <v>-1444</v>
      </c>
      <c r="U373" s="759">
        <v>-1755</v>
      </c>
      <c r="V373" s="759">
        <v>-2262</v>
      </c>
      <c r="W373" s="37">
        <f>W830</f>
        <v>-2812</v>
      </c>
      <c r="X373" s="759">
        <v>-3459</v>
      </c>
      <c r="Y373" s="759">
        <v>-3343</v>
      </c>
      <c r="Z373" s="759">
        <v>-4366</v>
      </c>
      <c r="AA373" s="37">
        <f t="shared" ref="AA373:AJ373" si="441">AA830</f>
        <v>-3837</v>
      </c>
      <c r="AB373" s="37">
        <f t="shared" si="441"/>
        <v>-3633</v>
      </c>
      <c r="AC373" s="37">
        <f t="shared" si="441"/>
        <v>-3532</v>
      </c>
      <c r="AD373" s="37">
        <f t="shared" si="441"/>
        <v>-4100</v>
      </c>
      <c r="AE373" s="37">
        <f t="shared" si="441"/>
        <v>-3558</v>
      </c>
      <c r="AF373" s="37">
        <f t="shared" si="441"/>
        <v>-3255</v>
      </c>
      <c r="AG373" s="37">
        <f t="shared" si="441"/>
        <v>-3689</v>
      </c>
      <c r="AH373" s="37">
        <f t="shared" si="441"/>
        <v>-4613</v>
      </c>
      <c r="AI373" s="37">
        <f t="shared" si="441"/>
        <v>-4272</v>
      </c>
      <c r="AJ373" s="37">
        <f t="shared" si="441"/>
        <v>-4612</v>
      </c>
      <c r="AK373" s="759">
        <v>-4313</v>
      </c>
      <c r="AL373" s="759">
        <v>-5370</v>
      </c>
      <c r="AM373" s="759">
        <v>-5315</v>
      </c>
      <c r="AN373" s="759">
        <v>-7528</v>
      </c>
      <c r="AO373" s="759">
        <v>-9355</v>
      </c>
      <c r="AP373" s="759">
        <v>-8988</v>
      </c>
      <c r="AQ373" s="759">
        <v>-6823</v>
      </c>
      <c r="AR373" s="759">
        <v>-6134</v>
      </c>
      <c r="AS373" s="759">
        <v>-6496</v>
      </c>
      <c r="AT373" s="759">
        <v>-7592</v>
      </c>
      <c r="AU373" s="759">
        <v>-6400</v>
      </c>
      <c r="AV373" s="759">
        <v>-8173</v>
      </c>
      <c r="AW373" s="759">
        <v>-8258</v>
      </c>
      <c r="AX373" s="759">
        <v>-14425</v>
      </c>
      <c r="AY373" s="762">
        <v>-12941</v>
      </c>
      <c r="AZ373" s="37"/>
      <c r="BA373" s="37"/>
      <c r="BB373" s="37"/>
      <c r="BC373" s="37"/>
      <c r="BD373" s="37"/>
      <c r="BE373" s="37"/>
      <c r="BF373" s="37"/>
      <c r="BG373" s="37"/>
      <c r="BH373" s="158"/>
      <c r="BI373" s="158"/>
      <c r="BJ373" s="158"/>
      <c r="BK373" s="158"/>
      <c r="BL373" s="158"/>
      <c r="BM373" s="158"/>
      <c r="BN373" s="158"/>
      <c r="BO373" s="158"/>
      <c r="BP373" s="857">
        <v>-6733</v>
      </c>
      <c r="BQ373" s="158">
        <f>BQ830</f>
        <v>-13915</v>
      </c>
      <c r="BR373" s="158">
        <f>BR830</f>
        <v>-15102</v>
      </c>
      <c r="BS373" s="158">
        <f>BS830</f>
        <v>-15115</v>
      </c>
      <c r="BT373" s="158">
        <f>BT830</f>
        <v>-18567</v>
      </c>
      <c r="BU373" s="857">
        <v>-31186</v>
      </c>
      <c r="BV373" s="158">
        <f>SUM(AQ373,AR373,AS373,AT373)</f>
        <v>-27045</v>
      </c>
      <c r="BW373" s="846">
        <f>SUM(AU373,AV373,AW373,AX373)</f>
        <v>-37256</v>
      </c>
      <c r="BX373" s="158"/>
      <c r="BY373" s="158"/>
      <c r="BZ373" s="158"/>
      <c r="CA373" s="158"/>
      <c r="CB373" s="158"/>
      <c r="CC373" s="117"/>
    </row>
    <row r="374" spans="1:81" outlineLevel="1" x14ac:dyDescent="0.55000000000000004">
      <c r="A374" s="86" t="s">
        <v>396</v>
      </c>
      <c r="B374" s="87"/>
      <c r="C374" s="37"/>
      <c r="D374" s="37"/>
      <c r="E374" s="37"/>
      <c r="F374" s="37"/>
      <c r="G374" s="37"/>
      <c r="H374" s="37"/>
      <c r="I374" s="37"/>
      <c r="J374" s="37"/>
      <c r="K374" s="37"/>
      <c r="L374" s="37"/>
      <c r="M374" s="37"/>
      <c r="N374" s="37"/>
      <c r="O374" s="37"/>
      <c r="P374" s="37"/>
      <c r="Q374" s="37"/>
      <c r="R374" s="37"/>
      <c r="S374" s="37"/>
      <c r="T374" s="37"/>
      <c r="U374" s="37"/>
      <c r="V374" s="37"/>
      <c r="W374" s="37">
        <f t="shared" ref="W374:AG374" si="442">W851</f>
        <v>0</v>
      </c>
      <c r="X374" s="37">
        <f t="shared" si="442"/>
        <v>0</v>
      </c>
      <c r="Y374" s="37">
        <f t="shared" si="442"/>
        <v>0</v>
      </c>
      <c r="Z374" s="37">
        <f t="shared" si="442"/>
        <v>0</v>
      </c>
      <c r="AA374" s="37">
        <f t="shared" si="442"/>
        <v>-125</v>
      </c>
      <c r="AB374" s="37">
        <f t="shared" si="442"/>
        <v>-142</v>
      </c>
      <c r="AC374" s="37">
        <f t="shared" si="442"/>
        <v>-144</v>
      </c>
      <c r="AD374" s="37">
        <f t="shared" si="442"/>
        <v>-141</v>
      </c>
      <c r="AE374" s="37">
        <f t="shared" si="442"/>
        <v>-100</v>
      </c>
      <c r="AF374" s="37">
        <f t="shared" si="442"/>
        <v>-109</v>
      </c>
      <c r="AG374" s="37">
        <f t="shared" si="442"/>
        <v>-189</v>
      </c>
      <c r="AH374" s="759">
        <v>-205</v>
      </c>
      <c r="AI374" s="37">
        <f t="shared" ref="AI374:AY374" si="443">AI851</f>
        <v>-151</v>
      </c>
      <c r="AJ374" s="37">
        <f t="shared" si="443"/>
        <v>-123</v>
      </c>
      <c r="AK374" s="37">
        <f t="shared" si="443"/>
        <v>-231</v>
      </c>
      <c r="AL374" s="37">
        <f t="shared" si="443"/>
        <v>-172</v>
      </c>
      <c r="AM374" s="37">
        <f t="shared" si="443"/>
        <v>-233</v>
      </c>
      <c r="AN374" s="37">
        <f t="shared" si="443"/>
        <v>-219</v>
      </c>
      <c r="AO374" s="37">
        <f t="shared" si="443"/>
        <v>-163</v>
      </c>
      <c r="AP374" s="37">
        <f t="shared" si="443"/>
        <v>-235</v>
      </c>
      <c r="AQ374" s="37">
        <f t="shared" si="443"/>
        <v>-264</v>
      </c>
      <c r="AR374" s="37">
        <f t="shared" si="443"/>
        <v>-220</v>
      </c>
      <c r="AS374" s="37">
        <f t="shared" si="443"/>
        <v>-267</v>
      </c>
      <c r="AT374" s="37">
        <f t="shared" si="443"/>
        <v>-307</v>
      </c>
      <c r="AU374" s="37">
        <f t="shared" si="443"/>
        <v>-315</v>
      </c>
      <c r="AV374" s="37">
        <f t="shared" si="443"/>
        <v>-299</v>
      </c>
      <c r="AW374" s="37">
        <f t="shared" si="443"/>
        <v>-944</v>
      </c>
      <c r="AX374" s="37">
        <f t="shared" si="443"/>
        <v>-411</v>
      </c>
      <c r="AY374" s="273">
        <f t="shared" si="443"/>
        <v>-751</v>
      </c>
      <c r="AZ374" s="37"/>
      <c r="BA374" s="37"/>
      <c r="BB374" s="37"/>
      <c r="BC374" s="37"/>
      <c r="BD374" s="37"/>
      <c r="BE374" s="37"/>
      <c r="BF374" s="37"/>
      <c r="BG374" s="37"/>
      <c r="BH374" s="158"/>
      <c r="BI374" s="158"/>
      <c r="BJ374" s="158"/>
      <c r="BK374" s="158"/>
      <c r="BL374" s="158"/>
      <c r="BM374" s="158"/>
      <c r="BN374" s="158"/>
      <c r="BO374" s="158"/>
      <c r="BP374" s="158"/>
      <c r="BQ374" s="158">
        <f t="shared" ref="BQ374:BW374" si="444">BQ851</f>
        <v>0</v>
      </c>
      <c r="BR374" s="158">
        <f t="shared" si="444"/>
        <v>-552</v>
      </c>
      <c r="BS374" s="158">
        <f t="shared" si="444"/>
        <v>-604</v>
      </c>
      <c r="BT374" s="158">
        <f t="shared" si="444"/>
        <v>-677</v>
      </c>
      <c r="BU374" s="158">
        <f t="shared" si="444"/>
        <v>-850</v>
      </c>
      <c r="BV374" s="158">
        <f t="shared" si="444"/>
        <v>-1058</v>
      </c>
      <c r="BW374" s="846">
        <f t="shared" si="444"/>
        <v>-1969</v>
      </c>
      <c r="BX374" s="158"/>
      <c r="BY374" s="158"/>
      <c r="BZ374" s="158"/>
      <c r="CA374" s="158"/>
      <c r="CB374" s="158"/>
      <c r="CC374" s="117"/>
    </row>
    <row r="375" spans="1:81" outlineLevel="1" x14ac:dyDescent="0.55000000000000004">
      <c r="A375" s="194" t="s">
        <v>397</v>
      </c>
      <c r="B375" s="195"/>
      <c r="C375" s="33"/>
      <c r="D375" s="33"/>
      <c r="E375" s="33"/>
      <c r="F375" s="33"/>
      <c r="G375" s="33"/>
      <c r="H375" s="33"/>
      <c r="I375" s="33"/>
      <c r="J375" s="33"/>
      <c r="K375" s="33"/>
      <c r="L375" s="33"/>
      <c r="M375" s="33"/>
      <c r="N375" s="33"/>
      <c r="O375" s="33"/>
      <c r="P375" s="33"/>
      <c r="Q375" s="33"/>
      <c r="R375" s="33"/>
      <c r="S375" s="33">
        <f t="shared" ref="S375:AY375" si="445">SUM(S372:S374)</f>
        <v>3787</v>
      </c>
      <c r="T375" s="33">
        <f t="shared" si="445"/>
        <v>3916</v>
      </c>
      <c r="U375" s="33">
        <f t="shared" si="445"/>
        <v>4373</v>
      </c>
      <c r="V375" s="33">
        <f t="shared" si="445"/>
        <v>5408</v>
      </c>
      <c r="W375" s="33">
        <f t="shared" si="445"/>
        <v>5048</v>
      </c>
      <c r="X375" s="33">
        <f t="shared" si="445"/>
        <v>2840</v>
      </c>
      <c r="Y375" s="33">
        <f t="shared" si="445"/>
        <v>4153</v>
      </c>
      <c r="Z375" s="33">
        <f t="shared" si="445"/>
        <v>3318</v>
      </c>
      <c r="AA375" s="33">
        <f t="shared" si="445"/>
        <v>5346</v>
      </c>
      <c r="AB375" s="33">
        <f t="shared" si="445"/>
        <v>4840</v>
      </c>
      <c r="AC375" s="33">
        <f t="shared" si="445"/>
        <v>5631</v>
      </c>
      <c r="AD375" s="33">
        <f t="shared" si="445"/>
        <v>4842</v>
      </c>
      <c r="AE375" s="33">
        <f t="shared" si="445"/>
        <v>7343</v>
      </c>
      <c r="AF375" s="33">
        <f t="shared" si="445"/>
        <v>514</v>
      </c>
      <c r="AG375" s="33">
        <f t="shared" si="445"/>
        <v>5950</v>
      </c>
      <c r="AH375" s="33">
        <f t="shared" si="445"/>
        <v>9222</v>
      </c>
      <c r="AI375" s="33">
        <f t="shared" si="445"/>
        <v>7819</v>
      </c>
      <c r="AJ375" s="33">
        <f t="shared" si="445"/>
        <v>8511</v>
      </c>
      <c r="AK375" s="33">
        <f t="shared" si="445"/>
        <v>9547</v>
      </c>
      <c r="AL375" s="33">
        <f t="shared" si="445"/>
        <v>12562</v>
      </c>
      <c r="AM375" s="33">
        <f t="shared" si="445"/>
        <v>8528</v>
      </c>
      <c r="AN375" s="33">
        <f t="shared" si="445"/>
        <v>4450</v>
      </c>
      <c r="AO375" s="33">
        <f t="shared" si="445"/>
        <v>173</v>
      </c>
      <c r="AP375" s="33">
        <f t="shared" si="445"/>
        <v>5288</v>
      </c>
      <c r="AQ375" s="33">
        <f t="shared" si="445"/>
        <v>6911</v>
      </c>
      <c r="AR375" s="33">
        <f t="shared" si="445"/>
        <v>10955</v>
      </c>
      <c r="AS375" s="33">
        <f t="shared" si="445"/>
        <v>13639</v>
      </c>
      <c r="AT375" s="33">
        <f t="shared" si="445"/>
        <v>11505</v>
      </c>
      <c r="AU375" s="33">
        <f t="shared" si="445"/>
        <v>12531</v>
      </c>
      <c r="AV375" s="33">
        <f t="shared" si="445"/>
        <v>10898</v>
      </c>
      <c r="AW375" s="33">
        <f t="shared" si="445"/>
        <v>15522</v>
      </c>
      <c r="AX375" s="33">
        <f t="shared" si="445"/>
        <v>13152</v>
      </c>
      <c r="AY375" s="409">
        <f t="shared" si="445"/>
        <v>10334</v>
      </c>
      <c r="AZ375" s="33"/>
      <c r="BA375" s="33"/>
      <c r="BB375" s="33"/>
      <c r="BC375" s="33"/>
      <c r="BD375" s="33"/>
      <c r="BE375" s="33"/>
      <c r="BF375" s="33"/>
      <c r="BG375" s="33"/>
      <c r="BH375" s="833"/>
      <c r="BI375" s="833"/>
      <c r="BJ375" s="833"/>
      <c r="BK375" s="833"/>
      <c r="BL375" s="833"/>
      <c r="BM375" s="833"/>
      <c r="BN375" s="833"/>
      <c r="BO375" s="833"/>
      <c r="BP375" s="833">
        <f t="shared" ref="BP375:BW375" si="446">SUM(BP372:BP374)</f>
        <v>17483</v>
      </c>
      <c r="BQ375" s="833">
        <f t="shared" si="446"/>
        <v>15359</v>
      </c>
      <c r="BR375" s="833">
        <f t="shared" si="446"/>
        <v>20660</v>
      </c>
      <c r="BS375" s="833">
        <f t="shared" si="446"/>
        <v>23028</v>
      </c>
      <c r="BT375" s="833">
        <f t="shared" si="446"/>
        <v>38439</v>
      </c>
      <c r="BU375" s="833">
        <f t="shared" si="446"/>
        <v>18439</v>
      </c>
      <c r="BV375" s="833">
        <f t="shared" si="446"/>
        <v>43010</v>
      </c>
      <c r="BW375" s="835">
        <f t="shared" si="446"/>
        <v>52103</v>
      </c>
      <c r="BX375" s="833"/>
      <c r="BY375" s="833"/>
      <c r="BZ375" s="833"/>
      <c r="CA375" s="833"/>
      <c r="CB375" s="833"/>
      <c r="CC375" s="6"/>
    </row>
    <row r="376" spans="1:81" x14ac:dyDescent="0.55000000000000004">
      <c r="A376" s="242"/>
      <c r="B376" s="243"/>
      <c r="C376" s="601"/>
      <c r="D376" s="601"/>
      <c r="E376" s="601"/>
      <c r="F376" s="601"/>
      <c r="G376" s="601"/>
      <c r="H376" s="601"/>
      <c r="I376" s="601"/>
      <c r="J376" s="601"/>
      <c r="K376" s="601"/>
      <c r="L376" s="601"/>
      <c r="M376" s="601"/>
      <c r="N376" s="601"/>
      <c r="O376" s="601"/>
      <c r="P376" s="601"/>
      <c r="Q376" s="601"/>
      <c r="R376" s="601"/>
      <c r="S376" s="601"/>
      <c r="T376" s="601"/>
      <c r="U376" s="601"/>
      <c r="V376" s="601"/>
      <c r="W376" s="601"/>
      <c r="X376" s="601"/>
      <c r="Y376" s="601"/>
      <c r="Z376" s="601"/>
      <c r="AA376" s="601"/>
      <c r="AB376" s="601"/>
      <c r="AC376" s="601"/>
      <c r="AD376" s="601"/>
      <c r="AE376" s="601"/>
      <c r="AF376" s="601"/>
      <c r="AG376" s="601"/>
      <c r="AH376" s="601"/>
      <c r="AI376" s="601"/>
      <c r="AJ376" s="601"/>
      <c r="AK376" s="601"/>
      <c r="AL376" s="601"/>
      <c r="AM376" s="601"/>
      <c r="AN376" s="601"/>
      <c r="AO376" s="601"/>
      <c r="AP376" s="601"/>
      <c r="AQ376" s="601"/>
      <c r="AR376" s="601"/>
      <c r="AS376" s="601"/>
      <c r="AT376" s="601"/>
      <c r="AU376" s="601"/>
      <c r="AV376" s="601"/>
      <c r="AW376" s="601"/>
      <c r="AX376" s="601"/>
      <c r="AY376" s="617"/>
      <c r="AZ376" s="601"/>
      <c r="BA376" s="601"/>
      <c r="BB376" s="601"/>
      <c r="BC376" s="601"/>
      <c r="BD376" s="601"/>
      <c r="BE376" s="601"/>
      <c r="BF376" s="601"/>
      <c r="BG376" s="601"/>
      <c r="BH376" s="911"/>
      <c r="BI376" s="911"/>
      <c r="BJ376" s="911"/>
      <c r="BK376" s="911"/>
      <c r="BL376" s="911"/>
      <c r="BM376" s="911"/>
      <c r="BN376" s="911"/>
      <c r="BO376" s="911"/>
      <c r="BP376" s="911"/>
      <c r="BQ376" s="911"/>
      <c r="BR376" s="911"/>
      <c r="BS376" s="911"/>
      <c r="BT376" s="911"/>
      <c r="BU376" s="911"/>
      <c r="BV376" s="911"/>
      <c r="BW376" s="912"/>
      <c r="BX376" s="911"/>
      <c r="BY376" s="911"/>
      <c r="BZ376" s="911"/>
      <c r="CA376" s="911"/>
      <c r="CB376" s="911"/>
      <c r="CC376" s="217"/>
    </row>
    <row r="377" spans="1:81" x14ac:dyDescent="0.55000000000000004">
      <c r="A377" s="598" t="s">
        <v>66</v>
      </c>
      <c r="B377" s="598"/>
      <c r="C377" s="598"/>
      <c r="D377" s="598"/>
      <c r="E377" s="598"/>
      <c r="F377" s="598"/>
      <c r="G377" s="598"/>
      <c r="H377" s="598"/>
      <c r="I377" s="598"/>
      <c r="J377" s="598"/>
      <c r="K377" s="598"/>
      <c r="L377" s="598"/>
      <c r="M377" s="598"/>
      <c r="N377" s="598"/>
      <c r="O377" s="598"/>
      <c r="P377" s="598"/>
      <c r="Q377" s="598"/>
      <c r="R377" s="598"/>
      <c r="S377" s="598"/>
      <c r="T377" s="598"/>
      <c r="U377" s="598"/>
      <c r="V377" s="598"/>
      <c r="W377" s="598"/>
      <c r="X377" s="598"/>
      <c r="Y377" s="598"/>
      <c r="Z377" s="598"/>
      <c r="AA377" s="598"/>
      <c r="AB377" s="598"/>
      <c r="AC377" s="598"/>
      <c r="AD377" s="598"/>
      <c r="AE377" s="598"/>
      <c r="AF377" s="598"/>
      <c r="AG377" s="598"/>
      <c r="AH377" s="598"/>
      <c r="AI377" s="598"/>
      <c r="AJ377" s="598"/>
      <c r="AK377" s="598"/>
      <c r="AL377" s="598"/>
      <c r="AM377" s="598"/>
      <c r="AN377" s="598"/>
      <c r="AO377" s="598"/>
      <c r="AP377" s="598"/>
      <c r="AQ377" s="598"/>
      <c r="AR377" s="598"/>
      <c r="AS377" s="598"/>
      <c r="AT377" s="598"/>
      <c r="AU377" s="598"/>
      <c r="AV377" s="598"/>
      <c r="AW377" s="598"/>
      <c r="AX377" s="598"/>
      <c r="AY377" s="599"/>
      <c r="AZ377" s="598"/>
      <c r="BA377" s="598"/>
      <c r="BB377" s="598"/>
      <c r="BC377" s="598"/>
      <c r="BD377" s="598"/>
      <c r="BE377" s="598"/>
      <c r="BF377" s="598"/>
      <c r="BG377" s="598"/>
      <c r="BH377" s="598"/>
      <c r="BI377" s="598"/>
      <c r="BJ377" s="598"/>
      <c r="BK377" s="598"/>
      <c r="BL377" s="598"/>
      <c r="BM377" s="598"/>
      <c r="BN377" s="598"/>
      <c r="BO377" s="598"/>
      <c r="BP377" s="598"/>
      <c r="BQ377" s="598"/>
      <c r="BR377" s="598"/>
      <c r="BS377" s="598"/>
      <c r="BT377" s="598"/>
      <c r="BU377" s="598"/>
      <c r="BV377" s="598"/>
      <c r="BW377" s="599"/>
      <c r="BX377" s="598"/>
      <c r="BY377" s="598"/>
      <c r="BZ377" s="598"/>
      <c r="CA377" s="598"/>
      <c r="CB377" s="598"/>
      <c r="CC377" s="217"/>
    </row>
    <row r="378" spans="1:81" x14ac:dyDescent="0.55000000000000004">
      <c r="A378" s="19" t="s">
        <v>67</v>
      </c>
      <c r="B378" s="193"/>
      <c r="C378" s="6">
        <f t="shared" ref="C378:AH378" si="447">C338</f>
        <v>1458</v>
      </c>
      <c r="D378" s="6">
        <f t="shared" si="447"/>
        <v>1813</v>
      </c>
      <c r="E378" s="6">
        <f t="shared" si="447"/>
        <v>2016</v>
      </c>
      <c r="F378" s="6">
        <f t="shared" si="447"/>
        <v>2585</v>
      </c>
      <c r="G378" s="6">
        <f t="shared" si="447"/>
        <v>2502</v>
      </c>
      <c r="H378" s="6">
        <f t="shared" si="447"/>
        <v>2910</v>
      </c>
      <c r="I378" s="6">
        <f t="shared" si="447"/>
        <v>3203</v>
      </c>
      <c r="J378" s="6">
        <f t="shared" si="447"/>
        <v>3851</v>
      </c>
      <c r="K378" s="6">
        <f t="shared" si="447"/>
        <v>3543</v>
      </c>
      <c r="L378" s="6">
        <f t="shared" si="447"/>
        <v>4042</v>
      </c>
      <c r="M378" s="6">
        <f t="shared" si="447"/>
        <v>4501</v>
      </c>
      <c r="N378" s="6">
        <f t="shared" si="447"/>
        <v>5841</v>
      </c>
      <c r="O378" s="6">
        <f t="shared" si="447"/>
        <v>5382</v>
      </c>
      <c r="P378" s="6">
        <f t="shared" si="447"/>
        <v>6436</v>
      </c>
      <c r="Q378" s="6">
        <f t="shared" si="447"/>
        <v>7011</v>
      </c>
      <c r="R378" s="6">
        <f t="shared" si="447"/>
        <v>8809</v>
      </c>
      <c r="S378" s="6">
        <f t="shared" si="447"/>
        <v>8032</v>
      </c>
      <c r="T378" s="6">
        <f t="shared" si="447"/>
        <v>9321</v>
      </c>
      <c r="U378" s="6">
        <f t="shared" si="447"/>
        <v>10328</v>
      </c>
      <c r="V378" s="6">
        <f t="shared" si="447"/>
        <v>12972</v>
      </c>
      <c r="W378" s="6">
        <f t="shared" si="447"/>
        <v>11966</v>
      </c>
      <c r="X378" s="6">
        <f t="shared" si="447"/>
        <v>13231</v>
      </c>
      <c r="Y378" s="6">
        <f t="shared" si="447"/>
        <v>13727</v>
      </c>
      <c r="Z378" s="6">
        <f t="shared" si="447"/>
        <v>16914</v>
      </c>
      <c r="AA378" s="6">
        <f t="shared" si="447"/>
        <v>15077</v>
      </c>
      <c r="AB378" s="6">
        <f t="shared" si="447"/>
        <v>16886</v>
      </c>
      <c r="AC378" s="6">
        <f t="shared" si="447"/>
        <v>17652</v>
      </c>
      <c r="AD378" s="6">
        <f t="shared" si="447"/>
        <v>21082</v>
      </c>
      <c r="AE378" s="6">
        <f t="shared" si="447"/>
        <v>17737</v>
      </c>
      <c r="AF378" s="6">
        <f t="shared" si="447"/>
        <v>18687</v>
      </c>
      <c r="AG378" s="6">
        <f t="shared" si="447"/>
        <v>21470</v>
      </c>
      <c r="AH378" s="6">
        <f t="shared" si="447"/>
        <v>28072</v>
      </c>
      <c r="AI378" s="6">
        <f t="shared" ref="AI378:AY378" si="448">AI338</f>
        <v>26171</v>
      </c>
      <c r="AJ378" s="6">
        <f t="shared" si="448"/>
        <v>29077</v>
      </c>
      <c r="AK378" s="6">
        <f t="shared" si="448"/>
        <v>29010</v>
      </c>
      <c r="AL378" s="6">
        <f t="shared" si="448"/>
        <v>33671</v>
      </c>
      <c r="AM378" s="6">
        <f t="shared" si="448"/>
        <v>27908</v>
      </c>
      <c r="AN378" s="6">
        <f t="shared" si="448"/>
        <v>28822</v>
      </c>
      <c r="AO378" s="6">
        <f t="shared" si="448"/>
        <v>27714</v>
      </c>
      <c r="AP378" s="6">
        <f t="shared" si="448"/>
        <v>32165</v>
      </c>
      <c r="AQ378" s="6">
        <f t="shared" si="448"/>
        <v>28645</v>
      </c>
      <c r="AR378" s="6">
        <f t="shared" si="448"/>
        <v>31999</v>
      </c>
      <c r="AS378" s="6">
        <f t="shared" si="448"/>
        <v>34146</v>
      </c>
      <c r="AT378" s="6">
        <f t="shared" si="448"/>
        <v>40111</v>
      </c>
      <c r="AU378" s="6">
        <f t="shared" si="448"/>
        <v>36455</v>
      </c>
      <c r="AV378" s="6">
        <f t="shared" si="448"/>
        <v>39071</v>
      </c>
      <c r="AW378" s="6">
        <f t="shared" si="448"/>
        <v>40589</v>
      </c>
      <c r="AX378" s="6">
        <f t="shared" si="448"/>
        <v>48385</v>
      </c>
      <c r="AY378" s="272">
        <f t="shared" si="448"/>
        <v>42314</v>
      </c>
      <c r="AZ378" s="35">
        <f t="shared" ref="AZ378:BF378" si="449">AZ25</f>
        <v>43477.474999999999</v>
      </c>
      <c r="BA378" s="35">
        <f t="shared" si="449"/>
        <v>45854.762999999999</v>
      </c>
      <c r="BB378" s="35">
        <f t="shared" si="449"/>
        <v>56284.65</v>
      </c>
      <c r="BC378" s="35">
        <f t="shared" si="449"/>
        <v>47899.12</v>
      </c>
      <c r="BD378" s="35">
        <f t="shared" si="449"/>
        <v>48182.601500000004</v>
      </c>
      <c r="BE378" s="35">
        <f t="shared" si="449"/>
        <v>51275.127140000004</v>
      </c>
      <c r="BF378" s="35">
        <f t="shared" si="449"/>
        <v>64519.90398000001</v>
      </c>
      <c r="BG378" s="35"/>
      <c r="BH378" s="813">
        <f t="shared" ref="BH378:BW378" si="450">BH338</f>
        <v>777</v>
      </c>
      <c r="BI378" s="813">
        <f t="shared" si="450"/>
        <v>1974</v>
      </c>
      <c r="BJ378" s="813">
        <f t="shared" si="450"/>
        <v>3711</v>
      </c>
      <c r="BK378" s="813">
        <f t="shared" si="450"/>
        <v>5089</v>
      </c>
      <c r="BL378" s="813">
        <f t="shared" si="450"/>
        <v>7872</v>
      </c>
      <c r="BM378" s="813">
        <f t="shared" si="450"/>
        <v>12466</v>
      </c>
      <c r="BN378" s="813">
        <f t="shared" si="450"/>
        <v>17928</v>
      </c>
      <c r="BO378" s="813">
        <f t="shared" si="450"/>
        <v>27638</v>
      </c>
      <c r="BP378" s="813">
        <f t="shared" si="450"/>
        <v>40653</v>
      </c>
      <c r="BQ378" s="813">
        <f t="shared" si="450"/>
        <v>55838</v>
      </c>
      <c r="BR378" s="813">
        <f t="shared" si="450"/>
        <v>70697</v>
      </c>
      <c r="BS378" s="813">
        <f t="shared" si="450"/>
        <v>85965</v>
      </c>
      <c r="BT378" s="813">
        <f t="shared" si="450"/>
        <v>117929</v>
      </c>
      <c r="BU378" s="813">
        <f t="shared" si="450"/>
        <v>116609</v>
      </c>
      <c r="BV378" s="813">
        <f t="shared" si="450"/>
        <v>134902</v>
      </c>
      <c r="BW378" s="870">
        <f t="shared" si="450"/>
        <v>164501</v>
      </c>
      <c r="BX378" s="812">
        <f>SUM(AY378,AZ378,BA378,BB378)</f>
        <v>187930.88800000001</v>
      </c>
      <c r="BY378" s="812">
        <f>SUM(BC378,BD378,BE378,BF378)</f>
        <v>211876.75262000001</v>
      </c>
      <c r="BZ378" s="812">
        <f>BZ25</f>
        <v>235790.84697054373</v>
      </c>
      <c r="CA378" s="812">
        <f>CA25</f>
        <v>248322.89351273677</v>
      </c>
      <c r="CB378" s="812">
        <f>CB25</f>
        <v>260680.33510576782</v>
      </c>
      <c r="CC378" s="6"/>
    </row>
    <row r="379" spans="1:81" x14ac:dyDescent="0.55000000000000004">
      <c r="A379" s="433" t="str">
        <f>CONCATENATE("Consensus Estimates - ",IFERROR(LEFT(A378,FIND("(",A378)-1),A378))</f>
        <v>Consensus Estimates - Net Revenue</v>
      </c>
      <c r="B379" s="76"/>
      <c r="C379" s="45"/>
      <c r="D379" s="45"/>
      <c r="E379" s="45"/>
      <c r="F379" s="45"/>
      <c r="G379" s="45"/>
      <c r="H379" s="45"/>
      <c r="I379" s="45"/>
      <c r="J379" s="45"/>
      <c r="K379" s="45"/>
      <c r="L379" s="45"/>
      <c r="M379" s="45"/>
      <c r="N379" s="45"/>
      <c r="O379" s="45"/>
      <c r="P379" s="566"/>
      <c r="Q379" s="566"/>
      <c r="R379" s="566"/>
      <c r="S379" s="45"/>
      <c r="T379" s="566"/>
      <c r="U379" s="45"/>
      <c r="V379" s="566"/>
      <c r="W379" s="45"/>
      <c r="X379" s="566"/>
      <c r="Y379" s="45"/>
      <c r="Z379" s="566"/>
      <c r="AA379" s="45"/>
      <c r="AB379" s="566"/>
      <c r="AC379" s="45"/>
      <c r="AD379" s="566"/>
      <c r="AE379" s="45"/>
      <c r="AF379" s="566"/>
      <c r="AG379" s="45"/>
      <c r="AH379" s="566"/>
      <c r="AI379" s="45"/>
      <c r="AJ379" s="566"/>
      <c r="AK379" s="45"/>
      <c r="AL379" s="566"/>
      <c r="AM379" s="45"/>
      <c r="AN379" s="566"/>
      <c r="AO379" s="45"/>
      <c r="AP379" s="566"/>
      <c r="AQ379" s="45"/>
      <c r="AR379" s="566"/>
      <c r="AS379" s="45"/>
      <c r="AT379" s="566"/>
      <c r="AU379" s="45"/>
      <c r="AV379" s="566"/>
      <c r="AW379" s="45"/>
      <c r="AX379" s="566"/>
      <c r="AY379" s="627"/>
      <c r="AZ379" s="342" t="str">
        <f t="shared" ref="AZ379:BF379" ca="1" si="451">IFERROR(VLOOKUP($A379,tb_ConsensusEstimate,MATCH(AZ$5,OFFSET(tb_ConsensusEstimate,0,0,1,COLUMNS(tb_ConsensusEstimate)),0),FALSE),"-")</f>
        <v>N/A</v>
      </c>
      <c r="BA379" s="342" t="str">
        <f t="shared" ca="1" si="451"/>
        <v>N/A</v>
      </c>
      <c r="BB379" s="342" t="str">
        <f t="shared" ca="1" si="451"/>
        <v>N/A</v>
      </c>
      <c r="BC379" s="342" t="str">
        <f t="shared" ca="1" si="451"/>
        <v>N/A</v>
      </c>
      <c r="BD379" s="342" t="str">
        <f t="shared" ca="1" si="451"/>
        <v>N/A</v>
      </c>
      <c r="BE379" s="342" t="str">
        <f t="shared" ca="1" si="451"/>
        <v>N/A</v>
      </c>
      <c r="BF379" s="342" t="str">
        <f t="shared" ca="1" si="451"/>
        <v>N/A</v>
      </c>
      <c r="BG379" s="342"/>
      <c r="BH379" s="836"/>
      <c r="BI379" s="836"/>
      <c r="BJ379" s="836"/>
      <c r="BK379" s="836"/>
      <c r="BL379" s="836"/>
      <c r="BM379" s="836"/>
      <c r="BN379" s="836"/>
      <c r="BO379" s="837"/>
      <c r="BP379" s="837"/>
      <c r="BQ379" s="837"/>
      <c r="BR379" s="837"/>
      <c r="BS379" s="837"/>
      <c r="BT379" s="837"/>
      <c r="BU379" s="837"/>
      <c r="BV379" s="837"/>
      <c r="BW379" s="838"/>
      <c r="BX379" s="837" t="str">
        <f ca="1">IFERROR(VLOOKUP($A379,tb_ConsensusEstimate,MATCH(BX$5,OFFSET(tb_ConsensusEstimate,0,0,1,COLUMNS(tb_ConsensusEstimate)),0),FALSE),"-")</f>
        <v>N/A</v>
      </c>
      <c r="BY379" s="837" t="str">
        <f ca="1">IFERROR(VLOOKUP($A379,tb_ConsensusEstimate,MATCH(BY$5,OFFSET(tb_ConsensusEstimate,0,0,1,COLUMNS(tb_ConsensusEstimate)),0),FALSE),"-")</f>
        <v>N/A</v>
      </c>
      <c r="BZ379" s="837" t="str">
        <f ca="1">IFERROR(VLOOKUP($A379,tb_ConsensusEstimate,MATCH(BZ5,OFFSET(tb_ConsensusEstimate,0,0,1,COLUMNS(tb_ConsensusEstimate)),0),FALSE),"-")</f>
        <v>N/A</v>
      </c>
      <c r="CA379" s="837" t="str">
        <f ca="1">IFERROR(VLOOKUP($A379,tb_ConsensusEstimate,MATCH(CA5,OFFSET(tb_ConsensusEstimate,0,0,1,COLUMNS(tb_ConsensusEstimate)),0),FALSE),"-")</f>
        <v>N/A</v>
      </c>
      <c r="CB379" s="837" t="str">
        <f ca="1">IFERROR(VLOOKUP($A379,tb_ConsensusEstimate,MATCH(CB5,OFFSET(tb_ConsensusEstimate,0,0,1,COLUMNS(tb_ConsensusEstimate)),0),FALSE),"-")</f>
        <v>N/A</v>
      </c>
      <c r="CC379" s="45"/>
    </row>
    <row r="380" spans="1:81" x14ac:dyDescent="0.55000000000000004">
      <c r="A380" s="44" t="str">
        <f>CONCATENATE("Guidance - ",IFERROR(LEFT(A378,FIND("(",A378)-1),A378))</f>
        <v>Guidance - Net Revenue</v>
      </c>
      <c r="B380" s="76"/>
      <c r="C380" s="342"/>
      <c r="D380" s="342"/>
      <c r="E380" s="342"/>
      <c r="F380" s="342"/>
      <c r="G380" s="342"/>
      <c r="H380" s="342"/>
      <c r="I380" s="342"/>
      <c r="J380" s="342"/>
      <c r="K380" s="342"/>
      <c r="L380" s="342"/>
      <c r="M380" s="342"/>
      <c r="N380" s="342"/>
      <c r="O380" s="342"/>
      <c r="P380" s="569"/>
      <c r="Q380" s="569"/>
      <c r="R380" s="569"/>
      <c r="S380" s="342"/>
      <c r="T380" s="569"/>
      <c r="U380" s="342"/>
      <c r="V380" s="569"/>
      <c r="W380" s="342"/>
      <c r="X380" s="569"/>
      <c r="Y380" s="342"/>
      <c r="Z380" s="569"/>
      <c r="AA380" s="342"/>
      <c r="AB380" s="569"/>
      <c r="AC380" s="342">
        <f t="shared" ref="AC380:AY380" si="452">AC531</f>
        <v>16472.399999999998</v>
      </c>
      <c r="AD380" s="569">
        <f t="shared" si="452"/>
        <v>21396.21</v>
      </c>
      <c r="AE380" s="342">
        <f t="shared" si="452"/>
        <v>18243.169999999998</v>
      </c>
      <c r="AF380" s="569" t="str">
        <f t="shared" si="452"/>
        <v>NR</v>
      </c>
      <c r="AG380" s="342" t="str">
        <f t="shared" si="452"/>
        <v>NR</v>
      </c>
      <c r="AH380" s="569" t="str">
        <f t="shared" si="452"/>
        <v>NR</v>
      </c>
      <c r="AI380" s="342" t="str">
        <f t="shared" si="452"/>
        <v>NR</v>
      </c>
      <c r="AJ380" s="569" t="str">
        <f t="shared" si="452"/>
        <v>NR</v>
      </c>
      <c r="AK380" s="342" t="str">
        <f t="shared" si="452"/>
        <v>NR</v>
      </c>
      <c r="AL380" s="569">
        <f t="shared" si="452"/>
        <v>32750</v>
      </c>
      <c r="AM380" s="342">
        <f t="shared" si="452"/>
        <v>28000</v>
      </c>
      <c r="AN380" s="569">
        <f t="shared" si="452"/>
        <v>29000</v>
      </c>
      <c r="AO380" s="342">
        <f t="shared" si="452"/>
        <v>27250</v>
      </c>
      <c r="AP380" s="569">
        <f t="shared" si="452"/>
        <v>31250</v>
      </c>
      <c r="AQ380" s="342">
        <f t="shared" si="452"/>
        <v>27250</v>
      </c>
      <c r="AR380" s="569">
        <f t="shared" si="452"/>
        <v>30750</v>
      </c>
      <c r="AS380" s="342">
        <f t="shared" si="452"/>
        <v>33250</v>
      </c>
      <c r="AT380" s="569">
        <f t="shared" si="452"/>
        <v>38250</v>
      </c>
      <c r="AU380" s="342">
        <f t="shared" si="452"/>
        <v>35750</v>
      </c>
      <c r="AV380" s="569">
        <f t="shared" si="452"/>
        <v>37750</v>
      </c>
      <c r="AW380" s="342">
        <f t="shared" si="452"/>
        <v>39750</v>
      </c>
      <c r="AX380" s="569">
        <f t="shared" si="452"/>
        <v>46500</v>
      </c>
      <c r="AY380" s="630">
        <f t="shared" si="452"/>
        <v>40650</v>
      </c>
      <c r="AZ380" s="342">
        <f t="shared" ref="AZ380:BF380" si="453">IFERROR(IF(LEFT(AZ$5)="Q",INDEX(MO_GuidanceAnalysis_Revenue_Q,0,MATCH(AZ$5,MO_SNA_Guidance_ApplicablePeriod_Q,0)),INDEX(MO_GuidanceAnalysis_Revenue_FY,0,MATCH(AZ$5,MO_SNA_Guidance_ApplicablePeriod_FY_Latest,0))),0)</f>
        <v>44000</v>
      </c>
      <c r="BA380" s="342">
        <f t="shared" si="453"/>
        <v>0</v>
      </c>
      <c r="BB380" s="342">
        <f t="shared" si="453"/>
        <v>0</v>
      </c>
      <c r="BC380" s="342">
        <f t="shared" si="453"/>
        <v>0</v>
      </c>
      <c r="BD380" s="342">
        <f t="shared" si="453"/>
        <v>0</v>
      </c>
      <c r="BE380" s="342">
        <f t="shared" si="453"/>
        <v>0</v>
      </c>
      <c r="BF380" s="342">
        <f t="shared" si="453"/>
        <v>0</v>
      </c>
      <c r="BG380" s="342"/>
      <c r="BH380" s="837"/>
      <c r="BI380" s="837"/>
      <c r="BJ380" s="837"/>
      <c r="BK380" s="837"/>
      <c r="BL380" s="837"/>
      <c r="BM380" s="837"/>
      <c r="BN380" s="837"/>
      <c r="BO380" s="837"/>
      <c r="BP380" s="837"/>
      <c r="BQ380" s="837"/>
      <c r="BR380" s="837">
        <f t="shared" ref="BR380:BW380" si="454">BR531</f>
        <v>71011.209999999992</v>
      </c>
      <c r="BS380" s="837" t="str">
        <f t="shared" si="454"/>
        <v>NR</v>
      </c>
      <c r="BT380" s="837">
        <f t="shared" si="454"/>
        <v>117008</v>
      </c>
      <c r="BU380" s="837">
        <f t="shared" si="454"/>
        <v>115694</v>
      </c>
      <c r="BV380" s="837">
        <f t="shared" si="454"/>
        <v>133040</v>
      </c>
      <c r="BW380" s="838">
        <f t="shared" si="454"/>
        <v>162615</v>
      </c>
      <c r="BX380" s="837">
        <f>IFERROR(IF(LEFT(BX$5)="Q",INDEX(MO_GuidanceAnalysis_Revenue_Q,0,MATCH(BX$5,MO_SNA_Guidance_ApplicablePeriod_Q,0)),INDEX(MO_GuidanceAnalysis_Revenue_FY,0,MATCH(BX$5,MO_SNA_Guidance_ApplicablePeriod_FY_Latest,0))),0)</f>
        <v>0</v>
      </c>
      <c r="BY380" s="837">
        <f>IFERROR(IF(LEFT(BY$5)="Q",INDEX(MO_GuidanceAnalysis_Revenue_Q,0,MATCH(BY$5,MO_SNA_Guidance_ApplicablePeriod_Q,0)),INDEX(MO_GuidanceAnalysis_Revenue_FY,0,MATCH(BY$5,MO_SNA_Guidance_ApplicablePeriod_FY_Latest,0))),0)</f>
        <v>0</v>
      </c>
      <c r="BZ380" s="837">
        <f>IFERROR(IF(LEFT(BZ$5)="Q",INDEX(MO_GuidanceAnalysis_Revenue_Q,0,MATCH(BZ$5,MO_SNA_Guidance_ApplicablePeriod_Q,0)),INDEX(MO_GuidanceAnalysis_Revenue_FY,0,MATCH(BZ$5,MO_SNA_Guidance_ApplicablePeriod_FY_Latest,0))),0)</f>
        <v>0</v>
      </c>
      <c r="CA380" s="837">
        <f>IFERROR(IF(LEFT(CA$5)="Q",INDEX(MO_GuidanceAnalysis_Revenue_Q,0,MATCH(CA$5,MO_SNA_Guidance_ApplicablePeriod_Q,0)),INDEX(MO_GuidanceAnalysis_Revenue_FY,0,MATCH(CA$5,MO_SNA_Guidance_ApplicablePeriod_FY_Latest,0))),0)</f>
        <v>0</v>
      </c>
      <c r="CB380" s="837">
        <f>IFERROR(IF(LEFT(CB$5)="Q",INDEX(MO_GuidanceAnalysis_Revenue_Q,0,MATCH(CB$5,MO_SNA_Guidance_ApplicablePeriod_Q,0)),INDEX(MO_GuidanceAnalysis_Revenue_FY,0,MATCH(CB$5,MO_SNA_Guidance_ApplicablePeriod_FY_Latest,0))),0)</f>
        <v>0</v>
      </c>
      <c r="CC380" s="45"/>
    </row>
    <row r="381" spans="1:81" x14ac:dyDescent="0.55000000000000004">
      <c r="A381" s="192"/>
      <c r="B381" s="193"/>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272"/>
      <c r="AZ381" s="35"/>
      <c r="BA381" s="35"/>
      <c r="BB381" s="35"/>
      <c r="BC381" s="35"/>
      <c r="BD381" s="35"/>
      <c r="BE381" s="35"/>
      <c r="BF381" s="35"/>
      <c r="BG381" s="35"/>
      <c r="BH381" s="812"/>
      <c r="BI381" s="812"/>
      <c r="BJ381" s="812"/>
      <c r="BK381" s="812"/>
      <c r="BL381" s="812"/>
      <c r="BM381" s="812"/>
      <c r="BN381" s="812"/>
      <c r="BO381" s="812"/>
      <c r="BP381" s="812"/>
      <c r="BQ381" s="812"/>
      <c r="BR381" s="812"/>
      <c r="BS381" s="812"/>
      <c r="BT381" s="812"/>
      <c r="BU381" s="812"/>
      <c r="BV381" s="812"/>
      <c r="BW381" s="814"/>
      <c r="BX381" s="812"/>
      <c r="BY381" s="812"/>
      <c r="BZ381" s="812"/>
      <c r="CA381" s="812"/>
      <c r="CB381" s="812"/>
      <c r="CC381" s="6"/>
    </row>
    <row r="382" spans="1:81" x14ac:dyDescent="0.55000000000000004">
      <c r="A382" s="18" t="s">
        <v>68</v>
      </c>
      <c r="B382" s="244"/>
      <c r="C382" s="14">
        <f t="shared" ref="C382:AH382" si="455">C339</f>
        <v>413</v>
      </c>
      <c r="D382" s="14">
        <f t="shared" si="455"/>
        <v>465</v>
      </c>
      <c r="E382" s="14">
        <f t="shared" si="455"/>
        <v>507</v>
      </c>
      <c r="F382" s="14">
        <f t="shared" si="455"/>
        <v>491</v>
      </c>
      <c r="G382" s="14">
        <f t="shared" si="455"/>
        <v>462</v>
      </c>
      <c r="H382" s="14">
        <f t="shared" si="455"/>
        <v>473</v>
      </c>
      <c r="I382" s="14">
        <f t="shared" si="455"/>
        <v>565</v>
      </c>
      <c r="J382" s="14">
        <f t="shared" si="455"/>
        <v>653</v>
      </c>
      <c r="K382" s="14">
        <f t="shared" si="455"/>
        <v>654</v>
      </c>
      <c r="L382" s="14">
        <f t="shared" si="455"/>
        <v>668</v>
      </c>
      <c r="M382" s="14">
        <f t="shared" si="455"/>
        <v>720</v>
      </c>
      <c r="N382" s="14">
        <f t="shared" si="455"/>
        <v>824</v>
      </c>
      <c r="O382" s="14">
        <f t="shared" si="455"/>
        <v>838</v>
      </c>
      <c r="P382" s="14">
        <f t="shared" si="455"/>
        <v>917</v>
      </c>
      <c r="Q382" s="14">
        <f t="shared" si="455"/>
        <v>987</v>
      </c>
      <c r="R382" s="14">
        <f t="shared" si="455"/>
        <v>1047</v>
      </c>
      <c r="S382" s="14">
        <f t="shared" si="455"/>
        <v>1159</v>
      </c>
      <c r="T382" s="14">
        <f t="shared" si="455"/>
        <v>1237</v>
      </c>
      <c r="U382" s="14">
        <f t="shared" si="455"/>
        <v>1448</v>
      </c>
      <c r="V382" s="14">
        <f t="shared" si="455"/>
        <v>1611</v>
      </c>
      <c r="W382" s="14">
        <f t="shared" si="455"/>
        <v>1927</v>
      </c>
      <c r="X382" s="14">
        <f t="shared" si="455"/>
        <v>2214</v>
      </c>
      <c r="Y382" s="14">
        <f t="shared" si="455"/>
        <v>2418</v>
      </c>
      <c r="Z382" s="14">
        <f t="shared" si="455"/>
        <v>2796</v>
      </c>
      <c r="AA382" s="14">
        <f t="shared" si="455"/>
        <v>2816</v>
      </c>
      <c r="AB382" s="14">
        <f t="shared" si="455"/>
        <v>3307</v>
      </c>
      <c r="AC382" s="14">
        <f t="shared" si="455"/>
        <v>3155</v>
      </c>
      <c r="AD382" s="14">
        <f t="shared" si="455"/>
        <v>3492</v>
      </c>
      <c r="AE382" s="14">
        <f t="shared" si="455"/>
        <v>3459</v>
      </c>
      <c r="AF382" s="14">
        <f t="shared" si="455"/>
        <v>3829</v>
      </c>
      <c r="AG382" s="14">
        <f t="shared" si="455"/>
        <v>4194</v>
      </c>
      <c r="AH382" s="14">
        <f t="shared" si="455"/>
        <v>5210</v>
      </c>
      <c r="AI382" s="14">
        <f t="shared" ref="AI382:AY382" si="456">AI339</f>
        <v>5131</v>
      </c>
      <c r="AJ382" s="14">
        <f t="shared" si="456"/>
        <v>5399</v>
      </c>
      <c r="AK382" s="14">
        <f t="shared" si="456"/>
        <v>5771</v>
      </c>
      <c r="AL382" s="14">
        <f t="shared" si="456"/>
        <v>6348</v>
      </c>
      <c r="AM382" s="14">
        <f t="shared" si="456"/>
        <v>6005</v>
      </c>
      <c r="AN382" s="14">
        <f t="shared" si="456"/>
        <v>5192</v>
      </c>
      <c r="AO382" s="14">
        <f t="shared" si="456"/>
        <v>5716</v>
      </c>
      <c r="AP382" s="14">
        <f t="shared" si="456"/>
        <v>8336</v>
      </c>
      <c r="AQ382" s="14">
        <f t="shared" si="456"/>
        <v>6108</v>
      </c>
      <c r="AR382" s="14">
        <f t="shared" si="456"/>
        <v>5945</v>
      </c>
      <c r="AS382" s="14">
        <f t="shared" si="456"/>
        <v>6210</v>
      </c>
      <c r="AT382" s="14">
        <f t="shared" si="456"/>
        <v>7695</v>
      </c>
      <c r="AU382" s="14">
        <f t="shared" si="456"/>
        <v>6640</v>
      </c>
      <c r="AV382" s="14">
        <f t="shared" si="456"/>
        <v>7308</v>
      </c>
      <c r="AW382" s="14">
        <f t="shared" si="456"/>
        <v>7375</v>
      </c>
      <c r="AX382" s="14">
        <f t="shared" si="456"/>
        <v>8839</v>
      </c>
      <c r="AY382" s="406">
        <f t="shared" si="456"/>
        <v>7572</v>
      </c>
      <c r="AZ382" s="82">
        <f t="shared" ref="AZ382:BF382" si="457">AZ378-AZ383</f>
        <v>10003.236207964233</v>
      </c>
      <c r="BA382" s="82">
        <f t="shared" si="457"/>
        <v>9650.2134580899365</v>
      </c>
      <c r="BB382" s="82">
        <f t="shared" si="457"/>
        <v>16395.586236903211</v>
      </c>
      <c r="BC382" s="82">
        <f t="shared" si="457"/>
        <v>3440.03043099567</v>
      </c>
      <c r="BD382" s="82">
        <f t="shared" si="457"/>
        <v>6766.0287614350236</v>
      </c>
      <c r="BE382" s="82">
        <f t="shared" si="457"/>
        <v>8664.6791284066567</v>
      </c>
      <c r="BF382" s="82">
        <f t="shared" si="457"/>
        <v>16148.76266712723</v>
      </c>
      <c r="BG382" s="82"/>
      <c r="BH382" s="877">
        <f t="shared" ref="BH382:BW382" si="458">BH339</f>
        <v>223</v>
      </c>
      <c r="BI382" s="877">
        <f t="shared" si="458"/>
        <v>493</v>
      </c>
      <c r="BJ382" s="877">
        <f t="shared" si="458"/>
        <v>860</v>
      </c>
      <c r="BK382" s="877">
        <f t="shared" si="458"/>
        <v>1364</v>
      </c>
      <c r="BL382" s="877">
        <f t="shared" si="458"/>
        <v>1875</v>
      </c>
      <c r="BM382" s="877">
        <f t="shared" si="458"/>
        <v>2153</v>
      </c>
      <c r="BN382" s="877">
        <f t="shared" si="458"/>
        <v>2867</v>
      </c>
      <c r="BO382" s="877">
        <f t="shared" si="458"/>
        <v>3789</v>
      </c>
      <c r="BP382" s="877">
        <f t="shared" si="458"/>
        <v>5454</v>
      </c>
      <c r="BQ382" s="877">
        <f t="shared" si="458"/>
        <v>9355</v>
      </c>
      <c r="BR382" s="877">
        <f t="shared" si="458"/>
        <v>12770</v>
      </c>
      <c r="BS382" s="877">
        <f t="shared" si="458"/>
        <v>16692</v>
      </c>
      <c r="BT382" s="877">
        <f t="shared" si="458"/>
        <v>22649</v>
      </c>
      <c r="BU382" s="877">
        <f t="shared" si="458"/>
        <v>25249</v>
      </c>
      <c r="BV382" s="877">
        <f t="shared" si="458"/>
        <v>25959</v>
      </c>
      <c r="BW382" s="913">
        <f t="shared" si="458"/>
        <v>30161</v>
      </c>
      <c r="BX382" s="854">
        <f>SUM(AY382,AZ382,BA382,BB382)</f>
        <v>43621.035902957381</v>
      </c>
      <c r="BY382" s="854">
        <f>SUM(BC382,BD382,BE382,BF382)</f>
        <v>35019.50098796458</v>
      </c>
      <c r="BZ382" s="854">
        <f>BZ378-BZ383</f>
        <v>31793.505842330022</v>
      </c>
      <c r="CA382" s="854">
        <f>CA378-CA383</f>
        <v>25996.211774375115</v>
      </c>
      <c r="CB382" s="854">
        <f>CB378-CB383</f>
        <v>19485.240738566965</v>
      </c>
      <c r="CC382" s="117"/>
    </row>
    <row r="383" spans="1:81" x14ac:dyDescent="0.55000000000000004">
      <c r="A383" s="20" t="s">
        <v>69</v>
      </c>
      <c r="B383" s="195"/>
      <c r="C383" s="5">
        <f t="shared" ref="C383:AH383" si="459">C378-C382</f>
        <v>1045</v>
      </c>
      <c r="D383" s="5">
        <f t="shared" si="459"/>
        <v>1348</v>
      </c>
      <c r="E383" s="5">
        <f t="shared" si="459"/>
        <v>1509</v>
      </c>
      <c r="F383" s="5">
        <f t="shared" si="459"/>
        <v>2094</v>
      </c>
      <c r="G383" s="5">
        <f t="shared" si="459"/>
        <v>2040</v>
      </c>
      <c r="H383" s="5">
        <f t="shared" si="459"/>
        <v>2437</v>
      </c>
      <c r="I383" s="5">
        <f t="shared" si="459"/>
        <v>2638</v>
      </c>
      <c r="J383" s="5">
        <f t="shared" si="459"/>
        <v>3198</v>
      </c>
      <c r="K383" s="5">
        <f t="shared" si="459"/>
        <v>2889</v>
      </c>
      <c r="L383" s="5">
        <f t="shared" si="459"/>
        <v>3374</v>
      </c>
      <c r="M383" s="5">
        <f t="shared" si="459"/>
        <v>3781</v>
      </c>
      <c r="N383" s="5">
        <f t="shared" si="459"/>
        <v>5017</v>
      </c>
      <c r="O383" s="5">
        <f t="shared" si="459"/>
        <v>4544</v>
      </c>
      <c r="P383" s="5">
        <f t="shared" si="459"/>
        <v>5519</v>
      </c>
      <c r="Q383" s="5">
        <f t="shared" si="459"/>
        <v>6024</v>
      </c>
      <c r="R383" s="5">
        <f t="shared" si="459"/>
        <v>7762</v>
      </c>
      <c r="S383" s="5">
        <f t="shared" si="459"/>
        <v>6873</v>
      </c>
      <c r="T383" s="5">
        <f t="shared" si="459"/>
        <v>8084</v>
      </c>
      <c r="U383" s="5">
        <f t="shared" si="459"/>
        <v>8880</v>
      </c>
      <c r="V383" s="5">
        <f t="shared" si="459"/>
        <v>11361</v>
      </c>
      <c r="W383" s="5">
        <f t="shared" si="459"/>
        <v>10039</v>
      </c>
      <c r="X383" s="5">
        <f t="shared" si="459"/>
        <v>11017</v>
      </c>
      <c r="Y383" s="5">
        <f t="shared" si="459"/>
        <v>11309</v>
      </c>
      <c r="Z383" s="5">
        <f t="shared" si="459"/>
        <v>14118</v>
      </c>
      <c r="AA383" s="5">
        <f t="shared" si="459"/>
        <v>12261</v>
      </c>
      <c r="AB383" s="5">
        <f t="shared" si="459"/>
        <v>13579</v>
      </c>
      <c r="AC383" s="5">
        <f t="shared" si="459"/>
        <v>14497</v>
      </c>
      <c r="AD383" s="5">
        <f t="shared" si="459"/>
        <v>17590</v>
      </c>
      <c r="AE383" s="5">
        <f t="shared" si="459"/>
        <v>14278</v>
      </c>
      <c r="AF383" s="5">
        <f t="shared" si="459"/>
        <v>14858</v>
      </c>
      <c r="AG383" s="5">
        <f t="shared" si="459"/>
        <v>17276</v>
      </c>
      <c r="AH383" s="5">
        <f t="shared" si="459"/>
        <v>22862</v>
      </c>
      <c r="AI383" s="5">
        <f t="shared" ref="AI383:AY383" si="460">AI378-AI382</f>
        <v>21040</v>
      </c>
      <c r="AJ383" s="5">
        <f t="shared" si="460"/>
        <v>23678</v>
      </c>
      <c r="AK383" s="5">
        <f t="shared" si="460"/>
        <v>23239</v>
      </c>
      <c r="AL383" s="5">
        <f t="shared" si="460"/>
        <v>27323</v>
      </c>
      <c r="AM383" s="5">
        <f t="shared" si="460"/>
        <v>21903</v>
      </c>
      <c r="AN383" s="5">
        <f t="shared" si="460"/>
        <v>23630</v>
      </c>
      <c r="AO383" s="5">
        <f t="shared" si="460"/>
        <v>21998</v>
      </c>
      <c r="AP383" s="5">
        <f t="shared" si="460"/>
        <v>23829</v>
      </c>
      <c r="AQ383" s="5">
        <f t="shared" si="460"/>
        <v>22537</v>
      </c>
      <c r="AR383" s="5">
        <f t="shared" si="460"/>
        <v>26054</v>
      </c>
      <c r="AS383" s="5">
        <f t="shared" si="460"/>
        <v>27936</v>
      </c>
      <c r="AT383" s="5">
        <f t="shared" si="460"/>
        <v>32416</v>
      </c>
      <c r="AU383" s="5">
        <f t="shared" si="460"/>
        <v>29815</v>
      </c>
      <c r="AV383" s="5">
        <f t="shared" si="460"/>
        <v>31763</v>
      </c>
      <c r="AW383" s="5">
        <f t="shared" si="460"/>
        <v>33214</v>
      </c>
      <c r="AX383" s="5">
        <f t="shared" si="460"/>
        <v>39546</v>
      </c>
      <c r="AY383" s="409">
        <f t="shared" si="460"/>
        <v>34742</v>
      </c>
      <c r="AZ383" s="33">
        <f t="shared" ref="AZ383:BF383" si="461">AZ148</f>
        <v>33474.238792035765</v>
      </c>
      <c r="BA383" s="33">
        <f t="shared" si="461"/>
        <v>36204.549541910063</v>
      </c>
      <c r="BB383" s="33">
        <f t="shared" si="461"/>
        <v>39889.06376309679</v>
      </c>
      <c r="BC383" s="33">
        <f t="shared" si="461"/>
        <v>44459.089569004333</v>
      </c>
      <c r="BD383" s="33">
        <f t="shared" si="461"/>
        <v>41416.572738564981</v>
      </c>
      <c r="BE383" s="33">
        <f t="shared" si="461"/>
        <v>42610.448011593347</v>
      </c>
      <c r="BF383" s="33">
        <f t="shared" si="461"/>
        <v>48371.14131287278</v>
      </c>
      <c r="BG383" s="33"/>
      <c r="BH383" s="834">
        <f t="shared" ref="BH383:BY383" si="462">BH378-BH382</f>
        <v>554</v>
      </c>
      <c r="BI383" s="834">
        <f t="shared" si="462"/>
        <v>1481</v>
      </c>
      <c r="BJ383" s="834">
        <f t="shared" si="462"/>
        <v>2851</v>
      </c>
      <c r="BK383" s="834">
        <f t="shared" si="462"/>
        <v>3725</v>
      </c>
      <c r="BL383" s="834">
        <f t="shared" si="462"/>
        <v>5997</v>
      </c>
      <c r="BM383" s="834">
        <f t="shared" si="462"/>
        <v>10313</v>
      </c>
      <c r="BN383" s="834">
        <f t="shared" si="462"/>
        <v>15061</v>
      </c>
      <c r="BO383" s="834">
        <f t="shared" si="462"/>
        <v>23849</v>
      </c>
      <c r="BP383" s="834">
        <f t="shared" si="462"/>
        <v>35199</v>
      </c>
      <c r="BQ383" s="834">
        <f t="shared" si="462"/>
        <v>46483</v>
      </c>
      <c r="BR383" s="834">
        <f t="shared" si="462"/>
        <v>57927</v>
      </c>
      <c r="BS383" s="834">
        <f t="shared" si="462"/>
        <v>69273</v>
      </c>
      <c r="BT383" s="834">
        <f t="shared" si="462"/>
        <v>95280</v>
      </c>
      <c r="BU383" s="834">
        <f t="shared" si="462"/>
        <v>91360</v>
      </c>
      <c r="BV383" s="834">
        <f t="shared" si="462"/>
        <v>108943</v>
      </c>
      <c r="BW383" s="914">
        <f t="shared" si="462"/>
        <v>134340</v>
      </c>
      <c r="BX383" s="833">
        <f t="shared" si="462"/>
        <v>144309.85209704263</v>
      </c>
      <c r="BY383" s="833">
        <f t="shared" si="462"/>
        <v>176857.25163203542</v>
      </c>
      <c r="BZ383" s="833">
        <f>BZ148</f>
        <v>203997.34112821371</v>
      </c>
      <c r="CA383" s="833">
        <f>CA148</f>
        <v>222326.68173836166</v>
      </c>
      <c r="CB383" s="833">
        <f>CB148</f>
        <v>241195.09436720086</v>
      </c>
      <c r="CC383" s="6"/>
    </row>
    <row r="384" spans="1:81" x14ac:dyDescent="0.55000000000000004">
      <c r="A384" s="192"/>
      <c r="B384" s="193"/>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272"/>
      <c r="AZ384" s="35"/>
      <c r="BA384" s="35"/>
      <c r="BB384" s="35"/>
      <c r="BC384" s="35"/>
      <c r="BD384" s="35"/>
      <c r="BE384" s="35"/>
      <c r="BF384" s="35"/>
      <c r="BG384" s="35"/>
      <c r="BH384" s="812"/>
      <c r="BI384" s="812"/>
      <c r="BJ384" s="812"/>
      <c r="BK384" s="812"/>
      <c r="BL384" s="812"/>
      <c r="BM384" s="812"/>
      <c r="BN384" s="812"/>
      <c r="BO384" s="812"/>
      <c r="BP384" s="812"/>
      <c r="BQ384" s="812"/>
      <c r="BR384" s="812"/>
      <c r="BS384" s="812"/>
      <c r="BT384" s="812"/>
      <c r="BU384" s="812"/>
      <c r="BV384" s="812"/>
      <c r="BW384" s="814"/>
      <c r="BX384" s="812"/>
      <c r="BY384" s="812"/>
      <c r="BZ384" s="812"/>
      <c r="CA384" s="812"/>
      <c r="CB384" s="812"/>
      <c r="CC384" s="6"/>
    </row>
    <row r="385" spans="1:81" x14ac:dyDescent="0.55000000000000004">
      <c r="A385" s="116" t="s">
        <v>70</v>
      </c>
      <c r="B385" s="87"/>
      <c r="C385" s="117">
        <f t="shared" ref="C385:AH385" si="463">C343</f>
        <v>176</v>
      </c>
      <c r="D385" s="117">
        <f t="shared" si="463"/>
        <v>173</v>
      </c>
      <c r="E385" s="117">
        <f t="shared" si="463"/>
        <v>171</v>
      </c>
      <c r="F385" s="117">
        <f t="shared" si="463"/>
        <v>261</v>
      </c>
      <c r="G385" s="117">
        <f t="shared" si="463"/>
        <v>187</v>
      </c>
      <c r="H385" s="117">
        <f t="shared" si="463"/>
        <v>197</v>
      </c>
      <c r="I385" s="117">
        <f t="shared" si="463"/>
        <v>259</v>
      </c>
      <c r="J385" s="117">
        <f t="shared" si="463"/>
        <v>330</v>
      </c>
      <c r="K385" s="117">
        <f t="shared" si="463"/>
        <v>274</v>
      </c>
      <c r="L385" s="117">
        <f t="shared" si="463"/>
        <v>305</v>
      </c>
      <c r="M385" s="117">
        <f t="shared" si="463"/>
        <v>345</v>
      </c>
      <c r="N385" s="117">
        <f t="shared" si="463"/>
        <v>371</v>
      </c>
      <c r="O385" s="117">
        <f t="shared" si="463"/>
        <v>365</v>
      </c>
      <c r="P385" s="117">
        <f t="shared" si="463"/>
        <v>413</v>
      </c>
      <c r="Q385" s="117">
        <f t="shared" si="463"/>
        <v>439</v>
      </c>
      <c r="R385" s="117">
        <f t="shared" si="463"/>
        <v>515</v>
      </c>
      <c r="S385" s="117">
        <f t="shared" si="463"/>
        <v>655</v>
      </c>
      <c r="T385" s="117">
        <f t="shared" si="463"/>
        <v>640</v>
      </c>
      <c r="U385" s="117">
        <f t="shared" si="463"/>
        <v>536</v>
      </c>
      <c r="V385" s="117">
        <f t="shared" si="463"/>
        <v>686</v>
      </c>
      <c r="W385" s="117">
        <f t="shared" si="463"/>
        <v>757</v>
      </c>
      <c r="X385" s="117">
        <f t="shared" si="463"/>
        <v>776</v>
      </c>
      <c r="Y385" s="117">
        <f t="shared" si="463"/>
        <v>943</v>
      </c>
      <c r="Z385" s="117">
        <f t="shared" si="463"/>
        <v>975</v>
      </c>
      <c r="AA385" s="117">
        <f t="shared" si="463"/>
        <v>4064</v>
      </c>
      <c r="AB385" s="117">
        <f t="shared" si="463"/>
        <v>3224</v>
      </c>
      <c r="AC385" s="117">
        <f t="shared" si="463"/>
        <v>1348</v>
      </c>
      <c r="AD385" s="117">
        <f t="shared" si="463"/>
        <v>1829</v>
      </c>
      <c r="AE385" s="117">
        <f t="shared" si="463"/>
        <v>1583</v>
      </c>
      <c r="AF385" s="117">
        <f t="shared" si="463"/>
        <v>1593</v>
      </c>
      <c r="AG385" s="117">
        <f t="shared" si="463"/>
        <v>1790</v>
      </c>
      <c r="AH385" s="117">
        <f t="shared" si="463"/>
        <v>1599</v>
      </c>
      <c r="AI385" s="117">
        <f t="shared" ref="AI385:AY385" si="464">AI343</f>
        <v>1622</v>
      </c>
      <c r="AJ385" s="117">
        <f t="shared" si="464"/>
        <v>1956</v>
      </c>
      <c r="AK385" s="117">
        <f t="shared" si="464"/>
        <v>2946</v>
      </c>
      <c r="AL385" s="117">
        <f t="shared" si="464"/>
        <v>3305</v>
      </c>
      <c r="AM385" s="117">
        <f t="shared" si="464"/>
        <v>2360</v>
      </c>
      <c r="AN385" s="117">
        <f t="shared" si="464"/>
        <v>2987</v>
      </c>
      <c r="AO385" s="117">
        <f t="shared" si="464"/>
        <v>3384</v>
      </c>
      <c r="AP385" s="117">
        <f t="shared" si="464"/>
        <v>3085</v>
      </c>
      <c r="AQ385" s="117">
        <f t="shared" si="464"/>
        <v>2885</v>
      </c>
      <c r="AR385" s="117">
        <f t="shared" si="464"/>
        <v>4164</v>
      </c>
      <c r="AS385" s="117">
        <f t="shared" si="464"/>
        <v>2070</v>
      </c>
      <c r="AT385" s="117">
        <f t="shared" si="464"/>
        <v>2289</v>
      </c>
      <c r="AU385" s="117">
        <f t="shared" si="464"/>
        <v>3455</v>
      </c>
      <c r="AV385" s="117">
        <f t="shared" si="464"/>
        <v>3658</v>
      </c>
      <c r="AW385" s="117">
        <f t="shared" si="464"/>
        <v>1865</v>
      </c>
      <c r="AX385" s="117">
        <f t="shared" si="464"/>
        <v>761</v>
      </c>
      <c r="AY385" s="273">
        <f t="shared" si="464"/>
        <v>2280</v>
      </c>
      <c r="AZ385" s="37">
        <f t="shared" ref="AZ385:BF385" si="465">AZ154</f>
        <v>3635.7789483952292</v>
      </c>
      <c r="BA385" s="37">
        <f t="shared" si="465"/>
        <v>2061.0986725367216</v>
      </c>
      <c r="BB385" s="37">
        <f t="shared" si="465"/>
        <v>828.96116275188581</v>
      </c>
      <c r="BC385" s="37">
        <f t="shared" si="465"/>
        <v>2437.2449664167889</v>
      </c>
      <c r="BD385" s="37">
        <f t="shared" si="465"/>
        <v>3547.4164424475962</v>
      </c>
      <c r="BE385" s="37">
        <f t="shared" si="465"/>
        <v>2253.4602933092483</v>
      </c>
      <c r="BF385" s="37">
        <f t="shared" si="465"/>
        <v>885.7302019352154</v>
      </c>
      <c r="BG385" s="37"/>
      <c r="BH385" s="876">
        <f t="shared" ref="BH385:BW385" si="466">BH343</f>
        <v>90</v>
      </c>
      <c r="BI385" s="876">
        <f t="shared" si="466"/>
        <v>138</v>
      </c>
      <c r="BJ385" s="876">
        <f t="shared" si="466"/>
        <v>314</v>
      </c>
      <c r="BK385" s="876">
        <f t="shared" si="466"/>
        <v>892</v>
      </c>
      <c r="BL385" s="876">
        <f t="shared" si="466"/>
        <v>781</v>
      </c>
      <c r="BM385" s="876">
        <f t="shared" si="466"/>
        <v>973</v>
      </c>
      <c r="BN385" s="876">
        <f t="shared" si="466"/>
        <v>1295</v>
      </c>
      <c r="BO385" s="876">
        <f t="shared" si="466"/>
        <v>1731</v>
      </c>
      <c r="BP385" s="876">
        <f t="shared" si="466"/>
        <v>2517</v>
      </c>
      <c r="BQ385" s="876">
        <f t="shared" si="466"/>
        <v>3451</v>
      </c>
      <c r="BR385" s="876">
        <f t="shared" si="466"/>
        <v>10465</v>
      </c>
      <c r="BS385" s="876">
        <f t="shared" si="466"/>
        <v>6564</v>
      </c>
      <c r="BT385" s="876">
        <f t="shared" si="466"/>
        <v>9829</v>
      </c>
      <c r="BU385" s="876">
        <f t="shared" si="466"/>
        <v>11816</v>
      </c>
      <c r="BV385" s="876">
        <f t="shared" si="466"/>
        <v>11408</v>
      </c>
      <c r="BW385" s="915">
        <f t="shared" si="466"/>
        <v>9740</v>
      </c>
      <c r="BX385" s="158">
        <f>SUM(AY385,AZ385,BA385,BB385)</f>
        <v>8805.8387836838374</v>
      </c>
      <c r="BY385" s="158">
        <f>SUM(BC385,BD385,BE385,BF385)</f>
        <v>9123.8519041088493</v>
      </c>
      <c r="BZ385" s="158">
        <f>BZ154</f>
        <v>9564.1652312555525</v>
      </c>
      <c r="CA385" s="158">
        <f>CA154</f>
        <v>9451.6837673467562</v>
      </c>
      <c r="CB385" s="158">
        <f>CB154</f>
        <v>9270.3327570129532</v>
      </c>
      <c r="CC385" s="117"/>
    </row>
    <row r="386" spans="1:81" x14ac:dyDescent="0.55000000000000004">
      <c r="A386" s="116" t="s">
        <v>71</v>
      </c>
      <c r="B386" s="87"/>
      <c r="C386" s="117">
        <f t="shared" ref="C386:AH386" si="467">C342</f>
        <v>203</v>
      </c>
      <c r="D386" s="117">
        <f t="shared" si="467"/>
        <v>269</v>
      </c>
      <c r="E386" s="117">
        <f t="shared" si="467"/>
        <v>233</v>
      </c>
      <c r="F386" s="117">
        <f t="shared" si="467"/>
        <v>292</v>
      </c>
      <c r="G386" s="117">
        <f t="shared" si="467"/>
        <v>323</v>
      </c>
      <c r="H386" s="117">
        <f t="shared" si="467"/>
        <v>358</v>
      </c>
      <c r="I386" s="117">
        <f t="shared" si="467"/>
        <v>374</v>
      </c>
      <c r="J386" s="117">
        <f t="shared" si="467"/>
        <v>624</v>
      </c>
      <c r="K386" s="117">
        <f t="shared" si="467"/>
        <v>620</v>
      </c>
      <c r="L386" s="117">
        <f t="shared" si="467"/>
        <v>626</v>
      </c>
      <c r="M386" s="117">
        <f t="shared" si="467"/>
        <v>706</v>
      </c>
      <c r="N386" s="117">
        <f t="shared" si="467"/>
        <v>772</v>
      </c>
      <c r="O386" s="117">
        <f t="shared" si="467"/>
        <v>826</v>
      </c>
      <c r="P386" s="117">
        <f t="shared" si="467"/>
        <v>901</v>
      </c>
      <c r="Q386" s="117">
        <f t="shared" si="467"/>
        <v>926</v>
      </c>
      <c r="R386" s="117">
        <f t="shared" si="467"/>
        <v>1118</v>
      </c>
      <c r="S386" s="117">
        <f t="shared" si="467"/>
        <v>1057</v>
      </c>
      <c r="T386" s="117">
        <f t="shared" si="467"/>
        <v>1124</v>
      </c>
      <c r="U386" s="117">
        <f t="shared" si="467"/>
        <v>1170</v>
      </c>
      <c r="V386" s="117">
        <f t="shared" si="467"/>
        <v>1374</v>
      </c>
      <c r="W386" s="117">
        <f t="shared" si="467"/>
        <v>1595</v>
      </c>
      <c r="X386" s="117">
        <f t="shared" si="467"/>
        <v>1855</v>
      </c>
      <c r="Y386" s="117">
        <f t="shared" si="467"/>
        <v>1928</v>
      </c>
      <c r="Z386" s="117">
        <f t="shared" si="467"/>
        <v>2468</v>
      </c>
      <c r="AA386" s="117">
        <f t="shared" si="467"/>
        <v>2020</v>
      </c>
      <c r="AB386" s="117">
        <f t="shared" si="467"/>
        <v>2414</v>
      </c>
      <c r="AC386" s="117">
        <f t="shared" si="467"/>
        <v>2416</v>
      </c>
      <c r="AD386" s="117">
        <f t="shared" si="467"/>
        <v>3026</v>
      </c>
      <c r="AE386" s="117">
        <f t="shared" si="467"/>
        <v>2787</v>
      </c>
      <c r="AF386" s="117">
        <f t="shared" si="467"/>
        <v>2840</v>
      </c>
      <c r="AG386" s="117">
        <f t="shared" si="467"/>
        <v>2683</v>
      </c>
      <c r="AH386" s="117">
        <f t="shared" si="467"/>
        <v>3280</v>
      </c>
      <c r="AI386" s="117">
        <f t="shared" ref="AI386:AY386" si="468">AI342</f>
        <v>2843</v>
      </c>
      <c r="AJ386" s="117">
        <f t="shared" si="468"/>
        <v>3259</v>
      </c>
      <c r="AK386" s="117">
        <f t="shared" si="468"/>
        <v>3554</v>
      </c>
      <c r="AL386" s="117">
        <f t="shared" si="468"/>
        <v>4387</v>
      </c>
      <c r="AM386" s="117">
        <f t="shared" si="468"/>
        <v>3312</v>
      </c>
      <c r="AN386" s="117">
        <f t="shared" si="468"/>
        <v>3595</v>
      </c>
      <c r="AO386" s="117">
        <f t="shared" si="468"/>
        <v>3780</v>
      </c>
      <c r="AP386" s="117">
        <f t="shared" si="468"/>
        <v>4574</v>
      </c>
      <c r="AQ386" s="117">
        <f t="shared" si="468"/>
        <v>3044</v>
      </c>
      <c r="AR386" s="117">
        <f t="shared" si="468"/>
        <v>3154</v>
      </c>
      <c r="AS386" s="117">
        <f t="shared" si="468"/>
        <v>2877</v>
      </c>
      <c r="AT386" s="117">
        <f t="shared" si="468"/>
        <v>3226</v>
      </c>
      <c r="AU386" s="117">
        <f t="shared" si="468"/>
        <v>2564</v>
      </c>
      <c r="AV386" s="117">
        <f t="shared" si="468"/>
        <v>2721</v>
      </c>
      <c r="AW386" s="117">
        <f t="shared" si="468"/>
        <v>2822</v>
      </c>
      <c r="AX386" s="117">
        <f t="shared" si="468"/>
        <v>3240</v>
      </c>
      <c r="AY386" s="273">
        <f t="shared" si="468"/>
        <v>2757</v>
      </c>
      <c r="AZ386" s="37">
        <f t="shared" ref="AZ386:BF386" si="469">AZ159</f>
        <v>2984.4002213732692</v>
      </c>
      <c r="BA386" s="37">
        <f t="shared" si="469"/>
        <v>3142.2538670721869</v>
      </c>
      <c r="BB386" s="37">
        <f t="shared" si="469"/>
        <v>3712.6988366177534</v>
      </c>
      <c r="BC386" s="37">
        <f t="shared" si="469"/>
        <v>3073.0035089171433</v>
      </c>
      <c r="BD386" s="37">
        <f t="shared" si="469"/>
        <v>3259.1890106495102</v>
      </c>
      <c r="BE386" s="37">
        <f t="shared" si="469"/>
        <v>3462.415839712954</v>
      </c>
      <c r="BF386" s="37">
        <f t="shared" si="469"/>
        <v>4191.4001816070149</v>
      </c>
      <c r="BG386" s="37"/>
      <c r="BH386" s="876">
        <f t="shared" ref="BH386:BW386" si="470">BH342</f>
        <v>87</v>
      </c>
      <c r="BI386" s="876">
        <f t="shared" si="470"/>
        <v>167</v>
      </c>
      <c r="BJ386" s="876">
        <f t="shared" si="470"/>
        <v>393</v>
      </c>
      <c r="BK386" s="876">
        <f t="shared" si="470"/>
        <v>896</v>
      </c>
      <c r="BL386" s="876">
        <f t="shared" si="470"/>
        <v>997</v>
      </c>
      <c r="BM386" s="876">
        <f t="shared" si="470"/>
        <v>1680</v>
      </c>
      <c r="BN386" s="876">
        <f t="shared" si="470"/>
        <v>2725</v>
      </c>
      <c r="BO386" s="876">
        <f t="shared" si="470"/>
        <v>3772</v>
      </c>
      <c r="BP386" s="876">
        <f t="shared" si="470"/>
        <v>4725</v>
      </c>
      <c r="BQ386" s="876">
        <f t="shared" si="470"/>
        <v>7846</v>
      </c>
      <c r="BR386" s="876">
        <f t="shared" si="470"/>
        <v>9876</v>
      </c>
      <c r="BS386" s="876">
        <f t="shared" si="470"/>
        <v>11591</v>
      </c>
      <c r="BT386" s="876">
        <f t="shared" si="470"/>
        <v>14043</v>
      </c>
      <c r="BU386" s="876">
        <f t="shared" si="470"/>
        <v>15262</v>
      </c>
      <c r="BV386" s="876">
        <f t="shared" si="470"/>
        <v>12301</v>
      </c>
      <c r="BW386" s="915">
        <f t="shared" si="470"/>
        <v>11347</v>
      </c>
      <c r="BX386" s="158">
        <f>SUM(AY386,AZ386,BA386,BB386)</f>
        <v>12596.352925063209</v>
      </c>
      <c r="BY386" s="158">
        <f>SUM(BC386,BD386,BE386,BF386)</f>
        <v>13986.008540886622</v>
      </c>
      <c r="BZ386" s="158">
        <f>BZ159</f>
        <v>14975.103511706917</v>
      </c>
      <c r="CA386" s="158">
        <f>CA159</f>
        <v>15150.207979308097</v>
      </c>
      <c r="CB386" s="158">
        <f>CB159</f>
        <v>15252.436058761976</v>
      </c>
      <c r="CC386" s="117"/>
    </row>
    <row r="387" spans="1:81" x14ac:dyDescent="0.55000000000000004">
      <c r="A387" s="18" t="s">
        <v>72</v>
      </c>
      <c r="B387" s="244"/>
      <c r="C387" s="14">
        <f t="shared" ref="C387:AH387" si="471">C341</f>
        <v>293</v>
      </c>
      <c r="D387" s="14">
        <f t="shared" si="471"/>
        <v>344</v>
      </c>
      <c r="E387" s="14">
        <f t="shared" si="471"/>
        <v>369</v>
      </c>
      <c r="F387" s="14">
        <f t="shared" si="471"/>
        <v>408</v>
      </c>
      <c r="G387" s="14">
        <f t="shared" si="471"/>
        <v>455</v>
      </c>
      <c r="H387" s="14">
        <f t="shared" si="471"/>
        <v>492</v>
      </c>
      <c r="I387" s="14">
        <f t="shared" si="471"/>
        <v>608</v>
      </c>
      <c r="J387" s="14">
        <f t="shared" si="471"/>
        <v>1111</v>
      </c>
      <c r="K387" s="14">
        <f t="shared" si="471"/>
        <v>1062</v>
      </c>
      <c r="L387" s="14">
        <f t="shared" si="471"/>
        <v>1170</v>
      </c>
      <c r="M387" s="14">
        <f t="shared" si="471"/>
        <v>1271</v>
      </c>
      <c r="N387" s="14">
        <f t="shared" si="471"/>
        <v>1314</v>
      </c>
      <c r="O387" s="14">
        <f t="shared" si="471"/>
        <v>1343</v>
      </c>
      <c r="P387" s="14">
        <f t="shared" si="471"/>
        <v>1471</v>
      </c>
      <c r="Q387" s="14">
        <f t="shared" si="471"/>
        <v>1542</v>
      </c>
      <c r="R387" s="14">
        <f t="shared" si="471"/>
        <v>1563</v>
      </c>
      <c r="S387" s="14">
        <f t="shared" si="471"/>
        <v>1834</v>
      </c>
      <c r="T387" s="14">
        <f t="shared" si="471"/>
        <v>1919</v>
      </c>
      <c r="U387" s="14">
        <f t="shared" si="471"/>
        <v>2052</v>
      </c>
      <c r="V387" s="14">
        <f t="shared" si="471"/>
        <v>1949</v>
      </c>
      <c r="W387" s="14">
        <f t="shared" si="471"/>
        <v>2238</v>
      </c>
      <c r="X387" s="14">
        <f t="shared" si="471"/>
        <v>2523</v>
      </c>
      <c r="Y387" s="14">
        <f t="shared" si="471"/>
        <v>2657</v>
      </c>
      <c r="Z387" s="14">
        <f t="shared" si="471"/>
        <v>2855</v>
      </c>
      <c r="AA387" s="14">
        <f t="shared" si="471"/>
        <v>2860</v>
      </c>
      <c r="AB387" s="14">
        <f t="shared" si="471"/>
        <v>3315</v>
      </c>
      <c r="AC387" s="14">
        <f t="shared" si="471"/>
        <v>3548</v>
      </c>
      <c r="AD387" s="14">
        <f t="shared" si="471"/>
        <v>3877</v>
      </c>
      <c r="AE387" s="14">
        <f t="shared" si="471"/>
        <v>4015</v>
      </c>
      <c r="AF387" s="14">
        <f t="shared" si="471"/>
        <v>4462</v>
      </c>
      <c r="AG387" s="14">
        <f t="shared" si="471"/>
        <v>4763</v>
      </c>
      <c r="AH387" s="14">
        <f t="shared" si="471"/>
        <v>5208</v>
      </c>
      <c r="AI387" s="14">
        <f t="shared" ref="AI387:AY387" si="472">AI341</f>
        <v>5197</v>
      </c>
      <c r="AJ387" s="14">
        <f t="shared" si="472"/>
        <v>6096</v>
      </c>
      <c r="AK387" s="14">
        <f t="shared" si="472"/>
        <v>6316</v>
      </c>
      <c r="AL387" s="14">
        <f t="shared" si="472"/>
        <v>7046</v>
      </c>
      <c r="AM387" s="14">
        <f t="shared" si="472"/>
        <v>7707</v>
      </c>
      <c r="AN387" s="14">
        <f t="shared" si="472"/>
        <v>8690</v>
      </c>
      <c r="AO387" s="14">
        <f t="shared" si="472"/>
        <v>9170</v>
      </c>
      <c r="AP387" s="14">
        <f t="shared" si="472"/>
        <v>9771</v>
      </c>
      <c r="AQ387" s="14">
        <f t="shared" si="472"/>
        <v>9381</v>
      </c>
      <c r="AR387" s="14">
        <f t="shared" si="472"/>
        <v>9344</v>
      </c>
      <c r="AS387" s="14">
        <f t="shared" si="472"/>
        <v>9241</v>
      </c>
      <c r="AT387" s="14">
        <f t="shared" si="472"/>
        <v>10517</v>
      </c>
      <c r="AU387" s="14">
        <f t="shared" si="472"/>
        <v>9978</v>
      </c>
      <c r="AV387" s="14">
        <f t="shared" si="472"/>
        <v>10537</v>
      </c>
      <c r="AW387" s="14">
        <f t="shared" si="472"/>
        <v>11177</v>
      </c>
      <c r="AX387" s="14">
        <f t="shared" si="472"/>
        <v>12180</v>
      </c>
      <c r="AY387" s="406">
        <f t="shared" si="472"/>
        <v>12150</v>
      </c>
      <c r="AZ387" s="82">
        <f t="shared" ref="AZ387:BF387" si="473">AZ164</f>
        <v>11681.898227567122</v>
      </c>
      <c r="BA387" s="82">
        <f t="shared" si="473"/>
        <v>12581.179311527581</v>
      </c>
      <c r="BB387" s="82">
        <f t="shared" si="473"/>
        <v>14112.301420063035</v>
      </c>
      <c r="BC387" s="82">
        <f t="shared" si="473"/>
        <v>13705.806698405255</v>
      </c>
      <c r="BD387" s="82">
        <f t="shared" si="473"/>
        <v>12897.929081904407</v>
      </c>
      <c r="BE387" s="82">
        <f t="shared" si="473"/>
        <v>14017.090437626182</v>
      </c>
      <c r="BF387" s="82">
        <f t="shared" si="473"/>
        <v>16112.614226893778</v>
      </c>
      <c r="BG387" s="82"/>
      <c r="BH387" s="877">
        <f t="shared" ref="BH387:BW387" si="474">BH341</f>
        <v>115</v>
      </c>
      <c r="BI387" s="877">
        <f t="shared" si="474"/>
        <v>144</v>
      </c>
      <c r="BJ387" s="877">
        <f t="shared" si="474"/>
        <v>388</v>
      </c>
      <c r="BK387" s="877">
        <f t="shared" si="474"/>
        <v>1399</v>
      </c>
      <c r="BL387" s="877">
        <f t="shared" si="474"/>
        <v>1415</v>
      </c>
      <c r="BM387" s="877">
        <f t="shared" si="474"/>
        <v>2666</v>
      </c>
      <c r="BN387" s="877">
        <f t="shared" si="474"/>
        <v>4816</v>
      </c>
      <c r="BO387" s="877">
        <f t="shared" si="474"/>
        <v>5919</v>
      </c>
      <c r="BP387" s="877">
        <f t="shared" si="474"/>
        <v>7754</v>
      </c>
      <c r="BQ387" s="877">
        <f t="shared" si="474"/>
        <v>10273</v>
      </c>
      <c r="BR387" s="877">
        <f t="shared" si="474"/>
        <v>13600</v>
      </c>
      <c r="BS387" s="877">
        <f t="shared" si="474"/>
        <v>18447</v>
      </c>
      <c r="BT387" s="877">
        <f t="shared" si="474"/>
        <v>24655</v>
      </c>
      <c r="BU387" s="877">
        <f t="shared" si="474"/>
        <v>35338</v>
      </c>
      <c r="BV387" s="877">
        <f t="shared" si="474"/>
        <v>38483</v>
      </c>
      <c r="BW387" s="913">
        <f t="shared" si="474"/>
        <v>43873</v>
      </c>
      <c r="BX387" s="854">
        <f>SUM(AY387,AZ387,BA387,BB387)</f>
        <v>50525.378959157737</v>
      </c>
      <c r="BY387" s="854">
        <f>SUM(BC387,BD387,BE387,BF387)</f>
        <v>56733.440444829619</v>
      </c>
      <c r="BZ387" s="854">
        <f>BZ164</f>
        <v>62547.350347695639</v>
      </c>
      <c r="CA387" s="854">
        <f>CA164</f>
        <v>65250.871923615639</v>
      </c>
      <c r="CB387" s="854">
        <f>CB164</f>
        <v>67846.289494001816</v>
      </c>
      <c r="CC387" s="117"/>
    </row>
    <row r="388" spans="1:81" x14ac:dyDescent="0.55000000000000004">
      <c r="A388" s="20" t="s">
        <v>77</v>
      </c>
      <c r="B388" s="195"/>
      <c r="C388" s="5">
        <f t="shared" ref="C388:AH388" si="475">C383-SUM(C385:C387)</f>
        <v>373</v>
      </c>
      <c r="D388" s="5">
        <f t="shared" si="475"/>
        <v>562</v>
      </c>
      <c r="E388" s="5">
        <f t="shared" si="475"/>
        <v>736</v>
      </c>
      <c r="F388" s="5">
        <f t="shared" si="475"/>
        <v>1133</v>
      </c>
      <c r="G388" s="5">
        <f t="shared" si="475"/>
        <v>1075</v>
      </c>
      <c r="H388" s="5">
        <f t="shared" si="475"/>
        <v>1390</v>
      </c>
      <c r="I388" s="5">
        <f t="shared" si="475"/>
        <v>1397</v>
      </c>
      <c r="J388" s="5">
        <f t="shared" si="475"/>
        <v>1133</v>
      </c>
      <c r="K388" s="5">
        <f t="shared" si="475"/>
        <v>933</v>
      </c>
      <c r="L388" s="5">
        <f t="shared" si="475"/>
        <v>1273</v>
      </c>
      <c r="M388" s="5">
        <f t="shared" si="475"/>
        <v>1459</v>
      </c>
      <c r="N388" s="5">
        <f t="shared" si="475"/>
        <v>2560</v>
      </c>
      <c r="O388" s="5">
        <f t="shared" si="475"/>
        <v>2010</v>
      </c>
      <c r="P388" s="5">
        <f t="shared" si="475"/>
        <v>2734</v>
      </c>
      <c r="Q388" s="5">
        <f t="shared" si="475"/>
        <v>3117</v>
      </c>
      <c r="R388" s="5">
        <f t="shared" si="475"/>
        <v>4566</v>
      </c>
      <c r="S388" s="5">
        <f t="shared" si="475"/>
        <v>3327</v>
      </c>
      <c r="T388" s="5">
        <f t="shared" si="475"/>
        <v>4401</v>
      </c>
      <c r="U388" s="5">
        <f t="shared" si="475"/>
        <v>5122</v>
      </c>
      <c r="V388" s="5">
        <f t="shared" si="475"/>
        <v>7352</v>
      </c>
      <c r="W388" s="5">
        <f t="shared" si="475"/>
        <v>5449</v>
      </c>
      <c r="X388" s="5">
        <f t="shared" si="475"/>
        <v>5863</v>
      </c>
      <c r="Y388" s="5">
        <f t="shared" si="475"/>
        <v>5781</v>
      </c>
      <c r="Z388" s="5">
        <f t="shared" si="475"/>
        <v>7820</v>
      </c>
      <c r="AA388" s="5">
        <f t="shared" si="475"/>
        <v>3317</v>
      </c>
      <c r="AB388" s="5">
        <f t="shared" si="475"/>
        <v>4626</v>
      </c>
      <c r="AC388" s="5">
        <f t="shared" si="475"/>
        <v>7185</v>
      </c>
      <c r="AD388" s="5">
        <f t="shared" si="475"/>
        <v>8858</v>
      </c>
      <c r="AE388" s="5">
        <f t="shared" si="475"/>
        <v>5893</v>
      </c>
      <c r="AF388" s="5">
        <f t="shared" si="475"/>
        <v>5963</v>
      </c>
      <c r="AG388" s="5">
        <f t="shared" si="475"/>
        <v>8040</v>
      </c>
      <c r="AH388" s="5">
        <f t="shared" si="475"/>
        <v>12775</v>
      </c>
      <c r="AI388" s="5">
        <f t="shared" ref="AI388:BF388" si="476">AI383-SUM(AI385:AI387)</f>
        <v>11378</v>
      </c>
      <c r="AJ388" s="5">
        <f t="shared" si="476"/>
        <v>12367</v>
      </c>
      <c r="AK388" s="5">
        <f t="shared" si="476"/>
        <v>10423</v>
      </c>
      <c r="AL388" s="5">
        <f t="shared" si="476"/>
        <v>12585</v>
      </c>
      <c r="AM388" s="5">
        <f t="shared" si="476"/>
        <v>8524</v>
      </c>
      <c r="AN388" s="5">
        <f t="shared" si="476"/>
        <v>8358</v>
      </c>
      <c r="AO388" s="5">
        <f t="shared" si="476"/>
        <v>5664</v>
      </c>
      <c r="AP388" s="5">
        <f t="shared" si="476"/>
        <v>6399</v>
      </c>
      <c r="AQ388" s="5">
        <f t="shared" si="476"/>
        <v>7227</v>
      </c>
      <c r="AR388" s="5">
        <f t="shared" si="476"/>
        <v>9392</v>
      </c>
      <c r="AS388" s="5">
        <f t="shared" si="476"/>
        <v>13748</v>
      </c>
      <c r="AT388" s="5">
        <f t="shared" si="476"/>
        <v>16384</v>
      </c>
      <c r="AU388" s="5">
        <f t="shared" si="476"/>
        <v>13818</v>
      </c>
      <c r="AV388" s="5">
        <f t="shared" si="476"/>
        <v>14847</v>
      </c>
      <c r="AW388" s="5">
        <f t="shared" si="476"/>
        <v>17350</v>
      </c>
      <c r="AX388" s="5">
        <f t="shared" si="476"/>
        <v>23365</v>
      </c>
      <c r="AY388" s="409">
        <f t="shared" si="476"/>
        <v>17555</v>
      </c>
      <c r="AZ388" s="33">
        <f t="shared" si="476"/>
        <v>15172.161394700146</v>
      </c>
      <c r="BA388" s="33">
        <f t="shared" si="476"/>
        <v>18420.017690773573</v>
      </c>
      <c r="BB388" s="33">
        <f t="shared" si="476"/>
        <v>21235.102343664115</v>
      </c>
      <c r="BC388" s="33">
        <f t="shared" si="476"/>
        <v>25243.034395265146</v>
      </c>
      <c r="BD388" s="33">
        <f t="shared" si="476"/>
        <v>21712.038203563468</v>
      </c>
      <c r="BE388" s="33">
        <f t="shared" si="476"/>
        <v>22877.481440944961</v>
      </c>
      <c r="BF388" s="33">
        <f t="shared" si="476"/>
        <v>27181.39670243677</v>
      </c>
      <c r="BG388" s="33"/>
      <c r="BH388" s="834">
        <f t="shared" ref="BH388:CB388" si="477">BH383-SUM(BH385:BH387)</f>
        <v>262</v>
      </c>
      <c r="BI388" s="834">
        <f t="shared" si="477"/>
        <v>1032</v>
      </c>
      <c r="BJ388" s="834">
        <f t="shared" si="477"/>
        <v>1756</v>
      </c>
      <c r="BK388" s="834">
        <f t="shared" si="477"/>
        <v>538</v>
      </c>
      <c r="BL388" s="834">
        <f t="shared" si="477"/>
        <v>2804</v>
      </c>
      <c r="BM388" s="834">
        <f t="shared" si="477"/>
        <v>4994</v>
      </c>
      <c r="BN388" s="834">
        <f t="shared" si="477"/>
        <v>6225</v>
      </c>
      <c r="BO388" s="834">
        <f t="shared" si="477"/>
        <v>12427</v>
      </c>
      <c r="BP388" s="834">
        <f t="shared" si="477"/>
        <v>20203</v>
      </c>
      <c r="BQ388" s="834">
        <f t="shared" si="477"/>
        <v>24913</v>
      </c>
      <c r="BR388" s="834">
        <f t="shared" si="477"/>
        <v>23986</v>
      </c>
      <c r="BS388" s="834">
        <f t="shared" si="477"/>
        <v>32671</v>
      </c>
      <c r="BT388" s="834">
        <f t="shared" si="477"/>
        <v>46753</v>
      </c>
      <c r="BU388" s="834">
        <f t="shared" si="477"/>
        <v>28944</v>
      </c>
      <c r="BV388" s="834">
        <f t="shared" si="477"/>
        <v>46751</v>
      </c>
      <c r="BW388" s="914">
        <f t="shared" si="477"/>
        <v>69380</v>
      </c>
      <c r="BX388" s="833">
        <f t="shared" si="477"/>
        <v>72382.281429137845</v>
      </c>
      <c r="BY388" s="833">
        <f t="shared" si="477"/>
        <v>97013.95074221032</v>
      </c>
      <c r="BZ388" s="833">
        <f t="shared" si="477"/>
        <v>116910.72203755559</v>
      </c>
      <c r="CA388" s="833">
        <f t="shared" si="477"/>
        <v>132473.91806809115</v>
      </c>
      <c r="CB388" s="833">
        <f t="shared" si="477"/>
        <v>148826.03605742412</v>
      </c>
      <c r="CC388" s="6"/>
    </row>
    <row r="389" spans="1:81" x14ac:dyDescent="0.55000000000000004">
      <c r="A389" s="19" t="str">
        <f>CONCATENATE("Adjusted ",A388,IF(AND(ROUND(SUM(BH388:CC388)-SUM(BH389:CC389),6)=0)," (No Adjustments)",""))</f>
        <v>Adjusted EBIT (No Adjustments)</v>
      </c>
      <c r="B389" s="193"/>
      <c r="C389" s="6">
        <f t="shared" ref="C389:AH389" si="478">C388</f>
        <v>373</v>
      </c>
      <c r="D389" s="6">
        <f t="shared" si="478"/>
        <v>562</v>
      </c>
      <c r="E389" s="6">
        <f t="shared" si="478"/>
        <v>736</v>
      </c>
      <c r="F389" s="6">
        <f t="shared" si="478"/>
        <v>1133</v>
      </c>
      <c r="G389" s="6">
        <f t="shared" si="478"/>
        <v>1075</v>
      </c>
      <c r="H389" s="6">
        <f t="shared" si="478"/>
        <v>1390</v>
      </c>
      <c r="I389" s="6">
        <f t="shared" si="478"/>
        <v>1397</v>
      </c>
      <c r="J389" s="6">
        <f t="shared" si="478"/>
        <v>1133</v>
      </c>
      <c r="K389" s="6">
        <f t="shared" si="478"/>
        <v>933</v>
      </c>
      <c r="L389" s="6">
        <f t="shared" si="478"/>
        <v>1273</v>
      </c>
      <c r="M389" s="6">
        <f t="shared" si="478"/>
        <v>1459</v>
      </c>
      <c r="N389" s="6">
        <f t="shared" si="478"/>
        <v>2560</v>
      </c>
      <c r="O389" s="6">
        <f t="shared" si="478"/>
        <v>2010</v>
      </c>
      <c r="P389" s="6">
        <f t="shared" si="478"/>
        <v>2734</v>
      </c>
      <c r="Q389" s="6">
        <f t="shared" si="478"/>
        <v>3117</v>
      </c>
      <c r="R389" s="6">
        <f t="shared" si="478"/>
        <v>4566</v>
      </c>
      <c r="S389" s="6">
        <f t="shared" si="478"/>
        <v>3327</v>
      </c>
      <c r="T389" s="6">
        <f t="shared" si="478"/>
        <v>4401</v>
      </c>
      <c r="U389" s="6">
        <f t="shared" si="478"/>
        <v>5122</v>
      </c>
      <c r="V389" s="6">
        <f t="shared" si="478"/>
        <v>7352</v>
      </c>
      <c r="W389" s="6">
        <f t="shared" si="478"/>
        <v>5449</v>
      </c>
      <c r="X389" s="6">
        <f t="shared" si="478"/>
        <v>5863</v>
      </c>
      <c r="Y389" s="6">
        <f t="shared" si="478"/>
        <v>5781</v>
      </c>
      <c r="Z389" s="6">
        <f t="shared" si="478"/>
        <v>7820</v>
      </c>
      <c r="AA389" s="6">
        <f t="shared" si="478"/>
        <v>3317</v>
      </c>
      <c r="AB389" s="6">
        <f t="shared" si="478"/>
        <v>4626</v>
      </c>
      <c r="AC389" s="6">
        <f t="shared" si="478"/>
        <v>7185</v>
      </c>
      <c r="AD389" s="6">
        <f t="shared" si="478"/>
        <v>8858</v>
      </c>
      <c r="AE389" s="6">
        <f t="shared" si="478"/>
        <v>5893</v>
      </c>
      <c r="AF389" s="6">
        <f t="shared" si="478"/>
        <v>5963</v>
      </c>
      <c r="AG389" s="6">
        <f t="shared" si="478"/>
        <v>8040</v>
      </c>
      <c r="AH389" s="6">
        <f t="shared" si="478"/>
        <v>12775</v>
      </c>
      <c r="AI389" s="6">
        <f t="shared" ref="AI389:BF389" si="479">AI388</f>
        <v>11378</v>
      </c>
      <c r="AJ389" s="6">
        <f t="shared" si="479"/>
        <v>12367</v>
      </c>
      <c r="AK389" s="6">
        <f t="shared" si="479"/>
        <v>10423</v>
      </c>
      <c r="AL389" s="6">
        <f t="shared" si="479"/>
        <v>12585</v>
      </c>
      <c r="AM389" s="6">
        <f t="shared" si="479"/>
        <v>8524</v>
      </c>
      <c r="AN389" s="6">
        <f t="shared" si="479"/>
        <v>8358</v>
      </c>
      <c r="AO389" s="6">
        <f t="shared" si="479"/>
        <v>5664</v>
      </c>
      <c r="AP389" s="6">
        <f t="shared" si="479"/>
        <v>6399</v>
      </c>
      <c r="AQ389" s="6">
        <f t="shared" si="479"/>
        <v>7227</v>
      </c>
      <c r="AR389" s="6">
        <f t="shared" si="479"/>
        <v>9392</v>
      </c>
      <c r="AS389" s="6">
        <f t="shared" si="479"/>
        <v>13748</v>
      </c>
      <c r="AT389" s="6">
        <f t="shared" si="479"/>
        <v>16384</v>
      </c>
      <c r="AU389" s="6">
        <f t="shared" si="479"/>
        <v>13818</v>
      </c>
      <c r="AV389" s="6">
        <f t="shared" si="479"/>
        <v>14847</v>
      </c>
      <c r="AW389" s="6">
        <f t="shared" si="479"/>
        <v>17350</v>
      </c>
      <c r="AX389" s="6">
        <f t="shared" si="479"/>
        <v>23365</v>
      </c>
      <c r="AY389" s="272">
        <f t="shared" si="479"/>
        <v>17555</v>
      </c>
      <c r="AZ389" s="35">
        <f t="shared" si="479"/>
        <v>15172.161394700146</v>
      </c>
      <c r="BA389" s="35">
        <f t="shared" si="479"/>
        <v>18420.017690773573</v>
      </c>
      <c r="BB389" s="35">
        <f t="shared" si="479"/>
        <v>21235.102343664115</v>
      </c>
      <c r="BC389" s="35">
        <f t="shared" si="479"/>
        <v>25243.034395265146</v>
      </c>
      <c r="BD389" s="35">
        <f t="shared" si="479"/>
        <v>21712.038203563468</v>
      </c>
      <c r="BE389" s="35">
        <f t="shared" si="479"/>
        <v>22877.481440944961</v>
      </c>
      <c r="BF389" s="35">
        <f t="shared" si="479"/>
        <v>27181.39670243677</v>
      </c>
      <c r="BG389" s="35"/>
      <c r="BH389" s="813">
        <f t="shared" ref="BH389:CB389" si="480">BH388</f>
        <v>262</v>
      </c>
      <c r="BI389" s="813">
        <f t="shared" si="480"/>
        <v>1032</v>
      </c>
      <c r="BJ389" s="813">
        <f t="shared" si="480"/>
        <v>1756</v>
      </c>
      <c r="BK389" s="813">
        <f t="shared" si="480"/>
        <v>538</v>
      </c>
      <c r="BL389" s="813">
        <f t="shared" si="480"/>
        <v>2804</v>
      </c>
      <c r="BM389" s="813">
        <f t="shared" si="480"/>
        <v>4994</v>
      </c>
      <c r="BN389" s="813">
        <f t="shared" si="480"/>
        <v>6225</v>
      </c>
      <c r="BO389" s="813">
        <f t="shared" si="480"/>
        <v>12427</v>
      </c>
      <c r="BP389" s="813">
        <f t="shared" si="480"/>
        <v>20203</v>
      </c>
      <c r="BQ389" s="813">
        <f t="shared" si="480"/>
        <v>24913</v>
      </c>
      <c r="BR389" s="813">
        <f t="shared" si="480"/>
        <v>23986</v>
      </c>
      <c r="BS389" s="813">
        <f t="shared" si="480"/>
        <v>32671</v>
      </c>
      <c r="BT389" s="813">
        <f t="shared" si="480"/>
        <v>46753</v>
      </c>
      <c r="BU389" s="813">
        <f t="shared" si="480"/>
        <v>28944</v>
      </c>
      <c r="BV389" s="813">
        <f t="shared" si="480"/>
        <v>46751</v>
      </c>
      <c r="BW389" s="870">
        <f t="shared" si="480"/>
        <v>69380</v>
      </c>
      <c r="BX389" s="812">
        <f t="shared" si="480"/>
        <v>72382.281429137845</v>
      </c>
      <c r="BY389" s="812">
        <f t="shared" si="480"/>
        <v>97013.95074221032</v>
      </c>
      <c r="BZ389" s="812">
        <f t="shared" si="480"/>
        <v>116910.72203755559</v>
      </c>
      <c r="CA389" s="812">
        <f t="shared" si="480"/>
        <v>132473.91806809115</v>
      </c>
      <c r="CB389" s="812">
        <f t="shared" si="480"/>
        <v>148826.03605742412</v>
      </c>
      <c r="CC389" s="6"/>
    </row>
    <row r="390" spans="1:81" x14ac:dyDescent="0.55000000000000004">
      <c r="A390" s="285" t="s">
        <v>455</v>
      </c>
      <c r="B390" s="76"/>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45"/>
      <c r="AP390" s="45"/>
      <c r="AQ390" s="45"/>
      <c r="AR390" s="45"/>
      <c r="AS390" s="45"/>
      <c r="AT390" s="45"/>
      <c r="AU390" s="45"/>
      <c r="AV390" s="45"/>
      <c r="AW390" s="45"/>
      <c r="AX390" s="45"/>
      <c r="AY390" s="627"/>
      <c r="AZ390" s="342" t="str">
        <f t="shared" ref="AZ390:BF390" ca="1" si="481">IFERROR(VLOOKUP($A390,tb_ConsensusEstimate,MATCH(AZ$5,OFFSET(tb_ConsensusEstimate,0,0,1,COLUMNS(tb_ConsensusEstimate)),0),FALSE),"-")</f>
        <v>N/A</v>
      </c>
      <c r="BA390" s="342" t="str">
        <f t="shared" ca="1" si="481"/>
        <v>N/A</v>
      </c>
      <c r="BB390" s="342" t="str">
        <f t="shared" ca="1" si="481"/>
        <v>N/A</v>
      </c>
      <c r="BC390" s="342" t="str">
        <f t="shared" ca="1" si="481"/>
        <v>N/A</v>
      </c>
      <c r="BD390" s="342" t="str">
        <f t="shared" ca="1" si="481"/>
        <v>N/A</v>
      </c>
      <c r="BE390" s="342" t="str">
        <f t="shared" ca="1" si="481"/>
        <v>N/A</v>
      </c>
      <c r="BF390" s="342" t="str">
        <f t="shared" ca="1" si="481"/>
        <v>N/A</v>
      </c>
      <c r="BG390" s="342"/>
      <c r="BH390" s="836"/>
      <c r="BI390" s="836"/>
      <c r="BJ390" s="836"/>
      <c r="BK390" s="836"/>
      <c r="BL390" s="836"/>
      <c r="BM390" s="836"/>
      <c r="BN390" s="836"/>
      <c r="BO390" s="836"/>
      <c r="BP390" s="836"/>
      <c r="BQ390" s="836"/>
      <c r="BR390" s="836"/>
      <c r="BS390" s="836"/>
      <c r="BT390" s="836"/>
      <c r="BU390" s="836"/>
      <c r="BV390" s="836"/>
      <c r="BW390" s="885"/>
      <c r="BX390" s="837" t="str">
        <f ca="1">IFERROR(VLOOKUP($A390,tb_ConsensusEstimate,MATCH(BX$5,OFFSET(tb_ConsensusEstimate,0,0,1,COLUMNS(tb_ConsensusEstimate)),0),FALSE),"-")</f>
        <v>N/A</v>
      </c>
      <c r="BY390" s="837" t="str">
        <f ca="1">IFERROR(VLOOKUP($A390,tb_ConsensusEstimate,MATCH(BY$5,OFFSET(tb_ConsensusEstimate,0,0,1,COLUMNS(tb_ConsensusEstimate)),0),FALSE),"-")</f>
        <v>N/A</v>
      </c>
      <c r="BZ390" s="837" t="str">
        <f ca="1">IFERROR(VLOOKUP($A390,tb_ConsensusEstimate,MATCH(BZ$5,OFFSET(tb_ConsensusEstimate,0,0,1,COLUMNS(tb_ConsensusEstimate)),0),FALSE),"-")</f>
        <v>N/A</v>
      </c>
      <c r="CA390" s="837" t="str">
        <f ca="1">IFERROR(VLOOKUP($A390,tb_ConsensusEstimate,MATCH(CA$5,OFFSET(tb_ConsensusEstimate,0,0,1,COLUMNS(tb_ConsensusEstimate)),0),FALSE),"-")</f>
        <v>N/A</v>
      </c>
      <c r="CB390" s="837" t="str">
        <f ca="1">IFERROR(VLOOKUP($A390,tb_ConsensusEstimate,MATCH(CB$5,OFFSET(tb_ConsensusEstimate,0,0,1,COLUMNS(tb_ConsensusEstimate)),0),FALSE),"-")</f>
        <v>N/A</v>
      </c>
      <c r="CC390" s="6"/>
    </row>
    <row r="391" spans="1:81" x14ac:dyDescent="0.55000000000000004">
      <c r="A391" s="86"/>
      <c r="B391" s="8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273"/>
      <c r="AZ391" s="37"/>
      <c r="BA391" s="37"/>
      <c r="BB391" s="37"/>
      <c r="BC391" s="37"/>
      <c r="BD391" s="37"/>
      <c r="BE391" s="37"/>
      <c r="BF391" s="37"/>
      <c r="BG391" s="37"/>
      <c r="BH391" s="158"/>
      <c r="BI391" s="158"/>
      <c r="BJ391" s="158"/>
      <c r="BK391" s="158"/>
      <c r="BL391" s="158"/>
      <c r="BM391" s="158"/>
      <c r="BN391" s="158"/>
      <c r="BO391" s="158"/>
      <c r="BP391" s="158"/>
      <c r="BQ391" s="158"/>
      <c r="BR391" s="158"/>
      <c r="BS391" s="158"/>
      <c r="BT391" s="158"/>
      <c r="BU391" s="158"/>
      <c r="BV391" s="158"/>
      <c r="BW391" s="846"/>
      <c r="BX391" s="158"/>
      <c r="BY391" s="158"/>
      <c r="BZ391" s="158"/>
      <c r="CA391" s="158"/>
      <c r="CB391" s="158"/>
      <c r="CC391" s="117"/>
    </row>
    <row r="392" spans="1:81" x14ac:dyDescent="0.55000000000000004">
      <c r="A392" s="86" t="s">
        <v>74</v>
      </c>
      <c r="B392" s="87"/>
      <c r="C392" s="37">
        <f t="shared" ref="C392:AH392" si="482">C804-C393</f>
        <v>233</v>
      </c>
      <c r="D392" s="37">
        <f t="shared" si="482"/>
        <v>230</v>
      </c>
      <c r="E392" s="37">
        <f t="shared" si="482"/>
        <v>237</v>
      </c>
      <c r="F392" s="37">
        <f t="shared" si="482"/>
        <v>235</v>
      </c>
      <c r="G392" s="37">
        <f t="shared" si="482"/>
        <v>223</v>
      </c>
      <c r="H392" s="37">
        <f t="shared" si="482"/>
        <v>216</v>
      </c>
      <c r="I392" s="37">
        <f t="shared" si="482"/>
        <v>230</v>
      </c>
      <c r="J392" s="37">
        <f t="shared" si="482"/>
        <v>256</v>
      </c>
      <c r="K392" s="37">
        <f t="shared" si="482"/>
        <v>278</v>
      </c>
      <c r="L392" s="37">
        <f t="shared" si="482"/>
        <v>279</v>
      </c>
      <c r="M392" s="37">
        <f t="shared" si="482"/>
        <v>306</v>
      </c>
      <c r="N392" s="37">
        <f t="shared" si="482"/>
        <v>352</v>
      </c>
      <c r="O392" s="37">
        <f t="shared" si="482"/>
        <v>372</v>
      </c>
      <c r="P392" s="37">
        <f t="shared" si="482"/>
        <v>392</v>
      </c>
      <c r="Q392" s="37">
        <f t="shared" si="482"/>
        <v>396</v>
      </c>
      <c r="R392" s="37">
        <f t="shared" si="482"/>
        <v>431</v>
      </c>
      <c r="S392" s="37">
        <f t="shared" si="482"/>
        <v>496</v>
      </c>
      <c r="T392" s="37">
        <f t="shared" si="482"/>
        <v>555</v>
      </c>
      <c r="U392" s="37">
        <f t="shared" si="482"/>
        <v>599</v>
      </c>
      <c r="V392" s="37">
        <f t="shared" si="482"/>
        <v>683</v>
      </c>
      <c r="W392" s="37">
        <f t="shared" si="482"/>
        <v>780</v>
      </c>
      <c r="X392" s="37">
        <f t="shared" si="482"/>
        <v>876</v>
      </c>
      <c r="Y392" s="37">
        <f t="shared" si="482"/>
        <v>951</v>
      </c>
      <c r="Z392" s="37">
        <f t="shared" si="482"/>
        <v>1068</v>
      </c>
      <c r="AA392" s="37">
        <f t="shared" si="482"/>
        <v>1199</v>
      </c>
      <c r="AB392" s="37">
        <f t="shared" si="482"/>
        <v>1346</v>
      </c>
      <c r="AC392" s="37">
        <f t="shared" si="482"/>
        <v>1271</v>
      </c>
      <c r="AD392" s="37">
        <f t="shared" si="482"/>
        <v>1363</v>
      </c>
      <c r="AE392" s="37">
        <f t="shared" si="482"/>
        <v>1486</v>
      </c>
      <c r="AF392" s="37">
        <f t="shared" si="482"/>
        <v>1586</v>
      </c>
      <c r="AG392" s="37">
        <f t="shared" si="482"/>
        <v>1575</v>
      </c>
      <c r="AH392" s="37">
        <f t="shared" si="482"/>
        <v>1742</v>
      </c>
      <c r="AI392" s="37">
        <f t="shared" ref="AI392:AY392" si="483">AI804-AI393</f>
        <v>1854</v>
      </c>
      <c r="AJ392" s="37">
        <f t="shared" si="483"/>
        <v>1864</v>
      </c>
      <c r="AK392" s="37">
        <f t="shared" si="483"/>
        <v>1871</v>
      </c>
      <c r="AL392" s="37">
        <f t="shared" si="483"/>
        <v>1971</v>
      </c>
      <c r="AM392" s="37">
        <f t="shared" si="483"/>
        <v>2116</v>
      </c>
      <c r="AN392" s="37">
        <f t="shared" si="483"/>
        <v>1926</v>
      </c>
      <c r="AO392" s="37">
        <f t="shared" si="483"/>
        <v>2130</v>
      </c>
      <c r="AP392" s="37">
        <f t="shared" si="483"/>
        <v>2329</v>
      </c>
      <c r="AQ392" s="37">
        <f t="shared" si="483"/>
        <v>2477</v>
      </c>
      <c r="AR392" s="37">
        <f t="shared" si="483"/>
        <v>2578</v>
      </c>
      <c r="AS392" s="37">
        <f t="shared" si="483"/>
        <v>2827</v>
      </c>
      <c r="AT392" s="37">
        <f t="shared" si="483"/>
        <v>3135</v>
      </c>
      <c r="AU392" s="37">
        <f t="shared" si="483"/>
        <v>3330</v>
      </c>
      <c r="AV392" s="37">
        <f t="shared" si="483"/>
        <v>3580</v>
      </c>
      <c r="AW392" s="37">
        <f t="shared" si="483"/>
        <v>3960</v>
      </c>
      <c r="AX392" s="37">
        <f t="shared" si="483"/>
        <v>4417</v>
      </c>
      <c r="AY392" s="273">
        <f t="shared" si="483"/>
        <v>4420</v>
      </c>
      <c r="AZ392" s="37">
        <f t="shared" ref="AZ392:BF392" si="484">AZ193+AZ195</f>
        <v>4162.5332191780826</v>
      </c>
      <c r="BA392" s="37">
        <f t="shared" si="484"/>
        <v>4561.5448437793202</v>
      </c>
      <c r="BB392" s="37">
        <f t="shared" si="484"/>
        <v>4902.2427459616156</v>
      </c>
      <c r="BC392" s="37">
        <f t="shared" si="484"/>
        <v>5118.4627147935917</v>
      </c>
      <c r="BD392" s="37">
        <f t="shared" si="484"/>
        <v>5325.5448970349835</v>
      </c>
      <c r="BE392" s="37">
        <f t="shared" si="484"/>
        <v>5529.4038990723348</v>
      </c>
      <c r="BF392" s="37">
        <f t="shared" si="484"/>
        <v>5668.3174748549873</v>
      </c>
      <c r="BG392" s="37"/>
      <c r="BH392" s="158">
        <f t="shared" ref="BH392:BW392" si="485">BH804-BH393</f>
        <v>78</v>
      </c>
      <c r="BI392" s="158">
        <f t="shared" si="485"/>
        <v>139</v>
      </c>
      <c r="BJ392" s="158">
        <f t="shared" si="485"/>
        <v>323</v>
      </c>
      <c r="BK392" s="158">
        <f t="shared" si="485"/>
        <v>649</v>
      </c>
      <c r="BL392" s="158">
        <f t="shared" si="485"/>
        <v>866</v>
      </c>
      <c r="BM392" s="158">
        <f t="shared" si="485"/>
        <v>924</v>
      </c>
      <c r="BN392" s="158">
        <f t="shared" si="485"/>
        <v>1215</v>
      </c>
      <c r="BO392" s="158">
        <f t="shared" si="485"/>
        <v>1591</v>
      </c>
      <c r="BP392" s="158">
        <f t="shared" si="485"/>
        <v>2333</v>
      </c>
      <c r="BQ392" s="158">
        <f t="shared" si="485"/>
        <v>3675</v>
      </c>
      <c r="BR392" s="158">
        <f t="shared" si="485"/>
        <v>5179</v>
      </c>
      <c r="BS392" s="158">
        <f t="shared" si="485"/>
        <v>6389</v>
      </c>
      <c r="BT392" s="158">
        <f t="shared" si="485"/>
        <v>7560</v>
      </c>
      <c r="BU392" s="158">
        <f t="shared" si="485"/>
        <v>8501</v>
      </c>
      <c r="BV392" s="158">
        <f t="shared" si="485"/>
        <v>11017</v>
      </c>
      <c r="BW392" s="846">
        <f t="shared" si="485"/>
        <v>15287</v>
      </c>
      <c r="BX392" s="158">
        <f>SUM(AY392,AZ392,BA392,BB392)</f>
        <v>18046.320808919019</v>
      </c>
      <c r="BY392" s="158">
        <f>SUM(BC392,BD392,BE392,BF392)</f>
        <v>21641.728985755897</v>
      </c>
      <c r="BZ392" s="158">
        <f>BZ193+BZ195</f>
        <v>23022.19377566563</v>
      </c>
      <c r="CA392" s="158">
        <f>CA193+CA195</f>
        <v>25113.619553707427</v>
      </c>
      <c r="CB392" s="158">
        <f>CB193+CB195</f>
        <v>26943.617109494</v>
      </c>
      <c r="CC392" s="117"/>
    </row>
    <row r="393" spans="1:81" x14ac:dyDescent="0.55000000000000004">
      <c r="A393" s="86" t="s">
        <v>75</v>
      </c>
      <c r="B393" s="87"/>
      <c r="C393" s="37">
        <f t="shared" ref="C393:R393" si="486">+C363</f>
        <v>0</v>
      </c>
      <c r="D393" s="37">
        <f t="shared" si="486"/>
        <v>0</v>
      </c>
      <c r="E393" s="37">
        <f t="shared" si="486"/>
        <v>37</v>
      </c>
      <c r="F393" s="37">
        <f t="shared" si="486"/>
        <v>39</v>
      </c>
      <c r="G393" s="37">
        <f t="shared" si="486"/>
        <v>41</v>
      </c>
      <c r="H393" s="37">
        <f t="shared" si="486"/>
        <v>41</v>
      </c>
      <c r="I393" s="37">
        <f t="shared" si="486"/>
        <v>59</v>
      </c>
      <c r="J393" s="37">
        <f t="shared" si="486"/>
        <v>177</v>
      </c>
      <c r="K393" s="37">
        <f t="shared" si="486"/>
        <v>179</v>
      </c>
      <c r="L393" s="37">
        <f t="shared" si="486"/>
        <v>180</v>
      </c>
      <c r="M393" s="37">
        <f t="shared" si="486"/>
        <v>180</v>
      </c>
      <c r="N393" s="37">
        <f t="shared" si="486"/>
        <v>191</v>
      </c>
      <c r="O393" s="37">
        <f t="shared" si="486"/>
        <v>180</v>
      </c>
      <c r="P393" s="37">
        <f t="shared" si="486"/>
        <v>193</v>
      </c>
      <c r="Q393" s="37">
        <f t="shared" si="486"/>
        <v>195</v>
      </c>
      <c r="R393" s="37">
        <f t="shared" si="486"/>
        <v>183</v>
      </c>
      <c r="S393" s="37">
        <f t="shared" ref="S393:BF393" si="487">S194</f>
        <v>175</v>
      </c>
      <c r="T393" s="37">
        <f t="shared" si="487"/>
        <v>174</v>
      </c>
      <c r="U393" s="37">
        <f t="shared" si="487"/>
        <v>173</v>
      </c>
      <c r="V393" s="37">
        <f t="shared" si="487"/>
        <v>170</v>
      </c>
      <c r="W393" s="37">
        <f t="shared" si="487"/>
        <v>169</v>
      </c>
      <c r="X393" s="37">
        <f t="shared" si="487"/>
        <v>158</v>
      </c>
      <c r="Y393" s="37">
        <f t="shared" si="487"/>
        <v>156</v>
      </c>
      <c r="Z393" s="37">
        <f t="shared" si="487"/>
        <v>157</v>
      </c>
      <c r="AA393" s="37">
        <f t="shared" si="487"/>
        <v>156</v>
      </c>
      <c r="AB393" s="37">
        <f t="shared" si="487"/>
        <v>156</v>
      </c>
      <c r="AC393" s="37">
        <f t="shared" si="487"/>
        <v>145</v>
      </c>
      <c r="AD393" s="37">
        <f t="shared" si="487"/>
        <v>105</v>
      </c>
      <c r="AE393" s="37">
        <f t="shared" si="487"/>
        <v>111</v>
      </c>
      <c r="AF393" s="37">
        <f t="shared" si="487"/>
        <v>118</v>
      </c>
      <c r="AG393" s="37">
        <f t="shared" si="487"/>
        <v>123</v>
      </c>
      <c r="AH393" s="37">
        <f t="shared" si="487"/>
        <v>121</v>
      </c>
      <c r="AI393" s="37">
        <f t="shared" si="487"/>
        <v>118</v>
      </c>
      <c r="AJ393" s="37">
        <f t="shared" si="487"/>
        <v>122</v>
      </c>
      <c r="AK393" s="37">
        <f t="shared" si="487"/>
        <v>124</v>
      </c>
      <c r="AL393" s="37">
        <f t="shared" si="487"/>
        <v>43</v>
      </c>
      <c r="AM393" s="37">
        <f t="shared" si="487"/>
        <v>40</v>
      </c>
      <c r="AN393" s="37">
        <f t="shared" si="487"/>
        <v>53</v>
      </c>
      <c r="AO393" s="37">
        <f t="shared" si="487"/>
        <v>45</v>
      </c>
      <c r="AP393" s="37">
        <f t="shared" si="487"/>
        <v>47</v>
      </c>
      <c r="AQ393" s="37">
        <f t="shared" si="487"/>
        <v>47</v>
      </c>
      <c r="AR393" s="37">
        <f t="shared" si="487"/>
        <v>45</v>
      </c>
      <c r="AS393" s="37">
        <f t="shared" si="487"/>
        <v>32</v>
      </c>
      <c r="AT393" s="37">
        <f t="shared" si="487"/>
        <v>37</v>
      </c>
      <c r="AU393" s="37">
        <f t="shared" si="487"/>
        <v>44</v>
      </c>
      <c r="AV393" s="37">
        <f t="shared" si="487"/>
        <v>57</v>
      </c>
      <c r="AW393" s="37">
        <f t="shared" si="487"/>
        <v>67</v>
      </c>
      <c r="AX393" s="37">
        <f t="shared" si="487"/>
        <v>43</v>
      </c>
      <c r="AY393" s="273">
        <f t="shared" si="487"/>
        <v>-520</v>
      </c>
      <c r="AZ393" s="37">
        <f t="shared" si="487"/>
        <v>41.062191780821912</v>
      </c>
      <c r="BA393" s="37">
        <f t="shared" si="487"/>
        <v>50.992904394820791</v>
      </c>
      <c r="BB393" s="37">
        <f t="shared" si="487"/>
        <v>60.021829061181812</v>
      </c>
      <c r="BC393" s="37">
        <f t="shared" si="487"/>
        <v>67.148914551132719</v>
      </c>
      <c r="BD393" s="37">
        <f t="shared" si="487"/>
        <v>72.133667792529494</v>
      </c>
      <c r="BE393" s="37">
        <f t="shared" si="487"/>
        <v>76.985420697170241</v>
      </c>
      <c r="BF393" s="37">
        <f t="shared" si="487"/>
        <v>80.824372569101371</v>
      </c>
      <c r="BG393" s="37"/>
      <c r="BH393" s="158">
        <f t="shared" ref="BH393:BO393" si="488">+BH363</f>
        <v>0</v>
      </c>
      <c r="BI393" s="158">
        <f t="shared" si="488"/>
        <v>0</v>
      </c>
      <c r="BJ393" s="158">
        <f t="shared" si="488"/>
        <v>0</v>
      </c>
      <c r="BK393" s="158">
        <f t="shared" si="488"/>
        <v>0</v>
      </c>
      <c r="BL393" s="158">
        <f t="shared" si="488"/>
        <v>145</v>
      </c>
      <c r="BM393" s="158">
        <f t="shared" si="488"/>
        <v>319</v>
      </c>
      <c r="BN393" s="158">
        <f t="shared" si="488"/>
        <v>730</v>
      </c>
      <c r="BO393" s="158">
        <f t="shared" si="488"/>
        <v>751</v>
      </c>
      <c r="BP393" s="158">
        <f t="shared" ref="BP393:BW393" si="489">BP194</f>
        <v>692</v>
      </c>
      <c r="BQ393" s="158">
        <f t="shared" si="489"/>
        <v>640</v>
      </c>
      <c r="BR393" s="158">
        <f t="shared" si="489"/>
        <v>562</v>
      </c>
      <c r="BS393" s="158">
        <f t="shared" si="489"/>
        <v>473</v>
      </c>
      <c r="BT393" s="158">
        <f t="shared" si="489"/>
        <v>407</v>
      </c>
      <c r="BU393" s="158">
        <f t="shared" si="489"/>
        <v>185</v>
      </c>
      <c r="BV393" s="158">
        <f t="shared" si="489"/>
        <v>161</v>
      </c>
      <c r="BW393" s="846">
        <f t="shared" si="489"/>
        <v>211</v>
      </c>
      <c r="BX393" s="158">
        <f>SUM(AY393,AZ393,BA393,BB393)</f>
        <v>-367.92307476317546</v>
      </c>
      <c r="BY393" s="158">
        <f>SUM(BC393,BD393,BE393,BF393)</f>
        <v>297.09237560993381</v>
      </c>
      <c r="BZ393" s="158">
        <f>BZ194</f>
        <v>335.20152584758347</v>
      </c>
      <c r="CA393" s="158">
        <f>CA194</f>
        <v>391.21725119501843</v>
      </c>
      <c r="CB393" s="158">
        <f>CB194</f>
        <v>437.15014597991512</v>
      </c>
      <c r="CC393" s="117"/>
    </row>
    <row r="394" spans="1:81" x14ac:dyDescent="0.55000000000000004">
      <c r="A394" s="18" t="s">
        <v>76</v>
      </c>
      <c r="B394" s="244"/>
      <c r="C394" s="14">
        <f t="shared" ref="C394:AH394" si="490">C189</f>
        <v>170</v>
      </c>
      <c r="D394" s="14">
        <f t="shared" si="490"/>
        <v>224</v>
      </c>
      <c r="E394" s="14">
        <f t="shared" si="490"/>
        <v>239</v>
      </c>
      <c r="F394" s="14">
        <f t="shared" si="490"/>
        <v>273</v>
      </c>
      <c r="G394" s="14">
        <f t="shared" si="490"/>
        <v>274</v>
      </c>
      <c r="H394" s="14">
        <f t="shared" si="490"/>
        <v>314</v>
      </c>
      <c r="I394" s="14">
        <f t="shared" si="490"/>
        <v>353</v>
      </c>
      <c r="J394" s="14">
        <f t="shared" si="490"/>
        <v>896</v>
      </c>
      <c r="K394" s="14">
        <f t="shared" si="490"/>
        <v>703</v>
      </c>
      <c r="L394" s="14">
        <f t="shared" si="490"/>
        <v>763</v>
      </c>
      <c r="M394" s="14">
        <f t="shared" si="490"/>
        <v>757</v>
      </c>
      <c r="N394" s="14">
        <f t="shared" si="490"/>
        <v>746</v>
      </c>
      <c r="O394" s="14">
        <f t="shared" si="490"/>
        <v>746</v>
      </c>
      <c r="P394" s="14">
        <f t="shared" si="490"/>
        <v>817</v>
      </c>
      <c r="Q394" s="14">
        <f t="shared" si="490"/>
        <v>824</v>
      </c>
      <c r="R394" s="14">
        <f t="shared" si="490"/>
        <v>831</v>
      </c>
      <c r="S394" s="14">
        <f t="shared" si="490"/>
        <v>867</v>
      </c>
      <c r="T394" s="14">
        <f t="shared" si="490"/>
        <v>1032</v>
      </c>
      <c r="U394" s="14">
        <f t="shared" si="490"/>
        <v>1010</v>
      </c>
      <c r="V394" s="14">
        <f t="shared" si="490"/>
        <v>814</v>
      </c>
      <c r="W394" s="14">
        <f t="shared" si="490"/>
        <v>955</v>
      </c>
      <c r="X394" s="14">
        <f t="shared" si="490"/>
        <v>1186</v>
      </c>
      <c r="Y394" s="14">
        <f t="shared" si="490"/>
        <v>1040</v>
      </c>
      <c r="Z394" s="14">
        <f t="shared" si="490"/>
        <v>971</v>
      </c>
      <c r="AA394" s="14">
        <f t="shared" si="490"/>
        <v>1010</v>
      </c>
      <c r="AB394" s="14">
        <f t="shared" si="490"/>
        <v>1303</v>
      </c>
      <c r="AC394" s="14">
        <f t="shared" si="490"/>
        <v>1249</v>
      </c>
      <c r="AD394" s="14">
        <f t="shared" si="490"/>
        <v>1274</v>
      </c>
      <c r="AE394" s="14">
        <f t="shared" si="490"/>
        <v>1335</v>
      </c>
      <c r="AF394" s="14">
        <f t="shared" si="490"/>
        <v>1695</v>
      </c>
      <c r="AG394" s="14">
        <f t="shared" si="490"/>
        <v>1722</v>
      </c>
      <c r="AH394" s="14">
        <f t="shared" si="490"/>
        <v>1784</v>
      </c>
      <c r="AI394" s="14">
        <f t="shared" ref="AI394:AY394" si="491">AI189</f>
        <v>1830</v>
      </c>
      <c r="AJ394" s="14">
        <f t="shared" si="491"/>
        <v>2548</v>
      </c>
      <c r="AK394" s="14">
        <f t="shared" si="491"/>
        <v>2379</v>
      </c>
      <c r="AL394" s="14">
        <f t="shared" si="491"/>
        <v>2406</v>
      </c>
      <c r="AM394" s="14">
        <f t="shared" si="491"/>
        <v>2498</v>
      </c>
      <c r="AN394" s="14">
        <f t="shared" si="491"/>
        <v>3351</v>
      </c>
      <c r="AO394" s="14">
        <f t="shared" si="491"/>
        <v>3134</v>
      </c>
      <c r="AP394" s="14">
        <f t="shared" si="491"/>
        <v>3008</v>
      </c>
      <c r="AQ394" s="14">
        <f t="shared" si="491"/>
        <v>3051</v>
      </c>
      <c r="AR394" s="14">
        <f t="shared" si="491"/>
        <v>4060</v>
      </c>
      <c r="AS394" s="14">
        <f t="shared" si="491"/>
        <v>3492</v>
      </c>
      <c r="AT394" s="14">
        <f t="shared" si="491"/>
        <v>3424</v>
      </c>
      <c r="AU394" s="14">
        <f t="shared" si="491"/>
        <v>3562</v>
      </c>
      <c r="AV394" s="14">
        <f t="shared" si="491"/>
        <v>4616</v>
      </c>
      <c r="AW394" s="14">
        <f t="shared" si="491"/>
        <v>4250</v>
      </c>
      <c r="AX394" s="14">
        <f t="shared" si="491"/>
        <v>4262</v>
      </c>
      <c r="AY394" s="406">
        <f t="shared" si="491"/>
        <v>4147</v>
      </c>
      <c r="AZ394" s="82">
        <f t="shared" ref="AZ394:BF394" si="492">+AZ189</f>
        <v>4347.7475000000004</v>
      </c>
      <c r="BA394" s="82">
        <f t="shared" si="492"/>
        <v>4585.4763000000003</v>
      </c>
      <c r="BB394" s="82">
        <f t="shared" si="492"/>
        <v>5628.4650000000001</v>
      </c>
      <c r="BC394" s="82">
        <f t="shared" si="492"/>
        <v>4789.9120000000003</v>
      </c>
      <c r="BD394" s="82">
        <f t="shared" si="492"/>
        <v>4818.260150000001</v>
      </c>
      <c r="BE394" s="82">
        <f t="shared" si="492"/>
        <v>5127.5127140000004</v>
      </c>
      <c r="BF394" s="82">
        <f t="shared" si="492"/>
        <v>6451.9903980000017</v>
      </c>
      <c r="BG394" s="82"/>
      <c r="BH394" s="877">
        <f>BH808</f>
        <v>27</v>
      </c>
      <c r="BI394" s="877">
        <f>BI808</f>
        <v>20</v>
      </c>
      <c r="BJ394" s="877">
        <f t="shared" ref="BJ394:BW394" si="493">BJ189</f>
        <v>217</v>
      </c>
      <c r="BK394" s="877">
        <f t="shared" si="493"/>
        <v>1572</v>
      </c>
      <c r="BL394" s="877">
        <f t="shared" si="493"/>
        <v>906</v>
      </c>
      <c r="BM394" s="877">
        <f t="shared" si="493"/>
        <v>1837</v>
      </c>
      <c r="BN394" s="877">
        <f t="shared" si="493"/>
        <v>2969</v>
      </c>
      <c r="BO394" s="877">
        <f t="shared" si="493"/>
        <v>3218</v>
      </c>
      <c r="BP394" s="877">
        <f t="shared" si="493"/>
        <v>3723</v>
      </c>
      <c r="BQ394" s="877">
        <f t="shared" si="493"/>
        <v>4152</v>
      </c>
      <c r="BR394" s="877">
        <f t="shared" si="493"/>
        <v>4836</v>
      </c>
      <c r="BS394" s="877">
        <f t="shared" si="493"/>
        <v>6536</v>
      </c>
      <c r="BT394" s="877">
        <f t="shared" si="493"/>
        <v>9164</v>
      </c>
      <c r="BU394" s="877">
        <f t="shared" si="493"/>
        <v>11992</v>
      </c>
      <c r="BV394" s="877">
        <f t="shared" si="493"/>
        <v>14027</v>
      </c>
      <c r="BW394" s="913">
        <f t="shared" si="493"/>
        <v>16690</v>
      </c>
      <c r="BX394" s="854">
        <f>SUM(AY394,AZ394,BA394,BB394)</f>
        <v>18708.688800000004</v>
      </c>
      <c r="BY394" s="854">
        <f>SUM(BC394,BD394,BE394,BF394)</f>
        <v>21187.675262000004</v>
      </c>
      <c r="BZ394" s="854">
        <f>+BZ189</f>
        <v>23579.084697054375</v>
      </c>
      <c r="CA394" s="854">
        <f>+CA189</f>
        <v>24832.289351273677</v>
      </c>
      <c r="CB394" s="854">
        <f>+CB189</f>
        <v>26068.033510576784</v>
      </c>
      <c r="CC394" s="117"/>
    </row>
    <row r="395" spans="1:81" x14ac:dyDescent="0.55000000000000004">
      <c r="A395" s="20" t="s">
        <v>73</v>
      </c>
      <c r="B395" s="195"/>
      <c r="C395" s="5">
        <f t="shared" ref="C395:AH395" si="494">C388+SUM(C392:C394)</f>
        <v>776</v>
      </c>
      <c r="D395" s="5">
        <f t="shared" si="494"/>
        <v>1016</v>
      </c>
      <c r="E395" s="5">
        <f t="shared" si="494"/>
        <v>1249</v>
      </c>
      <c r="F395" s="5">
        <f t="shared" si="494"/>
        <v>1680</v>
      </c>
      <c r="G395" s="5">
        <f t="shared" si="494"/>
        <v>1613</v>
      </c>
      <c r="H395" s="5">
        <f t="shared" si="494"/>
        <v>1961</v>
      </c>
      <c r="I395" s="5">
        <f t="shared" si="494"/>
        <v>2039</v>
      </c>
      <c r="J395" s="5">
        <f t="shared" si="494"/>
        <v>2462</v>
      </c>
      <c r="K395" s="5">
        <f t="shared" si="494"/>
        <v>2093</v>
      </c>
      <c r="L395" s="5">
        <f t="shared" si="494"/>
        <v>2495</v>
      </c>
      <c r="M395" s="5">
        <f t="shared" si="494"/>
        <v>2702</v>
      </c>
      <c r="N395" s="5">
        <f t="shared" si="494"/>
        <v>3849</v>
      </c>
      <c r="O395" s="5">
        <f t="shared" si="494"/>
        <v>3308</v>
      </c>
      <c r="P395" s="5">
        <f t="shared" si="494"/>
        <v>4136</v>
      </c>
      <c r="Q395" s="5">
        <f t="shared" si="494"/>
        <v>4532</v>
      </c>
      <c r="R395" s="5">
        <f t="shared" si="494"/>
        <v>6011</v>
      </c>
      <c r="S395" s="5">
        <f t="shared" si="494"/>
        <v>4865</v>
      </c>
      <c r="T395" s="5">
        <f t="shared" si="494"/>
        <v>6162</v>
      </c>
      <c r="U395" s="5">
        <f t="shared" si="494"/>
        <v>6904</v>
      </c>
      <c r="V395" s="5">
        <f t="shared" si="494"/>
        <v>9019</v>
      </c>
      <c r="W395" s="5">
        <f t="shared" si="494"/>
        <v>7353</v>
      </c>
      <c r="X395" s="5">
        <f t="shared" si="494"/>
        <v>8083</v>
      </c>
      <c r="Y395" s="5">
        <f t="shared" si="494"/>
        <v>7928</v>
      </c>
      <c r="Z395" s="5">
        <f t="shared" si="494"/>
        <v>10016</v>
      </c>
      <c r="AA395" s="5">
        <f t="shared" si="494"/>
        <v>5682</v>
      </c>
      <c r="AB395" s="5">
        <f t="shared" si="494"/>
        <v>7431</v>
      </c>
      <c r="AC395" s="5">
        <f t="shared" si="494"/>
        <v>9850</v>
      </c>
      <c r="AD395" s="5">
        <f t="shared" si="494"/>
        <v>11600</v>
      </c>
      <c r="AE395" s="5">
        <f t="shared" si="494"/>
        <v>8825</v>
      </c>
      <c r="AF395" s="5">
        <f t="shared" si="494"/>
        <v>9362</v>
      </c>
      <c r="AG395" s="5">
        <f t="shared" si="494"/>
        <v>11460</v>
      </c>
      <c r="AH395" s="5">
        <f t="shared" si="494"/>
        <v>16422</v>
      </c>
      <c r="AI395" s="5">
        <f t="shared" ref="AI395:BF395" si="495">AI388+SUM(AI392:AI394)</f>
        <v>15180</v>
      </c>
      <c r="AJ395" s="5">
        <f t="shared" si="495"/>
        <v>16901</v>
      </c>
      <c r="AK395" s="5">
        <f t="shared" si="495"/>
        <v>14797</v>
      </c>
      <c r="AL395" s="5">
        <f t="shared" si="495"/>
        <v>17005</v>
      </c>
      <c r="AM395" s="5">
        <f t="shared" si="495"/>
        <v>13178</v>
      </c>
      <c r="AN395" s="5">
        <f t="shared" si="495"/>
        <v>13688</v>
      </c>
      <c r="AO395" s="5">
        <f t="shared" si="495"/>
        <v>10973</v>
      </c>
      <c r="AP395" s="5">
        <f t="shared" si="495"/>
        <v>11783</v>
      </c>
      <c r="AQ395" s="5">
        <f t="shared" si="495"/>
        <v>12802</v>
      </c>
      <c r="AR395" s="5">
        <f t="shared" si="495"/>
        <v>16075</v>
      </c>
      <c r="AS395" s="5">
        <f t="shared" si="495"/>
        <v>20099</v>
      </c>
      <c r="AT395" s="5">
        <f t="shared" si="495"/>
        <v>22980</v>
      </c>
      <c r="AU395" s="5">
        <f t="shared" si="495"/>
        <v>20754</v>
      </c>
      <c r="AV395" s="5">
        <f t="shared" si="495"/>
        <v>23100</v>
      </c>
      <c r="AW395" s="5">
        <f t="shared" si="495"/>
        <v>25627</v>
      </c>
      <c r="AX395" s="5">
        <f t="shared" si="495"/>
        <v>32087</v>
      </c>
      <c r="AY395" s="409">
        <f t="shared" si="495"/>
        <v>25602</v>
      </c>
      <c r="AZ395" s="33">
        <f t="shared" si="495"/>
        <v>23723.504305659051</v>
      </c>
      <c r="BA395" s="33">
        <f t="shared" si="495"/>
        <v>27618.031738947713</v>
      </c>
      <c r="BB395" s="33">
        <f t="shared" si="495"/>
        <v>31825.831918686912</v>
      </c>
      <c r="BC395" s="33">
        <f t="shared" si="495"/>
        <v>35218.558024609869</v>
      </c>
      <c r="BD395" s="33">
        <f t="shared" si="495"/>
        <v>31927.976918390981</v>
      </c>
      <c r="BE395" s="33">
        <f t="shared" si="495"/>
        <v>33611.383474714465</v>
      </c>
      <c r="BF395" s="33">
        <f t="shared" si="495"/>
        <v>39382.528947860861</v>
      </c>
      <c r="BG395" s="33"/>
      <c r="BH395" s="834">
        <f t="shared" ref="BH395:CB395" si="496">BH388+SUM(BH392:BH394)</f>
        <v>367</v>
      </c>
      <c r="BI395" s="834">
        <f t="shared" si="496"/>
        <v>1191</v>
      </c>
      <c r="BJ395" s="834">
        <f t="shared" si="496"/>
        <v>2296</v>
      </c>
      <c r="BK395" s="834">
        <f t="shared" si="496"/>
        <v>2759</v>
      </c>
      <c r="BL395" s="834">
        <f t="shared" si="496"/>
        <v>4721</v>
      </c>
      <c r="BM395" s="834">
        <f t="shared" si="496"/>
        <v>8074</v>
      </c>
      <c r="BN395" s="834">
        <f t="shared" si="496"/>
        <v>11139</v>
      </c>
      <c r="BO395" s="834">
        <f t="shared" si="496"/>
        <v>17987</v>
      </c>
      <c r="BP395" s="834">
        <f t="shared" si="496"/>
        <v>26951</v>
      </c>
      <c r="BQ395" s="834">
        <f t="shared" si="496"/>
        <v>33380</v>
      </c>
      <c r="BR395" s="834">
        <f t="shared" si="496"/>
        <v>34563</v>
      </c>
      <c r="BS395" s="834">
        <f t="shared" si="496"/>
        <v>46069</v>
      </c>
      <c r="BT395" s="834">
        <f t="shared" si="496"/>
        <v>63884</v>
      </c>
      <c r="BU395" s="834">
        <f t="shared" si="496"/>
        <v>49622</v>
      </c>
      <c r="BV395" s="834">
        <f t="shared" si="496"/>
        <v>71956</v>
      </c>
      <c r="BW395" s="914">
        <f t="shared" si="496"/>
        <v>101568</v>
      </c>
      <c r="BX395" s="833">
        <f t="shared" si="496"/>
        <v>108769.36796329368</v>
      </c>
      <c r="BY395" s="833">
        <f t="shared" si="496"/>
        <v>140140.44736557617</v>
      </c>
      <c r="BZ395" s="833">
        <f t="shared" si="496"/>
        <v>163847.2020361232</v>
      </c>
      <c r="CA395" s="833">
        <f t="shared" si="496"/>
        <v>182811.04422426727</v>
      </c>
      <c r="CB395" s="833">
        <f t="shared" si="496"/>
        <v>202274.83682347482</v>
      </c>
      <c r="CC395" s="6"/>
    </row>
    <row r="396" spans="1:81" x14ac:dyDescent="0.55000000000000004">
      <c r="A396" s="19" t="str">
        <f>CONCATENATE("Adjusted ",A395,IF(AND(ROUND(SUM(BH395:CC395)-SUM(BH396:CC396),6)=0)," (No Adjustments)",""))</f>
        <v>Adjusted EBITDA (No Adjustments)</v>
      </c>
      <c r="B396" s="193"/>
      <c r="C396" s="6">
        <f t="shared" ref="C396:AH396" si="497">C395</f>
        <v>776</v>
      </c>
      <c r="D396" s="6">
        <f t="shared" si="497"/>
        <v>1016</v>
      </c>
      <c r="E396" s="6">
        <f t="shared" si="497"/>
        <v>1249</v>
      </c>
      <c r="F396" s="6">
        <f t="shared" si="497"/>
        <v>1680</v>
      </c>
      <c r="G396" s="6">
        <f t="shared" si="497"/>
        <v>1613</v>
      </c>
      <c r="H396" s="6">
        <f t="shared" si="497"/>
        <v>1961</v>
      </c>
      <c r="I396" s="6">
        <f t="shared" si="497"/>
        <v>2039</v>
      </c>
      <c r="J396" s="6">
        <f t="shared" si="497"/>
        <v>2462</v>
      </c>
      <c r="K396" s="6">
        <f t="shared" si="497"/>
        <v>2093</v>
      </c>
      <c r="L396" s="6">
        <f t="shared" si="497"/>
        <v>2495</v>
      </c>
      <c r="M396" s="6">
        <f t="shared" si="497"/>
        <v>2702</v>
      </c>
      <c r="N396" s="6">
        <f t="shared" si="497"/>
        <v>3849</v>
      </c>
      <c r="O396" s="6">
        <f t="shared" si="497"/>
        <v>3308</v>
      </c>
      <c r="P396" s="6">
        <f t="shared" si="497"/>
        <v>4136</v>
      </c>
      <c r="Q396" s="6">
        <f t="shared" si="497"/>
        <v>4532</v>
      </c>
      <c r="R396" s="6">
        <f t="shared" si="497"/>
        <v>6011</v>
      </c>
      <c r="S396" s="6">
        <f t="shared" si="497"/>
        <v>4865</v>
      </c>
      <c r="T396" s="6">
        <f t="shared" si="497"/>
        <v>6162</v>
      </c>
      <c r="U396" s="6">
        <f t="shared" si="497"/>
        <v>6904</v>
      </c>
      <c r="V396" s="6">
        <f t="shared" si="497"/>
        <v>9019</v>
      </c>
      <c r="W396" s="6">
        <f t="shared" si="497"/>
        <v>7353</v>
      </c>
      <c r="X396" s="6">
        <f t="shared" si="497"/>
        <v>8083</v>
      </c>
      <c r="Y396" s="6">
        <f t="shared" si="497"/>
        <v>7928</v>
      </c>
      <c r="Z396" s="6">
        <f t="shared" si="497"/>
        <v>10016</v>
      </c>
      <c r="AA396" s="6">
        <f t="shared" si="497"/>
        <v>5682</v>
      </c>
      <c r="AB396" s="6">
        <f t="shared" si="497"/>
        <v>7431</v>
      </c>
      <c r="AC396" s="6">
        <f t="shared" si="497"/>
        <v>9850</v>
      </c>
      <c r="AD396" s="6">
        <f t="shared" si="497"/>
        <v>11600</v>
      </c>
      <c r="AE396" s="6">
        <f t="shared" si="497"/>
        <v>8825</v>
      </c>
      <c r="AF396" s="6">
        <f t="shared" si="497"/>
        <v>9362</v>
      </c>
      <c r="AG396" s="6">
        <f t="shared" si="497"/>
        <v>11460</v>
      </c>
      <c r="AH396" s="6">
        <f t="shared" si="497"/>
        <v>16422</v>
      </c>
      <c r="AI396" s="6">
        <f t="shared" ref="AI396:BF396" si="498">AI395</f>
        <v>15180</v>
      </c>
      <c r="AJ396" s="6">
        <f t="shared" si="498"/>
        <v>16901</v>
      </c>
      <c r="AK396" s="6">
        <f t="shared" si="498"/>
        <v>14797</v>
      </c>
      <c r="AL396" s="6">
        <f t="shared" si="498"/>
        <v>17005</v>
      </c>
      <c r="AM396" s="6">
        <f t="shared" si="498"/>
        <v>13178</v>
      </c>
      <c r="AN396" s="6">
        <f t="shared" si="498"/>
        <v>13688</v>
      </c>
      <c r="AO396" s="6">
        <f t="shared" si="498"/>
        <v>10973</v>
      </c>
      <c r="AP396" s="6">
        <f t="shared" si="498"/>
        <v>11783</v>
      </c>
      <c r="AQ396" s="6">
        <f t="shared" si="498"/>
        <v>12802</v>
      </c>
      <c r="AR396" s="6">
        <f t="shared" si="498"/>
        <v>16075</v>
      </c>
      <c r="AS396" s="6">
        <f t="shared" si="498"/>
        <v>20099</v>
      </c>
      <c r="AT396" s="6">
        <f t="shared" si="498"/>
        <v>22980</v>
      </c>
      <c r="AU396" s="6">
        <f t="shared" si="498"/>
        <v>20754</v>
      </c>
      <c r="AV396" s="6">
        <f t="shared" si="498"/>
        <v>23100</v>
      </c>
      <c r="AW396" s="6">
        <f t="shared" si="498"/>
        <v>25627</v>
      </c>
      <c r="AX396" s="6">
        <f t="shared" si="498"/>
        <v>32087</v>
      </c>
      <c r="AY396" s="272">
        <f t="shared" si="498"/>
        <v>25602</v>
      </c>
      <c r="AZ396" s="35">
        <f t="shared" si="498"/>
        <v>23723.504305659051</v>
      </c>
      <c r="BA396" s="35">
        <f t="shared" si="498"/>
        <v>27618.031738947713</v>
      </c>
      <c r="BB396" s="35">
        <f t="shared" si="498"/>
        <v>31825.831918686912</v>
      </c>
      <c r="BC396" s="35">
        <f t="shared" si="498"/>
        <v>35218.558024609869</v>
      </c>
      <c r="BD396" s="35">
        <f t="shared" si="498"/>
        <v>31927.976918390981</v>
      </c>
      <c r="BE396" s="35">
        <f t="shared" si="498"/>
        <v>33611.383474714465</v>
      </c>
      <c r="BF396" s="35">
        <f t="shared" si="498"/>
        <v>39382.528947860861</v>
      </c>
      <c r="BG396" s="35"/>
      <c r="BH396" s="813">
        <f t="shared" ref="BH396:CB396" si="499">BH395</f>
        <v>367</v>
      </c>
      <c r="BI396" s="813">
        <f t="shared" si="499"/>
        <v>1191</v>
      </c>
      <c r="BJ396" s="813">
        <f t="shared" si="499"/>
        <v>2296</v>
      </c>
      <c r="BK396" s="813">
        <f t="shared" si="499"/>
        <v>2759</v>
      </c>
      <c r="BL396" s="813">
        <f t="shared" si="499"/>
        <v>4721</v>
      </c>
      <c r="BM396" s="813">
        <f t="shared" si="499"/>
        <v>8074</v>
      </c>
      <c r="BN396" s="813">
        <f t="shared" si="499"/>
        <v>11139</v>
      </c>
      <c r="BO396" s="813">
        <f t="shared" si="499"/>
        <v>17987</v>
      </c>
      <c r="BP396" s="813">
        <f t="shared" si="499"/>
        <v>26951</v>
      </c>
      <c r="BQ396" s="813">
        <f t="shared" si="499"/>
        <v>33380</v>
      </c>
      <c r="BR396" s="813">
        <f t="shared" si="499"/>
        <v>34563</v>
      </c>
      <c r="BS396" s="813">
        <f t="shared" si="499"/>
        <v>46069</v>
      </c>
      <c r="BT396" s="813">
        <f t="shared" si="499"/>
        <v>63884</v>
      </c>
      <c r="BU396" s="813">
        <f t="shared" si="499"/>
        <v>49622</v>
      </c>
      <c r="BV396" s="813">
        <f t="shared" si="499"/>
        <v>71956</v>
      </c>
      <c r="BW396" s="870">
        <f t="shared" si="499"/>
        <v>101568</v>
      </c>
      <c r="BX396" s="812">
        <f t="shared" si="499"/>
        <v>108769.36796329368</v>
      </c>
      <c r="BY396" s="812">
        <f t="shared" si="499"/>
        <v>140140.44736557617</v>
      </c>
      <c r="BZ396" s="812">
        <f t="shared" si="499"/>
        <v>163847.2020361232</v>
      </c>
      <c r="CA396" s="812">
        <f t="shared" si="499"/>
        <v>182811.04422426727</v>
      </c>
      <c r="CB396" s="812">
        <f t="shared" si="499"/>
        <v>202274.83682347482</v>
      </c>
      <c r="CC396" s="6"/>
    </row>
    <row r="397" spans="1:81" x14ac:dyDescent="0.55000000000000004">
      <c r="A397" s="44" t="str">
        <f>CONCATENATE("Consensus Estimates - ",IFERROR(LEFT(A396,FIND("(",A396)-1),A396))</f>
        <v xml:space="preserve">Consensus Estimates - Adjusted EBITDA </v>
      </c>
      <c r="B397" s="76"/>
      <c r="C397" s="45"/>
      <c r="D397" s="45"/>
      <c r="E397" s="45"/>
      <c r="F397" s="45"/>
      <c r="G397" s="45"/>
      <c r="H397" s="45"/>
      <c r="I397" s="45"/>
      <c r="J397" s="45"/>
      <c r="K397" s="45"/>
      <c r="L397" s="45"/>
      <c r="M397" s="45"/>
      <c r="N397" s="45"/>
      <c r="O397" s="45"/>
      <c r="P397" s="566"/>
      <c r="Q397" s="566"/>
      <c r="R397" s="566"/>
      <c r="S397" s="45"/>
      <c r="T397" s="566"/>
      <c r="U397" s="45"/>
      <c r="V397" s="566"/>
      <c r="W397" s="45"/>
      <c r="X397" s="566"/>
      <c r="Y397" s="45"/>
      <c r="Z397" s="566"/>
      <c r="AA397" s="45"/>
      <c r="AB397" s="566"/>
      <c r="AC397" s="45"/>
      <c r="AD397" s="566"/>
      <c r="AE397" s="45"/>
      <c r="AF397" s="566"/>
      <c r="AG397" s="45"/>
      <c r="AH397" s="566"/>
      <c r="AI397" s="45"/>
      <c r="AJ397" s="566"/>
      <c r="AK397" s="45"/>
      <c r="AL397" s="566"/>
      <c r="AM397" s="45"/>
      <c r="AN397" s="566"/>
      <c r="AO397" s="45"/>
      <c r="AP397" s="566"/>
      <c r="AQ397" s="45"/>
      <c r="AR397" s="566"/>
      <c r="AS397" s="45"/>
      <c r="AT397" s="566"/>
      <c r="AU397" s="45"/>
      <c r="AV397" s="566"/>
      <c r="AW397" s="45"/>
      <c r="AX397" s="566"/>
      <c r="AY397" s="627"/>
      <c r="AZ397" s="342" t="str">
        <f t="shared" ref="AZ397:BF397" ca="1" si="500">IFERROR(VLOOKUP($A397,tb_ConsensusEstimate,MATCH(AZ$5,OFFSET(tb_ConsensusEstimate,0,0,1,COLUMNS(tb_ConsensusEstimate)),0),FALSE),"-")</f>
        <v>N/A</v>
      </c>
      <c r="BA397" s="342" t="str">
        <f t="shared" ca="1" si="500"/>
        <v>N/A</v>
      </c>
      <c r="BB397" s="342" t="str">
        <f t="shared" ca="1" si="500"/>
        <v>N/A</v>
      </c>
      <c r="BC397" s="342" t="str">
        <f t="shared" ca="1" si="500"/>
        <v>N/A</v>
      </c>
      <c r="BD397" s="342" t="str">
        <f t="shared" ca="1" si="500"/>
        <v>N/A</v>
      </c>
      <c r="BE397" s="342" t="str">
        <f t="shared" ca="1" si="500"/>
        <v>N/A</v>
      </c>
      <c r="BF397" s="342" t="str">
        <f t="shared" ca="1" si="500"/>
        <v>N/A</v>
      </c>
      <c r="BG397" s="342"/>
      <c r="BH397" s="836"/>
      <c r="BI397" s="836"/>
      <c r="BJ397" s="836"/>
      <c r="BK397" s="836"/>
      <c r="BL397" s="836"/>
      <c r="BM397" s="836"/>
      <c r="BN397" s="836"/>
      <c r="BO397" s="837"/>
      <c r="BP397" s="837"/>
      <c r="BQ397" s="837"/>
      <c r="BR397" s="837"/>
      <c r="BS397" s="837"/>
      <c r="BT397" s="837"/>
      <c r="BU397" s="837"/>
      <c r="BV397" s="837"/>
      <c r="BW397" s="838"/>
      <c r="BX397" s="837" t="str">
        <f ca="1">IFERROR(VLOOKUP($A397,tb_ConsensusEstimate,MATCH(BX$5,OFFSET(tb_ConsensusEstimate,0,0,1,COLUMNS(tb_ConsensusEstimate)),0),FALSE),"-")</f>
        <v>N/A</v>
      </c>
      <c r="BY397" s="837" t="str">
        <f ca="1">IFERROR(VLOOKUP($A397,tb_ConsensusEstimate,MATCH(BY$5,OFFSET(tb_ConsensusEstimate,0,0,1,COLUMNS(tb_ConsensusEstimate)),0),FALSE),"-")</f>
        <v>N/A</v>
      </c>
      <c r="BZ397" s="837" t="str">
        <f ca="1">IFERROR(VLOOKUP($A397,tb_ConsensusEstimate,MATCH(BZ5,OFFSET(tb_ConsensusEstimate,0,0,1,COLUMNS(tb_ConsensusEstimate)),0),FALSE),"-")</f>
        <v>N/A</v>
      </c>
      <c r="CA397" s="837" t="str">
        <f ca="1">IFERROR(VLOOKUP($A397,tb_ConsensusEstimate,MATCH(CA5,OFFSET(tb_ConsensusEstimate,0,0,1,COLUMNS(tb_ConsensusEstimate)),0),FALSE),"-")</f>
        <v>N/A</v>
      </c>
      <c r="CB397" s="837" t="str">
        <f ca="1">IFERROR(VLOOKUP($A397,tb_ConsensusEstimate,MATCH(CB5,OFFSET(tb_ConsensusEstimate,0,0,1,COLUMNS(tb_ConsensusEstimate)),0),FALSE),"-")</f>
        <v>N/A</v>
      </c>
      <c r="CC397" s="45"/>
    </row>
    <row r="398" spans="1:81" x14ac:dyDescent="0.55000000000000004">
      <c r="A398" s="44"/>
      <c r="B398" s="76"/>
      <c r="C398" s="45"/>
      <c r="D398" s="45"/>
      <c r="E398" s="45"/>
      <c r="F398" s="45"/>
      <c r="G398" s="45"/>
      <c r="H398" s="45"/>
      <c r="I398" s="45"/>
      <c r="J398" s="45"/>
      <c r="K398" s="45"/>
      <c r="L398" s="45"/>
      <c r="M398" s="45"/>
      <c r="N398" s="45"/>
      <c r="O398" s="45"/>
      <c r="P398" s="566"/>
      <c r="Q398" s="566"/>
      <c r="R398" s="566"/>
      <c r="S398" s="45"/>
      <c r="T398" s="566"/>
      <c r="U398" s="45"/>
      <c r="V398" s="566"/>
      <c r="W398" s="45"/>
      <c r="X398" s="566"/>
      <c r="Y398" s="45"/>
      <c r="Z398" s="566"/>
      <c r="AA398" s="45"/>
      <c r="AB398" s="566"/>
      <c r="AC398" s="45"/>
      <c r="AD398" s="566"/>
      <c r="AE398" s="45"/>
      <c r="AF398" s="566"/>
      <c r="AG398" s="45"/>
      <c r="AH398" s="566"/>
      <c r="AI398" s="45"/>
      <c r="AJ398" s="566"/>
      <c r="AK398" s="45"/>
      <c r="AL398" s="566"/>
      <c r="AM398" s="45"/>
      <c r="AN398" s="566"/>
      <c r="AO398" s="45"/>
      <c r="AP398" s="566"/>
      <c r="AQ398" s="45"/>
      <c r="AR398" s="566"/>
      <c r="AS398" s="45"/>
      <c r="AT398" s="566"/>
      <c r="AU398" s="45"/>
      <c r="AV398" s="566"/>
      <c r="AW398" s="45"/>
      <c r="AX398" s="566"/>
      <c r="AY398" s="627"/>
      <c r="AZ398" s="45"/>
      <c r="BA398" s="45"/>
      <c r="BB398" s="45"/>
      <c r="BC398" s="45"/>
      <c r="BD398" s="45"/>
      <c r="BE398" s="45"/>
      <c r="BF398" s="45"/>
      <c r="BG398" s="45"/>
      <c r="BH398" s="836"/>
      <c r="BI398" s="836"/>
      <c r="BJ398" s="836"/>
      <c r="BK398" s="836"/>
      <c r="BL398" s="836"/>
      <c r="BM398" s="836"/>
      <c r="BN398" s="836"/>
      <c r="BO398" s="836"/>
      <c r="BP398" s="836"/>
      <c r="BQ398" s="836"/>
      <c r="BR398" s="836"/>
      <c r="BS398" s="836"/>
      <c r="BT398" s="836"/>
      <c r="BU398" s="836"/>
      <c r="BV398" s="836"/>
      <c r="BW398" s="885"/>
      <c r="BX398" s="916"/>
      <c r="BY398" s="916"/>
      <c r="BZ398" s="916"/>
      <c r="CA398" s="916"/>
      <c r="CB398" s="916"/>
      <c r="CC398" s="8"/>
    </row>
    <row r="399" spans="1:81" x14ac:dyDescent="0.55000000000000004">
      <c r="A399" s="86" t="s">
        <v>78</v>
      </c>
      <c r="B399" s="87"/>
      <c r="C399" s="37">
        <f t="shared" ref="C399:AH399" si="501">-C348</f>
        <v>10</v>
      </c>
      <c r="D399" s="37">
        <f t="shared" si="501"/>
        <v>9</v>
      </c>
      <c r="E399" s="37">
        <f t="shared" si="501"/>
        <v>16</v>
      </c>
      <c r="F399" s="37">
        <f t="shared" si="501"/>
        <v>2</v>
      </c>
      <c r="G399" s="37">
        <f t="shared" si="501"/>
        <v>0</v>
      </c>
      <c r="H399" s="37">
        <f t="shared" si="501"/>
        <v>0</v>
      </c>
      <c r="I399" s="37">
        <f t="shared" si="501"/>
        <v>-4</v>
      </c>
      <c r="J399" s="37">
        <f t="shared" si="501"/>
        <v>0</v>
      </c>
      <c r="K399" s="37">
        <f t="shared" si="501"/>
        <v>-2</v>
      </c>
      <c r="L399" s="37">
        <f t="shared" si="501"/>
        <v>-5</v>
      </c>
      <c r="M399" s="37">
        <f t="shared" si="501"/>
        <v>-7</v>
      </c>
      <c r="N399" s="37">
        <f t="shared" si="501"/>
        <v>-15</v>
      </c>
      <c r="O399" s="37">
        <f t="shared" si="501"/>
        <v>-27</v>
      </c>
      <c r="P399" s="37">
        <f t="shared" si="501"/>
        <v>-32</v>
      </c>
      <c r="Q399" s="37">
        <f t="shared" si="501"/>
        <v>-50</v>
      </c>
      <c r="R399" s="37">
        <f t="shared" si="501"/>
        <v>-56</v>
      </c>
      <c r="S399" s="37">
        <f t="shared" si="501"/>
        <v>-67</v>
      </c>
      <c r="T399" s="37">
        <f t="shared" si="501"/>
        <v>-91</v>
      </c>
      <c r="U399" s="37">
        <f t="shared" si="501"/>
        <v>-108</v>
      </c>
      <c r="V399" s="37">
        <f t="shared" si="501"/>
        <v>-126</v>
      </c>
      <c r="W399" s="37">
        <f t="shared" si="501"/>
        <v>-145</v>
      </c>
      <c r="X399" s="37">
        <f t="shared" si="501"/>
        <v>-143</v>
      </c>
      <c r="Y399" s="37">
        <f t="shared" si="501"/>
        <v>-176</v>
      </c>
      <c r="Z399" s="37">
        <f t="shared" si="501"/>
        <v>-188</v>
      </c>
      <c r="AA399" s="37">
        <f t="shared" si="501"/>
        <v>-198</v>
      </c>
      <c r="AB399" s="37">
        <f t="shared" si="501"/>
        <v>-219</v>
      </c>
      <c r="AC399" s="37">
        <f t="shared" si="501"/>
        <v>-258</v>
      </c>
      <c r="AD399" s="37">
        <f t="shared" si="501"/>
        <v>-229</v>
      </c>
      <c r="AE399" s="37">
        <f t="shared" si="501"/>
        <v>-228</v>
      </c>
      <c r="AF399" s="37">
        <f t="shared" si="501"/>
        <v>-162</v>
      </c>
      <c r="AG399" s="37">
        <f t="shared" si="501"/>
        <v>-146</v>
      </c>
      <c r="AH399" s="37">
        <f t="shared" si="501"/>
        <v>-136</v>
      </c>
      <c r="AI399" s="37">
        <f t="shared" ref="AI399:AY399" si="502">-AI348</f>
        <v>-118</v>
      </c>
      <c r="AJ399" s="37">
        <f t="shared" si="502"/>
        <v>-121</v>
      </c>
      <c r="AK399" s="37">
        <f t="shared" si="502"/>
        <v>-120</v>
      </c>
      <c r="AL399" s="37">
        <f t="shared" si="502"/>
        <v>-102</v>
      </c>
      <c r="AM399" s="37">
        <f t="shared" si="502"/>
        <v>-76</v>
      </c>
      <c r="AN399" s="37">
        <f t="shared" si="502"/>
        <v>-91</v>
      </c>
      <c r="AO399" s="37">
        <f t="shared" si="502"/>
        <v>-77</v>
      </c>
      <c r="AP399" s="37">
        <f t="shared" si="502"/>
        <v>-32</v>
      </c>
      <c r="AQ399" s="37">
        <f t="shared" si="502"/>
        <v>-138</v>
      </c>
      <c r="AR399" s="37">
        <f t="shared" si="502"/>
        <v>-207</v>
      </c>
      <c r="AS399" s="37">
        <f t="shared" si="502"/>
        <v>-395</v>
      </c>
      <c r="AT399" s="37">
        <f t="shared" si="502"/>
        <v>-453</v>
      </c>
      <c r="AU399" s="37">
        <f t="shared" si="502"/>
        <v>-458</v>
      </c>
      <c r="AV399" s="37">
        <f t="shared" si="502"/>
        <v>-412</v>
      </c>
      <c r="AW399" s="37">
        <f t="shared" si="502"/>
        <v>-453</v>
      </c>
      <c r="AX399" s="37">
        <f t="shared" si="502"/>
        <v>-479</v>
      </c>
      <c r="AY399" s="273">
        <f t="shared" si="502"/>
        <v>-450</v>
      </c>
      <c r="AZ399" s="37">
        <f t="shared" ref="AZ399:BF399" si="503">AZ701</f>
        <v>-408.73086301369875</v>
      </c>
      <c r="BA399" s="37">
        <f t="shared" ca="1" si="503"/>
        <v>-469.62881181515036</v>
      </c>
      <c r="BB399" s="37">
        <f t="shared" ca="1" si="503"/>
        <v>-453.22859708883288</v>
      </c>
      <c r="BC399" s="37">
        <f t="shared" ca="1" si="503"/>
        <v>-642.86070455103868</v>
      </c>
      <c r="BD399" s="37">
        <f t="shared" ca="1" si="503"/>
        <v>-870.79364955647179</v>
      </c>
      <c r="BE399" s="37">
        <f t="shared" ca="1" si="503"/>
        <v>-1058.8218556776803</v>
      </c>
      <c r="BF399" s="37">
        <f t="shared" ca="1" si="503"/>
        <v>-1062.2115397841135</v>
      </c>
      <c r="BG399" s="37"/>
      <c r="BH399" s="158">
        <f t="shared" ref="BH399:BW399" si="504">-BH348</f>
        <v>10</v>
      </c>
      <c r="BI399" s="158">
        <f t="shared" si="504"/>
        <v>22</v>
      </c>
      <c r="BJ399" s="158">
        <f t="shared" si="504"/>
        <v>42</v>
      </c>
      <c r="BK399" s="158">
        <f t="shared" si="504"/>
        <v>51</v>
      </c>
      <c r="BL399" s="158">
        <f t="shared" si="504"/>
        <v>37</v>
      </c>
      <c r="BM399" s="158">
        <f t="shared" si="504"/>
        <v>-4</v>
      </c>
      <c r="BN399" s="158">
        <f t="shared" si="504"/>
        <v>-29</v>
      </c>
      <c r="BO399" s="158">
        <f t="shared" si="504"/>
        <v>-166</v>
      </c>
      <c r="BP399" s="158">
        <f t="shared" si="504"/>
        <v>-392</v>
      </c>
      <c r="BQ399" s="158">
        <f t="shared" si="504"/>
        <v>-652</v>
      </c>
      <c r="BR399" s="158">
        <f t="shared" si="504"/>
        <v>-904</v>
      </c>
      <c r="BS399" s="158">
        <f t="shared" si="504"/>
        <v>-672</v>
      </c>
      <c r="BT399" s="158">
        <f t="shared" si="504"/>
        <v>-461</v>
      </c>
      <c r="BU399" s="158">
        <f t="shared" si="504"/>
        <v>-276</v>
      </c>
      <c r="BV399" s="158">
        <f t="shared" si="504"/>
        <v>-1193</v>
      </c>
      <c r="BW399" s="846">
        <f t="shared" si="504"/>
        <v>-1802</v>
      </c>
      <c r="BX399" s="158">
        <f ca="1">SUM(AY399,AZ399,BA399,BB399)</f>
        <v>-1781.5882719176821</v>
      </c>
      <c r="BY399" s="158">
        <f ca="1">SUM(BC399,BD399,BE399,BF399)</f>
        <v>-3634.6877495693043</v>
      </c>
      <c r="BZ399" s="158">
        <f ca="1">BZ701</f>
        <v>-4917.1469488317834</v>
      </c>
      <c r="CA399" s="158">
        <f ca="1">CA701</f>
        <v>-8042.7037688618302</v>
      </c>
      <c r="CB399" s="158">
        <f ca="1">CB701</f>
        <v>-11391.703986826169</v>
      </c>
      <c r="CC399" s="117"/>
    </row>
    <row r="400" spans="1:81" x14ac:dyDescent="0.55000000000000004">
      <c r="A400" s="116" t="s">
        <v>79</v>
      </c>
      <c r="B400" s="87"/>
      <c r="C400" s="117">
        <f t="shared" ref="C400:AH400" si="505">-C350-C349</f>
        <v>10</v>
      </c>
      <c r="D400" s="117">
        <f t="shared" si="505"/>
        <v>8</v>
      </c>
      <c r="E400" s="117">
        <f t="shared" si="505"/>
        <v>-6</v>
      </c>
      <c r="F400" s="117">
        <f t="shared" si="505"/>
        <v>1</v>
      </c>
      <c r="G400" s="117">
        <f t="shared" si="505"/>
        <v>0</v>
      </c>
      <c r="H400" s="117">
        <f t="shared" si="505"/>
        <v>4</v>
      </c>
      <c r="I400" s="117">
        <f t="shared" si="505"/>
        <v>65</v>
      </c>
      <c r="J400" s="117">
        <f t="shared" si="505"/>
        <v>19</v>
      </c>
      <c r="K400" s="117">
        <f t="shared" si="505"/>
        <v>3</v>
      </c>
      <c r="L400" s="117">
        <f t="shared" si="505"/>
        <v>5</v>
      </c>
      <c r="M400" s="117">
        <f t="shared" si="505"/>
        <v>34</v>
      </c>
      <c r="N400" s="117">
        <f t="shared" si="505"/>
        <v>18</v>
      </c>
      <c r="O400" s="117">
        <f t="shared" si="505"/>
        <v>-29</v>
      </c>
      <c r="P400" s="117">
        <f t="shared" si="505"/>
        <v>12</v>
      </c>
      <c r="Q400" s="117">
        <f t="shared" si="505"/>
        <v>3</v>
      </c>
      <c r="R400" s="117">
        <f t="shared" si="505"/>
        <v>89</v>
      </c>
      <c r="S400" s="117">
        <f t="shared" si="505"/>
        <v>-14</v>
      </c>
      <c r="T400" s="117">
        <f t="shared" si="505"/>
        <v>4</v>
      </c>
      <c r="U400" s="117">
        <f t="shared" si="505"/>
        <v>-6</v>
      </c>
      <c r="V400" s="117">
        <f t="shared" si="505"/>
        <v>17</v>
      </c>
      <c r="W400" s="117">
        <f t="shared" si="505"/>
        <v>-16</v>
      </c>
      <c r="X400" s="117">
        <f t="shared" si="505"/>
        <v>138</v>
      </c>
      <c r="Y400" s="117">
        <f t="shared" si="505"/>
        <v>45</v>
      </c>
      <c r="Z400" s="117">
        <f t="shared" si="505"/>
        <v>37</v>
      </c>
      <c r="AA400" s="117">
        <f t="shared" si="505"/>
        <v>33</v>
      </c>
      <c r="AB400" s="117">
        <f t="shared" si="505"/>
        <v>13</v>
      </c>
      <c r="AC400" s="117">
        <f t="shared" si="505"/>
        <v>114</v>
      </c>
      <c r="AD400" s="117">
        <f t="shared" si="505"/>
        <v>-82</v>
      </c>
      <c r="AE400" s="117">
        <f t="shared" si="505"/>
        <v>260</v>
      </c>
      <c r="AF400" s="117">
        <f t="shared" si="505"/>
        <v>-6</v>
      </c>
      <c r="AG400" s="117">
        <f t="shared" si="505"/>
        <v>53</v>
      </c>
      <c r="AH400" s="117">
        <f t="shared" si="505"/>
        <v>-144</v>
      </c>
      <c r="AI400" s="117">
        <f t="shared" ref="AI400:AY400" si="506">-AI350-AI349</f>
        <v>-7</v>
      </c>
      <c r="AJ400" s="117">
        <f t="shared" si="506"/>
        <v>-25</v>
      </c>
      <c r="AK400" s="117">
        <f t="shared" si="506"/>
        <v>-22</v>
      </c>
      <c r="AL400" s="117">
        <f t="shared" si="506"/>
        <v>-16</v>
      </c>
      <c r="AM400" s="117">
        <f t="shared" si="506"/>
        <v>-308</v>
      </c>
      <c r="AN400" s="117">
        <f t="shared" si="506"/>
        <v>263</v>
      </c>
      <c r="AO400" s="117">
        <f t="shared" si="506"/>
        <v>165</v>
      </c>
      <c r="AP400" s="117">
        <f t="shared" si="506"/>
        <v>282</v>
      </c>
      <c r="AQ400" s="117">
        <f t="shared" si="506"/>
        <v>58</v>
      </c>
      <c r="AR400" s="117">
        <f t="shared" si="506"/>
        <v>306</v>
      </c>
      <c r="AS400" s="117">
        <f t="shared" si="506"/>
        <v>123</v>
      </c>
      <c r="AT400" s="117">
        <f t="shared" si="506"/>
        <v>29</v>
      </c>
      <c r="AU400" s="117">
        <f t="shared" si="506"/>
        <v>93</v>
      </c>
      <c r="AV400" s="117">
        <f t="shared" si="506"/>
        <v>153</v>
      </c>
      <c r="AW400" s="117">
        <f t="shared" si="506"/>
        <v>-19</v>
      </c>
      <c r="AX400" s="117">
        <f t="shared" si="506"/>
        <v>291</v>
      </c>
      <c r="AY400" s="273">
        <f t="shared" si="506"/>
        <v>-377</v>
      </c>
      <c r="AZ400" s="759">
        <v>-5500</v>
      </c>
      <c r="BA400" s="759">
        <v>-4500</v>
      </c>
      <c r="BB400" s="759">
        <v>-4500</v>
      </c>
      <c r="BC400" s="759">
        <v>-3000</v>
      </c>
      <c r="BD400" s="759">
        <v>-2900</v>
      </c>
      <c r="BE400" s="759">
        <v>-3500</v>
      </c>
      <c r="BF400" s="759">
        <v>-1500</v>
      </c>
      <c r="BG400" s="759"/>
      <c r="BH400" s="876">
        <f t="shared" ref="BH400:BW400" si="507">-BH350-BH349</f>
        <v>-2</v>
      </c>
      <c r="BI400" s="876">
        <f t="shared" si="507"/>
        <v>2</v>
      </c>
      <c r="BJ400" s="876">
        <f t="shared" si="507"/>
        <v>19</v>
      </c>
      <c r="BK400" s="876">
        <f t="shared" si="507"/>
        <v>-7</v>
      </c>
      <c r="BL400" s="876">
        <f t="shared" si="507"/>
        <v>13</v>
      </c>
      <c r="BM400" s="876">
        <f t="shared" si="507"/>
        <v>88</v>
      </c>
      <c r="BN400" s="876">
        <f t="shared" si="507"/>
        <v>60</v>
      </c>
      <c r="BO400" s="876">
        <f t="shared" si="507"/>
        <v>75</v>
      </c>
      <c r="BP400" s="876">
        <f t="shared" si="507"/>
        <v>1</v>
      </c>
      <c r="BQ400" s="876">
        <f t="shared" si="507"/>
        <v>204</v>
      </c>
      <c r="BR400" s="876">
        <f t="shared" si="507"/>
        <v>78</v>
      </c>
      <c r="BS400" s="876">
        <f t="shared" si="507"/>
        <v>163</v>
      </c>
      <c r="BT400" s="876">
        <f t="shared" si="507"/>
        <v>-70</v>
      </c>
      <c r="BU400" s="876">
        <f t="shared" si="507"/>
        <v>401</v>
      </c>
      <c r="BV400" s="876">
        <f t="shared" si="507"/>
        <v>516</v>
      </c>
      <c r="BW400" s="915">
        <f t="shared" si="507"/>
        <v>519</v>
      </c>
      <c r="BX400" s="158">
        <f>SUM(AY400,AZ400,BA400,BB400)</f>
        <v>-14877</v>
      </c>
      <c r="BY400" s="158">
        <f>SUM(BC400,BD400,BE400,BF400)</f>
        <v>-10900</v>
      </c>
      <c r="BZ400" s="857">
        <v>-5100</v>
      </c>
      <c r="CA400" s="857">
        <v>0</v>
      </c>
      <c r="CB400" s="857">
        <v>0</v>
      </c>
      <c r="CC400" s="117"/>
    </row>
    <row r="401" spans="1:81" x14ac:dyDescent="0.55000000000000004">
      <c r="A401" s="18" t="s">
        <v>80</v>
      </c>
      <c r="B401" s="244"/>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406"/>
      <c r="AZ401" s="763">
        <v>0</v>
      </c>
      <c r="BA401" s="763">
        <v>0</v>
      </c>
      <c r="BB401" s="763">
        <v>0</v>
      </c>
      <c r="BC401" s="763">
        <v>0</v>
      </c>
      <c r="BD401" s="763">
        <v>0</v>
      </c>
      <c r="BE401" s="763">
        <v>0</v>
      </c>
      <c r="BF401" s="763">
        <v>0</v>
      </c>
      <c r="BG401" s="763"/>
      <c r="BH401" s="854"/>
      <c r="BI401" s="854"/>
      <c r="BJ401" s="854"/>
      <c r="BK401" s="854"/>
      <c r="BL401" s="854"/>
      <c r="BM401" s="854"/>
      <c r="BN401" s="854"/>
      <c r="BO401" s="854"/>
      <c r="BP401" s="854"/>
      <c r="BQ401" s="854"/>
      <c r="BR401" s="854"/>
      <c r="BS401" s="854"/>
      <c r="BT401" s="854"/>
      <c r="BU401" s="854"/>
      <c r="BV401" s="854"/>
      <c r="BW401" s="855"/>
      <c r="BX401" s="854">
        <f>SUM(AY401,AZ401,BA401,BB401)</f>
        <v>0</v>
      </c>
      <c r="BY401" s="854">
        <f>SUM(BC401,BD401,BE401,BF401)</f>
        <v>0</v>
      </c>
      <c r="BZ401" s="863">
        <v>0</v>
      </c>
      <c r="CA401" s="863">
        <v>0</v>
      </c>
      <c r="CB401" s="863">
        <v>0</v>
      </c>
      <c r="CC401" s="117"/>
    </row>
    <row r="402" spans="1:81" x14ac:dyDescent="0.55000000000000004">
      <c r="A402" s="20" t="s">
        <v>81</v>
      </c>
      <c r="B402" s="195"/>
      <c r="C402" s="5">
        <f t="shared" ref="C402:AH402" si="508">C388-SUM(C399:C401)</f>
        <v>353</v>
      </c>
      <c r="D402" s="5">
        <f t="shared" si="508"/>
        <v>545</v>
      </c>
      <c r="E402" s="5">
        <f t="shared" si="508"/>
        <v>726</v>
      </c>
      <c r="F402" s="5">
        <f t="shared" si="508"/>
        <v>1130</v>
      </c>
      <c r="G402" s="5">
        <f t="shared" si="508"/>
        <v>1075</v>
      </c>
      <c r="H402" s="5">
        <f t="shared" si="508"/>
        <v>1386</v>
      </c>
      <c r="I402" s="5">
        <f t="shared" si="508"/>
        <v>1336</v>
      </c>
      <c r="J402" s="5">
        <f t="shared" si="508"/>
        <v>1114</v>
      </c>
      <c r="K402" s="5">
        <f t="shared" si="508"/>
        <v>932</v>
      </c>
      <c r="L402" s="5">
        <f t="shared" si="508"/>
        <v>1273</v>
      </c>
      <c r="M402" s="5">
        <f t="shared" si="508"/>
        <v>1432</v>
      </c>
      <c r="N402" s="5">
        <f t="shared" si="508"/>
        <v>2557</v>
      </c>
      <c r="O402" s="5">
        <f t="shared" si="508"/>
        <v>2066</v>
      </c>
      <c r="P402" s="5">
        <f t="shared" si="508"/>
        <v>2754</v>
      </c>
      <c r="Q402" s="5">
        <f t="shared" si="508"/>
        <v>3164</v>
      </c>
      <c r="R402" s="5">
        <f t="shared" si="508"/>
        <v>4533</v>
      </c>
      <c r="S402" s="5">
        <f t="shared" si="508"/>
        <v>3408</v>
      </c>
      <c r="T402" s="5">
        <f t="shared" si="508"/>
        <v>4488</v>
      </c>
      <c r="U402" s="5">
        <f t="shared" si="508"/>
        <v>5236</v>
      </c>
      <c r="V402" s="5">
        <f t="shared" si="508"/>
        <v>7461</v>
      </c>
      <c r="W402" s="5">
        <f t="shared" si="508"/>
        <v>5610</v>
      </c>
      <c r="X402" s="5">
        <f t="shared" si="508"/>
        <v>5868</v>
      </c>
      <c r="Y402" s="5">
        <f t="shared" si="508"/>
        <v>5912</v>
      </c>
      <c r="Z402" s="5">
        <f t="shared" si="508"/>
        <v>7971</v>
      </c>
      <c r="AA402" s="5">
        <f t="shared" si="508"/>
        <v>3482</v>
      </c>
      <c r="AB402" s="5">
        <f t="shared" si="508"/>
        <v>4832</v>
      </c>
      <c r="AC402" s="5">
        <f t="shared" si="508"/>
        <v>7329</v>
      </c>
      <c r="AD402" s="5">
        <f t="shared" si="508"/>
        <v>9169</v>
      </c>
      <c r="AE402" s="5">
        <f t="shared" si="508"/>
        <v>5861</v>
      </c>
      <c r="AF402" s="5">
        <f t="shared" si="508"/>
        <v>6131</v>
      </c>
      <c r="AG402" s="5">
        <f t="shared" si="508"/>
        <v>8133</v>
      </c>
      <c r="AH402" s="5">
        <f t="shared" si="508"/>
        <v>13055</v>
      </c>
      <c r="AI402" s="5">
        <f t="shared" ref="AI402:BF402" si="509">AI388-SUM(AI399:AI401)</f>
        <v>11503</v>
      </c>
      <c r="AJ402" s="5">
        <f t="shared" si="509"/>
        <v>12513</v>
      </c>
      <c r="AK402" s="5">
        <f t="shared" si="509"/>
        <v>10565</v>
      </c>
      <c r="AL402" s="5">
        <f t="shared" si="509"/>
        <v>12703</v>
      </c>
      <c r="AM402" s="5">
        <f t="shared" si="509"/>
        <v>8908</v>
      </c>
      <c r="AN402" s="5">
        <f t="shared" si="509"/>
        <v>8186</v>
      </c>
      <c r="AO402" s="5">
        <f t="shared" si="509"/>
        <v>5576</v>
      </c>
      <c r="AP402" s="5">
        <f t="shared" si="509"/>
        <v>6149</v>
      </c>
      <c r="AQ402" s="5">
        <f t="shared" si="509"/>
        <v>7307</v>
      </c>
      <c r="AR402" s="5">
        <f t="shared" si="509"/>
        <v>9293</v>
      </c>
      <c r="AS402" s="5">
        <f t="shared" si="509"/>
        <v>14020</v>
      </c>
      <c r="AT402" s="5">
        <f t="shared" si="509"/>
        <v>16808</v>
      </c>
      <c r="AU402" s="5">
        <f t="shared" si="509"/>
        <v>14183</v>
      </c>
      <c r="AV402" s="5">
        <f t="shared" si="509"/>
        <v>15106</v>
      </c>
      <c r="AW402" s="5">
        <f t="shared" si="509"/>
        <v>17822</v>
      </c>
      <c r="AX402" s="5">
        <f t="shared" si="509"/>
        <v>23553</v>
      </c>
      <c r="AY402" s="409">
        <f t="shared" si="509"/>
        <v>18382</v>
      </c>
      <c r="AZ402" s="33">
        <f t="shared" si="509"/>
        <v>21080.892257713844</v>
      </c>
      <c r="BA402" s="33">
        <f t="shared" ca="1" si="509"/>
        <v>23389.646502588723</v>
      </c>
      <c r="BB402" s="33">
        <f t="shared" ca="1" si="509"/>
        <v>26188.330940752949</v>
      </c>
      <c r="BC402" s="33">
        <f t="shared" ca="1" si="509"/>
        <v>28885.895099816185</v>
      </c>
      <c r="BD402" s="33">
        <f t="shared" ca="1" si="509"/>
        <v>25482.83185311994</v>
      </c>
      <c r="BE402" s="33">
        <f t="shared" ca="1" si="509"/>
        <v>27436.303296622642</v>
      </c>
      <c r="BF402" s="33">
        <f t="shared" ca="1" si="509"/>
        <v>29743.608242220886</v>
      </c>
      <c r="BG402" s="33"/>
      <c r="BH402" s="834">
        <f t="shared" ref="BH402:CB402" si="510">BH388-SUM(BH399:BH401)</f>
        <v>254</v>
      </c>
      <c r="BI402" s="834">
        <f t="shared" si="510"/>
        <v>1008</v>
      </c>
      <c r="BJ402" s="834">
        <f t="shared" si="510"/>
        <v>1695</v>
      </c>
      <c r="BK402" s="834">
        <f t="shared" si="510"/>
        <v>494</v>
      </c>
      <c r="BL402" s="834">
        <f t="shared" si="510"/>
        <v>2754</v>
      </c>
      <c r="BM402" s="834">
        <f t="shared" si="510"/>
        <v>4910</v>
      </c>
      <c r="BN402" s="834">
        <f t="shared" si="510"/>
        <v>6194</v>
      </c>
      <c r="BO402" s="834">
        <f t="shared" si="510"/>
        <v>12518</v>
      </c>
      <c r="BP402" s="834">
        <f t="shared" si="510"/>
        <v>20594</v>
      </c>
      <c r="BQ402" s="834">
        <f t="shared" si="510"/>
        <v>25361</v>
      </c>
      <c r="BR402" s="834">
        <f t="shared" si="510"/>
        <v>24812</v>
      </c>
      <c r="BS402" s="834">
        <f t="shared" si="510"/>
        <v>33180</v>
      </c>
      <c r="BT402" s="834">
        <f t="shared" si="510"/>
        <v>47284</v>
      </c>
      <c r="BU402" s="834">
        <f t="shared" si="510"/>
        <v>28819</v>
      </c>
      <c r="BV402" s="834">
        <f t="shared" si="510"/>
        <v>47428</v>
      </c>
      <c r="BW402" s="914">
        <f t="shared" si="510"/>
        <v>70663</v>
      </c>
      <c r="BX402" s="833">
        <f t="shared" ca="1" si="510"/>
        <v>89040.869701055519</v>
      </c>
      <c r="BY402" s="833">
        <f t="shared" ca="1" si="510"/>
        <v>111548.63849177962</v>
      </c>
      <c r="BZ402" s="833">
        <f t="shared" ca="1" si="510"/>
        <v>126927.86898638737</v>
      </c>
      <c r="CA402" s="833">
        <f t="shared" ca="1" si="510"/>
        <v>140516.62183695298</v>
      </c>
      <c r="CB402" s="833">
        <f t="shared" ca="1" si="510"/>
        <v>160217.7400442503</v>
      </c>
      <c r="CC402" s="6"/>
    </row>
    <row r="403" spans="1:81" x14ac:dyDescent="0.55000000000000004">
      <c r="A403" s="44"/>
      <c r="B403" s="76"/>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c r="AY403" s="627"/>
      <c r="AZ403" s="45"/>
      <c r="BA403" s="45"/>
      <c r="BB403" s="45"/>
      <c r="BC403" s="45"/>
      <c r="BD403" s="45"/>
      <c r="BE403" s="45"/>
      <c r="BF403" s="45"/>
      <c r="BG403" s="45"/>
      <c r="BH403" s="836"/>
      <c r="BI403" s="836"/>
      <c r="BJ403" s="836"/>
      <c r="BK403" s="836"/>
      <c r="BL403" s="836"/>
      <c r="BM403" s="836"/>
      <c r="BN403" s="836"/>
      <c r="BO403" s="836"/>
      <c r="BP403" s="836"/>
      <c r="BQ403" s="836"/>
      <c r="BR403" s="836"/>
      <c r="BS403" s="836"/>
      <c r="BT403" s="836"/>
      <c r="BU403" s="836"/>
      <c r="BV403" s="836"/>
      <c r="BW403" s="885"/>
      <c r="BX403" s="836"/>
      <c r="BY403" s="836"/>
      <c r="BZ403" s="836"/>
      <c r="CA403" s="836"/>
      <c r="CB403" s="836"/>
      <c r="CC403" s="8"/>
    </row>
    <row r="404" spans="1:81" x14ac:dyDescent="0.55000000000000004">
      <c r="A404" s="116" t="s">
        <v>82</v>
      </c>
      <c r="B404" s="87"/>
      <c r="C404" s="117">
        <f t="shared" ref="C404:AH404" si="511">C352-C405</f>
        <v>141</v>
      </c>
      <c r="D404" s="117">
        <f t="shared" si="511"/>
        <v>186</v>
      </c>
      <c r="E404" s="117">
        <f t="shared" si="511"/>
        <v>299</v>
      </c>
      <c r="F404" s="117">
        <f t="shared" si="511"/>
        <v>665</v>
      </c>
      <c r="G404" s="117">
        <f t="shared" si="511"/>
        <v>434</v>
      </c>
      <c r="H404" s="117">
        <f t="shared" si="511"/>
        <v>628</v>
      </c>
      <c r="I404" s="117">
        <f t="shared" si="511"/>
        <v>526</v>
      </c>
      <c r="J404" s="117">
        <f t="shared" si="511"/>
        <v>593</v>
      </c>
      <c r="K404" s="117">
        <f t="shared" si="511"/>
        <v>643</v>
      </c>
      <c r="L404" s="117">
        <f t="shared" si="511"/>
        <v>620</v>
      </c>
      <c r="M404" s="117">
        <f t="shared" si="511"/>
        <v>919</v>
      </c>
      <c r="N404" s="117">
        <f t="shared" si="511"/>
        <v>1118</v>
      </c>
      <c r="O404" s="117">
        <f t="shared" si="511"/>
        <v>405</v>
      </c>
      <c r="P404" s="117">
        <f t="shared" si="511"/>
        <v>572</v>
      </c>
      <c r="Q404" s="117">
        <f t="shared" si="511"/>
        <v>560</v>
      </c>
      <c r="R404" s="117">
        <f t="shared" si="511"/>
        <v>1221</v>
      </c>
      <c r="S404" s="117">
        <f t="shared" si="511"/>
        <v>428</v>
      </c>
      <c r="T404" s="117">
        <f t="shared" si="511"/>
        <v>568</v>
      </c>
      <c r="U404" s="117">
        <f t="shared" si="511"/>
        <v>623</v>
      </c>
      <c r="V404" s="117">
        <f t="shared" si="511"/>
        <v>3419</v>
      </c>
      <c r="W404" s="117">
        <f t="shared" si="511"/>
        <v>669</v>
      </c>
      <c r="X404" s="117">
        <f t="shared" si="511"/>
        <v>661</v>
      </c>
      <c r="Y404" s="117">
        <f t="shared" si="511"/>
        <v>746</v>
      </c>
      <c r="Z404" s="117">
        <f t="shared" si="511"/>
        <v>887</v>
      </c>
      <c r="AA404" s="117">
        <f t="shared" si="511"/>
        <v>870</v>
      </c>
      <c r="AB404" s="117">
        <f t="shared" si="511"/>
        <v>2215</v>
      </c>
      <c r="AC404" s="117">
        <f t="shared" si="511"/>
        <v>1064</v>
      </c>
      <c r="AD404" s="117">
        <f t="shared" si="511"/>
        <v>2215</v>
      </c>
      <c r="AE404" s="117">
        <f t="shared" si="511"/>
        <v>482</v>
      </c>
      <c r="AF404" s="117">
        <f t="shared" si="511"/>
        <v>740</v>
      </c>
      <c r="AG404" s="117">
        <f t="shared" si="511"/>
        <v>1793</v>
      </c>
      <c r="AH404" s="117">
        <f t="shared" si="511"/>
        <v>2212</v>
      </c>
      <c r="AI404" s="117">
        <f t="shared" ref="AI404:AY404" si="512">AI352-AI405</f>
        <v>1588</v>
      </c>
      <c r="AJ404" s="117">
        <f t="shared" si="512"/>
        <v>1890</v>
      </c>
      <c r="AK404" s="117">
        <f t="shared" si="512"/>
        <v>2157</v>
      </c>
      <c r="AL404" s="117">
        <f t="shared" si="512"/>
        <v>1669</v>
      </c>
      <c r="AM404" s="117">
        <f t="shared" si="512"/>
        <v>2006</v>
      </c>
      <c r="AN404" s="117">
        <f t="shared" si="512"/>
        <v>1952</v>
      </c>
      <c r="AO404" s="117">
        <f t="shared" si="512"/>
        <v>2278</v>
      </c>
      <c r="AP404" s="117">
        <f t="shared" si="512"/>
        <v>2670</v>
      </c>
      <c r="AQ404" s="117">
        <f t="shared" si="512"/>
        <v>2218</v>
      </c>
      <c r="AR404" s="117">
        <f t="shared" si="512"/>
        <v>2642</v>
      </c>
      <c r="AS404" s="117">
        <f t="shared" si="512"/>
        <v>-612</v>
      </c>
      <c r="AT404" s="117">
        <f t="shared" si="512"/>
        <v>3952</v>
      </c>
      <c r="AU404" s="117">
        <f t="shared" si="512"/>
        <v>2270</v>
      </c>
      <c r="AV404" s="117">
        <f t="shared" si="512"/>
        <v>3283</v>
      </c>
      <c r="AW404" s="117">
        <f t="shared" si="512"/>
        <v>3442</v>
      </c>
      <c r="AX404" s="117">
        <f t="shared" si="512"/>
        <v>4047</v>
      </c>
      <c r="AY404" s="273">
        <f t="shared" si="512"/>
        <v>2731</v>
      </c>
      <c r="AZ404" s="37">
        <f t="shared" ref="AZ404:BF404" si="513">AZ402*AZ417</f>
        <v>4110.7739902541998</v>
      </c>
      <c r="BA404" s="37">
        <f t="shared" ca="1" si="513"/>
        <v>4560.9810680048013</v>
      </c>
      <c r="BB404" s="37">
        <f t="shared" ca="1" si="513"/>
        <v>5106.7245334468253</v>
      </c>
      <c r="BC404" s="37">
        <f t="shared" ca="1" si="513"/>
        <v>4332.8842649724274</v>
      </c>
      <c r="BD404" s="37">
        <f t="shared" ca="1" si="513"/>
        <v>3822.4247779679908</v>
      </c>
      <c r="BE404" s="37">
        <f t="shared" ca="1" si="513"/>
        <v>4115.4454944933959</v>
      </c>
      <c r="BF404" s="37">
        <f t="shared" ca="1" si="513"/>
        <v>4461.5412363331325</v>
      </c>
      <c r="BG404" s="37"/>
      <c r="BH404" s="876">
        <f t="shared" ref="BH404:BW404" si="514">BH352-BH405</f>
        <v>25</v>
      </c>
      <c r="BI404" s="876">
        <f t="shared" si="514"/>
        <v>402</v>
      </c>
      <c r="BJ404" s="876">
        <f t="shared" si="514"/>
        <v>725</v>
      </c>
      <c r="BK404" s="876">
        <f t="shared" si="514"/>
        <v>627</v>
      </c>
      <c r="BL404" s="876">
        <f t="shared" si="514"/>
        <v>1291</v>
      </c>
      <c r="BM404" s="876">
        <f t="shared" si="514"/>
        <v>2180</v>
      </c>
      <c r="BN404" s="876">
        <f t="shared" si="514"/>
        <v>3301</v>
      </c>
      <c r="BO404" s="876">
        <f t="shared" si="514"/>
        <v>2758</v>
      </c>
      <c r="BP404" s="876">
        <f t="shared" si="514"/>
        <v>5037</v>
      </c>
      <c r="BQ404" s="876">
        <f t="shared" si="514"/>
        <v>2963</v>
      </c>
      <c r="BR404" s="876">
        <f t="shared" si="514"/>
        <v>6364</v>
      </c>
      <c r="BS404" s="876">
        <f t="shared" si="514"/>
        <v>5226</v>
      </c>
      <c r="BT404" s="876">
        <f t="shared" si="514"/>
        <v>7305</v>
      </c>
      <c r="BU404" s="876">
        <f t="shared" si="514"/>
        <v>8905</v>
      </c>
      <c r="BV404" s="876">
        <f t="shared" si="514"/>
        <v>8199</v>
      </c>
      <c r="BW404" s="915">
        <f t="shared" si="514"/>
        <v>13041</v>
      </c>
      <c r="BX404" s="158">
        <f ca="1">SUM(AY404,AZ404,BA404,BB404)</f>
        <v>16509.479591705825</v>
      </c>
      <c r="BY404" s="158">
        <f ca="1">SUM(BC404,BD404,BE404,BF404)</f>
        <v>16732.295773766949</v>
      </c>
      <c r="BZ404" s="158">
        <f ca="1">BZ402*BZ417</f>
        <v>19039.180347958107</v>
      </c>
      <c r="CA404" s="158">
        <f ca="1">CA402*CA417</f>
        <v>28103.324367390596</v>
      </c>
      <c r="CB404" s="158">
        <f ca="1">CB402*CB417</f>
        <v>32043.548008850063</v>
      </c>
      <c r="CC404" s="117"/>
    </row>
    <row r="405" spans="1:81" x14ac:dyDescent="0.55000000000000004">
      <c r="A405" s="18" t="s">
        <v>83</v>
      </c>
      <c r="B405" s="244"/>
      <c r="C405" s="14">
        <f t="shared" ref="C405:AH405" si="515">C809</f>
        <v>-7</v>
      </c>
      <c r="D405" s="14">
        <f t="shared" si="515"/>
        <v>26</v>
      </c>
      <c r="E405" s="14">
        <f t="shared" si="515"/>
        <v>2</v>
      </c>
      <c r="F405" s="14">
        <f t="shared" si="515"/>
        <v>-58</v>
      </c>
      <c r="G405" s="14">
        <f t="shared" si="515"/>
        <v>-1</v>
      </c>
      <c r="H405" s="14">
        <f t="shared" si="515"/>
        <v>-33</v>
      </c>
      <c r="I405" s="14">
        <f t="shared" si="515"/>
        <v>4</v>
      </c>
      <c r="J405" s="14">
        <f t="shared" si="515"/>
        <v>-180</v>
      </c>
      <c r="K405" s="14">
        <f t="shared" si="515"/>
        <v>-223</v>
      </c>
      <c r="L405" s="14">
        <f t="shared" si="515"/>
        <v>-66</v>
      </c>
      <c r="M405" s="14">
        <f t="shared" si="515"/>
        <v>-383</v>
      </c>
      <c r="N405" s="14">
        <f t="shared" si="515"/>
        <v>-123</v>
      </c>
      <c r="O405" s="14">
        <f t="shared" si="515"/>
        <v>-77</v>
      </c>
      <c r="P405" s="14">
        <f t="shared" si="515"/>
        <v>-101</v>
      </c>
      <c r="Q405" s="14">
        <f t="shared" si="515"/>
        <v>-23</v>
      </c>
      <c r="R405" s="14">
        <f t="shared" si="515"/>
        <v>-256</v>
      </c>
      <c r="S405" s="14">
        <f t="shared" si="515"/>
        <v>-84</v>
      </c>
      <c r="T405" s="14">
        <f t="shared" si="515"/>
        <v>26</v>
      </c>
      <c r="U405" s="14">
        <f t="shared" si="515"/>
        <v>-94</v>
      </c>
      <c r="V405" s="14">
        <f t="shared" si="515"/>
        <v>-225</v>
      </c>
      <c r="W405" s="14">
        <f t="shared" si="515"/>
        <v>-47</v>
      </c>
      <c r="X405" s="14">
        <f t="shared" si="515"/>
        <v>101</v>
      </c>
      <c r="Y405" s="14">
        <f t="shared" si="515"/>
        <v>29</v>
      </c>
      <c r="Z405" s="14">
        <f t="shared" si="515"/>
        <v>203</v>
      </c>
      <c r="AA405" s="14">
        <f t="shared" si="515"/>
        <v>183</v>
      </c>
      <c r="AB405" s="14">
        <f t="shared" si="515"/>
        <v>1</v>
      </c>
      <c r="AC405" s="14">
        <f t="shared" si="515"/>
        <v>174</v>
      </c>
      <c r="AD405" s="14">
        <f t="shared" si="515"/>
        <v>-395</v>
      </c>
      <c r="AE405" s="14">
        <f t="shared" si="515"/>
        <v>477</v>
      </c>
      <c r="AF405" s="14">
        <f t="shared" si="515"/>
        <v>213</v>
      </c>
      <c r="AG405" s="14">
        <f t="shared" si="515"/>
        <v>-1506</v>
      </c>
      <c r="AH405" s="14">
        <f t="shared" si="515"/>
        <v>-376</v>
      </c>
      <c r="AI405" s="14">
        <f t="shared" ref="AI405:AY405" si="516">AI809</f>
        <v>418</v>
      </c>
      <c r="AJ405" s="14">
        <f t="shared" si="516"/>
        <v>229</v>
      </c>
      <c r="AK405" s="14">
        <f t="shared" si="516"/>
        <v>-786</v>
      </c>
      <c r="AL405" s="14">
        <f t="shared" si="516"/>
        <v>748</v>
      </c>
      <c r="AM405" s="14">
        <f t="shared" si="516"/>
        <v>-563</v>
      </c>
      <c r="AN405" s="14">
        <f t="shared" si="516"/>
        <v>-453</v>
      </c>
      <c r="AO405" s="14">
        <f t="shared" si="516"/>
        <v>-1097</v>
      </c>
      <c r="AP405" s="14">
        <f t="shared" si="516"/>
        <v>-1173</v>
      </c>
      <c r="AQ405" s="14">
        <f t="shared" si="516"/>
        <v>-620</v>
      </c>
      <c r="AR405" s="14">
        <f t="shared" si="516"/>
        <v>-1137</v>
      </c>
      <c r="AS405" s="14">
        <f t="shared" si="516"/>
        <v>3049</v>
      </c>
      <c r="AT405" s="14">
        <f t="shared" si="516"/>
        <v>-1161</v>
      </c>
      <c r="AU405" s="14">
        <f t="shared" si="516"/>
        <v>-456</v>
      </c>
      <c r="AV405" s="14">
        <f t="shared" si="516"/>
        <v>-1642</v>
      </c>
      <c r="AW405" s="14">
        <f t="shared" si="516"/>
        <v>-1308</v>
      </c>
      <c r="AX405" s="14">
        <f t="shared" si="516"/>
        <v>-1332</v>
      </c>
      <c r="AY405" s="406">
        <f t="shared" si="516"/>
        <v>-993</v>
      </c>
      <c r="AZ405" s="82">
        <f t="shared" ref="AZ405:BF405" si="517">AZ402*AZ418</f>
        <v>-1264.8535354628307</v>
      </c>
      <c r="BA405" s="82">
        <f t="shared" ca="1" si="517"/>
        <v>-1403.3787901553233</v>
      </c>
      <c r="BB405" s="82">
        <f t="shared" ca="1" si="517"/>
        <v>-1571.2998564451768</v>
      </c>
      <c r="BC405" s="82">
        <f t="shared" ca="1" si="517"/>
        <v>-577.71790199632369</v>
      </c>
      <c r="BD405" s="82">
        <f t="shared" ca="1" si="517"/>
        <v>-509.65663706239883</v>
      </c>
      <c r="BE405" s="82">
        <f t="shared" ca="1" si="517"/>
        <v>-548.7260659324528</v>
      </c>
      <c r="BF405" s="82">
        <f t="shared" ca="1" si="517"/>
        <v>-594.87216484441774</v>
      </c>
      <c r="BG405" s="82"/>
      <c r="BH405" s="877">
        <f t="shared" ref="BH405:BW405" si="518">BH809</f>
        <v>0</v>
      </c>
      <c r="BI405" s="877">
        <f t="shared" si="518"/>
        <v>0</v>
      </c>
      <c r="BJ405" s="877">
        <f t="shared" si="518"/>
        <v>-30</v>
      </c>
      <c r="BK405" s="877">
        <f t="shared" si="518"/>
        <v>-186</v>
      </c>
      <c r="BL405" s="877">
        <f t="shared" si="518"/>
        <v>-37</v>
      </c>
      <c r="BM405" s="877">
        <f t="shared" si="518"/>
        <v>-210</v>
      </c>
      <c r="BN405" s="877">
        <f t="shared" si="518"/>
        <v>-795</v>
      </c>
      <c r="BO405" s="877">
        <f t="shared" si="518"/>
        <v>-457</v>
      </c>
      <c r="BP405" s="877">
        <f t="shared" si="518"/>
        <v>-377</v>
      </c>
      <c r="BQ405" s="877">
        <f t="shared" si="518"/>
        <v>286</v>
      </c>
      <c r="BR405" s="877">
        <f t="shared" si="518"/>
        <v>-37</v>
      </c>
      <c r="BS405" s="877">
        <f t="shared" si="518"/>
        <v>-1192</v>
      </c>
      <c r="BT405" s="877">
        <f t="shared" si="518"/>
        <v>609</v>
      </c>
      <c r="BU405" s="877">
        <f t="shared" si="518"/>
        <v>-3286</v>
      </c>
      <c r="BV405" s="877">
        <f t="shared" si="518"/>
        <v>131</v>
      </c>
      <c r="BW405" s="913">
        <f t="shared" si="518"/>
        <v>-4738</v>
      </c>
      <c r="BX405" s="854">
        <f ca="1">SUM(AY405,AZ405,BA405,BB405)</f>
        <v>-5232.5321820633308</v>
      </c>
      <c r="BY405" s="854">
        <f ca="1">SUM(BC405,BD405,BE405,BF405)</f>
        <v>-2230.9727698355928</v>
      </c>
      <c r="BZ405" s="854">
        <f ca="1">BZ402*BZ418</f>
        <v>-2538.5573797277475</v>
      </c>
      <c r="CA405" s="854">
        <f ca="1">CA402*CA418</f>
        <v>-2810.3324367390596</v>
      </c>
      <c r="CB405" s="854">
        <f ca="1">CB402*CB418</f>
        <v>-3204.3548008850062</v>
      </c>
      <c r="CC405" s="117"/>
    </row>
    <row r="406" spans="1:81" x14ac:dyDescent="0.55000000000000004">
      <c r="A406" s="20" t="s">
        <v>84</v>
      </c>
      <c r="B406" s="195"/>
      <c r="C406" s="5">
        <f t="shared" ref="C406:AH406" si="519">C402-SUM(C404:C405)</f>
        <v>219</v>
      </c>
      <c r="D406" s="5">
        <f t="shared" si="519"/>
        <v>333</v>
      </c>
      <c r="E406" s="5">
        <f t="shared" si="519"/>
        <v>425</v>
      </c>
      <c r="F406" s="5">
        <f t="shared" si="519"/>
        <v>523</v>
      </c>
      <c r="G406" s="5">
        <f t="shared" si="519"/>
        <v>642</v>
      </c>
      <c r="H406" s="5">
        <f t="shared" si="519"/>
        <v>791</v>
      </c>
      <c r="I406" s="5">
        <f t="shared" si="519"/>
        <v>806</v>
      </c>
      <c r="J406" s="5">
        <f t="shared" si="519"/>
        <v>701</v>
      </c>
      <c r="K406" s="5">
        <f t="shared" si="519"/>
        <v>512</v>
      </c>
      <c r="L406" s="5">
        <f t="shared" si="519"/>
        <v>719</v>
      </c>
      <c r="M406" s="5">
        <f t="shared" si="519"/>
        <v>896</v>
      </c>
      <c r="N406" s="5">
        <f t="shared" si="519"/>
        <v>1562</v>
      </c>
      <c r="O406" s="5">
        <f t="shared" si="519"/>
        <v>1738</v>
      </c>
      <c r="P406" s="5">
        <f t="shared" si="519"/>
        <v>2283</v>
      </c>
      <c r="Q406" s="5">
        <f t="shared" si="519"/>
        <v>2627</v>
      </c>
      <c r="R406" s="5">
        <f t="shared" si="519"/>
        <v>3568</v>
      </c>
      <c r="S406" s="5">
        <f t="shared" si="519"/>
        <v>3064</v>
      </c>
      <c r="T406" s="5">
        <f t="shared" si="519"/>
        <v>3894</v>
      </c>
      <c r="U406" s="5">
        <f t="shared" si="519"/>
        <v>4707</v>
      </c>
      <c r="V406" s="5">
        <f t="shared" si="519"/>
        <v>4267</v>
      </c>
      <c r="W406" s="5">
        <f t="shared" si="519"/>
        <v>4988</v>
      </c>
      <c r="X406" s="5">
        <f t="shared" si="519"/>
        <v>5106</v>
      </c>
      <c r="Y406" s="5">
        <f t="shared" si="519"/>
        <v>5137</v>
      </c>
      <c r="Z406" s="5">
        <f t="shared" si="519"/>
        <v>6881</v>
      </c>
      <c r="AA406" s="5">
        <f t="shared" si="519"/>
        <v>2429</v>
      </c>
      <c r="AB406" s="5">
        <f t="shared" si="519"/>
        <v>2616</v>
      </c>
      <c r="AC406" s="5">
        <f t="shared" si="519"/>
        <v>6091</v>
      </c>
      <c r="AD406" s="5">
        <f t="shared" si="519"/>
        <v>7349</v>
      </c>
      <c r="AE406" s="5">
        <f t="shared" si="519"/>
        <v>4902</v>
      </c>
      <c r="AF406" s="5">
        <f t="shared" si="519"/>
        <v>5178</v>
      </c>
      <c r="AG406" s="5">
        <f t="shared" si="519"/>
        <v>7846</v>
      </c>
      <c r="AH406" s="5">
        <f t="shared" si="519"/>
        <v>11219</v>
      </c>
      <c r="AI406" s="5">
        <f t="shared" ref="AI406:BF406" si="520">AI402-SUM(AI404:AI405)</f>
        <v>9497</v>
      </c>
      <c r="AJ406" s="5">
        <f t="shared" si="520"/>
        <v>10394</v>
      </c>
      <c r="AK406" s="5">
        <f t="shared" si="520"/>
        <v>9194</v>
      </c>
      <c r="AL406" s="5">
        <f t="shared" si="520"/>
        <v>10286</v>
      </c>
      <c r="AM406" s="5">
        <f t="shared" si="520"/>
        <v>7465</v>
      </c>
      <c r="AN406" s="5">
        <f t="shared" si="520"/>
        <v>6687</v>
      </c>
      <c r="AO406" s="5">
        <f t="shared" si="520"/>
        <v>4395</v>
      </c>
      <c r="AP406" s="5">
        <f t="shared" si="520"/>
        <v>4652</v>
      </c>
      <c r="AQ406" s="5">
        <f t="shared" si="520"/>
        <v>5709</v>
      </c>
      <c r="AR406" s="5">
        <f t="shared" si="520"/>
        <v>7788</v>
      </c>
      <c r="AS406" s="5">
        <f t="shared" si="520"/>
        <v>11583</v>
      </c>
      <c r="AT406" s="5">
        <f t="shared" si="520"/>
        <v>14017</v>
      </c>
      <c r="AU406" s="5">
        <f t="shared" si="520"/>
        <v>12369</v>
      </c>
      <c r="AV406" s="5">
        <f t="shared" si="520"/>
        <v>13465</v>
      </c>
      <c r="AW406" s="5">
        <f t="shared" si="520"/>
        <v>15688</v>
      </c>
      <c r="AX406" s="5">
        <f t="shared" si="520"/>
        <v>20838</v>
      </c>
      <c r="AY406" s="409">
        <f t="shared" si="520"/>
        <v>16644</v>
      </c>
      <c r="AZ406" s="33">
        <f t="shared" si="520"/>
        <v>18234.971802922475</v>
      </c>
      <c r="BA406" s="33">
        <f t="shared" ca="1" si="520"/>
        <v>20232.044224739246</v>
      </c>
      <c r="BB406" s="33">
        <f t="shared" ca="1" si="520"/>
        <v>22652.906263751302</v>
      </c>
      <c r="BC406" s="33">
        <f t="shared" ca="1" si="520"/>
        <v>25130.728736840083</v>
      </c>
      <c r="BD406" s="33">
        <f t="shared" ca="1" si="520"/>
        <v>22170.063712214349</v>
      </c>
      <c r="BE406" s="33">
        <f t="shared" ca="1" si="520"/>
        <v>23869.583868061698</v>
      </c>
      <c r="BF406" s="33">
        <f t="shared" ca="1" si="520"/>
        <v>25876.93917073217</v>
      </c>
      <c r="BG406" s="33"/>
      <c r="BH406" s="834">
        <f t="shared" ref="BH406:CB406" si="521">BH402-SUM(BH404:BH405)</f>
        <v>229</v>
      </c>
      <c r="BI406" s="834">
        <f t="shared" si="521"/>
        <v>606</v>
      </c>
      <c r="BJ406" s="834">
        <f t="shared" si="521"/>
        <v>1000</v>
      </c>
      <c r="BK406" s="834">
        <f t="shared" si="521"/>
        <v>53</v>
      </c>
      <c r="BL406" s="834">
        <f t="shared" si="521"/>
        <v>1500</v>
      </c>
      <c r="BM406" s="834">
        <f t="shared" si="521"/>
        <v>2940</v>
      </c>
      <c r="BN406" s="834">
        <f t="shared" si="521"/>
        <v>3688</v>
      </c>
      <c r="BO406" s="834">
        <f t="shared" si="521"/>
        <v>10217</v>
      </c>
      <c r="BP406" s="834">
        <f t="shared" si="521"/>
        <v>15934</v>
      </c>
      <c r="BQ406" s="834">
        <f t="shared" si="521"/>
        <v>22112</v>
      </c>
      <c r="BR406" s="834">
        <f t="shared" si="521"/>
        <v>18485</v>
      </c>
      <c r="BS406" s="834">
        <f t="shared" si="521"/>
        <v>29146</v>
      </c>
      <c r="BT406" s="834">
        <f t="shared" si="521"/>
        <v>39370</v>
      </c>
      <c r="BU406" s="834">
        <f t="shared" si="521"/>
        <v>23200</v>
      </c>
      <c r="BV406" s="834">
        <f t="shared" si="521"/>
        <v>39098</v>
      </c>
      <c r="BW406" s="914">
        <f t="shared" si="521"/>
        <v>62360</v>
      </c>
      <c r="BX406" s="833">
        <f t="shared" ca="1" si="521"/>
        <v>77763.922291413022</v>
      </c>
      <c r="BY406" s="833">
        <f t="shared" ca="1" si="521"/>
        <v>97047.315487848275</v>
      </c>
      <c r="BZ406" s="833">
        <f t="shared" ca="1" si="521"/>
        <v>110427.24601815702</v>
      </c>
      <c r="CA406" s="833">
        <f t="shared" ca="1" si="521"/>
        <v>115223.62990630144</v>
      </c>
      <c r="CB406" s="833">
        <f t="shared" ca="1" si="521"/>
        <v>131378.54683628524</v>
      </c>
      <c r="CC406" s="6"/>
    </row>
    <row r="407" spans="1:81" x14ac:dyDescent="0.55000000000000004">
      <c r="A407" s="116" t="s">
        <v>85</v>
      </c>
      <c r="B407" s="8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273"/>
      <c r="AZ407" s="759">
        <v>0</v>
      </c>
      <c r="BA407" s="759">
        <v>0</v>
      </c>
      <c r="BB407" s="759">
        <v>0</v>
      </c>
      <c r="BC407" s="759">
        <v>0</v>
      </c>
      <c r="BD407" s="759">
        <v>0</v>
      </c>
      <c r="BE407" s="759">
        <v>0</v>
      </c>
      <c r="BF407" s="759">
        <v>0</v>
      </c>
      <c r="BG407" s="759"/>
      <c r="BH407" s="158"/>
      <c r="BI407" s="158"/>
      <c r="BJ407" s="158"/>
      <c r="BK407" s="158"/>
      <c r="BL407" s="876">
        <f>BL406-F406-E406-D406-C406</f>
        <v>0</v>
      </c>
      <c r="BM407" s="158"/>
      <c r="BN407" s="158"/>
      <c r="BO407" s="158"/>
      <c r="BP407" s="158"/>
      <c r="BQ407" s="158"/>
      <c r="BR407" s="158"/>
      <c r="BS407" s="158"/>
      <c r="BT407" s="158"/>
      <c r="BU407" s="158"/>
      <c r="BV407" s="158"/>
      <c r="BW407" s="846"/>
      <c r="BX407" s="158">
        <f>SUM(AY407,AZ407,BA407,BB407)</f>
        <v>0</v>
      </c>
      <c r="BY407" s="158">
        <f>SUM(BC407,BD407,BE407,BF407)</f>
        <v>0</v>
      </c>
      <c r="BZ407" s="857">
        <v>0</v>
      </c>
      <c r="CA407" s="857">
        <v>0</v>
      </c>
      <c r="CB407" s="857">
        <v>0</v>
      </c>
      <c r="CC407" s="117"/>
    </row>
    <row r="408" spans="1:81" x14ac:dyDescent="0.55000000000000004">
      <c r="A408" s="116" t="s">
        <v>86</v>
      </c>
      <c r="B408" s="8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273"/>
      <c r="AZ408" s="759">
        <v>0</v>
      </c>
      <c r="BA408" s="759">
        <v>0</v>
      </c>
      <c r="BB408" s="759">
        <v>0</v>
      </c>
      <c r="BC408" s="759">
        <v>0</v>
      </c>
      <c r="BD408" s="759">
        <v>0</v>
      </c>
      <c r="BE408" s="759">
        <v>0</v>
      </c>
      <c r="BF408" s="759">
        <v>0</v>
      </c>
      <c r="BG408" s="759"/>
      <c r="BH408" s="158"/>
      <c r="BI408" s="158"/>
      <c r="BJ408" s="158"/>
      <c r="BK408" s="158"/>
      <c r="BL408" s="158"/>
      <c r="BM408" s="158"/>
      <c r="BN408" s="158"/>
      <c r="BO408" s="158"/>
      <c r="BP408" s="158"/>
      <c r="BQ408" s="158"/>
      <c r="BR408" s="158"/>
      <c r="BS408" s="158"/>
      <c r="BT408" s="158"/>
      <c r="BU408" s="158"/>
      <c r="BV408" s="158"/>
      <c r="BW408" s="846"/>
      <c r="BX408" s="158">
        <f>SUM(AY408,AZ408,BA408,BB408)</f>
        <v>0</v>
      </c>
      <c r="BY408" s="158">
        <f>SUM(BC408,BD408,BE408,BF408)</f>
        <v>0</v>
      </c>
      <c r="BZ408" s="857">
        <v>0</v>
      </c>
      <c r="CA408" s="857">
        <v>0</v>
      </c>
      <c r="CB408" s="857">
        <v>0</v>
      </c>
      <c r="CC408" s="117"/>
    </row>
    <row r="409" spans="1:81" x14ac:dyDescent="0.55000000000000004">
      <c r="A409" s="18" t="s">
        <v>87</v>
      </c>
      <c r="B409" s="244"/>
      <c r="C409" s="14">
        <f t="shared" ref="C409:AH409" si="522">+C354</f>
        <v>2</v>
      </c>
      <c r="D409" s="14">
        <f t="shared" si="522"/>
        <v>2</v>
      </c>
      <c r="E409" s="14">
        <f t="shared" si="522"/>
        <v>3</v>
      </c>
      <c r="F409" s="14">
        <f t="shared" si="522"/>
        <v>3</v>
      </c>
      <c r="G409" s="14">
        <f t="shared" si="522"/>
        <v>3</v>
      </c>
      <c r="H409" s="14">
        <f t="shared" si="522"/>
        <v>3</v>
      </c>
      <c r="I409" s="14">
        <f t="shared" si="522"/>
        <v>4</v>
      </c>
      <c r="J409" s="14">
        <f t="shared" si="522"/>
        <v>5</v>
      </c>
      <c r="K409" s="14">
        <f t="shared" si="522"/>
        <v>3</v>
      </c>
      <c r="L409" s="14">
        <f t="shared" si="522"/>
        <v>4</v>
      </c>
      <c r="M409" s="14">
        <f t="shared" si="522"/>
        <v>5</v>
      </c>
      <c r="N409" s="14">
        <f t="shared" si="522"/>
        <v>7</v>
      </c>
      <c r="O409" s="14">
        <f t="shared" si="522"/>
        <v>6</v>
      </c>
      <c r="P409" s="14">
        <f t="shared" si="522"/>
        <v>7</v>
      </c>
      <c r="Q409" s="14">
        <f t="shared" si="522"/>
        <v>7</v>
      </c>
      <c r="R409" s="14">
        <f t="shared" si="522"/>
        <v>7</v>
      </c>
      <c r="S409" s="14">
        <f t="shared" si="522"/>
        <v>5</v>
      </c>
      <c r="T409" s="14">
        <f t="shared" si="522"/>
        <v>4</v>
      </c>
      <c r="U409" s="14">
        <f t="shared" si="522"/>
        <v>3</v>
      </c>
      <c r="V409" s="14">
        <f t="shared" si="522"/>
        <v>2</v>
      </c>
      <c r="W409" s="14">
        <f t="shared" si="522"/>
        <v>1</v>
      </c>
      <c r="X409" s="14">
        <f t="shared" si="522"/>
        <v>0</v>
      </c>
      <c r="Y409" s="14">
        <f t="shared" si="522"/>
        <v>0</v>
      </c>
      <c r="Z409" s="14">
        <f t="shared" si="522"/>
        <v>0</v>
      </c>
      <c r="AA409" s="14">
        <f t="shared" si="522"/>
        <v>0</v>
      </c>
      <c r="AB409" s="14">
        <f t="shared" si="522"/>
        <v>0</v>
      </c>
      <c r="AC409" s="14">
        <f t="shared" si="522"/>
        <v>0</v>
      </c>
      <c r="AD409" s="14">
        <f t="shared" si="522"/>
        <v>0</v>
      </c>
      <c r="AE409" s="14">
        <f t="shared" si="522"/>
        <v>0</v>
      </c>
      <c r="AF409" s="14">
        <f t="shared" si="522"/>
        <v>0</v>
      </c>
      <c r="AG409" s="14">
        <f t="shared" si="522"/>
        <v>0</v>
      </c>
      <c r="AH409" s="14">
        <f t="shared" si="522"/>
        <v>0</v>
      </c>
      <c r="AI409" s="14">
        <f t="shared" ref="AI409:AY409" si="523">+AI354</f>
        <v>0</v>
      </c>
      <c r="AJ409" s="14">
        <f t="shared" si="523"/>
        <v>0</v>
      </c>
      <c r="AK409" s="14">
        <f t="shared" si="523"/>
        <v>0</v>
      </c>
      <c r="AL409" s="14">
        <f t="shared" si="523"/>
        <v>0</v>
      </c>
      <c r="AM409" s="14">
        <f t="shared" si="523"/>
        <v>0</v>
      </c>
      <c r="AN409" s="14">
        <f t="shared" si="523"/>
        <v>0</v>
      </c>
      <c r="AO409" s="14">
        <f t="shared" si="523"/>
        <v>0</v>
      </c>
      <c r="AP409" s="14">
        <f t="shared" si="523"/>
        <v>0</v>
      </c>
      <c r="AQ409" s="14">
        <f t="shared" si="523"/>
        <v>0</v>
      </c>
      <c r="AR409" s="14">
        <f t="shared" si="523"/>
        <v>0</v>
      </c>
      <c r="AS409" s="14">
        <f t="shared" si="523"/>
        <v>0</v>
      </c>
      <c r="AT409" s="14">
        <f t="shared" si="523"/>
        <v>0</v>
      </c>
      <c r="AU409" s="14">
        <f t="shared" si="523"/>
        <v>0</v>
      </c>
      <c r="AV409" s="14">
        <f t="shared" si="523"/>
        <v>0</v>
      </c>
      <c r="AW409" s="14">
        <f t="shared" si="523"/>
        <v>0</v>
      </c>
      <c r="AX409" s="14">
        <f t="shared" si="523"/>
        <v>0</v>
      </c>
      <c r="AY409" s="406">
        <f t="shared" si="523"/>
        <v>0</v>
      </c>
      <c r="AZ409" s="763">
        <v>0</v>
      </c>
      <c r="BA409" s="763">
        <v>0</v>
      </c>
      <c r="BB409" s="763">
        <v>0</v>
      </c>
      <c r="BC409" s="763">
        <v>0</v>
      </c>
      <c r="BD409" s="763">
        <v>0</v>
      </c>
      <c r="BE409" s="763">
        <v>0</v>
      </c>
      <c r="BF409" s="763">
        <v>0</v>
      </c>
      <c r="BG409" s="763"/>
      <c r="BH409" s="877">
        <f t="shared" ref="BH409:BW409" si="524">+BH354</f>
        <v>107</v>
      </c>
      <c r="BI409" s="877">
        <f t="shared" si="524"/>
        <v>234</v>
      </c>
      <c r="BJ409" s="877">
        <f t="shared" si="524"/>
        <v>332</v>
      </c>
      <c r="BK409" s="877">
        <f t="shared" si="524"/>
        <v>21</v>
      </c>
      <c r="BL409" s="877">
        <f t="shared" si="524"/>
        <v>9</v>
      </c>
      <c r="BM409" s="877">
        <f t="shared" si="524"/>
        <v>15</v>
      </c>
      <c r="BN409" s="877">
        <f t="shared" si="524"/>
        <v>19</v>
      </c>
      <c r="BO409" s="877">
        <f t="shared" si="524"/>
        <v>29</v>
      </c>
      <c r="BP409" s="877">
        <f t="shared" si="524"/>
        <v>14</v>
      </c>
      <c r="BQ409" s="877">
        <f t="shared" si="524"/>
        <v>1</v>
      </c>
      <c r="BR409" s="877">
        <f t="shared" si="524"/>
        <v>0</v>
      </c>
      <c r="BS409" s="877">
        <f t="shared" si="524"/>
        <v>0</v>
      </c>
      <c r="BT409" s="877">
        <f t="shared" si="524"/>
        <v>0</v>
      </c>
      <c r="BU409" s="877">
        <f t="shared" si="524"/>
        <v>0</v>
      </c>
      <c r="BV409" s="877">
        <f t="shared" si="524"/>
        <v>0</v>
      </c>
      <c r="BW409" s="913">
        <f t="shared" si="524"/>
        <v>0</v>
      </c>
      <c r="BX409" s="854">
        <f>SUM(AY409,AZ409,BA409,BB409)</f>
        <v>0</v>
      </c>
      <c r="BY409" s="854">
        <f>SUM(BC409,BD409,BE409,BF409)</f>
        <v>0</v>
      </c>
      <c r="BZ409" s="863">
        <v>0</v>
      </c>
      <c r="CA409" s="863">
        <v>0</v>
      </c>
      <c r="CB409" s="863">
        <v>0</v>
      </c>
      <c r="CC409" s="117"/>
    </row>
    <row r="410" spans="1:81" x14ac:dyDescent="0.55000000000000004">
      <c r="A410" s="20" t="s">
        <v>88</v>
      </c>
      <c r="B410" s="195"/>
      <c r="C410" s="5">
        <f t="shared" ref="C410:AH410" si="525">C406-SUM(C407:C409)</f>
        <v>217</v>
      </c>
      <c r="D410" s="5">
        <f t="shared" si="525"/>
        <v>331</v>
      </c>
      <c r="E410" s="5">
        <f t="shared" si="525"/>
        <v>422</v>
      </c>
      <c r="F410" s="5">
        <f t="shared" si="525"/>
        <v>520</v>
      </c>
      <c r="G410" s="5">
        <f t="shared" si="525"/>
        <v>639</v>
      </c>
      <c r="H410" s="5">
        <f t="shared" si="525"/>
        <v>788</v>
      </c>
      <c r="I410" s="5">
        <f t="shared" si="525"/>
        <v>802</v>
      </c>
      <c r="J410" s="5">
        <f t="shared" si="525"/>
        <v>696</v>
      </c>
      <c r="K410" s="5">
        <f t="shared" si="525"/>
        <v>509</v>
      </c>
      <c r="L410" s="5">
        <f t="shared" si="525"/>
        <v>715</v>
      </c>
      <c r="M410" s="5">
        <f t="shared" si="525"/>
        <v>891</v>
      </c>
      <c r="N410" s="5">
        <f t="shared" si="525"/>
        <v>1555</v>
      </c>
      <c r="O410" s="5">
        <f t="shared" si="525"/>
        <v>1732</v>
      </c>
      <c r="P410" s="5">
        <f t="shared" si="525"/>
        <v>2276</v>
      </c>
      <c r="Q410" s="5">
        <f t="shared" si="525"/>
        <v>2620</v>
      </c>
      <c r="R410" s="5">
        <f t="shared" si="525"/>
        <v>3561</v>
      </c>
      <c r="S410" s="5">
        <f t="shared" si="525"/>
        <v>3059</v>
      </c>
      <c r="T410" s="5">
        <f t="shared" si="525"/>
        <v>3890</v>
      </c>
      <c r="U410" s="5">
        <f t="shared" si="525"/>
        <v>4704</v>
      </c>
      <c r="V410" s="33">
        <f t="shared" si="525"/>
        <v>4265</v>
      </c>
      <c r="W410" s="5">
        <f t="shared" si="525"/>
        <v>4987</v>
      </c>
      <c r="X410" s="5">
        <f t="shared" si="525"/>
        <v>5106</v>
      </c>
      <c r="Y410" s="5">
        <f t="shared" si="525"/>
        <v>5137</v>
      </c>
      <c r="Z410" s="33">
        <f t="shared" si="525"/>
        <v>6881</v>
      </c>
      <c r="AA410" s="5">
        <f t="shared" si="525"/>
        <v>2429</v>
      </c>
      <c r="AB410" s="5">
        <f t="shared" si="525"/>
        <v>2616</v>
      </c>
      <c r="AC410" s="5">
        <f t="shared" si="525"/>
        <v>6091</v>
      </c>
      <c r="AD410" s="33">
        <f t="shared" si="525"/>
        <v>7349</v>
      </c>
      <c r="AE410" s="5">
        <f t="shared" si="525"/>
        <v>4902</v>
      </c>
      <c r="AF410" s="5">
        <f t="shared" si="525"/>
        <v>5178</v>
      </c>
      <c r="AG410" s="5">
        <f t="shared" si="525"/>
        <v>7846</v>
      </c>
      <c r="AH410" s="33">
        <f t="shared" si="525"/>
        <v>11219</v>
      </c>
      <c r="AI410" s="5">
        <f t="shared" ref="AI410:BF410" si="526">AI406-SUM(AI407:AI409)</f>
        <v>9497</v>
      </c>
      <c r="AJ410" s="5">
        <f t="shared" si="526"/>
        <v>10394</v>
      </c>
      <c r="AK410" s="5">
        <f t="shared" si="526"/>
        <v>9194</v>
      </c>
      <c r="AL410" s="33">
        <f t="shared" si="526"/>
        <v>10286</v>
      </c>
      <c r="AM410" s="5">
        <f t="shared" si="526"/>
        <v>7465</v>
      </c>
      <c r="AN410" s="5">
        <f t="shared" si="526"/>
        <v>6687</v>
      </c>
      <c r="AO410" s="5">
        <f t="shared" si="526"/>
        <v>4395</v>
      </c>
      <c r="AP410" s="33">
        <f t="shared" si="526"/>
        <v>4652</v>
      </c>
      <c r="AQ410" s="5">
        <f t="shared" si="526"/>
        <v>5709</v>
      </c>
      <c r="AR410" s="5">
        <f t="shared" si="526"/>
        <v>7788</v>
      </c>
      <c r="AS410" s="5">
        <f t="shared" si="526"/>
        <v>11583</v>
      </c>
      <c r="AT410" s="33">
        <f t="shared" si="526"/>
        <v>14017</v>
      </c>
      <c r="AU410" s="5">
        <f t="shared" si="526"/>
        <v>12369</v>
      </c>
      <c r="AV410" s="5">
        <f t="shared" si="526"/>
        <v>13465</v>
      </c>
      <c r="AW410" s="5">
        <f t="shared" si="526"/>
        <v>15688</v>
      </c>
      <c r="AX410" s="33">
        <f t="shared" si="526"/>
        <v>20838</v>
      </c>
      <c r="AY410" s="409">
        <f t="shared" si="526"/>
        <v>16644</v>
      </c>
      <c r="AZ410" s="33">
        <f t="shared" si="526"/>
        <v>18234.971802922475</v>
      </c>
      <c r="BA410" s="33">
        <f t="shared" ca="1" si="526"/>
        <v>20232.044224739246</v>
      </c>
      <c r="BB410" s="33">
        <f t="shared" ca="1" si="526"/>
        <v>22652.906263751302</v>
      </c>
      <c r="BC410" s="33">
        <f t="shared" ca="1" si="526"/>
        <v>25130.728736840083</v>
      </c>
      <c r="BD410" s="33">
        <f t="shared" ca="1" si="526"/>
        <v>22170.063712214349</v>
      </c>
      <c r="BE410" s="33">
        <f t="shared" ca="1" si="526"/>
        <v>23869.583868061698</v>
      </c>
      <c r="BF410" s="33">
        <f t="shared" ca="1" si="526"/>
        <v>25876.93917073217</v>
      </c>
      <c r="BG410" s="33"/>
      <c r="BH410" s="834">
        <f t="shared" ref="BH410:CB410" si="527">BH406-SUM(BH407:BH409)</f>
        <v>122</v>
      </c>
      <c r="BI410" s="834">
        <f t="shared" si="527"/>
        <v>372</v>
      </c>
      <c r="BJ410" s="834">
        <f t="shared" si="527"/>
        <v>668</v>
      </c>
      <c r="BK410" s="834">
        <f t="shared" si="527"/>
        <v>32</v>
      </c>
      <c r="BL410" s="834">
        <f t="shared" si="527"/>
        <v>1491</v>
      </c>
      <c r="BM410" s="834">
        <f t="shared" si="527"/>
        <v>2925</v>
      </c>
      <c r="BN410" s="834">
        <f t="shared" si="527"/>
        <v>3669</v>
      </c>
      <c r="BO410" s="834">
        <f t="shared" si="527"/>
        <v>10188</v>
      </c>
      <c r="BP410" s="833">
        <f t="shared" si="527"/>
        <v>15920</v>
      </c>
      <c r="BQ410" s="833">
        <f t="shared" si="527"/>
        <v>22111</v>
      </c>
      <c r="BR410" s="833">
        <f t="shared" si="527"/>
        <v>18485</v>
      </c>
      <c r="BS410" s="833">
        <f t="shared" si="527"/>
        <v>29146</v>
      </c>
      <c r="BT410" s="833">
        <f t="shared" si="527"/>
        <v>39370</v>
      </c>
      <c r="BU410" s="833">
        <f t="shared" si="527"/>
        <v>23200</v>
      </c>
      <c r="BV410" s="833">
        <f t="shared" si="527"/>
        <v>39098</v>
      </c>
      <c r="BW410" s="835">
        <f t="shared" si="527"/>
        <v>62360</v>
      </c>
      <c r="BX410" s="833">
        <f t="shared" ca="1" si="527"/>
        <v>77763.922291413022</v>
      </c>
      <c r="BY410" s="833">
        <f t="shared" ca="1" si="527"/>
        <v>97047.315487848275</v>
      </c>
      <c r="BZ410" s="833">
        <f t="shared" ca="1" si="527"/>
        <v>110427.24601815702</v>
      </c>
      <c r="CA410" s="833">
        <f t="shared" ca="1" si="527"/>
        <v>115223.62990630144</v>
      </c>
      <c r="CB410" s="833">
        <f t="shared" ca="1" si="527"/>
        <v>131378.54683628524</v>
      </c>
      <c r="CC410" s="6"/>
    </row>
    <row r="411" spans="1:81" x14ac:dyDescent="0.55000000000000004">
      <c r="A411" s="170" t="s">
        <v>89</v>
      </c>
      <c r="B411" s="245"/>
      <c r="C411" s="166">
        <f t="shared" ref="C411:Z411" si="528">-C370+C410</f>
        <v>-2</v>
      </c>
      <c r="D411" s="166">
        <f t="shared" si="528"/>
        <v>-2</v>
      </c>
      <c r="E411" s="166">
        <f t="shared" si="528"/>
        <v>-3</v>
      </c>
      <c r="F411" s="166">
        <f t="shared" si="528"/>
        <v>-3</v>
      </c>
      <c r="G411" s="166">
        <f t="shared" si="528"/>
        <v>-3</v>
      </c>
      <c r="H411" s="166">
        <f t="shared" si="528"/>
        <v>-3</v>
      </c>
      <c r="I411" s="166">
        <f t="shared" si="528"/>
        <v>-4</v>
      </c>
      <c r="J411" s="166">
        <f t="shared" si="528"/>
        <v>-5</v>
      </c>
      <c r="K411" s="166">
        <f t="shared" si="528"/>
        <v>-3</v>
      </c>
      <c r="L411" s="166">
        <f t="shared" si="528"/>
        <v>-4</v>
      </c>
      <c r="M411" s="166">
        <f t="shared" si="528"/>
        <v>-5</v>
      </c>
      <c r="N411" s="166">
        <f t="shared" si="528"/>
        <v>-6</v>
      </c>
      <c r="O411" s="166">
        <f t="shared" si="528"/>
        <v>-6</v>
      </c>
      <c r="P411" s="166">
        <f t="shared" si="528"/>
        <v>-7</v>
      </c>
      <c r="Q411" s="166">
        <f t="shared" si="528"/>
        <v>-7</v>
      </c>
      <c r="R411" s="166">
        <f t="shared" si="528"/>
        <v>-8</v>
      </c>
      <c r="S411" s="166">
        <f t="shared" si="528"/>
        <v>-5</v>
      </c>
      <c r="T411" s="166">
        <f t="shared" si="528"/>
        <v>-4</v>
      </c>
      <c r="U411" s="166">
        <f t="shared" si="528"/>
        <v>-3</v>
      </c>
      <c r="V411" s="166">
        <f t="shared" si="528"/>
        <v>-4</v>
      </c>
      <c r="W411" s="166">
        <f t="shared" si="528"/>
        <v>-1</v>
      </c>
      <c r="X411" s="166">
        <f t="shared" si="528"/>
        <v>0</v>
      </c>
      <c r="Y411" s="166">
        <f t="shared" si="528"/>
        <v>0</v>
      </c>
      <c r="Z411" s="166">
        <f t="shared" si="528"/>
        <v>0</v>
      </c>
      <c r="AA411" s="171"/>
      <c r="AB411" s="166">
        <f>-AB370+AB410</f>
        <v>0</v>
      </c>
      <c r="AC411" s="166">
        <f>-AC370+AC410</f>
        <v>0</v>
      </c>
      <c r="AD411" s="166">
        <f>-AD370+AD410</f>
        <v>0</v>
      </c>
      <c r="AE411" s="171"/>
      <c r="AF411" s="171"/>
      <c r="AG411" s="171"/>
      <c r="AH411" s="171"/>
      <c r="AI411" s="171"/>
      <c r="AJ411" s="171"/>
      <c r="AK411" s="171"/>
      <c r="AL411" s="171"/>
      <c r="AM411" s="171"/>
      <c r="AN411" s="171"/>
      <c r="AO411" s="171"/>
      <c r="AP411" s="171"/>
      <c r="AQ411" s="171"/>
      <c r="AR411" s="171"/>
      <c r="AS411" s="171"/>
      <c r="AT411" s="171"/>
      <c r="AU411" s="171"/>
      <c r="AV411" s="171"/>
      <c r="AW411" s="171"/>
      <c r="AX411" s="171"/>
      <c r="AY411" s="644"/>
      <c r="AZ411" s="171">
        <f t="shared" ref="AZ411:BF411" si="529">-AZ409</f>
        <v>0</v>
      </c>
      <c r="BA411" s="171">
        <f t="shared" si="529"/>
        <v>0</v>
      </c>
      <c r="BB411" s="171">
        <f t="shared" si="529"/>
        <v>0</v>
      </c>
      <c r="BC411" s="171">
        <f t="shared" si="529"/>
        <v>0</v>
      </c>
      <c r="BD411" s="171">
        <f t="shared" si="529"/>
        <v>0</v>
      </c>
      <c r="BE411" s="171">
        <f t="shared" si="529"/>
        <v>0</v>
      </c>
      <c r="BF411" s="171">
        <f t="shared" si="529"/>
        <v>0</v>
      </c>
      <c r="BG411" s="171"/>
      <c r="BH411" s="917">
        <f>-BH409</f>
        <v>-107</v>
      </c>
      <c r="BI411" s="917">
        <f t="shared" ref="BI411:BR411" si="530">-BI370+BI410</f>
        <v>-30</v>
      </c>
      <c r="BJ411" s="917">
        <f t="shared" si="530"/>
        <v>-31</v>
      </c>
      <c r="BK411" s="917">
        <f t="shared" si="530"/>
        <v>0</v>
      </c>
      <c r="BL411" s="917">
        <f t="shared" si="530"/>
        <v>-9</v>
      </c>
      <c r="BM411" s="917">
        <f t="shared" si="530"/>
        <v>-15</v>
      </c>
      <c r="BN411" s="917">
        <f t="shared" si="530"/>
        <v>-19</v>
      </c>
      <c r="BO411" s="917">
        <f t="shared" si="530"/>
        <v>-29</v>
      </c>
      <c r="BP411" s="917">
        <f t="shared" si="530"/>
        <v>-14</v>
      </c>
      <c r="BQ411" s="917">
        <f t="shared" si="530"/>
        <v>-1</v>
      </c>
      <c r="BR411" s="917">
        <f t="shared" si="530"/>
        <v>0</v>
      </c>
      <c r="BS411" s="918"/>
      <c r="BT411" s="918"/>
      <c r="BU411" s="918"/>
      <c r="BV411" s="918"/>
      <c r="BW411" s="919"/>
      <c r="BX411" s="918">
        <f>SUM(AY411,AZ411,BA411,BB411)</f>
        <v>0</v>
      </c>
      <c r="BY411" s="918">
        <f>SUM(BC411,BD411,BE411,BF411)</f>
        <v>0</v>
      </c>
      <c r="BZ411" s="918">
        <f>-BZ409</f>
        <v>0</v>
      </c>
      <c r="CA411" s="918">
        <f>-CA409</f>
        <v>0</v>
      </c>
      <c r="CB411" s="918">
        <f>-CB409</f>
        <v>0</v>
      </c>
      <c r="CC411" s="117"/>
    </row>
    <row r="412" spans="1:81" x14ac:dyDescent="0.55000000000000004">
      <c r="A412" s="20" t="s">
        <v>90</v>
      </c>
      <c r="B412" s="195"/>
      <c r="C412" s="5">
        <f t="shared" ref="C412:AH412" si="531">C410-C411</f>
        <v>219</v>
      </c>
      <c r="D412" s="5">
        <f t="shared" si="531"/>
        <v>333</v>
      </c>
      <c r="E412" s="5">
        <f t="shared" si="531"/>
        <v>425</v>
      </c>
      <c r="F412" s="5">
        <f t="shared" si="531"/>
        <v>523</v>
      </c>
      <c r="G412" s="5">
        <f t="shared" si="531"/>
        <v>642</v>
      </c>
      <c r="H412" s="5">
        <f t="shared" si="531"/>
        <v>791</v>
      </c>
      <c r="I412" s="5">
        <f t="shared" si="531"/>
        <v>806</v>
      </c>
      <c r="J412" s="5">
        <f t="shared" si="531"/>
        <v>701</v>
      </c>
      <c r="K412" s="5">
        <f t="shared" si="531"/>
        <v>512</v>
      </c>
      <c r="L412" s="5">
        <f t="shared" si="531"/>
        <v>719</v>
      </c>
      <c r="M412" s="5">
        <f t="shared" si="531"/>
        <v>896</v>
      </c>
      <c r="N412" s="5">
        <f t="shared" si="531"/>
        <v>1561</v>
      </c>
      <c r="O412" s="5">
        <f t="shared" si="531"/>
        <v>1738</v>
      </c>
      <c r="P412" s="5">
        <f t="shared" si="531"/>
        <v>2283</v>
      </c>
      <c r="Q412" s="5">
        <f t="shared" si="531"/>
        <v>2627</v>
      </c>
      <c r="R412" s="5">
        <f t="shared" si="531"/>
        <v>3569</v>
      </c>
      <c r="S412" s="5">
        <f t="shared" si="531"/>
        <v>3064</v>
      </c>
      <c r="T412" s="5">
        <f t="shared" si="531"/>
        <v>3894</v>
      </c>
      <c r="U412" s="5">
        <f t="shared" si="531"/>
        <v>4707</v>
      </c>
      <c r="V412" s="5">
        <f t="shared" si="531"/>
        <v>4269</v>
      </c>
      <c r="W412" s="5">
        <f t="shared" si="531"/>
        <v>4988</v>
      </c>
      <c r="X412" s="5">
        <f t="shared" si="531"/>
        <v>5106</v>
      </c>
      <c r="Y412" s="5">
        <f t="shared" si="531"/>
        <v>5137</v>
      </c>
      <c r="Z412" s="5">
        <f t="shared" si="531"/>
        <v>6881</v>
      </c>
      <c r="AA412" s="5">
        <f t="shared" si="531"/>
        <v>2429</v>
      </c>
      <c r="AB412" s="5">
        <f t="shared" si="531"/>
        <v>2616</v>
      </c>
      <c r="AC412" s="5">
        <f t="shared" si="531"/>
        <v>6091</v>
      </c>
      <c r="AD412" s="5">
        <f t="shared" si="531"/>
        <v>7349</v>
      </c>
      <c r="AE412" s="5">
        <f t="shared" si="531"/>
        <v>4902</v>
      </c>
      <c r="AF412" s="5">
        <f t="shared" si="531"/>
        <v>5178</v>
      </c>
      <c r="AG412" s="5">
        <f t="shared" si="531"/>
        <v>7846</v>
      </c>
      <c r="AH412" s="5">
        <f t="shared" si="531"/>
        <v>11219</v>
      </c>
      <c r="AI412" s="5">
        <f t="shared" ref="AI412:BF412" si="532">AI410-AI411</f>
        <v>9497</v>
      </c>
      <c r="AJ412" s="5">
        <f t="shared" si="532"/>
        <v>10394</v>
      </c>
      <c r="AK412" s="5">
        <f t="shared" si="532"/>
        <v>9194</v>
      </c>
      <c r="AL412" s="5">
        <f t="shared" si="532"/>
        <v>10286</v>
      </c>
      <c r="AM412" s="5">
        <f t="shared" si="532"/>
        <v>7465</v>
      </c>
      <c r="AN412" s="5">
        <f t="shared" si="532"/>
        <v>6687</v>
      </c>
      <c r="AO412" s="5">
        <f t="shared" si="532"/>
        <v>4395</v>
      </c>
      <c r="AP412" s="5">
        <f t="shared" si="532"/>
        <v>4652</v>
      </c>
      <c r="AQ412" s="5">
        <f t="shared" si="532"/>
        <v>5709</v>
      </c>
      <c r="AR412" s="5">
        <f t="shared" si="532"/>
        <v>7788</v>
      </c>
      <c r="AS412" s="5">
        <f t="shared" si="532"/>
        <v>11583</v>
      </c>
      <c r="AT412" s="5">
        <f t="shared" si="532"/>
        <v>14017</v>
      </c>
      <c r="AU412" s="5">
        <f t="shared" si="532"/>
        <v>12369</v>
      </c>
      <c r="AV412" s="5">
        <f t="shared" si="532"/>
        <v>13465</v>
      </c>
      <c r="AW412" s="5">
        <f t="shared" si="532"/>
        <v>15688</v>
      </c>
      <c r="AX412" s="5">
        <f t="shared" si="532"/>
        <v>20838</v>
      </c>
      <c r="AY412" s="409">
        <f t="shared" si="532"/>
        <v>16644</v>
      </c>
      <c r="AZ412" s="33">
        <f t="shared" si="532"/>
        <v>18234.971802922475</v>
      </c>
      <c r="BA412" s="33">
        <f t="shared" ca="1" si="532"/>
        <v>20232.044224739246</v>
      </c>
      <c r="BB412" s="33">
        <f t="shared" ca="1" si="532"/>
        <v>22652.906263751302</v>
      </c>
      <c r="BC412" s="33">
        <f t="shared" ca="1" si="532"/>
        <v>25130.728736840083</v>
      </c>
      <c r="BD412" s="33">
        <f t="shared" ca="1" si="532"/>
        <v>22170.063712214349</v>
      </c>
      <c r="BE412" s="33">
        <f t="shared" ca="1" si="532"/>
        <v>23869.583868061698</v>
      </c>
      <c r="BF412" s="33">
        <f t="shared" ca="1" si="532"/>
        <v>25876.93917073217</v>
      </c>
      <c r="BG412" s="33"/>
      <c r="BH412" s="834">
        <f t="shared" ref="BH412:CB412" si="533">BH410-BH411</f>
        <v>229</v>
      </c>
      <c r="BI412" s="834">
        <f t="shared" si="533"/>
        <v>402</v>
      </c>
      <c r="BJ412" s="834">
        <f t="shared" si="533"/>
        <v>699</v>
      </c>
      <c r="BK412" s="834">
        <f t="shared" si="533"/>
        <v>32</v>
      </c>
      <c r="BL412" s="834">
        <f t="shared" si="533"/>
        <v>1500</v>
      </c>
      <c r="BM412" s="834">
        <f t="shared" si="533"/>
        <v>2940</v>
      </c>
      <c r="BN412" s="834">
        <f t="shared" si="533"/>
        <v>3688</v>
      </c>
      <c r="BO412" s="834">
        <f t="shared" si="533"/>
        <v>10217</v>
      </c>
      <c r="BP412" s="834">
        <f t="shared" si="533"/>
        <v>15934</v>
      </c>
      <c r="BQ412" s="834">
        <f t="shared" si="533"/>
        <v>22112</v>
      </c>
      <c r="BR412" s="834">
        <f t="shared" si="533"/>
        <v>18485</v>
      </c>
      <c r="BS412" s="834">
        <f t="shared" si="533"/>
        <v>29146</v>
      </c>
      <c r="BT412" s="834">
        <f t="shared" si="533"/>
        <v>39370</v>
      </c>
      <c r="BU412" s="834">
        <f t="shared" si="533"/>
        <v>23200</v>
      </c>
      <c r="BV412" s="834">
        <f t="shared" si="533"/>
        <v>39098</v>
      </c>
      <c r="BW412" s="914">
        <f t="shared" si="533"/>
        <v>62360</v>
      </c>
      <c r="BX412" s="833">
        <f t="shared" ca="1" si="533"/>
        <v>77763.922291413022</v>
      </c>
      <c r="BY412" s="833">
        <f t="shared" ca="1" si="533"/>
        <v>97047.315487848275</v>
      </c>
      <c r="BZ412" s="833">
        <f t="shared" ca="1" si="533"/>
        <v>110427.24601815702</v>
      </c>
      <c r="CA412" s="833">
        <f t="shared" ca="1" si="533"/>
        <v>115223.62990630144</v>
      </c>
      <c r="CB412" s="833">
        <f t="shared" ca="1" si="533"/>
        <v>131378.54683628524</v>
      </c>
      <c r="CC412" s="6"/>
    </row>
    <row r="413" spans="1:81" x14ac:dyDescent="0.55000000000000004">
      <c r="A413" s="172" t="s">
        <v>91</v>
      </c>
      <c r="B413" s="246"/>
      <c r="C413" s="165">
        <f t="shared" ref="C413:N413" si="534">-SUM(C361:C364)-C409</f>
        <v>-95</v>
      </c>
      <c r="D413" s="165">
        <f t="shared" si="534"/>
        <v>-157</v>
      </c>
      <c r="E413" s="165">
        <f t="shared" si="534"/>
        <v>-244</v>
      </c>
      <c r="F413" s="165">
        <f t="shared" si="534"/>
        <v>-294</v>
      </c>
      <c r="G413" s="165">
        <f t="shared" si="534"/>
        <v>-287</v>
      </c>
      <c r="H413" s="165">
        <f t="shared" si="534"/>
        <v>-334</v>
      </c>
      <c r="I413" s="165">
        <f t="shared" si="534"/>
        <v>-347</v>
      </c>
      <c r="J413" s="165">
        <f t="shared" si="534"/>
        <v>-822</v>
      </c>
      <c r="K413" s="165">
        <f t="shared" si="534"/>
        <v>-680</v>
      </c>
      <c r="L413" s="165">
        <f t="shared" si="534"/>
        <v>-722</v>
      </c>
      <c r="M413" s="165">
        <f t="shared" si="534"/>
        <v>-737</v>
      </c>
      <c r="N413" s="165">
        <f t="shared" si="534"/>
        <v>-710</v>
      </c>
      <c r="O413" s="173"/>
      <c r="P413" s="173"/>
      <c r="Q413" s="173"/>
      <c r="R413" s="173"/>
      <c r="S413" s="173"/>
      <c r="T413" s="173"/>
      <c r="U413" s="173"/>
      <c r="V413" s="173"/>
      <c r="W413" s="173"/>
      <c r="X413" s="173"/>
      <c r="Y413" s="173"/>
      <c r="Z413" s="173"/>
      <c r="AA413" s="173"/>
      <c r="AB413" s="173"/>
      <c r="AC413" s="173"/>
      <c r="AD413" s="173"/>
      <c r="AE413" s="173"/>
      <c r="AF413" s="173"/>
      <c r="AG413" s="173"/>
      <c r="AH413" s="173"/>
      <c r="AI413" s="173"/>
      <c r="AJ413" s="173"/>
      <c r="AK413" s="173"/>
      <c r="AL413" s="173"/>
      <c r="AM413" s="173"/>
      <c r="AN413" s="173"/>
      <c r="AO413" s="173"/>
      <c r="AP413" s="173"/>
      <c r="AQ413" s="173"/>
      <c r="AR413" s="173"/>
      <c r="AS413" s="173"/>
      <c r="AT413" s="173"/>
      <c r="AU413" s="173"/>
      <c r="AV413" s="173"/>
      <c r="AW413" s="173"/>
      <c r="AX413" s="173"/>
      <c r="AY413" s="635"/>
      <c r="AZ413" s="173"/>
      <c r="BA413" s="173"/>
      <c r="BB413" s="173"/>
      <c r="BC413" s="173"/>
      <c r="BD413" s="173"/>
      <c r="BE413" s="173"/>
      <c r="BF413" s="173"/>
      <c r="BG413" s="173"/>
      <c r="BH413" s="920">
        <f>-BH409</f>
        <v>-107</v>
      </c>
      <c r="BI413" s="920">
        <f>-BI409</f>
        <v>-234</v>
      </c>
      <c r="BJ413" s="920">
        <f>-SUM(BJ361:BJ364)-BJ409</f>
        <v>-496</v>
      </c>
      <c r="BK413" s="920">
        <f>-SUM(BK361:BK364)-BK409</f>
        <v>-1285</v>
      </c>
      <c r="BL413" s="920">
        <f>-SUM(BL361:BL364)-BL409</f>
        <v>-843</v>
      </c>
      <c r="BM413" s="920">
        <f>-SUM(BM361:BM364)-BM409</f>
        <v>-1788</v>
      </c>
      <c r="BN413" s="920">
        <f>-SUM(BN361:BN364)-BN409</f>
        <v>-2849</v>
      </c>
      <c r="BO413" s="878"/>
      <c r="BP413" s="878"/>
      <c r="BQ413" s="878"/>
      <c r="BR413" s="878"/>
      <c r="BS413" s="878"/>
      <c r="BT413" s="878"/>
      <c r="BU413" s="878"/>
      <c r="BV413" s="878"/>
      <c r="BW413" s="921"/>
      <c r="BX413" s="878">
        <f>SUM(AY413,AZ413,BA413,BB413)</f>
        <v>0</v>
      </c>
      <c r="BY413" s="878">
        <f>SUM(BC413,BD413,BE413,BF413)</f>
        <v>0</v>
      </c>
      <c r="BZ413" s="878"/>
      <c r="CA413" s="878"/>
      <c r="CB413" s="878"/>
      <c r="CC413" s="117"/>
    </row>
    <row r="414" spans="1:81" x14ac:dyDescent="0.55000000000000004">
      <c r="A414" s="18" t="s">
        <v>92</v>
      </c>
      <c r="B414" s="244"/>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406"/>
      <c r="AZ414" s="82"/>
      <c r="BA414" s="82"/>
      <c r="BB414" s="82"/>
      <c r="BC414" s="82"/>
      <c r="BD414" s="82"/>
      <c r="BE414" s="82"/>
      <c r="BF414" s="82"/>
      <c r="BG414" s="82"/>
      <c r="BH414" s="854"/>
      <c r="BI414" s="854"/>
      <c r="BJ414" s="854"/>
      <c r="BK414" s="854"/>
      <c r="BL414" s="854"/>
      <c r="BM414" s="854"/>
      <c r="BN414" s="854"/>
      <c r="BO414" s="854"/>
      <c r="BP414" s="854"/>
      <c r="BQ414" s="854"/>
      <c r="BR414" s="854"/>
      <c r="BS414" s="854"/>
      <c r="BT414" s="854"/>
      <c r="BU414" s="854"/>
      <c r="BV414" s="854"/>
      <c r="BW414" s="855"/>
      <c r="BX414" s="854">
        <f>SUM(AY414,AZ414,BA414,BB414)</f>
        <v>0</v>
      </c>
      <c r="BY414" s="854">
        <f>SUM(BC414,BD414,BE414,BF414)</f>
        <v>0</v>
      </c>
      <c r="BZ414" s="854"/>
      <c r="CA414" s="854"/>
      <c r="CB414" s="854"/>
      <c r="CC414" s="117"/>
    </row>
    <row r="415" spans="1:81" x14ac:dyDescent="0.55000000000000004">
      <c r="A415" s="20" t="s">
        <v>93</v>
      </c>
      <c r="B415" s="195"/>
      <c r="C415" s="5">
        <f t="shared" ref="C415:N415" si="535">C410-SUM(C413:C414)</f>
        <v>312</v>
      </c>
      <c r="D415" s="5">
        <f t="shared" si="535"/>
        <v>488</v>
      </c>
      <c r="E415" s="5">
        <f t="shared" si="535"/>
        <v>666</v>
      </c>
      <c r="F415" s="5">
        <f t="shared" si="535"/>
        <v>814</v>
      </c>
      <c r="G415" s="5">
        <f t="shared" si="535"/>
        <v>926</v>
      </c>
      <c r="H415" s="5">
        <f t="shared" si="535"/>
        <v>1122</v>
      </c>
      <c r="I415" s="5">
        <f t="shared" si="535"/>
        <v>1149</v>
      </c>
      <c r="J415" s="5">
        <f t="shared" si="535"/>
        <v>1518</v>
      </c>
      <c r="K415" s="5">
        <f t="shared" si="535"/>
        <v>1189</v>
      </c>
      <c r="L415" s="5">
        <f t="shared" si="535"/>
        <v>1437</v>
      </c>
      <c r="M415" s="5">
        <f t="shared" si="535"/>
        <v>1628</v>
      </c>
      <c r="N415" s="5">
        <f t="shared" si="535"/>
        <v>2265</v>
      </c>
      <c r="O415" s="5">
        <f t="shared" ref="O415:BF415" si="536">+O412-SUM(O413:O414)</f>
        <v>1738</v>
      </c>
      <c r="P415" s="5">
        <f t="shared" si="536"/>
        <v>2283</v>
      </c>
      <c r="Q415" s="5">
        <f t="shared" si="536"/>
        <v>2627</v>
      </c>
      <c r="R415" s="5">
        <f t="shared" si="536"/>
        <v>3569</v>
      </c>
      <c r="S415" s="5">
        <f t="shared" si="536"/>
        <v>3064</v>
      </c>
      <c r="T415" s="5">
        <f t="shared" si="536"/>
        <v>3894</v>
      </c>
      <c r="U415" s="5">
        <f t="shared" si="536"/>
        <v>4707</v>
      </c>
      <c r="V415" s="5">
        <f t="shared" si="536"/>
        <v>4269</v>
      </c>
      <c r="W415" s="5">
        <f t="shared" si="536"/>
        <v>4988</v>
      </c>
      <c r="X415" s="5">
        <f t="shared" si="536"/>
        <v>5106</v>
      </c>
      <c r="Y415" s="5">
        <f t="shared" si="536"/>
        <v>5137</v>
      </c>
      <c r="Z415" s="5">
        <f t="shared" si="536"/>
        <v>6881</v>
      </c>
      <c r="AA415" s="5">
        <f t="shared" si="536"/>
        <v>2429</v>
      </c>
      <c r="AB415" s="5">
        <f t="shared" si="536"/>
        <v>2616</v>
      </c>
      <c r="AC415" s="5">
        <f t="shared" si="536"/>
        <v>6091</v>
      </c>
      <c r="AD415" s="5">
        <f t="shared" si="536"/>
        <v>7349</v>
      </c>
      <c r="AE415" s="5">
        <f t="shared" si="536"/>
        <v>4902</v>
      </c>
      <c r="AF415" s="5">
        <f t="shared" si="536"/>
        <v>5178</v>
      </c>
      <c r="AG415" s="5">
        <f t="shared" si="536"/>
        <v>7846</v>
      </c>
      <c r="AH415" s="5">
        <f t="shared" si="536"/>
        <v>11219</v>
      </c>
      <c r="AI415" s="5">
        <f t="shared" si="536"/>
        <v>9497</v>
      </c>
      <c r="AJ415" s="5">
        <f t="shared" si="536"/>
        <v>10394</v>
      </c>
      <c r="AK415" s="5">
        <f t="shared" si="536"/>
        <v>9194</v>
      </c>
      <c r="AL415" s="5">
        <f t="shared" si="536"/>
        <v>10286</v>
      </c>
      <c r="AM415" s="5">
        <f t="shared" si="536"/>
        <v>7465</v>
      </c>
      <c r="AN415" s="5">
        <f t="shared" si="536"/>
        <v>6687</v>
      </c>
      <c r="AO415" s="5">
        <f t="shared" si="536"/>
        <v>4395</v>
      </c>
      <c r="AP415" s="5">
        <f t="shared" si="536"/>
        <v>4652</v>
      </c>
      <c r="AQ415" s="5">
        <f t="shared" si="536"/>
        <v>5709</v>
      </c>
      <c r="AR415" s="5">
        <f t="shared" si="536"/>
        <v>7788</v>
      </c>
      <c r="AS415" s="5">
        <f t="shared" si="536"/>
        <v>11583</v>
      </c>
      <c r="AT415" s="5">
        <f t="shared" si="536"/>
        <v>14017</v>
      </c>
      <c r="AU415" s="5">
        <f t="shared" si="536"/>
        <v>12369</v>
      </c>
      <c r="AV415" s="5">
        <f t="shared" si="536"/>
        <v>13465</v>
      </c>
      <c r="AW415" s="5">
        <f t="shared" si="536"/>
        <v>15688</v>
      </c>
      <c r="AX415" s="5">
        <f t="shared" si="536"/>
        <v>20838</v>
      </c>
      <c r="AY415" s="409">
        <f t="shared" si="536"/>
        <v>16644</v>
      </c>
      <c r="AZ415" s="33">
        <f t="shared" si="536"/>
        <v>18234.971802922475</v>
      </c>
      <c r="BA415" s="33">
        <f t="shared" ca="1" si="536"/>
        <v>20232.044224739246</v>
      </c>
      <c r="BB415" s="33">
        <f t="shared" ca="1" si="536"/>
        <v>22652.906263751302</v>
      </c>
      <c r="BC415" s="33">
        <f t="shared" ca="1" si="536"/>
        <v>25130.728736840083</v>
      </c>
      <c r="BD415" s="33">
        <f t="shared" ca="1" si="536"/>
        <v>22170.063712214349</v>
      </c>
      <c r="BE415" s="33">
        <f t="shared" ca="1" si="536"/>
        <v>23869.583868061698</v>
      </c>
      <c r="BF415" s="33">
        <f t="shared" ca="1" si="536"/>
        <v>25876.93917073217</v>
      </c>
      <c r="BG415" s="33"/>
      <c r="BH415" s="834">
        <f t="shared" ref="BH415:BN415" si="537">BH410-SUM(BH413:BH414)</f>
        <v>229</v>
      </c>
      <c r="BI415" s="834">
        <f t="shared" si="537"/>
        <v>606</v>
      </c>
      <c r="BJ415" s="834">
        <f t="shared" si="537"/>
        <v>1164</v>
      </c>
      <c r="BK415" s="834">
        <f t="shared" si="537"/>
        <v>1317</v>
      </c>
      <c r="BL415" s="834">
        <f t="shared" si="537"/>
        <v>2334</v>
      </c>
      <c r="BM415" s="834">
        <f t="shared" si="537"/>
        <v>4713</v>
      </c>
      <c r="BN415" s="834">
        <f t="shared" si="537"/>
        <v>6518</v>
      </c>
      <c r="BO415" s="834">
        <f t="shared" ref="BO415:CB415" si="538">+BO412-SUM(BO413:BO414)</f>
        <v>10217</v>
      </c>
      <c r="BP415" s="834">
        <f t="shared" si="538"/>
        <v>15934</v>
      </c>
      <c r="BQ415" s="834">
        <f t="shared" si="538"/>
        <v>22112</v>
      </c>
      <c r="BR415" s="834">
        <f t="shared" si="538"/>
        <v>18485</v>
      </c>
      <c r="BS415" s="834">
        <f t="shared" si="538"/>
        <v>29146</v>
      </c>
      <c r="BT415" s="834">
        <f t="shared" si="538"/>
        <v>39370</v>
      </c>
      <c r="BU415" s="834">
        <f t="shared" si="538"/>
        <v>23200</v>
      </c>
      <c r="BV415" s="834">
        <f t="shared" si="538"/>
        <v>39098</v>
      </c>
      <c r="BW415" s="914">
        <f t="shared" si="538"/>
        <v>62360</v>
      </c>
      <c r="BX415" s="833">
        <f t="shared" ca="1" si="538"/>
        <v>77763.922291413022</v>
      </c>
      <c r="BY415" s="833">
        <f t="shared" ca="1" si="538"/>
        <v>97047.315487848275</v>
      </c>
      <c r="BZ415" s="833">
        <f t="shared" ca="1" si="538"/>
        <v>110427.24601815702</v>
      </c>
      <c r="CA415" s="833">
        <f t="shared" ca="1" si="538"/>
        <v>115223.62990630144</v>
      </c>
      <c r="CB415" s="833">
        <f t="shared" ca="1" si="538"/>
        <v>131378.54683628524</v>
      </c>
      <c r="CC415" s="6"/>
    </row>
    <row r="416" spans="1:81" x14ac:dyDescent="0.55000000000000004">
      <c r="A416" s="247"/>
      <c r="B416" s="248"/>
      <c r="C416" s="611"/>
      <c r="D416" s="611"/>
      <c r="E416" s="611"/>
      <c r="F416" s="611"/>
      <c r="G416" s="611"/>
      <c r="H416" s="611"/>
      <c r="I416" s="611"/>
      <c r="J416" s="611"/>
      <c r="K416" s="611"/>
      <c r="L416" s="611"/>
      <c r="M416" s="611"/>
      <c r="N416" s="611"/>
      <c r="O416" s="611"/>
      <c r="P416" s="611"/>
      <c r="Q416" s="611"/>
      <c r="R416" s="611"/>
      <c r="S416" s="611"/>
      <c r="T416" s="611"/>
      <c r="U416" s="611"/>
      <c r="V416" s="611"/>
      <c r="W416" s="611"/>
      <c r="X416" s="611"/>
      <c r="Y416" s="611"/>
      <c r="Z416" s="611"/>
      <c r="AA416" s="611"/>
      <c r="AB416" s="611"/>
      <c r="AC416" s="611"/>
      <c r="AD416" s="611"/>
      <c r="AE416" s="611"/>
      <c r="AF416" s="611"/>
      <c r="AG416" s="611"/>
      <c r="AH416" s="611"/>
      <c r="AI416" s="611"/>
      <c r="AJ416" s="611"/>
      <c r="AK416" s="611"/>
      <c r="AL416" s="611"/>
      <c r="AM416" s="611"/>
      <c r="AN416" s="611"/>
      <c r="AO416" s="611"/>
      <c r="AP416" s="611"/>
      <c r="AQ416" s="611"/>
      <c r="AR416" s="611"/>
      <c r="AS416" s="611"/>
      <c r="AT416" s="611"/>
      <c r="AU416" s="611"/>
      <c r="AV416" s="611"/>
      <c r="AW416" s="611"/>
      <c r="AX416" s="611"/>
      <c r="AY416" s="645"/>
      <c r="AZ416" s="611"/>
      <c r="BA416" s="611"/>
      <c r="BB416" s="611"/>
      <c r="BC416" s="611"/>
      <c r="BD416" s="611"/>
      <c r="BE416" s="611"/>
      <c r="BF416" s="611"/>
      <c r="BG416" s="611"/>
      <c r="BH416" s="922"/>
      <c r="BI416" s="922"/>
      <c r="BJ416" s="922"/>
      <c r="BK416" s="922"/>
      <c r="BL416" s="922"/>
      <c r="BM416" s="922"/>
      <c r="BN416" s="922"/>
      <c r="BO416" s="922"/>
      <c r="BP416" s="922"/>
      <c r="BQ416" s="922"/>
      <c r="BR416" s="922"/>
      <c r="BS416" s="922"/>
      <c r="BT416" s="922"/>
      <c r="BU416" s="922"/>
      <c r="BV416" s="922"/>
      <c r="BW416" s="923"/>
      <c r="BX416" s="922"/>
      <c r="BY416" s="922"/>
      <c r="BZ416" s="922"/>
      <c r="CA416" s="922"/>
      <c r="CB416" s="922"/>
      <c r="CC416" s="218"/>
    </row>
    <row r="417" spans="1:81" x14ac:dyDescent="0.55000000000000004">
      <c r="A417" s="9" t="s">
        <v>94</v>
      </c>
      <c r="B417" s="249"/>
      <c r="C417" s="9">
        <f t="shared" ref="C417:AH417" si="539">C404/C402</f>
        <v>0.39943342776203966</v>
      </c>
      <c r="D417" s="9">
        <f t="shared" si="539"/>
        <v>0.34128440366972479</v>
      </c>
      <c r="E417" s="9">
        <f t="shared" si="539"/>
        <v>0.41184573002754821</v>
      </c>
      <c r="F417" s="9">
        <f t="shared" si="539"/>
        <v>0.58849557522123896</v>
      </c>
      <c r="G417" s="9">
        <f t="shared" si="539"/>
        <v>0.40372093023255812</v>
      </c>
      <c r="H417" s="9">
        <f t="shared" si="539"/>
        <v>0.45310245310245312</v>
      </c>
      <c r="I417" s="9">
        <f t="shared" si="539"/>
        <v>0.39371257485029942</v>
      </c>
      <c r="J417" s="9">
        <f t="shared" si="539"/>
        <v>0.53231597845601442</v>
      </c>
      <c r="K417" s="9">
        <f t="shared" si="539"/>
        <v>0.68991416309012876</v>
      </c>
      <c r="L417" s="9">
        <f t="shared" si="539"/>
        <v>0.4870384917517675</v>
      </c>
      <c r="M417" s="9">
        <f t="shared" si="539"/>
        <v>0.64175977653631289</v>
      </c>
      <c r="N417" s="9">
        <f t="shared" si="539"/>
        <v>0.43723113023073917</v>
      </c>
      <c r="O417" s="9">
        <f t="shared" si="539"/>
        <v>0.19603097773475314</v>
      </c>
      <c r="P417" s="9">
        <f t="shared" si="539"/>
        <v>0.20769789397240376</v>
      </c>
      <c r="Q417" s="9">
        <f t="shared" si="539"/>
        <v>0.17699115044247787</v>
      </c>
      <c r="R417" s="9">
        <f t="shared" si="539"/>
        <v>0.26935804103242883</v>
      </c>
      <c r="S417" s="9">
        <f t="shared" si="539"/>
        <v>0.12558685446009391</v>
      </c>
      <c r="T417" s="9">
        <f t="shared" si="539"/>
        <v>0.12655971479500891</v>
      </c>
      <c r="U417" s="9">
        <f t="shared" si="539"/>
        <v>0.11898395721925134</v>
      </c>
      <c r="V417" s="9">
        <f t="shared" si="539"/>
        <v>0.45824956440155473</v>
      </c>
      <c r="W417" s="9">
        <f t="shared" si="539"/>
        <v>0.11925133689839572</v>
      </c>
      <c r="X417" s="9">
        <f t="shared" si="539"/>
        <v>0.11264485344239945</v>
      </c>
      <c r="Y417" s="9">
        <f t="shared" si="539"/>
        <v>0.12618403247631935</v>
      </c>
      <c r="Z417" s="9">
        <f t="shared" si="539"/>
        <v>0.11127838414251662</v>
      </c>
      <c r="AA417" s="9">
        <f t="shared" si="539"/>
        <v>0.24985640436530729</v>
      </c>
      <c r="AB417" s="9">
        <f t="shared" si="539"/>
        <v>0.45840231788079472</v>
      </c>
      <c r="AC417" s="9">
        <f t="shared" si="539"/>
        <v>0.1451766953199618</v>
      </c>
      <c r="AD417" s="9">
        <f t="shared" si="539"/>
        <v>0.24157487185080162</v>
      </c>
      <c r="AE417" s="9">
        <f t="shared" si="539"/>
        <v>8.2238525848831262E-2</v>
      </c>
      <c r="AF417" s="9">
        <f t="shared" si="539"/>
        <v>0.12069809166530746</v>
      </c>
      <c r="AG417" s="9">
        <f t="shared" si="539"/>
        <v>0.22045985491208656</v>
      </c>
      <c r="AH417" s="9">
        <f t="shared" si="539"/>
        <v>0.16943699731903486</v>
      </c>
      <c r="AI417" s="9">
        <f t="shared" ref="AI417:AY417" si="540">AI404/AI402</f>
        <v>0.1380509432322003</v>
      </c>
      <c r="AJ417" s="9">
        <f t="shared" si="540"/>
        <v>0.15104291536801726</v>
      </c>
      <c r="AK417" s="9">
        <f t="shared" si="540"/>
        <v>0.20416469474680549</v>
      </c>
      <c r="AL417" s="9">
        <f t="shared" si="540"/>
        <v>0.13138628670392821</v>
      </c>
      <c r="AM417" s="9">
        <f t="shared" si="540"/>
        <v>0.22519083969465647</v>
      </c>
      <c r="AN417" s="9">
        <f t="shared" si="540"/>
        <v>0.23845590031761543</v>
      </c>
      <c r="AO417" s="9">
        <f t="shared" si="540"/>
        <v>0.40853658536585363</v>
      </c>
      <c r="AP417" s="9">
        <f t="shared" si="540"/>
        <v>0.43421694584485282</v>
      </c>
      <c r="AQ417" s="9">
        <f t="shared" si="540"/>
        <v>0.30354454632544137</v>
      </c>
      <c r="AR417" s="9">
        <f t="shared" si="540"/>
        <v>0.2843000107607877</v>
      </c>
      <c r="AS417" s="9">
        <f t="shared" si="540"/>
        <v>-4.3651925820256773E-2</v>
      </c>
      <c r="AT417" s="9">
        <f t="shared" si="540"/>
        <v>0.23512613041408853</v>
      </c>
      <c r="AU417" s="9">
        <f t="shared" si="540"/>
        <v>0.16005076500035254</v>
      </c>
      <c r="AV417" s="9">
        <f t="shared" si="540"/>
        <v>0.21733086190917517</v>
      </c>
      <c r="AW417" s="9">
        <f t="shared" si="540"/>
        <v>0.19313208394119627</v>
      </c>
      <c r="AX417" s="9">
        <f t="shared" si="540"/>
        <v>0.17182524519169531</v>
      </c>
      <c r="AY417" s="634">
        <f t="shared" si="540"/>
        <v>0.14856925252964856</v>
      </c>
      <c r="AZ417" s="773">
        <v>0.19500000000000001</v>
      </c>
      <c r="BA417" s="773">
        <v>0.19500000000000001</v>
      </c>
      <c r="BB417" s="773">
        <v>0.19500000000000001</v>
      </c>
      <c r="BC417" s="773">
        <v>0.15</v>
      </c>
      <c r="BD417" s="773">
        <v>0.15</v>
      </c>
      <c r="BE417" s="773">
        <v>0.15</v>
      </c>
      <c r="BF417" s="773">
        <v>0.15</v>
      </c>
      <c r="BG417" s="773"/>
      <c r="BH417" s="924">
        <f t="shared" ref="BH417:BY417" si="541">BH404/BH402</f>
        <v>9.8425196850393706E-2</v>
      </c>
      <c r="BI417" s="924">
        <f t="shared" si="541"/>
        <v>0.39880952380952384</v>
      </c>
      <c r="BJ417" s="924">
        <f t="shared" si="541"/>
        <v>0.42772861356932151</v>
      </c>
      <c r="BK417" s="924">
        <f t="shared" si="541"/>
        <v>1.2692307692307692</v>
      </c>
      <c r="BL417" s="924">
        <f t="shared" si="541"/>
        <v>0.46877269426289037</v>
      </c>
      <c r="BM417" s="924">
        <f t="shared" si="541"/>
        <v>0.4439918533604888</v>
      </c>
      <c r="BN417" s="924">
        <f t="shared" si="541"/>
        <v>0.53293509848240228</v>
      </c>
      <c r="BO417" s="924">
        <f t="shared" si="541"/>
        <v>0.22032273526122384</v>
      </c>
      <c r="BP417" s="924">
        <f t="shared" si="541"/>
        <v>0.24458580168981256</v>
      </c>
      <c r="BQ417" s="924">
        <f t="shared" si="541"/>
        <v>0.11683293245534482</v>
      </c>
      <c r="BR417" s="924">
        <f t="shared" si="541"/>
        <v>0.25648879574399486</v>
      </c>
      <c r="BS417" s="924">
        <f t="shared" si="541"/>
        <v>0.15750452079566005</v>
      </c>
      <c r="BT417" s="924">
        <f t="shared" si="541"/>
        <v>0.1544920057524744</v>
      </c>
      <c r="BU417" s="924">
        <f t="shared" si="541"/>
        <v>0.30899753634754851</v>
      </c>
      <c r="BV417" s="924">
        <f t="shared" si="541"/>
        <v>0.17287256472969553</v>
      </c>
      <c r="BW417" s="925">
        <f t="shared" si="541"/>
        <v>0.18455202864299564</v>
      </c>
      <c r="BX417" s="867">
        <f t="shared" ca="1" si="541"/>
        <v>0.18541462641969361</v>
      </c>
      <c r="BY417" s="867">
        <f t="shared" ca="1" si="541"/>
        <v>0.15000000000000005</v>
      </c>
      <c r="BZ417" s="926">
        <v>0.15</v>
      </c>
      <c r="CA417" s="926">
        <v>0.2</v>
      </c>
      <c r="CB417" s="926">
        <v>0.2</v>
      </c>
      <c r="CC417" s="9"/>
    </row>
    <row r="418" spans="1:81" x14ac:dyDescent="0.55000000000000004">
      <c r="A418" s="9" t="s">
        <v>95</v>
      </c>
      <c r="B418" s="249"/>
      <c r="C418" s="9">
        <f t="shared" ref="C418:AH418" si="542">C405/C402</f>
        <v>-1.9830028328611898E-2</v>
      </c>
      <c r="D418" s="9">
        <f t="shared" si="542"/>
        <v>4.7706422018348627E-2</v>
      </c>
      <c r="E418" s="9">
        <f t="shared" si="542"/>
        <v>2.7548209366391185E-3</v>
      </c>
      <c r="F418" s="9">
        <f t="shared" si="542"/>
        <v>-5.1327433628318583E-2</v>
      </c>
      <c r="G418" s="9">
        <f t="shared" si="542"/>
        <v>-9.3023255813953494E-4</v>
      </c>
      <c r="H418" s="9">
        <f t="shared" si="542"/>
        <v>-2.3809523809523808E-2</v>
      </c>
      <c r="I418" s="9">
        <f t="shared" si="542"/>
        <v>2.9940119760479044E-3</v>
      </c>
      <c r="J418" s="9">
        <f t="shared" si="542"/>
        <v>-0.1615798922800718</v>
      </c>
      <c r="K418" s="9">
        <f t="shared" si="542"/>
        <v>-0.23927038626609443</v>
      </c>
      <c r="L418" s="9">
        <f t="shared" si="542"/>
        <v>-5.1846032992930086E-2</v>
      </c>
      <c r="M418" s="9">
        <f t="shared" si="542"/>
        <v>-0.26745810055865921</v>
      </c>
      <c r="N418" s="9">
        <f t="shared" si="542"/>
        <v>-4.8103245991396169E-2</v>
      </c>
      <c r="O418" s="9">
        <f t="shared" si="542"/>
        <v>-3.7270087124878996E-2</v>
      </c>
      <c r="P418" s="9">
        <f t="shared" si="542"/>
        <v>-3.6673928830791576E-2</v>
      </c>
      <c r="Q418" s="9">
        <f t="shared" si="542"/>
        <v>-7.2692793931731989E-3</v>
      </c>
      <c r="R418" s="9">
        <f t="shared" si="542"/>
        <v>-5.6474740789763951E-2</v>
      </c>
      <c r="S418" s="9">
        <f t="shared" si="542"/>
        <v>-2.464788732394366E-2</v>
      </c>
      <c r="T418" s="9">
        <f t="shared" si="542"/>
        <v>5.7932263814616759E-3</v>
      </c>
      <c r="U418" s="9">
        <f t="shared" si="542"/>
        <v>-1.7952635599694424E-2</v>
      </c>
      <c r="V418" s="9">
        <f t="shared" si="542"/>
        <v>-3.0156815440289506E-2</v>
      </c>
      <c r="W418" s="9">
        <f t="shared" si="542"/>
        <v>-8.3778966131907301E-3</v>
      </c>
      <c r="X418" s="9">
        <f t="shared" si="542"/>
        <v>1.7211997273346966E-2</v>
      </c>
      <c r="Y418" s="9">
        <f t="shared" si="542"/>
        <v>4.9052774018944522E-3</v>
      </c>
      <c r="Z418" s="9">
        <f t="shared" si="542"/>
        <v>2.5467319031489147E-2</v>
      </c>
      <c r="AA418" s="9">
        <f t="shared" si="542"/>
        <v>5.2556002297530158E-2</v>
      </c>
      <c r="AB418" s="9">
        <f t="shared" si="542"/>
        <v>2.0695364238410596E-4</v>
      </c>
      <c r="AC418" s="9">
        <f t="shared" si="542"/>
        <v>2.374130167826443E-2</v>
      </c>
      <c r="AD418" s="9">
        <f t="shared" si="542"/>
        <v>-4.3079943287163268E-2</v>
      </c>
      <c r="AE418" s="9">
        <f t="shared" si="542"/>
        <v>8.1385429107660806E-2</v>
      </c>
      <c r="AF418" s="9">
        <f t="shared" si="542"/>
        <v>3.4741477736095254E-2</v>
      </c>
      <c r="AG418" s="9">
        <f t="shared" si="542"/>
        <v>-0.18517152342309112</v>
      </c>
      <c r="AH418" s="9">
        <f t="shared" si="542"/>
        <v>-2.8801225584067409E-2</v>
      </c>
      <c r="AI418" s="9">
        <f t="shared" ref="AI418:AY418" si="543">AI405/AI402</f>
        <v>3.6338346518299577E-2</v>
      </c>
      <c r="AJ418" s="9">
        <f t="shared" si="543"/>
        <v>1.8300966994325901E-2</v>
      </c>
      <c r="AK418" s="9">
        <f t="shared" si="543"/>
        <v>-7.439659252247989E-2</v>
      </c>
      <c r="AL418" s="9">
        <f t="shared" si="543"/>
        <v>5.8883728253168545E-2</v>
      </c>
      <c r="AM418" s="9">
        <f t="shared" si="543"/>
        <v>-6.3201616524472384E-2</v>
      </c>
      <c r="AN418" s="9">
        <f t="shared" si="543"/>
        <v>-5.5338382604446616E-2</v>
      </c>
      <c r="AO418" s="9">
        <f t="shared" si="543"/>
        <v>-0.19673601147776185</v>
      </c>
      <c r="AP418" s="9">
        <f t="shared" si="543"/>
        <v>-0.19076272564644658</v>
      </c>
      <c r="AQ418" s="9">
        <f t="shared" si="543"/>
        <v>-8.485014369782401E-2</v>
      </c>
      <c r="AR418" s="9">
        <f t="shared" si="543"/>
        <v>-0.12235015603142151</v>
      </c>
      <c r="AS418" s="9">
        <f t="shared" si="543"/>
        <v>0.21747503566333809</v>
      </c>
      <c r="AT418" s="9">
        <f t="shared" si="543"/>
        <v>-6.9074250356972872E-2</v>
      </c>
      <c r="AU418" s="9">
        <f t="shared" si="543"/>
        <v>-3.2151166889938659E-2</v>
      </c>
      <c r="AV418" s="9">
        <f t="shared" si="543"/>
        <v>-0.10869853038527737</v>
      </c>
      <c r="AW418" s="9">
        <f t="shared" si="543"/>
        <v>-7.339243631466727E-2</v>
      </c>
      <c r="AX418" s="9">
        <f t="shared" si="543"/>
        <v>-5.6553305311425293E-2</v>
      </c>
      <c r="AY418" s="634">
        <f t="shared" si="543"/>
        <v>-5.4020237188554018E-2</v>
      </c>
      <c r="AZ418" s="773">
        <v>-0.06</v>
      </c>
      <c r="BA418" s="773">
        <v>-0.06</v>
      </c>
      <c r="BB418" s="773">
        <v>-0.06</v>
      </c>
      <c r="BC418" s="773">
        <v>-0.02</v>
      </c>
      <c r="BD418" s="773">
        <v>-0.02</v>
      </c>
      <c r="BE418" s="773">
        <v>-0.02</v>
      </c>
      <c r="BF418" s="773">
        <v>-0.02</v>
      </c>
      <c r="BG418" s="773"/>
      <c r="BH418" s="924">
        <f t="shared" ref="BH418:BY418" si="544">BH405/BH402</f>
        <v>0</v>
      </c>
      <c r="BI418" s="924">
        <f t="shared" si="544"/>
        <v>0</v>
      </c>
      <c r="BJ418" s="924">
        <f t="shared" si="544"/>
        <v>-1.7699115044247787E-2</v>
      </c>
      <c r="BK418" s="924">
        <f t="shared" si="544"/>
        <v>-0.37651821862348178</v>
      </c>
      <c r="BL418" s="924">
        <f t="shared" si="544"/>
        <v>-1.3435003631082063E-2</v>
      </c>
      <c r="BM418" s="924">
        <f t="shared" si="544"/>
        <v>-4.2769857433808553E-2</v>
      </c>
      <c r="BN418" s="924">
        <f t="shared" si="544"/>
        <v>-0.12835001614465613</v>
      </c>
      <c r="BO418" s="924">
        <f t="shared" si="544"/>
        <v>-3.6507429301805401E-2</v>
      </c>
      <c r="BP418" s="924">
        <f t="shared" si="544"/>
        <v>-1.8306302806642711E-2</v>
      </c>
      <c r="BQ418" s="924">
        <f t="shared" si="544"/>
        <v>1.1277157840779149E-2</v>
      </c>
      <c r="BR418" s="924">
        <f t="shared" si="544"/>
        <v>-1.4912139287441561E-3</v>
      </c>
      <c r="BS418" s="924">
        <f t="shared" si="544"/>
        <v>-3.5925256178420732E-2</v>
      </c>
      <c r="BT418" s="924">
        <f t="shared" si="544"/>
        <v>1.2879621013450639E-2</v>
      </c>
      <c r="BU418" s="924">
        <f t="shared" si="544"/>
        <v>-0.11402199937541206</v>
      </c>
      <c r="BV418" s="924">
        <f t="shared" si="544"/>
        <v>2.7620814708610949E-3</v>
      </c>
      <c r="BW418" s="925">
        <f t="shared" si="544"/>
        <v>-6.7050648854421691E-2</v>
      </c>
      <c r="BX418" s="867">
        <f t="shared" ca="1" si="544"/>
        <v>-5.8765510710204832E-2</v>
      </c>
      <c r="BY418" s="867">
        <f t="shared" ca="1" si="544"/>
        <v>-2.0000000000000004E-2</v>
      </c>
      <c r="BZ418" s="926">
        <v>-0.02</v>
      </c>
      <c r="CA418" s="926">
        <v>-0.02</v>
      </c>
      <c r="CB418" s="926">
        <v>-0.02</v>
      </c>
      <c r="CC418" s="9"/>
    </row>
    <row r="419" spans="1:81" x14ac:dyDescent="0.55000000000000004">
      <c r="A419" s="600"/>
      <c r="B419" s="241"/>
      <c r="C419" s="600"/>
      <c r="D419" s="600"/>
      <c r="E419" s="600"/>
      <c r="F419" s="600"/>
      <c r="G419" s="600"/>
      <c r="H419" s="600"/>
      <c r="I419" s="600"/>
      <c r="J419" s="600"/>
      <c r="K419" s="600"/>
      <c r="L419" s="600"/>
      <c r="M419" s="600"/>
      <c r="N419" s="600"/>
      <c r="O419" s="600"/>
      <c r="P419" s="600"/>
      <c r="Q419" s="600"/>
      <c r="R419" s="600"/>
      <c r="S419" s="600"/>
      <c r="T419" s="600"/>
      <c r="U419" s="600"/>
      <c r="V419" s="600"/>
      <c r="W419" s="600"/>
      <c r="X419" s="600"/>
      <c r="Y419" s="600"/>
      <c r="Z419" s="600"/>
      <c r="AA419" s="600"/>
      <c r="AB419" s="600"/>
      <c r="AC419" s="600"/>
      <c r="AD419" s="600"/>
      <c r="AE419" s="600"/>
      <c r="AF419" s="600"/>
      <c r="AG419" s="600"/>
      <c r="AH419" s="600"/>
      <c r="AI419" s="600"/>
      <c r="AJ419" s="600"/>
      <c r="AK419" s="600"/>
      <c r="AL419" s="600"/>
      <c r="AM419" s="600"/>
      <c r="AN419" s="600"/>
      <c r="AO419" s="600"/>
      <c r="AP419" s="600"/>
      <c r="AQ419" s="600"/>
      <c r="AR419" s="600"/>
      <c r="AS419" s="600"/>
      <c r="AT419" s="600"/>
      <c r="AU419" s="600"/>
      <c r="AV419" s="600"/>
      <c r="AW419" s="600"/>
      <c r="AX419" s="600"/>
      <c r="AY419" s="604"/>
      <c r="AZ419" s="600"/>
      <c r="BA419" s="600"/>
      <c r="BB419" s="600"/>
      <c r="BC419" s="600"/>
      <c r="BD419" s="600"/>
      <c r="BE419" s="600"/>
      <c r="BF419" s="600"/>
      <c r="BG419" s="600"/>
      <c r="BH419" s="186"/>
      <c r="BI419" s="186"/>
      <c r="BJ419" s="186"/>
      <c r="BK419" s="186"/>
      <c r="BL419" s="186"/>
      <c r="BM419" s="186"/>
      <c r="BN419" s="186"/>
      <c r="BO419" s="186"/>
      <c r="BP419" s="186"/>
      <c r="BQ419" s="186"/>
      <c r="BR419" s="186"/>
      <c r="BS419" s="186"/>
      <c r="BT419" s="186"/>
      <c r="BU419" s="186"/>
      <c r="BV419" s="186"/>
      <c r="BW419" s="909"/>
      <c r="BX419" s="186"/>
      <c r="BY419" s="186"/>
      <c r="BZ419" s="186"/>
      <c r="CA419" s="186"/>
      <c r="CB419" s="186"/>
      <c r="CC419" s="358"/>
    </row>
    <row r="420" spans="1:81" x14ac:dyDescent="0.55000000000000004">
      <c r="A420" s="21" t="s">
        <v>96</v>
      </c>
      <c r="B420" s="236"/>
      <c r="C420" s="10">
        <f t="shared" ref="C420:AH420" si="545">C410/C425</f>
        <v>9.0947191953059517E-2</v>
      </c>
      <c r="D420" s="10">
        <f t="shared" si="545"/>
        <v>0.13751557955961777</v>
      </c>
      <c r="E420" s="10">
        <f t="shared" si="545"/>
        <v>0.17366255144032922</v>
      </c>
      <c r="F420" s="10">
        <f t="shared" si="545"/>
        <v>0.21155410903173311</v>
      </c>
      <c r="G420" s="10">
        <f t="shared" si="545"/>
        <v>0.25108055009823183</v>
      </c>
      <c r="H420" s="10">
        <f t="shared" si="545"/>
        <v>0.30781249999999999</v>
      </c>
      <c r="I420" s="10">
        <f t="shared" si="545"/>
        <v>0.31001159644375725</v>
      </c>
      <c r="J420" s="10">
        <f t="shared" si="545"/>
        <v>0.25208257877580587</v>
      </c>
      <c r="K420" s="10">
        <f t="shared" si="545"/>
        <v>0.18283045977011494</v>
      </c>
      <c r="L420" s="10">
        <f t="shared" si="545"/>
        <v>0.25572246065808296</v>
      </c>
      <c r="M420" s="10">
        <f t="shared" si="545"/>
        <v>0.31730769230769229</v>
      </c>
      <c r="N420" s="10">
        <f t="shared" si="545"/>
        <v>0.55044247787610623</v>
      </c>
      <c r="O420" s="10">
        <f t="shared" si="545"/>
        <v>0.60921561730566298</v>
      </c>
      <c r="P420" s="10">
        <f t="shared" si="545"/>
        <v>0.79691876750700286</v>
      </c>
      <c r="Q420" s="10">
        <f t="shared" si="545"/>
        <v>0.91257401602229193</v>
      </c>
      <c r="R420" s="10">
        <f t="shared" si="545"/>
        <v>1.2356002775850103</v>
      </c>
      <c r="S420" s="10">
        <f t="shared" si="545"/>
        <v>1.0581113801452784</v>
      </c>
      <c r="T420" s="10">
        <f t="shared" si="545"/>
        <v>1.3413793103448275</v>
      </c>
      <c r="U420" s="10">
        <f t="shared" si="545"/>
        <v>1.6198347107438016</v>
      </c>
      <c r="V420" s="80">
        <f t="shared" si="545"/>
        <v>1.4671482628138974</v>
      </c>
      <c r="W420" s="10">
        <f t="shared" si="545"/>
        <v>1.7161046111493461</v>
      </c>
      <c r="X420" s="10">
        <f t="shared" si="545"/>
        <v>1.7637305699481864</v>
      </c>
      <c r="Y420" s="10">
        <f t="shared" si="545"/>
        <v>1.7805892547660311</v>
      </c>
      <c r="Z420" s="80">
        <f t="shared" si="545"/>
        <v>2.3958913649025071</v>
      </c>
      <c r="AA420" s="10">
        <f t="shared" si="545"/>
        <v>0.85049019607843135</v>
      </c>
      <c r="AB420" s="10">
        <f t="shared" si="545"/>
        <v>0.91628721541155866</v>
      </c>
      <c r="AC420" s="10">
        <f t="shared" si="545"/>
        <v>2.1341976173791171</v>
      </c>
      <c r="AD420" s="80">
        <f t="shared" si="545"/>
        <v>2.5758850332982823</v>
      </c>
      <c r="AE420" s="10">
        <f t="shared" si="545"/>
        <v>1.7193967029112591</v>
      </c>
      <c r="AF420" s="10">
        <f t="shared" si="545"/>
        <v>1.8168421052631578</v>
      </c>
      <c r="AG420" s="10">
        <f t="shared" si="545"/>
        <v>2.7529824561403511</v>
      </c>
      <c r="AH420" s="80">
        <f t="shared" si="545"/>
        <v>3.9364912280701754</v>
      </c>
      <c r="AI420" s="10">
        <f t="shared" ref="AI420:BF420" si="546">AI410/AI425</f>
        <v>3.335792061819459</v>
      </c>
      <c r="AJ420" s="10">
        <f t="shared" si="546"/>
        <v>3.667607621736062</v>
      </c>
      <c r="AK420" s="10">
        <f t="shared" si="546"/>
        <v>3.2672352523098791</v>
      </c>
      <c r="AL420" s="80">
        <f t="shared" si="546"/>
        <v>3.7200723327305605</v>
      </c>
      <c r="AM420" s="10">
        <f t="shared" si="546"/>
        <v>2.7394495412844035</v>
      </c>
      <c r="AN420" s="10">
        <f t="shared" si="546"/>
        <v>2.4730029585798818</v>
      </c>
      <c r="AO420" s="10">
        <f t="shared" si="546"/>
        <v>1.638702460850112</v>
      </c>
      <c r="AP420" s="80">
        <f t="shared" si="546"/>
        <v>1.7634571645185746</v>
      </c>
      <c r="AQ420" s="10">
        <f t="shared" si="546"/>
        <v>2.206803247004252</v>
      </c>
      <c r="AR420" s="10">
        <f t="shared" si="546"/>
        <v>3.0327102803738319</v>
      </c>
      <c r="AS420" s="10">
        <f t="shared" si="546"/>
        <v>4.4965062111801242</v>
      </c>
      <c r="AT420" s="80">
        <f t="shared" si="546"/>
        <v>5.4625876851130162</v>
      </c>
      <c r="AU420" s="10">
        <f t="shared" si="546"/>
        <v>4.8601178781925345</v>
      </c>
      <c r="AV420" s="10">
        <f t="shared" si="546"/>
        <v>5.3137332280978686</v>
      </c>
      <c r="AW420" s="10">
        <f t="shared" si="546"/>
        <v>6.2032423882957692</v>
      </c>
      <c r="AX420" s="80">
        <f t="shared" si="546"/>
        <v>8.2396204033214708</v>
      </c>
      <c r="AY420" s="671">
        <f t="shared" si="546"/>
        <v>6.5864661654135341</v>
      </c>
      <c r="AZ420" s="80">
        <f t="shared" ca="1" si="546"/>
        <v>7.239987938798321</v>
      </c>
      <c r="BA420" s="80">
        <f t="shared" ca="1" si="546"/>
        <v>8.0415448167146657</v>
      </c>
      <c r="BB420" s="80">
        <f t="shared" ca="1" si="546"/>
        <v>9.0134524665773323</v>
      </c>
      <c r="BC420" s="80">
        <f t="shared" ca="1" si="546"/>
        <v>10.004250912476683</v>
      </c>
      <c r="BD420" s="80">
        <f t="shared" ca="1" si="546"/>
        <v>8.824762113929328</v>
      </c>
      <c r="BE420" s="80">
        <f t="shared" ca="1" si="546"/>
        <v>9.5003036479490799</v>
      </c>
      <c r="BF420" s="80">
        <f t="shared" ca="1" si="546"/>
        <v>10.298218835333479</v>
      </c>
      <c r="BG420" s="80"/>
      <c r="BH420" s="927"/>
      <c r="BI420" s="928">
        <f t="shared" ref="BI420:CB420" si="547">BI410/BI425</f>
        <v>0.33604336043360433</v>
      </c>
      <c r="BJ420" s="928">
        <f t="shared" si="547"/>
        <v>0.51622874806800623</v>
      </c>
      <c r="BK420" s="928">
        <f t="shared" si="547"/>
        <v>1.5952143569292122E-2</v>
      </c>
      <c r="BL420" s="928">
        <f t="shared" si="547"/>
        <v>0.61611570247933889</v>
      </c>
      <c r="BM420" s="928">
        <f t="shared" si="547"/>
        <v>1.1189747513389441</v>
      </c>
      <c r="BN420" s="928">
        <f t="shared" si="547"/>
        <v>1.3089546914020691</v>
      </c>
      <c r="BO420" s="928">
        <f t="shared" si="547"/>
        <v>3.5585050646175342</v>
      </c>
      <c r="BP420" s="927">
        <f t="shared" si="547"/>
        <v>5.4877628403998617</v>
      </c>
      <c r="BQ420" s="927">
        <f t="shared" si="547"/>
        <v>7.6508650519031143</v>
      </c>
      <c r="BR420" s="927">
        <f t="shared" si="547"/>
        <v>6.47687456201822</v>
      </c>
      <c r="BS420" s="927">
        <f t="shared" si="547"/>
        <v>10.223079621185549</v>
      </c>
      <c r="BT420" s="927">
        <f t="shared" si="547"/>
        <v>13.985790408525755</v>
      </c>
      <c r="BU420" s="927">
        <f t="shared" si="547"/>
        <v>8.6341644957201336</v>
      </c>
      <c r="BV420" s="927">
        <f t="shared" si="547"/>
        <v>15.189588189588189</v>
      </c>
      <c r="BW420" s="929">
        <f t="shared" si="547"/>
        <v>24.609313338595108</v>
      </c>
      <c r="BX420" s="927">
        <f t="shared" ca="1" si="547"/>
        <v>30.875121510901025</v>
      </c>
      <c r="BY420" s="927">
        <f t="shared" ca="1" si="547"/>
        <v>38.627576350185436</v>
      </c>
      <c r="BZ420" s="927">
        <f t="shared" ca="1" si="547"/>
        <v>44.042743566864452</v>
      </c>
      <c r="CA420" s="927">
        <f t="shared" ca="1" si="547"/>
        <v>46.152046264558734</v>
      </c>
      <c r="CB420" s="927">
        <f t="shared" ca="1" si="547"/>
        <v>52.826073615672136</v>
      </c>
      <c r="CC420" s="10"/>
    </row>
    <row r="421" spans="1:81" x14ac:dyDescent="0.55000000000000004">
      <c r="A421" s="21" t="s">
        <v>97</v>
      </c>
      <c r="B421" s="236"/>
      <c r="C421" s="10">
        <f t="shared" ref="C421:AH421" si="548">C412/C426</f>
        <v>8.7635054021608649E-2</v>
      </c>
      <c r="D421" s="10">
        <f t="shared" si="548"/>
        <v>0.13309352517985612</v>
      </c>
      <c r="E421" s="10">
        <f t="shared" si="548"/>
        <v>0.16811708860759494</v>
      </c>
      <c r="F421" s="10">
        <f t="shared" si="548"/>
        <v>0.20445660672400312</v>
      </c>
      <c r="G421" s="10">
        <f t="shared" si="548"/>
        <v>0.24607129168263703</v>
      </c>
      <c r="H421" s="10">
        <f t="shared" si="548"/>
        <v>0.30248565965583174</v>
      </c>
      <c r="I421" s="10">
        <f t="shared" si="548"/>
        <v>0.30484114977307109</v>
      </c>
      <c r="J421" s="10">
        <f t="shared" si="548"/>
        <v>0.24893465909090909</v>
      </c>
      <c r="K421" s="10">
        <f t="shared" si="548"/>
        <v>0.18053596614950634</v>
      </c>
      <c r="L421" s="10">
        <f t="shared" si="548"/>
        <v>0.25228070175438594</v>
      </c>
      <c r="M421" s="10">
        <f t="shared" si="548"/>
        <v>0.31295843520782396</v>
      </c>
      <c r="N421" s="10">
        <f t="shared" si="548"/>
        <v>0.54239054899235584</v>
      </c>
      <c r="O421" s="10">
        <f t="shared" si="548"/>
        <v>0.59827882960413081</v>
      </c>
      <c r="P421" s="10">
        <f t="shared" si="548"/>
        <v>0.78158165011982195</v>
      </c>
      <c r="Q421" s="10">
        <f t="shared" si="548"/>
        <v>0.90120068610634652</v>
      </c>
      <c r="R421" s="10">
        <f t="shared" si="548"/>
        <v>1.2147719537100068</v>
      </c>
      <c r="S421" s="10">
        <f t="shared" si="548"/>
        <v>1.0407608695652173</v>
      </c>
      <c r="T421" s="10">
        <f t="shared" si="548"/>
        <v>1.3195526940020332</v>
      </c>
      <c r="U421" s="10">
        <f t="shared" si="548"/>
        <v>1.5923545331529094</v>
      </c>
      <c r="V421" s="80">
        <f t="shared" si="548"/>
        <v>1.445159106296547</v>
      </c>
      <c r="W421" s="10">
        <f t="shared" si="548"/>
        <v>1.6937181663837011</v>
      </c>
      <c r="X421" s="10">
        <f t="shared" si="548"/>
        <v>1.7426621160409557</v>
      </c>
      <c r="Y421" s="10">
        <f t="shared" si="548"/>
        <v>1.7634740817027119</v>
      </c>
      <c r="Z421" s="80">
        <f t="shared" si="548"/>
        <v>2.3842688842688844</v>
      </c>
      <c r="AA421" s="10">
        <f t="shared" si="548"/>
        <v>0.84663645869640991</v>
      </c>
      <c r="AB421" s="10">
        <f t="shared" si="548"/>
        <v>0.90991304347826085</v>
      </c>
      <c r="AC421" s="10">
        <f t="shared" si="548"/>
        <v>2.1193458594293668</v>
      </c>
      <c r="AD421" s="80">
        <f t="shared" si="548"/>
        <v>2.559735283873215</v>
      </c>
      <c r="AE421" s="10">
        <f t="shared" si="548"/>
        <v>1.7092050209205021</v>
      </c>
      <c r="AF421" s="10">
        <f t="shared" si="548"/>
        <v>1.7985411601250434</v>
      </c>
      <c r="AG421" s="10">
        <f t="shared" si="548"/>
        <v>2.7139398132134209</v>
      </c>
      <c r="AH421" s="80">
        <f t="shared" si="548"/>
        <v>3.882006920415225</v>
      </c>
      <c r="AI421" s="10">
        <f t="shared" ref="AI421:BF421" si="549">AI412/AI426</f>
        <v>3.2952810548230396</v>
      </c>
      <c r="AJ421" s="10">
        <f t="shared" si="549"/>
        <v>3.6127911018421965</v>
      </c>
      <c r="AK421" s="10">
        <f t="shared" si="549"/>
        <v>3.2158097236796084</v>
      </c>
      <c r="AL421" s="80">
        <f t="shared" si="549"/>
        <v>3.6748838871025367</v>
      </c>
      <c r="AM421" s="10">
        <f t="shared" si="549"/>
        <v>2.7224653537563821</v>
      </c>
      <c r="AN421" s="10">
        <f t="shared" si="549"/>
        <v>2.4647991153704387</v>
      </c>
      <c r="AO421" s="10">
        <f t="shared" si="549"/>
        <v>1.6356531447711202</v>
      </c>
      <c r="AP421" s="80">
        <f t="shared" si="549"/>
        <v>1.7621212121212122</v>
      </c>
      <c r="AQ421" s="10">
        <f t="shared" si="549"/>
        <v>2.1991525423728815</v>
      </c>
      <c r="AR421" s="10">
        <f t="shared" si="549"/>
        <v>2.9816232771822357</v>
      </c>
      <c r="AS421" s="10">
        <f t="shared" si="549"/>
        <v>4.3858386974630825</v>
      </c>
      <c r="AT421" s="80">
        <f t="shared" si="549"/>
        <v>5.3296577946768062</v>
      </c>
      <c r="AU421" s="10">
        <f t="shared" si="549"/>
        <v>4.7119999999999997</v>
      </c>
      <c r="AV421" s="10">
        <f t="shared" si="549"/>
        <v>5.1590038314176248</v>
      </c>
      <c r="AW421" s="10">
        <f t="shared" si="549"/>
        <v>6.0338461538461541</v>
      </c>
      <c r="AX421" s="80">
        <f t="shared" si="549"/>
        <v>8.0176991150442483</v>
      </c>
      <c r="AY421" s="671">
        <f t="shared" si="549"/>
        <v>6.4262548262548265</v>
      </c>
      <c r="AZ421" s="80">
        <f t="shared" ca="1" si="549"/>
        <v>7.0462126544188326</v>
      </c>
      <c r="BA421" s="80">
        <f t="shared" ca="1" si="549"/>
        <v>7.8072951401833093</v>
      </c>
      <c r="BB421" s="80">
        <f t="shared" ca="1" si="549"/>
        <v>8.750891183534069</v>
      </c>
      <c r="BC421" s="80">
        <f t="shared" ca="1" si="549"/>
        <v>9.7128277352638719</v>
      </c>
      <c r="BD421" s="80">
        <f t="shared" ca="1" si="549"/>
        <v>8.5676973685638131</v>
      </c>
      <c r="BE421" s="80">
        <f t="shared" ca="1" si="549"/>
        <v>9.2235604217152236</v>
      </c>
      <c r="BF421" s="80">
        <f t="shared" ca="1" si="549"/>
        <v>9.9982323916825209</v>
      </c>
      <c r="BG421" s="80"/>
      <c r="BH421" s="927"/>
      <c r="BI421" s="928">
        <f t="shared" ref="BI421:CB421" si="550">BI412/BI426</f>
        <v>0.28429985855728429</v>
      </c>
      <c r="BJ421" s="928">
        <f t="shared" si="550"/>
        <v>0.46352785145888592</v>
      </c>
      <c r="BK421" s="928">
        <f t="shared" si="550"/>
        <v>1.4773776546629732E-2</v>
      </c>
      <c r="BL421" s="928">
        <f t="shared" si="550"/>
        <v>0.59594755661501786</v>
      </c>
      <c r="BM421" s="928">
        <f t="shared" si="550"/>
        <v>1.1036036036036037</v>
      </c>
      <c r="BN421" s="928">
        <f t="shared" si="550"/>
        <v>1.2926743778478795</v>
      </c>
      <c r="BO421" s="928">
        <f t="shared" si="550"/>
        <v>3.4929914529914532</v>
      </c>
      <c r="BP421" s="927">
        <f t="shared" si="550"/>
        <v>5.3903924221921518</v>
      </c>
      <c r="BQ421" s="927">
        <f t="shared" si="550"/>
        <v>7.5700102704553238</v>
      </c>
      <c r="BR421" s="927">
        <f t="shared" si="550"/>
        <v>6.4273296244784426</v>
      </c>
      <c r="BS421" s="927">
        <f t="shared" si="550"/>
        <v>10.092105263157896</v>
      </c>
      <c r="BT421" s="927">
        <f t="shared" si="550"/>
        <v>13.770549143057012</v>
      </c>
      <c r="BU421" s="927">
        <f t="shared" si="550"/>
        <v>8.5862324204293117</v>
      </c>
      <c r="BV421" s="927">
        <f t="shared" si="550"/>
        <v>14.871814378090528</v>
      </c>
      <c r="BW421" s="929">
        <f t="shared" si="550"/>
        <v>23.856159143075747</v>
      </c>
      <c r="BX421" s="927">
        <f t="shared" ca="1" si="550"/>
        <v>30.020515028389646</v>
      </c>
      <c r="BY421" s="927">
        <f t="shared" ca="1" si="550"/>
        <v>37.502357568041283</v>
      </c>
      <c r="BZ421" s="927">
        <f t="shared" ca="1" si="550"/>
        <v>42.759781316545677</v>
      </c>
      <c r="CA421" s="927">
        <f t="shared" ca="1" si="550"/>
        <v>44.807640164096313</v>
      </c>
      <c r="CB421" s="927">
        <f t="shared" ca="1" si="550"/>
        <v>51.287253533345151</v>
      </c>
      <c r="CC421" s="10"/>
    </row>
    <row r="422" spans="1:81" x14ac:dyDescent="0.55000000000000004">
      <c r="A422" s="21" t="s">
        <v>98</v>
      </c>
      <c r="B422" s="236"/>
      <c r="C422" s="10">
        <f t="shared" ref="C422:AH422" si="551">C415/C427</f>
        <v>0.12484993997599039</v>
      </c>
      <c r="D422" s="10">
        <f t="shared" si="551"/>
        <v>0.19504396482813749</v>
      </c>
      <c r="E422" s="10">
        <f t="shared" si="551"/>
        <v>0.26344936708860761</v>
      </c>
      <c r="F422" s="10">
        <f t="shared" si="551"/>
        <v>0.31821735731039874</v>
      </c>
      <c r="G422" s="10">
        <f t="shared" si="551"/>
        <v>0.35492525871981601</v>
      </c>
      <c r="H422" s="10">
        <f t="shared" si="551"/>
        <v>0.42906309751434035</v>
      </c>
      <c r="I422" s="10">
        <f t="shared" si="551"/>
        <v>0.43456883509833588</v>
      </c>
      <c r="J422" s="10">
        <f t="shared" si="551"/>
        <v>0.5390625</v>
      </c>
      <c r="K422" s="10">
        <f t="shared" si="551"/>
        <v>0.41925246826516221</v>
      </c>
      <c r="L422" s="10">
        <f t="shared" si="551"/>
        <v>0.50421052631578944</v>
      </c>
      <c r="M422" s="10">
        <f t="shared" si="551"/>
        <v>0.56863429968564438</v>
      </c>
      <c r="N422" s="10">
        <f t="shared" si="551"/>
        <v>0.78700486448922868</v>
      </c>
      <c r="O422" s="10">
        <f t="shared" si="551"/>
        <v>0.60180055401662047</v>
      </c>
      <c r="P422" s="10">
        <f t="shared" si="551"/>
        <v>0.78158165011982195</v>
      </c>
      <c r="Q422" s="10">
        <f t="shared" si="551"/>
        <v>0.90120068610634652</v>
      </c>
      <c r="R422" s="10">
        <f t="shared" si="551"/>
        <v>1.2147719537100068</v>
      </c>
      <c r="S422" s="10">
        <f t="shared" si="551"/>
        <v>1.0407608695652173</v>
      </c>
      <c r="T422" s="10">
        <f t="shared" si="551"/>
        <v>1.3195526940020332</v>
      </c>
      <c r="U422" s="10">
        <f t="shared" si="551"/>
        <v>1.5923545331529094</v>
      </c>
      <c r="V422" s="10">
        <f t="shared" si="551"/>
        <v>1.445159106296547</v>
      </c>
      <c r="W422" s="10">
        <f t="shared" si="551"/>
        <v>1.6937181663837011</v>
      </c>
      <c r="X422" s="10">
        <f t="shared" si="551"/>
        <v>1.7426621160409557</v>
      </c>
      <c r="Y422" s="10">
        <f t="shared" si="551"/>
        <v>1.7634740817027119</v>
      </c>
      <c r="Z422" s="10">
        <f t="shared" si="551"/>
        <v>2.3842688842688844</v>
      </c>
      <c r="AA422" s="10">
        <f t="shared" si="551"/>
        <v>0.84663645869640991</v>
      </c>
      <c r="AB422" s="10">
        <f t="shared" si="551"/>
        <v>0.90991304347826085</v>
      </c>
      <c r="AC422" s="10">
        <f t="shared" si="551"/>
        <v>2.1193458594293668</v>
      </c>
      <c r="AD422" s="10">
        <f t="shared" si="551"/>
        <v>2.559735283873215</v>
      </c>
      <c r="AE422" s="10">
        <f t="shared" si="551"/>
        <v>1.7092050209205021</v>
      </c>
      <c r="AF422" s="10">
        <f t="shared" si="551"/>
        <v>1.7985411601250434</v>
      </c>
      <c r="AG422" s="10">
        <f t="shared" si="551"/>
        <v>2.7139398132134209</v>
      </c>
      <c r="AH422" s="10">
        <f t="shared" si="551"/>
        <v>3.882006920415225</v>
      </c>
      <c r="AI422" s="10">
        <f t="shared" ref="AI422:BF422" si="552">AI415/AI427</f>
        <v>3.2952810548230396</v>
      </c>
      <c r="AJ422" s="10">
        <f t="shared" si="552"/>
        <v>3.6127911018421965</v>
      </c>
      <c r="AK422" s="10">
        <f t="shared" si="552"/>
        <v>3.2158097236796084</v>
      </c>
      <c r="AL422" s="10">
        <f t="shared" si="552"/>
        <v>3.6748838871025367</v>
      </c>
      <c r="AM422" s="10">
        <f t="shared" si="552"/>
        <v>2.7224653537563821</v>
      </c>
      <c r="AN422" s="10">
        <f t="shared" si="552"/>
        <v>2.4647991153704387</v>
      </c>
      <c r="AO422" s="10">
        <f t="shared" si="552"/>
        <v>1.6356531447711202</v>
      </c>
      <c r="AP422" s="10">
        <f t="shared" si="552"/>
        <v>1.7621212121212122</v>
      </c>
      <c r="AQ422" s="10">
        <f t="shared" si="552"/>
        <v>2.1991525423728815</v>
      </c>
      <c r="AR422" s="10">
        <f t="shared" si="552"/>
        <v>2.9816232771822357</v>
      </c>
      <c r="AS422" s="10">
        <f t="shared" si="552"/>
        <v>4.3858386974630825</v>
      </c>
      <c r="AT422" s="10">
        <f t="shared" si="552"/>
        <v>5.3296577946768062</v>
      </c>
      <c r="AU422" s="10">
        <f t="shared" si="552"/>
        <v>4.7119999999999997</v>
      </c>
      <c r="AV422" s="10">
        <f t="shared" si="552"/>
        <v>5.1590038314176248</v>
      </c>
      <c r="AW422" s="10">
        <f t="shared" si="552"/>
        <v>6.0338461538461541</v>
      </c>
      <c r="AX422" s="10">
        <f t="shared" si="552"/>
        <v>8.0176991150442483</v>
      </c>
      <c r="AY422" s="671">
        <f t="shared" si="552"/>
        <v>6.4262548262548265</v>
      </c>
      <c r="AZ422" s="80">
        <f t="shared" ca="1" si="552"/>
        <v>7.0462126544188326</v>
      </c>
      <c r="BA422" s="80">
        <f t="shared" ca="1" si="552"/>
        <v>7.8072951401833093</v>
      </c>
      <c r="BB422" s="80">
        <f t="shared" ca="1" si="552"/>
        <v>8.750891183534069</v>
      </c>
      <c r="BC422" s="80">
        <f t="shared" ca="1" si="552"/>
        <v>9.7128277352638719</v>
      </c>
      <c r="BD422" s="80">
        <f t="shared" ca="1" si="552"/>
        <v>8.5676973685638131</v>
      </c>
      <c r="BE422" s="80">
        <f t="shared" ca="1" si="552"/>
        <v>9.2235604217152236</v>
      </c>
      <c r="BF422" s="80">
        <f t="shared" ca="1" si="552"/>
        <v>9.9982323916825209</v>
      </c>
      <c r="BG422" s="80"/>
      <c r="BH422" s="927"/>
      <c r="BI422" s="928">
        <f t="shared" ref="BI422:CB422" si="553">BI415/BI427</f>
        <v>0.42857142857142855</v>
      </c>
      <c r="BJ422" s="928">
        <f t="shared" si="553"/>
        <v>0.49914236706689535</v>
      </c>
      <c r="BK422" s="928">
        <f t="shared" si="553"/>
        <v>0.53126260588947161</v>
      </c>
      <c r="BL422" s="928">
        <f t="shared" si="553"/>
        <v>0.92729439809296776</v>
      </c>
      <c r="BM422" s="928">
        <f t="shared" si="553"/>
        <v>1.7691441441441442</v>
      </c>
      <c r="BN422" s="928">
        <f t="shared" si="553"/>
        <v>2.2846126883981772</v>
      </c>
      <c r="BO422" s="928">
        <f t="shared" si="553"/>
        <v>3.4929914529914532</v>
      </c>
      <c r="BP422" s="928">
        <f t="shared" si="553"/>
        <v>5.3903924221921518</v>
      </c>
      <c r="BQ422" s="928">
        <f t="shared" si="553"/>
        <v>7.5700102704553238</v>
      </c>
      <c r="BR422" s="928">
        <f t="shared" si="553"/>
        <v>6.4273296244784426</v>
      </c>
      <c r="BS422" s="928">
        <f t="shared" si="553"/>
        <v>10.092105263157896</v>
      </c>
      <c r="BT422" s="928">
        <f t="shared" si="553"/>
        <v>13.770549143057012</v>
      </c>
      <c r="BU422" s="928">
        <f t="shared" si="553"/>
        <v>8.5862324204293117</v>
      </c>
      <c r="BV422" s="928">
        <f t="shared" si="553"/>
        <v>14.871814378090528</v>
      </c>
      <c r="BW422" s="930">
        <f t="shared" si="553"/>
        <v>23.856159143075747</v>
      </c>
      <c r="BX422" s="927">
        <f t="shared" ca="1" si="553"/>
        <v>30.020515028389646</v>
      </c>
      <c r="BY422" s="927">
        <f t="shared" ca="1" si="553"/>
        <v>37.502357568041283</v>
      </c>
      <c r="BZ422" s="927">
        <f t="shared" ca="1" si="553"/>
        <v>42.759781316545677</v>
      </c>
      <c r="CA422" s="927">
        <f t="shared" ca="1" si="553"/>
        <v>44.807640164096313</v>
      </c>
      <c r="CB422" s="927">
        <f t="shared" ca="1" si="553"/>
        <v>51.287253533345151</v>
      </c>
      <c r="CC422" s="10"/>
    </row>
    <row r="423" spans="1:81" x14ac:dyDescent="0.55000000000000004">
      <c r="A423" s="46" t="str">
        <f>CONCATENATE("Consensus Estimates - ",IFERROR(LEFT(A422,FIND("(",A422)-1),A422))</f>
        <v>Consensus Estimates - Adjusted Earnings Per Share - WAD</v>
      </c>
      <c r="B423" s="77"/>
      <c r="C423" s="47"/>
      <c r="D423" s="47"/>
      <c r="E423" s="47"/>
      <c r="F423" s="47"/>
      <c r="G423" s="47"/>
      <c r="H423" s="47"/>
      <c r="I423" s="47"/>
      <c r="J423" s="47"/>
      <c r="K423" s="47"/>
      <c r="L423" s="47"/>
      <c r="M423" s="47"/>
      <c r="N423" s="47"/>
      <c r="O423" s="47"/>
      <c r="P423" s="570"/>
      <c r="Q423" s="570"/>
      <c r="R423" s="570"/>
      <c r="S423" s="47"/>
      <c r="T423" s="570"/>
      <c r="U423" s="47"/>
      <c r="V423" s="570"/>
      <c r="W423" s="47"/>
      <c r="X423" s="570"/>
      <c r="Y423" s="47"/>
      <c r="Z423" s="570"/>
      <c r="AA423" s="47"/>
      <c r="AB423" s="570"/>
      <c r="AC423" s="47"/>
      <c r="AD423" s="570"/>
      <c r="AE423" s="47"/>
      <c r="AF423" s="570"/>
      <c r="AG423" s="47"/>
      <c r="AH423" s="570"/>
      <c r="AI423" s="47"/>
      <c r="AJ423" s="570"/>
      <c r="AK423" s="47"/>
      <c r="AL423" s="570"/>
      <c r="AM423" s="47"/>
      <c r="AN423" s="570"/>
      <c r="AO423" s="47"/>
      <c r="AP423" s="570"/>
      <c r="AQ423" s="47"/>
      <c r="AR423" s="570"/>
      <c r="AS423" s="47"/>
      <c r="AT423" s="570"/>
      <c r="AU423" s="47"/>
      <c r="AV423" s="570"/>
      <c r="AW423" s="47"/>
      <c r="AX423" s="570"/>
      <c r="AY423" s="646"/>
      <c r="AZ423" s="416" t="str">
        <f t="shared" ref="AZ423:BF423" ca="1" si="554">IFERROR(VLOOKUP($A423,tb_ConsensusEstimate,MATCH(AZ$5,OFFSET(tb_ConsensusEstimate,0,0,1,COLUMNS(tb_ConsensusEstimate)),0),FALSE),"-")</f>
        <v>N/A</v>
      </c>
      <c r="BA423" s="416" t="str">
        <f t="shared" ca="1" si="554"/>
        <v>N/A</v>
      </c>
      <c r="BB423" s="416" t="str">
        <f t="shared" ca="1" si="554"/>
        <v>N/A</v>
      </c>
      <c r="BC423" s="416" t="str">
        <f t="shared" ca="1" si="554"/>
        <v>N/A</v>
      </c>
      <c r="BD423" s="416" t="str">
        <f t="shared" ca="1" si="554"/>
        <v>N/A</v>
      </c>
      <c r="BE423" s="416" t="str">
        <f t="shared" ca="1" si="554"/>
        <v>N/A</v>
      </c>
      <c r="BF423" s="416" t="str">
        <f t="shared" ca="1" si="554"/>
        <v>N/A</v>
      </c>
      <c r="BG423" s="416"/>
      <c r="BH423" s="931"/>
      <c r="BI423" s="931"/>
      <c r="BJ423" s="931"/>
      <c r="BK423" s="931"/>
      <c r="BL423" s="931"/>
      <c r="BM423" s="931"/>
      <c r="BN423" s="931"/>
      <c r="BO423" s="932"/>
      <c r="BP423" s="932"/>
      <c r="BQ423" s="932"/>
      <c r="BR423" s="932"/>
      <c r="BS423" s="932"/>
      <c r="BT423" s="932"/>
      <c r="BU423" s="932"/>
      <c r="BV423" s="932"/>
      <c r="BW423" s="933"/>
      <c r="BX423" s="932" t="str">
        <f ca="1">IFERROR(VLOOKUP($A423,tb_ConsensusEstimate,MATCH(BX$5,OFFSET(tb_ConsensusEstimate,0,0,1,COLUMNS(tb_ConsensusEstimate)),0),FALSE),"-")</f>
        <v>N/A</v>
      </c>
      <c r="BY423" s="932" t="str">
        <f ca="1">IFERROR(VLOOKUP($A423,tb_ConsensusEstimate,MATCH(BY$5,OFFSET(tb_ConsensusEstimate,0,0,1,COLUMNS(tb_ConsensusEstimate)),0),FALSE),"-")</f>
        <v>N/A</v>
      </c>
      <c r="BZ423" s="932" t="str">
        <f ca="1">IFERROR(VLOOKUP($A423,tb_ConsensusEstimate,MATCH(BZ5,OFFSET(tb_ConsensusEstimate,0,0,1,COLUMNS(tb_ConsensusEstimate)),0),FALSE),"-")</f>
        <v>N/A</v>
      </c>
      <c r="CA423" s="932" t="str">
        <f ca="1">IFERROR(VLOOKUP($A423,tb_ConsensusEstimate,MATCH(CA5,OFFSET(tb_ConsensusEstimate,0,0,1,COLUMNS(tb_ConsensusEstimate)),0),FALSE),"-")</f>
        <v>N/A</v>
      </c>
      <c r="CB423" s="932" t="str">
        <f ca="1">IFERROR(VLOOKUP($A423,tb_ConsensusEstimate,MATCH(CB5,OFFSET(tb_ConsensusEstimate,0,0,1,COLUMNS(tb_ConsensusEstimate)),0),FALSE),"-")</f>
        <v>N/A</v>
      </c>
      <c r="CC423" s="47"/>
    </row>
    <row r="424" spans="1:81" x14ac:dyDescent="0.55000000000000004">
      <c r="A424" s="600"/>
      <c r="B424" s="241"/>
      <c r="C424" s="600"/>
      <c r="D424" s="600"/>
      <c r="E424" s="600"/>
      <c r="F424" s="600"/>
      <c r="G424" s="600"/>
      <c r="H424" s="600"/>
      <c r="I424" s="600"/>
      <c r="J424" s="600"/>
      <c r="K424" s="600"/>
      <c r="L424" s="600"/>
      <c r="M424" s="600"/>
      <c r="N424" s="600"/>
      <c r="O424" s="600"/>
      <c r="P424" s="600"/>
      <c r="Q424" s="600"/>
      <c r="R424" s="600"/>
      <c r="S424" s="600"/>
      <c r="T424" s="600"/>
      <c r="U424" s="600"/>
      <c r="V424" s="600"/>
      <c r="W424" s="600"/>
      <c r="X424" s="600"/>
      <c r="Y424" s="600"/>
      <c r="Z424" s="600"/>
      <c r="AA424" s="600"/>
      <c r="AB424" s="600"/>
      <c r="AC424" s="600"/>
      <c r="AD424" s="600"/>
      <c r="AE424" s="600"/>
      <c r="AF424" s="600"/>
      <c r="AG424" s="600"/>
      <c r="AH424" s="600"/>
      <c r="AI424" s="600"/>
      <c r="AJ424" s="600"/>
      <c r="AK424" s="600"/>
      <c r="AL424" s="600"/>
      <c r="AM424" s="600"/>
      <c r="AN424" s="600"/>
      <c r="AO424" s="600"/>
      <c r="AP424" s="600"/>
      <c r="AQ424" s="600"/>
      <c r="AR424" s="600"/>
      <c r="AS424" s="600"/>
      <c r="AT424" s="600"/>
      <c r="AU424" s="600"/>
      <c r="AV424" s="600"/>
      <c r="AW424" s="600"/>
      <c r="AX424" s="600"/>
      <c r="AY424" s="604"/>
      <c r="AZ424" s="600"/>
      <c r="BA424" s="600"/>
      <c r="BB424" s="600"/>
      <c r="BC424" s="600"/>
      <c r="BD424" s="600"/>
      <c r="BE424" s="600"/>
      <c r="BF424" s="600"/>
      <c r="BG424" s="600"/>
      <c r="BH424" s="186"/>
      <c r="BI424" s="186"/>
      <c r="BJ424" s="186"/>
      <c r="BK424" s="186"/>
      <c r="BL424" s="186"/>
      <c r="BM424" s="186"/>
      <c r="BN424" s="186"/>
      <c r="BO424" s="186"/>
      <c r="BP424" s="186"/>
      <c r="BQ424" s="186"/>
      <c r="BR424" s="186"/>
      <c r="BS424" s="186"/>
      <c r="BT424" s="186"/>
      <c r="BU424" s="186"/>
      <c r="BV424" s="186"/>
      <c r="BW424" s="909"/>
      <c r="BX424" s="186"/>
      <c r="BY424" s="186"/>
      <c r="BZ424" s="186"/>
      <c r="CA424" s="186"/>
      <c r="CB424" s="186"/>
      <c r="CC424" s="358"/>
    </row>
    <row r="425" spans="1:81" s="706" customFormat="1" x14ac:dyDescent="0.55000000000000004">
      <c r="A425" s="37" t="s">
        <v>99</v>
      </c>
      <c r="B425" s="87"/>
      <c r="C425" s="759">
        <v>2386</v>
      </c>
      <c r="D425" s="759">
        <v>2407</v>
      </c>
      <c r="E425" s="759">
        <v>2430</v>
      </c>
      <c r="F425" s="759">
        <v>2458</v>
      </c>
      <c r="G425" s="759">
        <v>2545</v>
      </c>
      <c r="H425" s="759">
        <v>2560</v>
      </c>
      <c r="I425" s="759">
        <v>2587</v>
      </c>
      <c r="J425" s="759">
        <v>2761</v>
      </c>
      <c r="K425" s="759">
        <v>2784</v>
      </c>
      <c r="L425" s="759">
        <v>2796</v>
      </c>
      <c r="M425" s="759">
        <v>2808</v>
      </c>
      <c r="N425" s="759">
        <v>2825</v>
      </c>
      <c r="O425" s="759">
        <v>2843</v>
      </c>
      <c r="P425" s="759">
        <v>2856</v>
      </c>
      <c r="Q425" s="759">
        <v>2871</v>
      </c>
      <c r="R425" s="759">
        <v>2882</v>
      </c>
      <c r="S425" s="759">
        <v>2891</v>
      </c>
      <c r="T425" s="759">
        <v>2900</v>
      </c>
      <c r="U425" s="759">
        <v>2904</v>
      </c>
      <c r="V425" s="759">
        <v>2907</v>
      </c>
      <c r="W425" s="759">
        <v>2906</v>
      </c>
      <c r="X425" s="759">
        <v>2895</v>
      </c>
      <c r="Y425" s="759">
        <v>2885</v>
      </c>
      <c r="Z425" s="759">
        <v>2872</v>
      </c>
      <c r="AA425" s="759">
        <v>2856</v>
      </c>
      <c r="AB425" s="759">
        <v>2855</v>
      </c>
      <c r="AC425" s="759">
        <v>2854</v>
      </c>
      <c r="AD425" s="759">
        <v>2853</v>
      </c>
      <c r="AE425" s="759">
        <v>2851</v>
      </c>
      <c r="AF425" s="759">
        <v>2850</v>
      </c>
      <c r="AG425" s="759">
        <v>2850</v>
      </c>
      <c r="AH425" s="759">
        <v>2850</v>
      </c>
      <c r="AI425" s="759">
        <v>2847</v>
      </c>
      <c r="AJ425" s="759">
        <v>2834</v>
      </c>
      <c r="AK425" s="759">
        <v>2814</v>
      </c>
      <c r="AL425" s="759">
        <v>2765</v>
      </c>
      <c r="AM425" s="759">
        <v>2725</v>
      </c>
      <c r="AN425" s="759">
        <v>2704</v>
      </c>
      <c r="AO425" s="759">
        <v>2682</v>
      </c>
      <c r="AP425" s="759">
        <v>2638</v>
      </c>
      <c r="AQ425" s="759">
        <v>2587</v>
      </c>
      <c r="AR425" s="759">
        <v>2568</v>
      </c>
      <c r="AS425" s="759">
        <v>2576</v>
      </c>
      <c r="AT425" s="759">
        <v>2566</v>
      </c>
      <c r="AU425" s="759">
        <v>2545</v>
      </c>
      <c r="AV425" s="759">
        <v>2534</v>
      </c>
      <c r="AW425" s="759">
        <v>2529</v>
      </c>
      <c r="AX425" s="759">
        <v>2529</v>
      </c>
      <c r="AY425" s="762">
        <v>2527</v>
      </c>
      <c r="AZ425" s="37">
        <f ca="1">AVERAGE(AY440,AZ440)</f>
        <v>2518.6467100591717</v>
      </c>
      <c r="BA425" s="37">
        <f ca="1">AVERAGE(AZ440,BA440)</f>
        <v>2515.9399948485207</v>
      </c>
      <c r="BB425" s="37">
        <f ca="1">AVERAGE(BA440,BB440)</f>
        <v>2513.2330089663483</v>
      </c>
      <c r="BC425" s="37">
        <f ca="1">AVERAGE(BX440,BC440)</f>
        <v>2512.0050423264165</v>
      </c>
      <c r="BD425" s="37">
        <f ca="1">AVERAGE(BC440,BD440)</f>
        <v>2512.2562428306492</v>
      </c>
      <c r="BE425" s="37">
        <f ca="1">AVERAGE(BD440,BE440)</f>
        <v>2512.5074684549318</v>
      </c>
      <c r="BF425" s="37">
        <f ca="1">AVERAGE(BE440,BF440)</f>
        <v>2512.7587192017772</v>
      </c>
      <c r="BG425" s="37"/>
      <c r="BH425" s="158"/>
      <c r="BI425" s="857">
        <v>1107</v>
      </c>
      <c r="BJ425" s="857">
        <v>1294</v>
      </c>
      <c r="BK425" s="857">
        <v>2006</v>
      </c>
      <c r="BL425" s="857">
        <v>2420</v>
      </c>
      <c r="BM425" s="857">
        <v>2614</v>
      </c>
      <c r="BN425" s="857">
        <v>2803</v>
      </c>
      <c r="BO425" s="857">
        <v>2863</v>
      </c>
      <c r="BP425" s="857">
        <v>2901</v>
      </c>
      <c r="BQ425" s="857">
        <v>2890</v>
      </c>
      <c r="BR425" s="857">
        <v>2854</v>
      </c>
      <c r="BS425" s="857">
        <v>2851</v>
      </c>
      <c r="BT425" s="857">
        <v>2815</v>
      </c>
      <c r="BU425" s="857">
        <v>2687</v>
      </c>
      <c r="BV425" s="857">
        <v>2574</v>
      </c>
      <c r="BW425" s="862">
        <v>2534</v>
      </c>
      <c r="BX425" s="158">
        <f ca="1">SUM(AY425*AY3,AZ425*AZ3,BA425*BA3,BB425*BB3)/BX3</f>
        <v>2518.6596355242536</v>
      </c>
      <c r="BY425" s="158">
        <f ca="1">SUM(BC425*BC3,BD425*BD3,BE425*BE3,BF425*BF3)/BY3</f>
        <v>2512.3842771818736</v>
      </c>
      <c r="BZ425" s="158">
        <f ca="1">AVERAGE(BY440,BZ440)</f>
        <v>2507.2744582886735</v>
      </c>
      <c r="CA425" s="158">
        <f ca="1">AVERAGE(BZ440,CA440)</f>
        <v>2496.6093430787801</v>
      </c>
      <c r="CB425" s="158">
        <f ca="1">AVERAGE(CA440,CB440)</f>
        <v>2487.0019262099504</v>
      </c>
      <c r="CC425" s="37"/>
    </row>
    <row r="426" spans="1:81" s="706" customFormat="1" x14ac:dyDescent="0.55000000000000004">
      <c r="A426" s="37" t="s">
        <v>100</v>
      </c>
      <c r="B426" s="87"/>
      <c r="C426" s="759">
        <v>2499</v>
      </c>
      <c r="D426" s="759">
        <v>2502</v>
      </c>
      <c r="E426" s="759">
        <v>2528</v>
      </c>
      <c r="F426" s="759">
        <v>2558</v>
      </c>
      <c r="G426" s="759">
        <v>2609</v>
      </c>
      <c r="H426" s="759">
        <v>2615</v>
      </c>
      <c r="I426" s="759">
        <v>2644</v>
      </c>
      <c r="J426" s="759">
        <v>2816</v>
      </c>
      <c r="K426" s="759">
        <v>2836</v>
      </c>
      <c r="L426" s="759">
        <v>2850</v>
      </c>
      <c r="M426" s="759">
        <v>2863</v>
      </c>
      <c r="N426" s="759">
        <v>2878</v>
      </c>
      <c r="O426" s="759">
        <v>2905</v>
      </c>
      <c r="P426" s="759">
        <v>2921</v>
      </c>
      <c r="Q426" s="759">
        <v>2915</v>
      </c>
      <c r="R426" s="759">
        <v>2938</v>
      </c>
      <c r="S426" s="759">
        <v>2944</v>
      </c>
      <c r="T426" s="759">
        <v>2951</v>
      </c>
      <c r="U426" s="759">
        <v>2956</v>
      </c>
      <c r="V426" s="759">
        <v>2954</v>
      </c>
      <c r="W426" s="759">
        <v>2945</v>
      </c>
      <c r="X426" s="759">
        <v>2930</v>
      </c>
      <c r="Y426" s="759">
        <v>2913</v>
      </c>
      <c r="Z426" s="759">
        <v>2886</v>
      </c>
      <c r="AA426" s="759">
        <v>2869</v>
      </c>
      <c r="AB426" s="759">
        <v>2875</v>
      </c>
      <c r="AC426" s="759">
        <v>2874</v>
      </c>
      <c r="AD426" s="759">
        <v>2871</v>
      </c>
      <c r="AE426" s="759">
        <v>2868</v>
      </c>
      <c r="AF426" s="759">
        <v>2879</v>
      </c>
      <c r="AG426" s="759">
        <v>2891</v>
      </c>
      <c r="AH426" s="759">
        <v>2890</v>
      </c>
      <c r="AI426" s="759">
        <v>2882</v>
      </c>
      <c r="AJ426" s="759">
        <v>2877</v>
      </c>
      <c r="AK426" s="759">
        <v>2859</v>
      </c>
      <c r="AL426" s="759">
        <v>2799</v>
      </c>
      <c r="AM426" s="759">
        <v>2742</v>
      </c>
      <c r="AN426" s="759">
        <v>2713</v>
      </c>
      <c r="AO426" s="759">
        <v>2687</v>
      </c>
      <c r="AP426" s="759">
        <v>2640</v>
      </c>
      <c r="AQ426" s="759">
        <v>2596</v>
      </c>
      <c r="AR426" s="759">
        <v>2612</v>
      </c>
      <c r="AS426" s="759">
        <v>2641</v>
      </c>
      <c r="AT426" s="759">
        <v>2630</v>
      </c>
      <c r="AU426" s="759">
        <v>2625</v>
      </c>
      <c r="AV426" s="759">
        <v>2610</v>
      </c>
      <c r="AW426" s="759">
        <v>2600</v>
      </c>
      <c r="AX426" s="759">
        <v>2599</v>
      </c>
      <c r="AY426" s="762">
        <v>2590</v>
      </c>
      <c r="AZ426" s="37">
        <f ca="1">IF(AZ412&lt;0,AZ425,AVERAGE(AY451,AZ451))</f>
        <v>2587.9110803570384</v>
      </c>
      <c r="BA426" s="37">
        <f ca="1">IF(BA412&lt;0,BA425,AVERAGE(AZ451,BA451))</f>
        <v>2591.4281273429883</v>
      </c>
      <c r="BB426" s="37">
        <f ca="1">IF(BB412&lt;0,BB425,AVERAGE(BA451,BB451))</f>
        <v>2588.639921197474</v>
      </c>
      <c r="BC426" s="37">
        <f ca="1">IF(BC412&lt;0,BC425,AVERAGE(BX451,BC451))</f>
        <v>2587.3751107104699</v>
      </c>
      <c r="BD426" s="37">
        <f ca="1">IF(BD412&lt;0,BD425,AVERAGE(BC451,BD451))</f>
        <v>2587.6338482215406</v>
      </c>
      <c r="BE426" s="37">
        <f ca="1">IF(BE412&lt;0,BE425,AVERAGE(BD451,BE451))</f>
        <v>2587.8926116063631</v>
      </c>
      <c r="BF426" s="37">
        <f ca="1">IF(BF412&lt;0,BF425,AVERAGE(BE451,BF451))</f>
        <v>2588.151400867524</v>
      </c>
      <c r="BG426" s="37"/>
      <c r="BH426" s="158"/>
      <c r="BI426" s="857">
        <v>1414</v>
      </c>
      <c r="BJ426" s="857">
        <v>1508</v>
      </c>
      <c r="BK426" s="857">
        <v>2166</v>
      </c>
      <c r="BL426" s="857">
        <v>2517</v>
      </c>
      <c r="BM426" s="857">
        <v>2664</v>
      </c>
      <c r="BN426" s="857">
        <v>2853</v>
      </c>
      <c r="BO426" s="857">
        <v>2925</v>
      </c>
      <c r="BP426" s="857">
        <v>2956</v>
      </c>
      <c r="BQ426" s="857">
        <v>2921</v>
      </c>
      <c r="BR426" s="857">
        <v>2876</v>
      </c>
      <c r="BS426" s="857">
        <v>2888</v>
      </c>
      <c r="BT426" s="857">
        <v>2859</v>
      </c>
      <c r="BU426" s="857">
        <v>2702</v>
      </c>
      <c r="BV426" s="857">
        <v>2629</v>
      </c>
      <c r="BW426" s="862">
        <v>2614</v>
      </c>
      <c r="BX426" s="158">
        <f ca="1">IF(BX412&lt;0,BX425,SUM(AVERAGE(BW451,AY451)*AY3,AVERAGE(AY451,AZ451)*AZ3,AVERAGE(AZ451,BA451)*BA3,AVERAGE(BA451,BB451)*BB3)/BX3)</f>
        <v>2590.3593665156523</v>
      </c>
      <c r="BY426" s="158">
        <f ca="1">IF(BY412&lt;0,BY425,SUM(AVERAGE(BX451,BC451)*BC3,AVERAGE(BC451,BD451)*BD3,AVERAGE(BD451,BE451)*BE3,AVERAGE(BE451,BF451)*BF3)/BY3)</f>
        <v>2587.7657241087677</v>
      </c>
      <c r="BZ426" s="158">
        <f ca="1">IF(BZ412&lt;0,BZ425,AVERAGE(BY451,BZ451))</f>
        <v>2582.502590475779</v>
      </c>
      <c r="CA426" s="158">
        <f ca="1">IF(CA412&lt;0,CA425,AVERAGE(BZ451,CA451))</f>
        <v>2571.5174797049099</v>
      </c>
      <c r="CB426" s="158">
        <f ca="1">IF(CB412&lt;0,CB425,AVERAGE(CA451,CB451))</f>
        <v>2561.6218024010113</v>
      </c>
      <c r="CC426" s="37"/>
    </row>
    <row r="427" spans="1:81" s="706" customFormat="1" x14ac:dyDescent="0.55000000000000004">
      <c r="A427" s="37" t="s">
        <v>101</v>
      </c>
      <c r="B427" s="87"/>
      <c r="C427" s="759">
        <v>2499</v>
      </c>
      <c r="D427" s="759">
        <v>2502</v>
      </c>
      <c r="E427" s="759">
        <v>2528</v>
      </c>
      <c r="F427" s="759">
        <v>2558</v>
      </c>
      <c r="G427" s="759">
        <v>2609</v>
      </c>
      <c r="H427" s="759">
        <v>2615</v>
      </c>
      <c r="I427" s="759">
        <v>2644</v>
      </c>
      <c r="J427" s="759">
        <v>2816</v>
      </c>
      <c r="K427" s="759">
        <v>2836</v>
      </c>
      <c r="L427" s="759">
        <v>2850</v>
      </c>
      <c r="M427" s="759">
        <v>2863</v>
      </c>
      <c r="N427" s="759">
        <v>2878</v>
      </c>
      <c r="O427" s="759">
        <v>2888</v>
      </c>
      <c r="P427" s="759">
        <v>2921</v>
      </c>
      <c r="Q427" s="759">
        <v>2915</v>
      </c>
      <c r="R427" s="759">
        <v>2938</v>
      </c>
      <c r="S427" s="37">
        <f t="shared" ref="S427:AY427" si="555">S426</f>
        <v>2944</v>
      </c>
      <c r="T427" s="37">
        <f t="shared" si="555"/>
        <v>2951</v>
      </c>
      <c r="U427" s="37">
        <f t="shared" si="555"/>
        <v>2956</v>
      </c>
      <c r="V427" s="37">
        <f t="shared" si="555"/>
        <v>2954</v>
      </c>
      <c r="W427" s="37">
        <f t="shared" si="555"/>
        <v>2945</v>
      </c>
      <c r="X427" s="37">
        <f t="shared" si="555"/>
        <v>2930</v>
      </c>
      <c r="Y427" s="37">
        <f t="shared" si="555"/>
        <v>2913</v>
      </c>
      <c r="Z427" s="37">
        <f t="shared" si="555"/>
        <v>2886</v>
      </c>
      <c r="AA427" s="37">
        <f t="shared" si="555"/>
        <v>2869</v>
      </c>
      <c r="AB427" s="37">
        <f t="shared" si="555"/>
        <v>2875</v>
      </c>
      <c r="AC427" s="37">
        <f t="shared" si="555"/>
        <v>2874</v>
      </c>
      <c r="AD427" s="37">
        <f t="shared" si="555"/>
        <v>2871</v>
      </c>
      <c r="AE427" s="37">
        <f t="shared" si="555"/>
        <v>2868</v>
      </c>
      <c r="AF427" s="37">
        <f t="shared" si="555"/>
        <v>2879</v>
      </c>
      <c r="AG427" s="37">
        <f t="shared" si="555"/>
        <v>2891</v>
      </c>
      <c r="AH427" s="37">
        <f t="shared" si="555"/>
        <v>2890</v>
      </c>
      <c r="AI427" s="37">
        <f t="shared" si="555"/>
        <v>2882</v>
      </c>
      <c r="AJ427" s="37">
        <f t="shared" si="555"/>
        <v>2877</v>
      </c>
      <c r="AK427" s="37">
        <f t="shared" si="555"/>
        <v>2859</v>
      </c>
      <c r="AL427" s="37">
        <f t="shared" si="555"/>
        <v>2799</v>
      </c>
      <c r="AM427" s="37">
        <f t="shared" si="555"/>
        <v>2742</v>
      </c>
      <c r="AN427" s="37">
        <f t="shared" si="555"/>
        <v>2713</v>
      </c>
      <c r="AO427" s="37">
        <f t="shared" si="555"/>
        <v>2687</v>
      </c>
      <c r="AP427" s="37">
        <f t="shared" si="555"/>
        <v>2640</v>
      </c>
      <c r="AQ427" s="37">
        <f t="shared" si="555"/>
        <v>2596</v>
      </c>
      <c r="AR427" s="37">
        <f t="shared" si="555"/>
        <v>2612</v>
      </c>
      <c r="AS427" s="37">
        <f t="shared" si="555"/>
        <v>2641</v>
      </c>
      <c r="AT427" s="37">
        <f t="shared" si="555"/>
        <v>2630</v>
      </c>
      <c r="AU427" s="37">
        <f t="shared" si="555"/>
        <v>2625</v>
      </c>
      <c r="AV427" s="37">
        <f t="shared" si="555"/>
        <v>2610</v>
      </c>
      <c r="AW427" s="37">
        <f t="shared" si="555"/>
        <v>2600</v>
      </c>
      <c r="AX427" s="37">
        <f t="shared" si="555"/>
        <v>2599</v>
      </c>
      <c r="AY427" s="273">
        <f t="shared" si="555"/>
        <v>2590</v>
      </c>
      <c r="AZ427" s="37">
        <f ca="1">IF(AZ415&lt;0,AZ425,AVERAGE(AY451,AZ451))</f>
        <v>2587.9110803570384</v>
      </c>
      <c r="BA427" s="37">
        <f ca="1">IF(BA415&lt;0,BA425,AVERAGE(AZ451,BA451))</f>
        <v>2591.4281273429883</v>
      </c>
      <c r="BB427" s="37">
        <f ca="1">IF(BB415&lt;0,BB425,AVERAGE(BA451,BB451))</f>
        <v>2588.639921197474</v>
      </c>
      <c r="BC427" s="37">
        <f ca="1">IF(BC415&lt;0,BC425,AVERAGE(BX451,BC451))</f>
        <v>2587.3751107104699</v>
      </c>
      <c r="BD427" s="37">
        <f ca="1">IF(BD415&lt;0,BD425,AVERAGE(BC451,BD451))</f>
        <v>2587.6338482215406</v>
      </c>
      <c r="BE427" s="37">
        <f ca="1">IF(BE415&lt;0,BE425,AVERAGE(BD451,BE451))</f>
        <v>2587.8926116063631</v>
      </c>
      <c r="BF427" s="37">
        <f ca="1">IF(BF415&lt;0,BF425,AVERAGE(BE451,BF451))</f>
        <v>2588.151400867524</v>
      </c>
      <c r="BG427" s="37"/>
      <c r="BH427" s="158"/>
      <c r="BI427" s="158">
        <f>BI426</f>
        <v>1414</v>
      </c>
      <c r="BJ427" s="857">
        <v>2332</v>
      </c>
      <c r="BK427" s="857">
        <v>2479</v>
      </c>
      <c r="BL427" s="857">
        <v>2517</v>
      </c>
      <c r="BM427" s="857">
        <v>2664</v>
      </c>
      <c r="BN427" s="857">
        <v>2853</v>
      </c>
      <c r="BO427" s="158">
        <f t="shared" ref="BO427:BW427" si="556">BO426</f>
        <v>2925</v>
      </c>
      <c r="BP427" s="158">
        <f t="shared" si="556"/>
        <v>2956</v>
      </c>
      <c r="BQ427" s="158">
        <f t="shared" si="556"/>
        <v>2921</v>
      </c>
      <c r="BR427" s="158">
        <f t="shared" si="556"/>
        <v>2876</v>
      </c>
      <c r="BS427" s="158">
        <f t="shared" si="556"/>
        <v>2888</v>
      </c>
      <c r="BT427" s="158">
        <f t="shared" si="556"/>
        <v>2859</v>
      </c>
      <c r="BU427" s="158">
        <f t="shared" si="556"/>
        <v>2702</v>
      </c>
      <c r="BV427" s="158">
        <f t="shared" si="556"/>
        <v>2629</v>
      </c>
      <c r="BW427" s="846">
        <f t="shared" si="556"/>
        <v>2614</v>
      </c>
      <c r="BX427" s="158">
        <f ca="1">IF(BX415&lt;0,BX425,SUM(AVERAGE(BW451,AY451)*AY3,AVERAGE(AY451,AZ451)*AZ3,AVERAGE(AZ451,BA451)*BA3,AVERAGE(BA451,BB451)*BB3)/BX3)</f>
        <v>2590.3593665156523</v>
      </c>
      <c r="BY427" s="158">
        <f ca="1">IF(BY415&lt;0,BY425,SUM(AVERAGE(BX451,BC451)*BC3,AVERAGE(BC451,BD451)*BD3,AVERAGE(BD451,BE451)*BE3,AVERAGE(BE451,BF451)*BF3)/BY3)</f>
        <v>2587.7657241087677</v>
      </c>
      <c r="BZ427" s="158">
        <f ca="1">IF(BZ415&lt;0,BZ425,AVERAGE(BY451,BZ451))</f>
        <v>2582.502590475779</v>
      </c>
      <c r="CA427" s="158">
        <f ca="1">IF(CA415&lt;0,CA425,AVERAGE(BZ451,CA451))</f>
        <v>2571.5174797049099</v>
      </c>
      <c r="CB427" s="158">
        <f ca="1">IF(CB415&lt;0,CB425,AVERAGE(CA451,CB451))</f>
        <v>2561.6218024010113</v>
      </c>
      <c r="CC427" s="37"/>
    </row>
    <row r="428" spans="1:81" x14ac:dyDescent="0.55000000000000004">
      <c r="A428" s="241"/>
      <c r="B428" s="241"/>
      <c r="C428" s="600"/>
      <c r="D428" s="600"/>
      <c r="E428" s="600"/>
      <c r="F428" s="600"/>
      <c r="G428" s="600"/>
      <c r="H428" s="600"/>
      <c r="I428" s="600"/>
      <c r="J428" s="600"/>
      <c r="K428" s="600"/>
      <c r="L428" s="600"/>
      <c r="M428" s="600"/>
      <c r="N428" s="600"/>
      <c r="O428" s="600"/>
      <c r="P428" s="600"/>
      <c r="Q428" s="600"/>
      <c r="R428" s="600"/>
      <c r="S428" s="600"/>
      <c r="T428" s="600"/>
      <c r="U428" s="600"/>
      <c r="V428" s="600"/>
      <c r="W428" s="600"/>
      <c r="X428" s="600"/>
      <c r="Y428" s="600"/>
      <c r="Z428" s="600"/>
      <c r="AA428" s="600"/>
      <c r="AB428" s="600"/>
      <c r="AC428" s="600"/>
      <c r="AD428" s="600"/>
      <c r="AE428" s="600"/>
      <c r="AF428" s="600"/>
      <c r="AG428" s="600"/>
      <c r="AH428" s="600"/>
      <c r="AI428" s="600"/>
      <c r="AJ428" s="600"/>
      <c r="AK428" s="600"/>
      <c r="AL428" s="600"/>
      <c r="AM428" s="600"/>
      <c r="AN428" s="600"/>
      <c r="AO428" s="600"/>
      <c r="AP428" s="600"/>
      <c r="AQ428" s="600"/>
      <c r="AR428" s="600"/>
      <c r="AS428" s="600"/>
      <c r="AT428" s="600"/>
      <c r="AU428" s="600"/>
      <c r="AV428" s="600"/>
      <c r="AW428" s="600"/>
      <c r="AX428" s="600"/>
      <c r="AY428" s="604"/>
      <c r="AZ428" s="600"/>
      <c r="BA428" s="600"/>
      <c r="BB428" s="600"/>
      <c r="BC428" s="600"/>
      <c r="BD428" s="600"/>
      <c r="BE428" s="600"/>
      <c r="BF428" s="600"/>
      <c r="BG428" s="600"/>
      <c r="BH428" s="186"/>
      <c r="BI428" s="186"/>
      <c r="BJ428" s="186"/>
      <c r="BK428" s="186"/>
      <c r="BL428" s="186"/>
      <c r="BM428" s="186"/>
      <c r="BN428" s="186"/>
      <c r="BO428" s="186"/>
      <c r="BP428" s="186"/>
      <c r="BQ428" s="186"/>
      <c r="BR428" s="186"/>
      <c r="BS428" s="186"/>
      <c r="BT428" s="186"/>
      <c r="BU428" s="186"/>
      <c r="BV428" s="186"/>
      <c r="BW428" s="909"/>
      <c r="BX428" s="186"/>
      <c r="BY428" s="186"/>
      <c r="BZ428" s="186"/>
      <c r="CA428" s="186"/>
      <c r="CB428" s="186"/>
      <c r="CC428" s="358"/>
    </row>
    <row r="429" spans="1:81" x14ac:dyDescent="0.55000000000000004">
      <c r="A429" s="598" t="s">
        <v>568</v>
      </c>
      <c r="B429" s="598"/>
      <c r="C429" s="598"/>
      <c r="D429" s="598"/>
      <c r="E429" s="598"/>
      <c r="F429" s="598"/>
      <c r="G429" s="598"/>
      <c r="H429" s="598"/>
      <c r="I429" s="598"/>
      <c r="J429" s="598"/>
      <c r="K429" s="598"/>
      <c r="L429" s="598"/>
      <c r="M429" s="598"/>
      <c r="N429" s="598"/>
      <c r="O429" s="598"/>
      <c r="P429" s="598"/>
      <c r="Q429" s="598"/>
      <c r="R429" s="598"/>
      <c r="S429" s="598"/>
      <c r="T429" s="598"/>
      <c r="U429" s="598"/>
      <c r="V429" s="598"/>
      <c r="W429" s="598"/>
      <c r="X429" s="598"/>
      <c r="Y429" s="598"/>
      <c r="Z429" s="598"/>
      <c r="AA429" s="598"/>
      <c r="AB429" s="598"/>
      <c r="AC429" s="598"/>
      <c r="AD429" s="598"/>
      <c r="AE429" s="598"/>
      <c r="AF429" s="598"/>
      <c r="AG429" s="598"/>
      <c r="AH429" s="598"/>
      <c r="AI429" s="598"/>
      <c r="AJ429" s="598"/>
      <c r="AK429" s="598"/>
      <c r="AL429" s="598"/>
      <c r="AM429" s="598"/>
      <c r="AN429" s="598"/>
      <c r="AO429" s="598"/>
      <c r="AP429" s="598"/>
      <c r="AQ429" s="598"/>
      <c r="AR429" s="598"/>
      <c r="AS429" s="598"/>
      <c r="AT429" s="598"/>
      <c r="AU429" s="598"/>
      <c r="AV429" s="598"/>
      <c r="AW429" s="598"/>
      <c r="AX429" s="598"/>
      <c r="AY429" s="599"/>
      <c r="AZ429" s="598"/>
      <c r="BA429" s="598"/>
      <c r="BB429" s="598"/>
      <c r="BC429" s="598"/>
      <c r="BD429" s="598"/>
      <c r="BE429" s="598"/>
      <c r="BF429" s="598"/>
      <c r="BG429" s="598"/>
      <c r="BH429" s="598"/>
      <c r="BI429" s="598"/>
      <c r="BJ429" s="598"/>
      <c r="BK429" s="598"/>
      <c r="BL429" s="598"/>
      <c r="BM429" s="598"/>
      <c r="BN429" s="598"/>
      <c r="BO429" s="598"/>
      <c r="BP429" s="598"/>
      <c r="BQ429" s="598"/>
      <c r="BR429" s="598"/>
      <c r="BS429" s="598"/>
      <c r="BT429" s="598"/>
      <c r="BU429" s="598"/>
      <c r="BV429" s="598"/>
      <c r="BW429" s="599"/>
      <c r="BX429" s="598"/>
      <c r="BY429" s="598"/>
      <c r="BZ429" s="598"/>
      <c r="CA429" s="598"/>
      <c r="CB429" s="598"/>
      <c r="CC429" s="217"/>
    </row>
    <row r="430" spans="1:81" outlineLevel="2" x14ac:dyDescent="0.55000000000000004">
      <c r="A430" s="37" t="s">
        <v>643</v>
      </c>
      <c r="B430" s="600"/>
      <c r="C430" s="347">
        <f t="shared" ref="C430:AH430" si="557">WORKDAY(C4+1,-1)</f>
        <v>41362</v>
      </c>
      <c r="D430" s="347">
        <f t="shared" si="557"/>
        <v>41453</v>
      </c>
      <c r="E430" s="347">
        <f t="shared" si="557"/>
        <v>41547</v>
      </c>
      <c r="F430" s="347">
        <f t="shared" si="557"/>
        <v>41639</v>
      </c>
      <c r="G430" s="347">
        <f t="shared" si="557"/>
        <v>41729</v>
      </c>
      <c r="H430" s="347">
        <f t="shared" si="557"/>
        <v>41820</v>
      </c>
      <c r="I430" s="347">
        <f t="shared" si="557"/>
        <v>41912</v>
      </c>
      <c r="J430" s="347">
        <f t="shared" si="557"/>
        <v>42004</v>
      </c>
      <c r="K430" s="347">
        <f t="shared" si="557"/>
        <v>42094</v>
      </c>
      <c r="L430" s="347">
        <f t="shared" si="557"/>
        <v>42185</v>
      </c>
      <c r="M430" s="347">
        <f t="shared" si="557"/>
        <v>42277</v>
      </c>
      <c r="N430" s="347">
        <f t="shared" si="557"/>
        <v>42369</v>
      </c>
      <c r="O430" s="347">
        <f t="shared" si="557"/>
        <v>42460</v>
      </c>
      <c r="P430" s="347">
        <f t="shared" si="557"/>
        <v>42551</v>
      </c>
      <c r="Q430" s="347">
        <f t="shared" si="557"/>
        <v>42643</v>
      </c>
      <c r="R430" s="347">
        <f t="shared" si="557"/>
        <v>42734</v>
      </c>
      <c r="S430" s="347">
        <f t="shared" si="557"/>
        <v>42825</v>
      </c>
      <c r="T430" s="347">
        <f t="shared" si="557"/>
        <v>42916</v>
      </c>
      <c r="U430" s="347">
        <f t="shared" si="557"/>
        <v>43007</v>
      </c>
      <c r="V430" s="347">
        <f t="shared" si="557"/>
        <v>43098</v>
      </c>
      <c r="W430" s="347">
        <f t="shared" si="557"/>
        <v>43189</v>
      </c>
      <c r="X430" s="347">
        <f t="shared" si="557"/>
        <v>43280</v>
      </c>
      <c r="Y430" s="347">
        <f t="shared" si="557"/>
        <v>43371</v>
      </c>
      <c r="Z430" s="347">
        <f t="shared" si="557"/>
        <v>43465</v>
      </c>
      <c r="AA430" s="347">
        <f t="shared" si="557"/>
        <v>43553</v>
      </c>
      <c r="AB430" s="347">
        <f t="shared" si="557"/>
        <v>43644</v>
      </c>
      <c r="AC430" s="347">
        <f t="shared" si="557"/>
        <v>43738</v>
      </c>
      <c r="AD430" s="347">
        <f t="shared" si="557"/>
        <v>43830</v>
      </c>
      <c r="AE430" s="347">
        <f t="shared" si="557"/>
        <v>43921</v>
      </c>
      <c r="AF430" s="347">
        <f t="shared" si="557"/>
        <v>44012</v>
      </c>
      <c r="AG430" s="347">
        <f t="shared" si="557"/>
        <v>44104</v>
      </c>
      <c r="AH430" s="347">
        <f t="shared" si="557"/>
        <v>44196</v>
      </c>
      <c r="AI430" s="347">
        <f t="shared" ref="AI430:AY430" si="558">WORKDAY(AI4+1,-1)</f>
        <v>44286</v>
      </c>
      <c r="AJ430" s="347">
        <f t="shared" si="558"/>
        <v>44377</v>
      </c>
      <c r="AK430" s="347">
        <f t="shared" si="558"/>
        <v>44469</v>
      </c>
      <c r="AL430" s="347">
        <f t="shared" si="558"/>
        <v>44561</v>
      </c>
      <c r="AM430" s="347">
        <f t="shared" si="558"/>
        <v>44651</v>
      </c>
      <c r="AN430" s="347">
        <f t="shared" si="558"/>
        <v>44742</v>
      </c>
      <c r="AO430" s="347">
        <f t="shared" si="558"/>
        <v>44834</v>
      </c>
      <c r="AP430" s="347">
        <f t="shared" si="558"/>
        <v>44925</v>
      </c>
      <c r="AQ430" s="347">
        <f t="shared" si="558"/>
        <v>45016</v>
      </c>
      <c r="AR430" s="347">
        <f t="shared" si="558"/>
        <v>45107</v>
      </c>
      <c r="AS430" s="347">
        <f t="shared" si="558"/>
        <v>45198</v>
      </c>
      <c r="AT430" s="347">
        <f t="shared" si="558"/>
        <v>45289</v>
      </c>
      <c r="AU430" s="347">
        <f t="shared" si="558"/>
        <v>45380</v>
      </c>
      <c r="AV430" s="347">
        <f t="shared" si="558"/>
        <v>45471</v>
      </c>
      <c r="AW430" s="347">
        <f t="shared" si="558"/>
        <v>45565</v>
      </c>
      <c r="AX430" s="347">
        <f t="shared" si="558"/>
        <v>45657</v>
      </c>
      <c r="AY430" s="647">
        <f t="shared" si="558"/>
        <v>45747</v>
      </c>
      <c r="AZ430" s="347"/>
      <c r="BA430" s="347"/>
      <c r="BB430" s="347"/>
      <c r="BC430" s="347"/>
      <c r="BD430" s="347"/>
      <c r="BE430" s="347"/>
      <c r="BF430" s="347"/>
      <c r="BG430" s="347"/>
      <c r="BH430" s="934"/>
      <c r="BI430" s="934"/>
      <c r="BJ430" s="934"/>
      <c r="BK430" s="934">
        <f t="shared" ref="BK430:BW430" si="559">WORKDAY(BK4+1,-1)</f>
        <v>41274</v>
      </c>
      <c r="BL430" s="934">
        <f t="shared" si="559"/>
        <v>41639</v>
      </c>
      <c r="BM430" s="934">
        <f t="shared" si="559"/>
        <v>42004</v>
      </c>
      <c r="BN430" s="934">
        <f t="shared" si="559"/>
        <v>42369</v>
      </c>
      <c r="BO430" s="934">
        <f t="shared" si="559"/>
        <v>42734</v>
      </c>
      <c r="BP430" s="934">
        <f t="shared" si="559"/>
        <v>43098</v>
      </c>
      <c r="BQ430" s="934">
        <f t="shared" si="559"/>
        <v>43465</v>
      </c>
      <c r="BR430" s="934">
        <f t="shared" si="559"/>
        <v>43830</v>
      </c>
      <c r="BS430" s="934">
        <f t="shared" si="559"/>
        <v>44196</v>
      </c>
      <c r="BT430" s="934">
        <f t="shared" si="559"/>
        <v>44561</v>
      </c>
      <c r="BU430" s="934">
        <f t="shared" si="559"/>
        <v>44925</v>
      </c>
      <c r="BV430" s="934">
        <f t="shared" si="559"/>
        <v>45289</v>
      </c>
      <c r="BW430" s="935">
        <f t="shared" si="559"/>
        <v>45657</v>
      </c>
      <c r="BX430" s="934"/>
      <c r="BY430" s="934"/>
      <c r="BZ430" s="934"/>
      <c r="CA430" s="934"/>
      <c r="CB430" s="934"/>
      <c r="CC430" s="601"/>
    </row>
    <row r="431" spans="1:81" outlineLevel="1" x14ac:dyDescent="0.55000000000000004">
      <c r="A431" s="367" t="s">
        <v>644</v>
      </c>
      <c r="B431" s="601"/>
      <c r="C431" s="367">
        <f t="shared" ref="C431:AH431" si="560">C722</f>
        <v>25.58</v>
      </c>
      <c r="D431" s="367">
        <f t="shared" si="560"/>
        <v>24.88</v>
      </c>
      <c r="E431" s="367">
        <f t="shared" si="560"/>
        <v>51.24</v>
      </c>
      <c r="F431" s="367">
        <f t="shared" si="560"/>
        <v>53.71</v>
      </c>
      <c r="G431" s="367">
        <f t="shared" si="560"/>
        <v>60.01</v>
      </c>
      <c r="H431" s="367">
        <f t="shared" si="560"/>
        <v>67.599999999999994</v>
      </c>
      <c r="I431" s="367">
        <f t="shared" si="560"/>
        <v>79</v>
      </c>
      <c r="J431" s="367">
        <f t="shared" si="560"/>
        <v>79.22</v>
      </c>
      <c r="K431" s="367">
        <f t="shared" si="560"/>
        <v>83.194999999999993</v>
      </c>
      <c r="L431" s="367">
        <f t="shared" si="560"/>
        <v>85.8</v>
      </c>
      <c r="M431" s="367">
        <f t="shared" si="560"/>
        <v>86.67</v>
      </c>
      <c r="N431" s="367">
        <f t="shared" si="560"/>
        <v>106.22</v>
      </c>
      <c r="O431" s="367">
        <f t="shared" si="560"/>
        <v>114.7</v>
      </c>
      <c r="P431" s="367">
        <f t="shared" si="560"/>
        <v>114.16</v>
      </c>
      <c r="Q431" s="367">
        <f t="shared" si="560"/>
        <v>128.09</v>
      </c>
      <c r="R431" s="367">
        <f t="shared" si="560"/>
        <v>115.05</v>
      </c>
      <c r="S431" s="367">
        <f t="shared" si="560"/>
        <v>142.41</v>
      </c>
      <c r="T431" s="367">
        <f t="shared" si="560"/>
        <v>151.04</v>
      </c>
      <c r="U431" s="367">
        <f t="shared" si="560"/>
        <v>170.87</v>
      </c>
      <c r="V431" s="367">
        <f t="shared" si="560"/>
        <v>176.46</v>
      </c>
      <c r="W431" s="367">
        <f t="shared" si="560"/>
        <v>159.79</v>
      </c>
      <c r="X431" s="367">
        <f t="shared" si="560"/>
        <v>194.32</v>
      </c>
      <c r="Y431" s="367">
        <f t="shared" si="560"/>
        <v>164.46</v>
      </c>
      <c r="Z431" s="367">
        <f t="shared" si="560"/>
        <v>133.19999999999999</v>
      </c>
      <c r="AA431" s="367">
        <f t="shared" si="560"/>
        <v>166.69</v>
      </c>
      <c r="AB431" s="367">
        <f t="shared" si="560"/>
        <v>193</v>
      </c>
      <c r="AC431" s="367">
        <f t="shared" si="560"/>
        <v>177.1</v>
      </c>
      <c r="AD431" s="367">
        <f t="shared" si="560"/>
        <v>204.41</v>
      </c>
      <c r="AE431" s="367">
        <f t="shared" si="560"/>
        <v>165.95</v>
      </c>
      <c r="AF431" s="367">
        <f t="shared" si="560"/>
        <v>220.64</v>
      </c>
      <c r="AG431" s="367">
        <f t="shared" si="560"/>
        <v>261.79000000000002</v>
      </c>
      <c r="AH431" s="367">
        <f t="shared" si="560"/>
        <v>271.87</v>
      </c>
      <c r="AI431" s="367">
        <f t="shared" ref="AI431:BF431" si="561">AI722</f>
        <v>288</v>
      </c>
      <c r="AJ431" s="367">
        <f t="shared" si="561"/>
        <v>351.89</v>
      </c>
      <c r="AK431" s="367">
        <f t="shared" si="561"/>
        <v>339.61</v>
      </c>
      <c r="AL431" s="367">
        <f t="shared" si="561"/>
        <v>344.36</v>
      </c>
      <c r="AM431" s="367">
        <f t="shared" si="561"/>
        <v>227.85</v>
      </c>
      <c r="AN431" s="367">
        <f t="shared" si="561"/>
        <v>163.94</v>
      </c>
      <c r="AO431" s="367">
        <f t="shared" si="561"/>
        <v>136.41</v>
      </c>
      <c r="AP431" s="367">
        <f t="shared" si="561"/>
        <v>120.34</v>
      </c>
      <c r="AQ431" s="367">
        <f t="shared" si="561"/>
        <v>207.84</v>
      </c>
      <c r="AR431" s="367">
        <f t="shared" si="561"/>
        <v>281.52999999999997</v>
      </c>
      <c r="AS431" s="367">
        <f t="shared" si="561"/>
        <v>300.20999999999998</v>
      </c>
      <c r="AT431" s="367">
        <f t="shared" si="561"/>
        <v>353.96</v>
      </c>
      <c r="AU431" s="367">
        <f t="shared" si="561"/>
        <v>485.58</v>
      </c>
      <c r="AV431" s="367">
        <f t="shared" si="561"/>
        <v>504.22</v>
      </c>
      <c r="AW431" s="367">
        <f t="shared" si="561"/>
        <v>567.36</v>
      </c>
      <c r="AX431" s="367">
        <f t="shared" si="561"/>
        <v>591.24</v>
      </c>
      <c r="AY431" s="632">
        <f t="shared" si="561"/>
        <v>576.74</v>
      </c>
      <c r="AZ431" s="367">
        <f t="shared" ca="1" si="561"/>
        <v>554.44000000000005</v>
      </c>
      <c r="BA431" s="367">
        <f t="shared" ca="1" si="561"/>
        <v>554.44000000000005</v>
      </c>
      <c r="BB431" s="367">
        <f t="shared" ca="1" si="561"/>
        <v>554.44000000000005</v>
      </c>
      <c r="BC431" s="367">
        <f t="shared" ca="1" si="561"/>
        <v>554.44000000000005</v>
      </c>
      <c r="BD431" s="367">
        <f t="shared" ca="1" si="561"/>
        <v>554.44000000000005</v>
      </c>
      <c r="BE431" s="367">
        <f t="shared" ca="1" si="561"/>
        <v>554.44000000000005</v>
      </c>
      <c r="BF431" s="367">
        <f t="shared" ca="1" si="561"/>
        <v>554.44000000000005</v>
      </c>
      <c r="BG431" s="367"/>
      <c r="BH431" s="860"/>
      <c r="BI431" s="860"/>
      <c r="BJ431" s="860"/>
      <c r="BK431" s="860">
        <f t="shared" ref="BK431:CB431" si="562">BK722</f>
        <v>25.911200000000001</v>
      </c>
      <c r="BL431" s="860">
        <f t="shared" si="562"/>
        <v>53.71</v>
      </c>
      <c r="BM431" s="860">
        <f t="shared" si="562"/>
        <v>79.22</v>
      </c>
      <c r="BN431" s="860">
        <f t="shared" si="562"/>
        <v>106.22</v>
      </c>
      <c r="BO431" s="860">
        <f t="shared" si="562"/>
        <v>115.05</v>
      </c>
      <c r="BP431" s="860">
        <f t="shared" si="562"/>
        <v>176.46</v>
      </c>
      <c r="BQ431" s="860">
        <f t="shared" si="562"/>
        <v>133.19999999999999</v>
      </c>
      <c r="BR431" s="860">
        <f t="shared" si="562"/>
        <v>204.41</v>
      </c>
      <c r="BS431" s="860">
        <f t="shared" si="562"/>
        <v>271.87</v>
      </c>
      <c r="BT431" s="860">
        <f t="shared" si="562"/>
        <v>344.36</v>
      </c>
      <c r="BU431" s="860">
        <f t="shared" si="562"/>
        <v>120.34</v>
      </c>
      <c r="BV431" s="860">
        <f t="shared" si="562"/>
        <v>353.96</v>
      </c>
      <c r="BW431" s="861">
        <f t="shared" si="562"/>
        <v>591.24</v>
      </c>
      <c r="BX431" s="860">
        <f t="shared" ca="1" si="562"/>
        <v>554.44000000000005</v>
      </c>
      <c r="BY431" s="860">
        <f t="shared" ca="1" si="562"/>
        <v>554.44000000000005</v>
      </c>
      <c r="BZ431" s="860">
        <f t="shared" ca="1" si="562"/>
        <v>554.44000000000005</v>
      </c>
      <c r="CA431" s="860">
        <f t="shared" ca="1" si="562"/>
        <v>554.44000000000005</v>
      </c>
      <c r="CB431" s="860">
        <f t="shared" ca="1" si="562"/>
        <v>554.44000000000005</v>
      </c>
      <c r="CC431" s="601"/>
    </row>
    <row r="432" spans="1:81" outlineLevel="1" x14ac:dyDescent="0.55000000000000004">
      <c r="A432" s="367"/>
      <c r="B432" s="601"/>
      <c r="C432" s="367"/>
      <c r="D432" s="367"/>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c r="AC432" s="367"/>
      <c r="AD432" s="367"/>
      <c r="AE432" s="367"/>
      <c r="AF432" s="367"/>
      <c r="AG432" s="367"/>
      <c r="AH432" s="367"/>
      <c r="AI432" s="367"/>
      <c r="AJ432" s="367"/>
      <c r="AK432" s="367"/>
      <c r="AL432" s="367"/>
      <c r="AM432" s="367"/>
      <c r="AN432" s="367"/>
      <c r="AO432" s="367"/>
      <c r="AP432" s="367"/>
      <c r="AQ432" s="367"/>
      <c r="AR432" s="367"/>
      <c r="AS432" s="367"/>
      <c r="AT432" s="367"/>
      <c r="AU432" s="367"/>
      <c r="AV432" s="367"/>
      <c r="AW432" s="367"/>
      <c r="AX432" s="367"/>
      <c r="AY432" s="632"/>
      <c r="AZ432" s="367"/>
      <c r="BA432" s="367"/>
      <c r="BB432" s="367"/>
      <c r="BC432" s="367"/>
      <c r="BD432" s="367"/>
      <c r="BE432" s="367"/>
      <c r="BF432" s="367"/>
      <c r="BG432" s="367"/>
      <c r="BH432" s="860"/>
      <c r="BI432" s="860"/>
      <c r="BJ432" s="860"/>
      <c r="BK432" s="860"/>
      <c r="BL432" s="860"/>
      <c r="BM432" s="860"/>
      <c r="BN432" s="860"/>
      <c r="BO432" s="860"/>
      <c r="BP432" s="860"/>
      <c r="BQ432" s="860"/>
      <c r="BR432" s="860"/>
      <c r="BS432" s="860"/>
      <c r="BT432" s="860"/>
      <c r="BU432" s="860"/>
      <c r="BV432" s="860"/>
      <c r="BW432" s="861"/>
      <c r="BX432" s="860"/>
      <c r="BY432" s="860"/>
      <c r="BZ432" s="860"/>
      <c r="CA432" s="860"/>
      <c r="CB432" s="860"/>
      <c r="CC432" s="601"/>
    </row>
    <row r="433" spans="1:81" s="714" customFormat="1" outlineLevel="2" x14ac:dyDescent="0.55000000000000004">
      <c r="A433" s="350" t="s">
        <v>569</v>
      </c>
      <c r="B433" s="349"/>
      <c r="C433" s="774">
        <v>1</v>
      </c>
      <c r="D433" s="774">
        <v>1</v>
      </c>
      <c r="E433" s="774">
        <v>1</v>
      </c>
      <c r="F433" s="350">
        <f>BL433</f>
        <v>1</v>
      </c>
      <c r="G433" s="774">
        <v>1</v>
      </c>
      <c r="H433" s="774">
        <v>1</v>
      </c>
      <c r="I433" s="774">
        <v>1</v>
      </c>
      <c r="J433" s="350">
        <f>BM433</f>
        <v>1</v>
      </c>
      <c r="K433" s="774">
        <v>1</v>
      </c>
      <c r="L433" s="774">
        <v>1</v>
      </c>
      <c r="M433" s="774">
        <v>1</v>
      </c>
      <c r="N433" s="350">
        <f>BN433</f>
        <v>1</v>
      </c>
      <c r="O433" s="774">
        <v>1</v>
      </c>
      <c r="P433" s="774">
        <v>1</v>
      </c>
      <c r="Q433" s="774">
        <v>1</v>
      </c>
      <c r="R433" s="350">
        <f>BO433</f>
        <v>1</v>
      </c>
      <c r="S433" s="774">
        <v>1</v>
      </c>
      <c r="T433" s="774">
        <v>1</v>
      </c>
      <c r="U433" s="774">
        <v>1</v>
      </c>
      <c r="V433" s="350">
        <f>BP433</f>
        <v>1</v>
      </c>
      <c r="W433" s="774">
        <v>1</v>
      </c>
      <c r="X433" s="774">
        <v>1</v>
      </c>
      <c r="Y433" s="774">
        <v>1</v>
      </c>
      <c r="Z433" s="350">
        <f>BQ433</f>
        <v>1</v>
      </c>
      <c r="AA433" s="774">
        <v>1</v>
      </c>
      <c r="AB433" s="774">
        <v>1</v>
      </c>
      <c r="AC433" s="774">
        <v>1</v>
      </c>
      <c r="AD433" s="350">
        <f>BR433</f>
        <v>1</v>
      </c>
      <c r="AE433" s="774">
        <v>1</v>
      </c>
      <c r="AF433" s="774">
        <v>1</v>
      </c>
      <c r="AG433" s="774">
        <v>1</v>
      </c>
      <c r="AH433" s="350">
        <f>BS433</f>
        <v>1</v>
      </c>
      <c r="AI433" s="774">
        <v>1</v>
      </c>
      <c r="AJ433" s="774">
        <v>1</v>
      </c>
      <c r="AK433" s="774">
        <v>1</v>
      </c>
      <c r="AL433" s="350">
        <f>BT433</f>
        <v>1</v>
      </c>
      <c r="AM433" s="774">
        <v>1</v>
      </c>
      <c r="AN433" s="774">
        <v>1</v>
      </c>
      <c r="AO433" s="774">
        <v>1</v>
      </c>
      <c r="AP433" s="350">
        <f>BU433</f>
        <v>1</v>
      </c>
      <c r="AQ433" s="774">
        <v>1</v>
      </c>
      <c r="AR433" s="774">
        <v>1</v>
      </c>
      <c r="AS433" s="774">
        <v>1</v>
      </c>
      <c r="AT433" s="350">
        <f>BV433</f>
        <v>1</v>
      </c>
      <c r="AU433" s="774">
        <v>1</v>
      </c>
      <c r="AV433" s="774">
        <v>1</v>
      </c>
      <c r="AW433" s="774">
        <v>1</v>
      </c>
      <c r="AX433" s="350">
        <f>BW433</f>
        <v>1</v>
      </c>
      <c r="AY433" s="775">
        <v>1</v>
      </c>
      <c r="AZ433" s="774">
        <v>1</v>
      </c>
      <c r="BA433" s="774">
        <v>1</v>
      </c>
      <c r="BB433" s="774">
        <v>1</v>
      </c>
      <c r="BC433" s="774">
        <v>1</v>
      </c>
      <c r="BD433" s="774">
        <v>1</v>
      </c>
      <c r="BE433" s="774">
        <v>1</v>
      </c>
      <c r="BF433" s="774">
        <v>1</v>
      </c>
      <c r="BG433" s="774"/>
      <c r="BH433" s="936"/>
      <c r="BI433" s="936"/>
      <c r="BJ433" s="936"/>
      <c r="BK433" s="937">
        <v>1</v>
      </c>
      <c r="BL433" s="937">
        <v>1</v>
      </c>
      <c r="BM433" s="937">
        <v>1</v>
      </c>
      <c r="BN433" s="937">
        <v>1</v>
      </c>
      <c r="BO433" s="937">
        <v>1</v>
      </c>
      <c r="BP433" s="937">
        <v>1</v>
      </c>
      <c r="BQ433" s="937">
        <v>1</v>
      </c>
      <c r="BR433" s="937">
        <v>1</v>
      </c>
      <c r="BS433" s="937">
        <v>1</v>
      </c>
      <c r="BT433" s="937">
        <v>1</v>
      </c>
      <c r="BU433" s="937">
        <v>1</v>
      </c>
      <c r="BV433" s="937">
        <v>1</v>
      </c>
      <c r="BW433" s="938">
        <v>1</v>
      </c>
      <c r="BX433" s="936">
        <f>BB433</f>
        <v>1</v>
      </c>
      <c r="BY433" s="936">
        <f>BF433</f>
        <v>1</v>
      </c>
      <c r="BZ433" s="937">
        <v>1</v>
      </c>
      <c r="CA433" s="937">
        <v>1</v>
      </c>
      <c r="CB433" s="937">
        <v>1</v>
      </c>
      <c r="CC433" s="348"/>
    </row>
    <row r="434" spans="1:81" s="714" customFormat="1" outlineLevel="2" x14ac:dyDescent="0.55000000000000004">
      <c r="A434" s="350"/>
      <c r="B434" s="349"/>
      <c r="C434" s="350"/>
      <c r="D434" s="350"/>
      <c r="E434" s="350"/>
      <c r="F434" s="350"/>
      <c r="G434" s="350"/>
      <c r="H434" s="350"/>
      <c r="I434" s="350"/>
      <c r="J434" s="350"/>
      <c r="K434" s="350"/>
      <c r="L434" s="350"/>
      <c r="M434" s="350"/>
      <c r="N434" s="350"/>
      <c r="O434" s="350"/>
      <c r="P434" s="350"/>
      <c r="Q434" s="350"/>
      <c r="R434" s="350"/>
      <c r="S434" s="350"/>
      <c r="T434" s="350"/>
      <c r="U434" s="350"/>
      <c r="V434" s="350"/>
      <c r="W434" s="350"/>
      <c r="X434" s="350"/>
      <c r="Y434" s="350"/>
      <c r="Z434" s="350"/>
      <c r="AA434" s="350"/>
      <c r="AB434" s="350"/>
      <c r="AC434" s="350"/>
      <c r="AD434" s="350"/>
      <c r="AE434" s="350"/>
      <c r="AF434" s="350"/>
      <c r="AG434" s="350"/>
      <c r="AH434" s="350"/>
      <c r="AI434" s="350"/>
      <c r="AJ434" s="350"/>
      <c r="AK434" s="350"/>
      <c r="AL434" s="350"/>
      <c r="AM434" s="350"/>
      <c r="AN434" s="350"/>
      <c r="AO434" s="350"/>
      <c r="AP434" s="350"/>
      <c r="AQ434" s="350"/>
      <c r="AR434" s="350"/>
      <c r="AS434" s="350"/>
      <c r="AT434" s="350"/>
      <c r="AU434" s="350"/>
      <c r="AV434" s="350"/>
      <c r="AW434" s="350"/>
      <c r="AX434" s="350"/>
      <c r="AY434" s="648"/>
      <c r="AZ434" s="350"/>
      <c r="BA434" s="350"/>
      <c r="BB434" s="350"/>
      <c r="BC434" s="350"/>
      <c r="BD434" s="350"/>
      <c r="BE434" s="350"/>
      <c r="BF434" s="350"/>
      <c r="BG434" s="350"/>
      <c r="BH434" s="936"/>
      <c r="BI434" s="936"/>
      <c r="BJ434" s="936"/>
      <c r="BK434" s="936"/>
      <c r="BL434" s="936"/>
      <c r="BM434" s="936"/>
      <c r="BN434" s="936"/>
      <c r="BO434" s="936"/>
      <c r="BP434" s="936"/>
      <c r="BQ434" s="936"/>
      <c r="BR434" s="936"/>
      <c r="BS434" s="936"/>
      <c r="BT434" s="936"/>
      <c r="BU434" s="936"/>
      <c r="BV434" s="936"/>
      <c r="BW434" s="939"/>
      <c r="BX434" s="936"/>
      <c r="BY434" s="936"/>
      <c r="BZ434" s="936"/>
      <c r="CA434" s="936"/>
      <c r="CB434" s="936"/>
      <c r="CC434" s="348"/>
    </row>
    <row r="435" spans="1:81" s="706" customFormat="1" outlineLevel="2" x14ac:dyDescent="0.55000000000000004">
      <c r="A435" s="116" t="s">
        <v>626</v>
      </c>
      <c r="B435" s="87"/>
      <c r="C435" s="759">
        <v>1740.598009</v>
      </c>
      <c r="D435" s="759">
        <v>1812.9241280000001</v>
      </c>
      <c r="E435" s="759">
        <v>1869</v>
      </c>
      <c r="F435" s="37">
        <f>BL435</f>
        <v>1969.996533</v>
      </c>
      <c r="G435" s="759">
        <v>1991</v>
      </c>
      <c r="H435" s="759">
        <v>2013</v>
      </c>
      <c r="I435" s="759">
        <v>2044</v>
      </c>
      <c r="J435" s="37">
        <f>BM435</f>
        <v>2234.1130069999999</v>
      </c>
      <c r="K435" s="759">
        <v>2247</v>
      </c>
      <c r="L435" s="759">
        <v>2256</v>
      </c>
      <c r="M435" s="759">
        <v>2268</v>
      </c>
      <c r="N435" s="37">
        <f>BN435</f>
        <v>2293</v>
      </c>
      <c r="O435" s="759">
        <v>2311</v>
      </c>
      <c r="P435" s="759">
        <v>2322</v>
      </c>
      <c r="Q435" s="759">
        <v>2336</v>
      </c>
      <c r="R435" s="37">
        <f>BO435</f>
        <v>2354</v>
      </c>
      <c r="S435" s="759">
        <v>2364</v>
      </c>
      <c r="T435" s="759">
        <v>2371</v>
      </c>
      <c r="U435" s="759">
        <v>2385</v>
      </c>
      <c r="V435" s="37">
        <f>BP435</f>
        <v>2397</v>
      </c>
      <c r="W435" s="759">
        <v>2404</v>
      </c>
      <c r="X435" s="759">
        <v>2413</v>
      </c>
      <c r="Y435" s="759">
        <v>2402</v>
      </c>
      <c r="Z435" s="37">
        <f>BQ435</f>
        <v>2385</v>
      </c>
      <c r="AA435" s="759">
        <v>2404</v>
      </c>
      <c r="AB435" s="759">
        <v>2407</v>
      </c>
      <c r="AC435" s="759">
        <v>2408</v>
      </c>
      <c r="AD435" s="37">
        <f>BR435</f>
        <v>2407</v>
      </c>
      <c r="AE435" s="759">
        <v>2406</v>
      </c>
      <c r="AF435" s="759">
        <v>2406</v>
      </c>
      <c r="AG435" s="759">
        <v>2406</v>
      </c>
      <c r="AH435" s="37">
        <f>BS435</f>
        <v>2406</v>
      </c>
      <c r="AI435" s="759">
        <v>2400</v>
      </c>
      <c r="AJ435" s="759">
        <v>2389</v>
      </c>
      <c r="AK435" s="759">
        <v>2376</v>
      </c>
      <c r="AL435" s="37">
        <f>BT435</f>
        <v>2328</v>
      </c>
      <c r="AM435" s="759">
        <v>2301</v>
      </c>
      <c r="AN435" s="759">
        <v>2290</v>
      </c>
      <c r="AO435" s="759">
        <v>2262</v>
      </c>
      <c r="AP435" s="37">
        <f>BU435</f>
        <v>2247</v>
      </c>
      <c r="AQ435" s="759">
        <v>2215</v>
      </c>
      <c r="AR435" s="759">
        <v>2222</v>
      </c>
      <c r="AS435" s="759">
        <v>2221</v>
      </c>
      <c r="AT435" s="37">
        <f>BV435</f>
        <v>2211</v>
      </c>
      <c r="AU435" s="759">
        <v>2192</v>
      </c>
      <c r="AV435" s="759">
        <v>2188</v>
      </c>
      <c r="AW435" s="759">
        <v>2180</v>
      </c>
      <c r="AX435" s="37">
        <f>BW435</f>
        <v>2190</v>
      </c>
      <c r="AY435" s="273"/>
      <c r="AZ435" s="37"/>
      <c r="BA435" s="37"/>
      <c r="BB435" s="37"/>
      <c r="BC435" s="37"/>
      <c r="BD435" s="37"/>
      <c r="BE435" s="37"/>
      <c r="BF435" s="37"/>
      <c r="BG435" s="37"/>
      <c r="BH435" s="158"/>
      <c r="BI435" s="158"/>
      <c r="BJ435" s="158"/>
      <c r="BK435" s="857">
        <v>1671.277621</v>
      </c>
      <c r="BL435" s="857">
        <v>1969.996533</v>
      </c>
      <c r="BM435" s="857">
        <v>2234.1130069999999</v>
      </c>
      <c r="BN435" s="857">
        <v>2293</v>
      </c>
      <c r="BO435" s="857">
        <v>2354</v>
      </c>
      <c r="BP435" s="857">
        <v>2397</v>
      </c>
      <c r="BQ435" s="857">
        <v>2385</v>
      </c>
      <c r="BR435" s="857">
        <v>2407</v>
      </c>
      <c r="BS435" s="857">
        <v>2406</v>
      </c>
      <c r="BT435" s="857">
        <v>2328</v>
      </c>
      <c r="BU435" s="857">
        <v>2247</v>
      </c>
      <c r="BV435" s="857">
        <v>2211</v>
      </c>
      <c r="BW435" s="862">
        <v>2190</v>
      </c>
      <c r="BX435" s="158"/>
      <c r="BY435" s="158"/>
      <c r="BZ435" s="158"/>
      <c r="CA435" s="158"/>
      <c r="CB435" s="158"/>
      <c r="CC435" s="117"/>
    </row>
    <row r="436" spans="1:81" s="706" customFormat="1" outlineLevel="2" x14ac:dyDescent="0.55000000000000004">
      <c r="A436" s="18" t="s">
        <v>627</v>
      </c>
      <c r="B436" s="244"/>
      <c r="C436" s="763">
        <v>670.45034099999998</v>
      </c>
      <c r="D436" s="763">
        <v>617.95304599999997</v>
      </c>
      <c r="E436" s="763">
        <v>584</v>
      </c>
      <c r="F436" s="82">
        <f>BL436</f>
        <v>576.58755900000006</v>
      </c>
      <c r="G436" s="763">
        <v>573</v>
      </c>
      <c r="H436" s="763">
        <v>562</v>
      </c>
      <c r="I436" s="763">
        <v>564</v>
      </c>
      <c r="J436" s="82">
        <f>BM436</f>
        <v>562.79220099999998</v>
      </c>
      <c r="K436" s="763">
        <v>559</v>
      </c>
      <c r="L436" s="763">
        <v>558</v>
      </c>
      <c r="M436" s="763">
        <v>558</v>
      </c>
      <c r="N436" s="82">
        <f>BN436</f>
        <v>552</v>
      </c>
      <c r="O436" s="763">
        <v>549</v>
      </c>
      <c r="P436" s="763">
        <v>548</v>
      </c>
      <c r="Q436" s="763">
        <v>546</v>
      </c>
      <c r="R436" s="82">
        <f>BO436</f>
        <v>538</v>
      </c>
      <c r="S436" s="763">
        <v>534</v>
      </c>
      <c r="T436" s="763">
        <v>532</v>
      </c>
      <c r="U436" s="763">
        <v>521</v>
      </c>
      <c r="V436" s="82">
        <f>BP436</f>
        <v>509</v>
      </c>
      <c r="W436" s="763">
        <v>498</v>
      </c>
      <c r="X436" s="763">
        <v>478</v>
      </c>
      <c r="Y436" s="763">
        <v>471</v>
      </c>
      <c r="Z436" s="82">
        <f>BQ436</f>
        <v>469</v>
      </c>
      <c r="AA436" s="763">
        <v>452</v>
      </c>
      <c r="AB436" s="763">
        <v>447</v>
      </c>
      <c r="AC436" s="763">
        <v>446</v>
      </c>
      <c r="AD436" s="82">
        <f>BR436</f>
        <v>445</v>
      </c>
      <c r="AE436" s="763">
        <v>445</v>
      </c>
      <c r="AF436" s="763">
        <v>444</v>
      </c>
      <c r="AG436" s="763">
        <v>444</v>
      </c>
      <c r="AH436" s="82">
        <f>BS436</f>
        <v>443</v>
      </c>
      <c r="AI436" s="763">
        <v>441</v>
      </c>
      <c r="AJ436" s="763">
        <v>437</v>
      </c>
      <c r="AK436" s="763">
        <v>417</v>
      </c>
      <c r="AL436" s="82">
        <f>BT436</f>
        <v>413</v>
      </c>
      <c r="AM436" s="763">
        <v>413</v>
      </c>
      <c r="AN436" s="763">
        <v>407</v>
      </c>
      <c r="AO436" s="763">
        <v>403</v>
      </c>
      <c r="AP436" s="82">
        <f>BU436</f>
        <v>367</v>
      </c>
      <c r="AQ436" s="763">
        <v>351</v>
      </c>
      <c r="AR436" s="763">
        <v>351</v>
      </c>
      <c r="AS436" s="763">
        <v>350</v>
      </c>
      <c r="AT436" s="82">
        <f>BV436</f>
        <v>350</v>
      </c>
      <c r="AU436" s="763">
        <v>345</v>
      </c>
      <c r="AV436" s="763">
        <v>345</v>
      </c>
      <c r="AW436" s="763">
        <v>344</v>
      </c>
      <c r="AX436" s="82">
        <f>BW436</f>
        <v>344</v>
      </c>
      <c r="AY436" s="406"/>
      <c r="AZ436" s="82"/>
      <c r="BA436" s="82"/>
      <c r="BB436" s="82"/>
      <c r="BC436" s="82"/>
      <c r="BD436" s="82"/>
      <c r="BE436" s="82"/>
      <c r="BF436" s="82"/>
      <c r="BG436" s="82"/>
      <c r="BH436" s="854"/>
      <c r="BI436" s="854"/>
      <c r="BJ436" s="854"/>
      <c r="BK436" s="863">
        <v>701.42757400000005</v>
      </c>
      <c r="BL436" s="863">
        <v>576.58755900000006</v>
      </c>
      <c r="BM436" s="863">
        <v>562.79220099999998</v>
      </c>
      <c r="BN436" s="863">
        <v>552</v>
      </c>
      <c r="BO436" s="863">
        <v>538</v>
      </c>
      <c r="BP436" s="863">
        <v>509</v>
      </c>
      <c r="BQ436" s="863">
        <v>469</v>
      </c>
      <c r="BR436" s="863">
        <v>445</v>
      </c>
      <c r="BS436" s="863">
        <v>443</v>
      </c>
      <c r="BT436" s="863">
        <v>413</v>
      </c>
      <c r="BU436" s="863">
        <v>367</v>
      </c>
      <c r="BV436" s="863">
        <v>350</v>
      </c>
      <c r="BW436" s="864">
        <v>344</v>
      </c>
      <c r="BX436" s="854"/>
      <c r="BY436" s="854"/>
      <c r="BZ436" s="854"/>
      <c r="CA436" s="854"/>
      <c r="CB436" s="854"/>
      <c r="CC436" s="117"/>
    </row>
    <row r="437" spans="1:81" s="706" customFormat="1" outlineLevel="1" x14ac:dyDescent="0.55000000000000004">
      <c r="A437" s="117" t="s">
        <v>628</v>
      </c>
      <c r="B437" s="87"/>
      <c r="C437" s="37">
        <f t="shared" ref="C437:AX437" si="563">SUM(C435:C436)</f>
        <v>2411.04835</v>
      </c>
      <c r="D437" s="37">
        <f t="shared" si="563"/>
        <v>2430.8771740000002</v>
      </c>
      <c r="E437" s="37">
        <f t="shared" si="563"/>
        <v>2453</v>
      </c>
      <c r="F437" s="37">
        <f t="shared" si="563"/>
        <v>2546.5840920000001</v>
      </c>
      <c r="G437" s="37">
        <f t="shared" si="563"/>
        <v>2564</v>
      </c>
      <c r="H437" s="37">
        <f t="shared" si="563"/>
        <v>2575</v>
      </c>
      <c r="I437" s="37">
        <f t="shared" si="563"/>
        <v>2608</v>
      </c>
      <c r="J437" s="37">
        <f t="shared" si="563"/>
        <v>2796.9052080000001</v>
      </c>
      <c r="K437" s="37">
        <f t="shared" si="563"/>
        <v>2806</v>
      </c>
      <c r="L437" s="37">
        <f t="shared" si="563"/>
        <v>2814</v>
      </c>
      <c r="M437" s="37">
        <f t="shared" si="563"/>
        <v>2826</v>
      </c>
      <c r="N437" s="37">
        <f t="shared" si="563"/>
        <v>2845</v>
      </c>
      <c r="O437" s="37">
        <f t="shared" si="563"/>
        <v>2860</v>
      </c>
      <c r="P437" s="37">
        <f t="shared" si="563"/>
        <v>2870</v>
      </c>
      <c r="Q437" s="37">
        <f t="shared" si="563"/>
        <v>2882</v>
      </c>
      <c r="R437" s="37">
        <f t="shared" si="563"/>
        <v>2892</v>
      </c>
      <c r="S437" s="37">
        <f t="shared" si="563"/>
        <v>2898</v>
      </c>
      <c r="T437" s="37">
        <f t="shared" si="563"/>
        <v>2903</v>
      </c>
      <c r="U437" s="37">
        <f t="shared" si="563"/>
        <v>2906</v>
      </c>
      <c r="V437" s="37">
        <f t="shared" si="563"/>
        <v>2906</v>
      </c>
      <c r="W437" s="37">
        <f t="shared" si="563"/>
        <v>2902</v>
      </c>
      <c r="X437" s="37">
        <f t="shared" si="563"/>
        <v>2891</v>
      </c>
      <c r="Y437" s="37">
        <f t="shared" si="563"/>
        <v>2873</v>
      </c>
      <c r="Z437" s="37">
        <f t="shared" si="563"/>
        <v>2854</v>
      </c>
      <c r="AA437" s="37">
        <f t="shared" si="563"/>
        <v>2856</v>
      </c>
      <c r="AB437" s="37">
        <f t="shared" si="563"/>
        <v>2854</v>
      </c>
      <c r="AC437" s="37">
        <f t="shared" si="563"/>
        <v>2854</v>
      </c>
      <c r="AD437" s="37">
        <f t="shared" si="563"/>
        <v>2852</v>
      </c>
      <c r="AE437" s="37">
        <f t="shared" si="563"/>
        <v>2851</v>
      </c>
      <c r="AF437" s="37">
        <f t="shared" si="563"/>
        <v>2850</v>
      </c>
      <c r="AG437" s="37">
        <f t="shared" si="563"/>
        <v>2850</v>
      </c>
      <c r="AH437" s="37">
        <f t="shared" si="563"/>
        <v>2849</v>
      </c>
      <c r="AI437" s="37">
        <f t="shared" si="563"/>
        <v>2841</v>
      </c>
      <c r="AJ437" s="37">
        <f t="shared" si="563"/>
        <v>2826</v>
      </c>
      <c r="AK437" s="37">
        <f t="shared" si="563"/>
        <v>2793</v>
      </c>
      <c r="AL437" s="37">
        <f t="shared" si="563"/>
        <v>2741</v>
      </c>
      <c r="AM437" s="37">
        <f t="shared" si="563"/>
        <v>2714</v>
      </c>
      <c r="AN437" s="37">
        <f t="shared" si="563"/>
        <v>2697</v>
      </c>
      <c r="AO437" s="37">
        <f t="shared" si="563"/>
        <v>2665</v>
      </c>
      <c r="AP437" s="37">
        <f t="shared" si="563"/>
        <v>2614</v>
      </c>
      <c r="AQ437" s="37">
        <f t="shared" si="563"/>
        <v>2566</v>
      </c>
      <c r="AR437" s="37">
        <f t="shared" si="563"/>
        <v>2573</v>
      </c>
      <c r="AS437" s="37">
        <f t="shared" si="563"/>
        <v>2571</v>
      </c>
      <c r="AT437" s="37">
        <f t="shared" si="563"/>
        <v>2561</v>
      </c>
      <c r="AU437" s="37">
        <f t="shared" si="563"/>
        <v>2537</v>
      </c>
      <c r="AV437" s="37">
        <f t="shared" si="563"/>
        <v>2533</v>
      </c>
      <c r="AW437" s="37">
        <f t="shared" si="563"/>
        <v>2524</v>
      </c>
      <c r="AX437" s="37">
        <f t="shared" si="563"/>
        <v>2534</v>
      </c>
      <c r="AY437" s="273">
        <f>2*AY425-BW437</f>
        <v>2520</v>
      </c>
      <c r="AZ437" s="37">
        <f t="shared" ref="AZ437:BF437" ca="1" si="564">AZ440+AZ439+AZ438</f>
        <v>2517.293420118343</v>
      </c>
      <c r="BA437" s="37">
        <f t="shared" ca="1" si="564"/>
        <v>2514.5865695786979</v>
      </c>
      <c r="BB437" s="37">
        <f t="shared" ca="1" si="564"/>
        <v>2511.8794483539987</v>
      </c>
      <c r="BC437" s="37">
        <f t="shared" ca="1" si="564"/>
        <v>2512.1306362988339</v>
      </c>
      <c r="BD437" s="37">
        <f t="shared" ca="1" si="564"/>
        <v>2512.381849362464</v>
      </c>
      <c r="BE437" s="37">
        <f t="shared" ca="1" si="564"/>
        <v>2512.6330875474</v>
      </c>
      <c r="BF437" s="37">
        <f t="shared" ca="1" si="564"/>
        <v>2512.8843508561549</v>
      </c>
      <c r="BG437" s="37"/>
      <c r="BH437" s="158"/>
      <c r="BI437" s="158"/>
      <c r="BJ437" s="158"/>
      <c r="BK437" s="158">
        <f t="shared" ref="BK437:BW437" si="565">SUM(BK435:BK436)</f>
        <v>2372.705195</v>
      </c>
      <c r="BL437" s="158">
        <f t="shared" si="565"/>
        <v>2546.5840920000001</v>
      </c>
      <c r="BM437" s="158">
        <f t="shared" si="565"/>
        <v>2796.9052080000001</v>
      </c>
      <c r="BN437" s="158">
        <f t="shared" si="565"/>
        <v>2845</v>
      </c>
      <c r="BO437" s="158">
        <f t="shared" si="565"/>
        <v>2892</v>
      </c>
      <c r="BP437" s="158">
        <f t="shared" si="565"/>
        <v>2906</v>
      </c>
      <c r="BQ437" s="158">
        <f t="shared" si="565"/>
        <v>2854</v>
      </c>
      <c r="BR437" s="158">
        <f t="shared" si="565"/>
        <v>2852</v>
      </c>
      <c r="BS437" s="158">
        <f t="shared" si="565"/>
        <v>2849</v>
      </c>
      <c r="BT437" s="158">
        <f t="shared" si="565"/>
        <v>2741</v>
      </c>
      <c r="BU437" s="158">
        <f t="shared" si="565"/>
        <v>2614</v>
      </c>
      <c r="BV437" s="158">
        <f t="shared" si="565"/>
        <v>2561</v>
      </c>
      <c r="BW437" s="846">
        <f t="shared" si="565"/>
        <v>2534</v>
      </c>
      <c r="BX437" s="158">
        <f ca="1">BX440+BX439+BX438</f>
        <v>2511.8794483539987</v>
      </c>
      <c r="BY437" s="158">
        <f ca="1">BY440+BY439+BY438</f>
        <v>2512.8843508561549</v>
      </c>
      <c r="BZ437" s="158">
        <f ca="1">BZ440+BZ439+BZ438</f>
        <v>2501.6645657211916</v>
      </c>
      <c r="CA437" s="158">
        <f ca="1">CA440+CA439+CA438</f>
        <v>2491.5541204363685</v>
      </c>
      <c r="CB437" s="158">
        <f ca="1">CB440+CB439+CB438</f>
        <v>2482.4497319835327</v>
      </c>
      <c r="CC437" s="37"/>
    </row>
    <row r="438" spans="1:81" s="715" customFormat="1" outlineLevel="1" x14ac:dyDescent="0.55000000000000004">
      <c r="A438" s="116" t="s">
        <v>629</v>
      </c>
      <c r="B438" s="229"/>
      <c r="C438" s="776">
        <v>7</v>
      </c>
      <c r="D438" s="776">
        <v>6</v>
      </c>
      <c r="E438" s="776">
        <v>6</v>
      </c>
      <c r="F438" s="86">
        <f>BL438</f>
        <v>6</v>
      </c>
      <c r="G438" s="776">
        <v>5</v>
      </c>
      <c r="H438" s="776">
        <v>5</v>
      </c>
      <c r="I438" s="776">
        <v>4</v>
      </c>
      <c r="J438" s="86">
        <f>BM438</f>
        <v>13</v>
      </c>
      <c r="K438" s="776">
        <v>12</v>
      </c>
      <c r="L438" s="776">
        <v>10</v>
      </c>
      <c r="M438" s="776">
        <v>9</v>
      </c>
      <c r="N438" s="86">
        <f>BN438</f>
        <v>8</v>
      </c>
      <c r="O438" s="776">
        <v>7</v>
      </c>
      <c r="P438" s="776">
        <v>6</v>
      </c>
      <c r="Q438" s="776">
        <v>5</v>
      </c>
      <c r="R438" s="86">
        <f>BO438</f>
        <v>4</v>
      </c>
      <c r="S438" s="776">
        <v>3</v>
      </c>
      <c r="T438" s="776">
        <v>2</v>
      </c>
      <c r="U438" s="776">
        <v>1</v>
      </c>
      <c r="V438" s="86">
        <f>BP438</f>
        <v>0</v>
      </c>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649"/>
      <c r="AZ438" s="86"/>
      <c r="BA438" s="86"/>
      <c r="BB438" s="86"/>
      <c r="BC438" s="86"/>
      <c r="BD438" s="86"/>
      <c r="BE438" s="86"/>
      <c r="BF438" s="86"/>
      <c r="BG438" s="86"/>
      <c r="BH438" s="940"/>
      <c r="BI438" s="940"/>
      <c r="BJ438" s="940"/>
      <c r="BK438" s="941">
        <v>2</v>
      </c>
      <c r="BL438" s="941">
        <v>6</v>
      </c>
      <c r="BM438" s="941">
        <v>13</v>
      </c>
      <c r="BN438" s="941">
        <v>8</v>
      </c>
      <c r="BO438" s="941">
        <v>4</v>
      </c>
      <c r="BP438" s="941">
        <v>0</v>
      </c>
      <c r="BQ438" s="940"/>
      <c r="BR438" s="940"/>
      <c r="BS438" s="940"/>
      <c r="BT438" s="940"/>
      <c r="BU438" s="940"/>
      <c r="BV438" s="940"/>
      <c r="BW438" s="942"/>
      <c r="BX438" s="940"/>
      <c r="BY438" s="940"/>
      <c r="BZ438" s="940"/>
      <c r="CA438" s="940"/>
      <c r="CB438" s="940"/>
      <c r="CC438" s="116"/>
    </row>
    <row r="439" spans="1:81" s="715" customFormat="1" outlineLevel="1" x14ac:dyDescent="0.55000000000000004">
      <c r="A439" s="18" t="s">
        <v>630</v>
      </c>
      <c r="B439" s="230"/>
      <c r="C439" s="777">
        <v>10</v>
      </c>
      <c r="D439" s="777">
        <v>9</v>
      </c>
      <c r="E439" s="777">
        <v>7</v>
      </c>
      <c r="F439" s="315">
        <f>BL439</f>
        <v>6</v>
      </c>
      <c r="G439" s="777">
        <v>6</v>
      </c>
      <c r="H439" s="777">
        <v>5</v>
      </c>
      <c r="I439" s="777">
        <v>8</v>
      </c>
      <c r="J439" s="315">
        <f>BM439</f>
        <v>6</v>
      </c>
      <c r="K439" s="777">
        <v>5</v>
      </c>
      <c r="L439" s="777">
        <v>4</v>
      </c>
      <c r="M439" s="777">
        <v>3</v>
      </c>
      <c r="N439" s="315">
        <f>BN439</f>
        <v>3</v>
      </c>
      <c r="O439" s="777">
        <v>3</v>
      </c>
      <c r="P439" s="777">
        <v>2</v>
      </c>
      <c r="Q439" s="777">
        <v>2</v>
      </c>
      <c r="R439" s="315">
        <f>BO439</f>
        <v>2</v>
      </c>
      <c r="S439" s="777">
        <v>2</v>
      </c>
      <c r="T439" s="777">
        <v>1</v>
      </c>
      <c r="U439" s="777">
        <v>1</v>
      </c>
      <c r="V439" s="315">
        <f>BP439</f>
        <v>0</v>
      </c>
      <c r="W439" s="315"/>
      <c r="X439" s="315"/>
      <c r="Y439" s="315"/>
      <c r="Z439" s="315"/>
      <c r="AA439" s="315"/>
      <c r="AB439" s="315"/>
      <c r="AC439" s="315"/>
      <c r="AD439" s="315"/>
      <c r="AE439" s="315"/>
      <c r="AF439" s="315"/>
      <c r="AG439" s="315"/>
      <c r="AH439" s="315"/>
      <c r="AI439" s="315"/>
      <c r="AJ439" s="315"/>
      <c r="AK439" s="315"/>
      <c r="AL439" s="315"/>
      <c r="AM439" s="315"/>
      <c r="AN439" s="315"/>
      <c r="AO439" s="315"/>
      <c r="AP439" s="315"/>
      <c r="AQ439" s="315"/>
      <c r="AR439" s="315"/>
      <c r="AS439" s="315"/>
      <c r="AT439" s="315"/>
      <c r="AU439" s="315"/>
      <c r="AV439" s="315"/>
      <c r="AW439" s="315"/>
      <c r="AX439" s="315"/>
      <c r="AY439" s="650"/>
      <c r="AZ439" s="315"/>
      <c r="BA439" s="315"/>
      <c r="BB439" s="315"/>
      <c r="BC439" s="315"/>
      <c r="BD439" s="315"/>
      <c r="BE439" s="315"/>
      <c r="BF439" s="315"/>
      <c r="BG439" s="315"/>
      <c r="BH439" s="943"/>
      <c r="BI439" s="943"/>
      <c r="BJ439" s="943"/>
      <c r="BK439" s="944">
        <v>11</v>
      </c>
      <c r="BL439" s="944">
        <v>6</v>
      </c>
      <c r="BM439" s="944">
        <v>6</v>
      </c>
      <c r="BN439" s="944">
        <v>3</v>
      </c>
      <c r="BO439" s="944">
        <v>2</v>
      </c>
      <c r="BP439" s="944">
        <v>0</v>
      </c>
      <c r="BQ439" s="943"/>
      <c r="BR439" s="943"/>
      <c r="BS439" s="943"/>
      <c r="BT439" s="943"/>
      <c r="BU439" s="943"/>
      <c r="BV439" s="943"/>
      <c r="BW439" s="945"/>
      <c r="BX439" s="943"/>
      <c r="BY439" s="943"/>
      <c r="BZ439" s="943"/>
      <c r="CA439" s="943"/>
      <c r="CB439" s="943"/>
      <c r="CC439" s="116"/>
    </row>
    <row r="440" spans="1:81" s="715" customFormat="1" outlineLevel="1" x14ac:dyDescent="0.55000000000000004">
      <c r="A440" s="117" t="s">
        <v>631</v>
      </c>
      <c r="B440" s="229"/>
      <c r="C440" s="86">
        <f t="shared" ref="C440:AH440" si="566">C437-C438-C439</f>
        <v>2394.04835</v>
      </c>
      <c r="D440" s="86">
        <f t="shared" si="566"/>
        <v>2415.8771740000002</v>
      </c>
      <c r="E440" s="86">
        <f t="shared" si="566"/>
        <v>2440</v>
      </c>
      <c r="F440" s="86">
        <f t="shared" si="566"/>
        <v>2534.5840920000001</v>
      </c>
      <c r="G440" s="86">
        <f t="shared" si="566"/>
        <v>2553</v>
      </c>
      <c r="H440" s="86">
        <f t="shared" si="566"/>
        <v>2565</v>
      </c>
      <c r="I440" s="86">
        <f t="shared" si="566"/>
        <v>2596</v>
      </c>
      <c r="J440" s="86">
        <f t="shared" si="566"/>
        <v>2777.9052080000001</v>
      </c>
      <c r="K440" s="86">
        <f t="shared" si="566"/>
        <v>2789</v>
      </c>
      <c r="L440" s="86">
        <f t="shared" si="566"/>
        <v>2800</v>
      </c>
      <c r="M440" s="86">
        <f t="shared" si="566"/>
        <v>2814</v>
      </c>
      <c r="N440" s="86">
        <f t="shared" si="566"/>
        <v>2834</v>
      </c>
      <c r="O440" s="86">
        <f t="shared" si="566"/>
        <v>2850</v>
      </c>
      <c r="P440" s="86">
        <f t="shared" si="566"/>
        <v>2862</v>
      </c>
      <c r="Q440" s="86">
        <f t="shared" si="566"/>
        <v>2875</v>
      </c>
      <c r="R440" s="86">
        <f t="shared" si="566"/>
        <v>2886</v>
      </c>
      <c r="S440" s="86">
        <f t="shared" si="566"/>
        <v>2893</v>
      </c>
      <c r="T440" s="86">
        <f t="shared" si="566"/>
        <v>2900</v>
      </c>
      <c r="U440" s="86">
        <f t="shared" si="566"/>
        <v>2904</v>
      </c>
      <c r="V440" s="86">
        <f t="shared" si="566"/>
        <v>2906</v>
      </c>
      <c r="W440" s="86">
        <f t="shared" si="566"/>
        <v>2902</v>
      </c>
      <c r="X440" s="86">
        <f t="shared" si="566"/>
        <v>2891</v>
      </c>
      <c r="Y440" s="86">
        <f t="shared" si="566"/>
        <v>2873</v>
      </c>
      <c r="Z440" s="86">
        <f t="shared" si="566"/>
        <v>2854</v>
      </c>
      <c r="AA440" s="86">
        <f t="shared" si="566"/>
        <v>2856</v>
      </c>
      <c r="AB440" s="86">
        <f t="shared" si="566"/>
        <v>2854</v>
      </c>
      <c r="AC440" s="86">
        <f t="shared" si="566"/>
        <v>2854</v>
      </c>
      <c r="AD440" s="86">
        <f t="shared" si="566"/>
        <v>2852</v>
      </c>
      <c r="AE440" s="86">
        <f t="shared" si="566"/>
        <v>2851</v>
      </c>
      <c r="AF440" s="86">
        <f t="shared" si="566"/>
        <v>2850</v>
      </c>
      <c r="AG440" s="86">
        <f t="shared" si="566"/>
        <v>2850</v>
      </c>
      <c r="AH440" s="86">
        <f t="shared" si="566"/>
        <v>2849</v>
      </c>
      <c r="AI440" s="86">
        <f t="shared" ref="AI440:AY440" si="567">AI437-AI438-AI439</f>
        <v>2841</v>
      </c>
      <c r="AJ440" s="86">
        <f t="shared" si="567"/>
        <v>2826</v>
      </c>
      <c r="AK440" s="86">
        <f t="shared" si="567"/>
        <v>2793</v>
      </c>
      <c r="AL440" s="86">
        <f t="shared" si="567"/>
        <v>2741</v>
      </c>
      <c r="AM440" s="86">
        <f t="shared" si="567"/>
        <v>2714</v>
      </c>
      <c r="AN440" s="86">
        <f t="shared" si="567"/>
        <v>2697</v>
      </c>
      <c r="AO440" s="86">
        <f t="shared" si="567"/>
        <v>2665</v>
      </c>
      <c r="AP440" s="86">
        <f t="shared" si="567"/>
        <v>2614</v>
      </c>
      <c r="AQ440" s="86">
        <f t="shared" si="567"/>
        <v>2566</v>
      </c>
      <c r="AR440" s="86">
        <f t="shared" si="567"/>
        <v>2573</v>
      </c>
      <c r="AS440" s="86">
        <f t="shared" si="567"/>
        <v>2571</v>
      </c>
      <c r="AT440" s="86">
        <f t="shared" si="567"/>
        <v>2561</v>
      </c>
      <c r="AU440" s="86">
        <f t="shared" si="567"/>
        <v>2537</v>
      </c>
      <c r="AV440" s="86">
        <f t="shared" si="567"/>
        <v>2533</v>
      </c>
      <c r="AW440" s="86">
        <f t="shared" si="567"/>
        <v>2524</v>
      </c>
      <c r="AX440" s="86">
        <f t="shared" si="567"/>
        <v>2534</v>
      </c>
      <c r="AY440" s="649">
        <f t="shared" si="567"/>
        <v>2520</v>
      </c>
      <c r="AZ440" s="86">
        <f ca="1">AY440*(1+AZ441)+AZ674/(AZ675/AZ723)</f>
        <v>2517.293420118343</v>
      </c>
      <c r="BA440" s="86">
        <f ca="1">AZ440*(1+BA441)+BA674/(BA675/BA723)</f>
        <v>2514.5865695786979</v>
      </c>
      <c r="BB440" s="86">
        <f ca="1">BA440*(1+BB441)+BB674/(BB675/BB723)</f>
        <v>2511.8794483539987</v>
      </c>
      <c r="BC440" s="86">
        <f ca="1">BX440*(1+BC441)+BC674/(BC675/BC723)</f>
        <v>2512.1306362988339</v>
      </c>
      <c r="BD440" s="86">
        <f ca="1">BC440*(1+BD441)+BD674/(BD675/BD723)</f>
        <v>2512.381849362464</v>
      </c>
      <c r="BE440" s="86">
        <f ca="1">BD440*(1+BE441)+BE674/(BE675/BE723)</f>
        <v>2512.6330875474</v>
      </c>
      <c r="BF440" s="86">
        <f ca="1">BE440*(1+BF441)+BF674/(BF675/BF723)</f>
        <v>2512.8843508561549</v>
      </c>
      <c r="BG440" s="86"/>
      <c r="BH440" s="940"/>
      <c r="BI440" s="940"/>
      <c r="BJ440" s="940"/>
      <c r="BK440" s="940">
        <f t="shared" ref="BK440:BW440" si="568">BK437-BK438-BK439</f>
        <v>2359.705195</v>
      </c>
      <c r="BL440" s="940">
        <f t="shared" si="568"/>
        <v>2534.5840920000001</v>
      </c>
      <c r="BM440" s="940">
        <f t="shared" si="568"/>
        <v>2777.9052080000001</v>
      </c>
      <c r="BN440" s="940">
        <f t="shared" si="568"/>
        <v>2834</v>
      </c>
      <c r="BO440" s="940">
        <f t="shared" si="568"/>
        <v>2886</v>
      </c>
      <c r="BP440" s="940">
        <f t="shared" si="568"/>
        <v>2906</v>
      </c>
      <c r="BQ440" s="940">
        <f t="shared" si="568"/>
        <v>2854</v>
      </c>
      <c r="BR440" s="940">
        <f t="shared" si="568"/>
        <v>2852</v>
      </c>
      <c r="BS440" s="940">
        <f t="shared" si="568"/>
        <v>2849</v>
      </c>
      <c r="BT440" s="940">
        <f t="shared" si="568"/>
        <v>2741</v>
      </c>
      <c r="BU440" s="940">
        <f t="shared" si="568"/>
        <v>2614</v>
      </c>
      <c r="BV440" s="940">
        <f t="shared" si="568"/>
        <v>2561</v>
      </c>
      <c r="BW440" s="942">
        <f t="shared" si="568"/>
        <v>2534</v>
      </c>
      <c r="BX440" s="940">
        <f ca="1">BB440</f>
        <v>2511.8794483539987</v>
      </c>
      <c r="BY440" s="940">
        <f ca="1">BF440</f>
        <v>2512.8843508561549</v>
      </c>
      <c r="BZ440" s="940">
        <f ca="1">BY440*(1+BZ442)+BZ674/(BZ675/BZ723)</f>
        <v>2501.6645657211916</v>
      </c>
      <c r="CA440" s="940">
        <f ca="1">BZ440*(1+CA442)+CA674/(CA675/CA723)</f>
        <v>2491.5541204363685</v>
      </c>
      <c r="CB440" s="940">
        <f ca="1">CA440*(1+CB442)+CB674/(CB675/CB723)</f>
        <v>2482.4497319835327</v>
      </c>
      <c r="CC440" s="116"/>
    </row>
    <row r="441" spans="1:81" s="706" customFormat="1" outlineLevel="1" x14ac:dyDescent="0.55000000000000004">
      <c r="A441" s="325" t="s">
        <v>635</v>
      </c>
      <c r="B441" s="76"/>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623"/>
      <c r="AZ441" s="760">
        <v>1E-4</v>
      </c>
      <c r="BA441" s="760">
        <v>1E-4</v>
      </c>
      <c r="BB441" s="760">
        <v>1E-4</v>
      </c>
      <c r="BC441" s="760">
        <v>1E-4</v>
      </c>
      <c r="BD441" s="760">
        <v>1E-4</v>
      </c>
      <c r="BE441" s="760">
        <v>1E-4</v>
      </c>
      <c r="BF441" s="760">
        <v>1E-4</v>
      </c>
      <c r="BG441" s="760"/>
      <c r="BH441" s="815"/>
      <c r="BI441" s="815"/>
      <c r="BJ441" s="815"/>
      <c r="BK441" s="815"/>
      <c r="BL441" s="815"/>
      <c r="BM441" s="815"/>
      <c r="BN441" s="815"/>
      <c r="BO441" s="815"/>
      <c r="BP441" s="815"/>
      <c r="BQ441" s="815"/>
      <c r="BR441" s="815"/>
      <c r="BS441" s="815"/>
      <c r="BT441" s="815"/>
      <c r="BU441" s="815"/>
      <c r="BV441" s="815"/>
      <c r="BW441" s="816"/>
      <c r="BX441" s="815"/>
      <c r="BY441" s="815"/>
      <c r="BZ441" s="815"/>
      <c r="CA441" s="815"/>
      <c r="CB441" s="815"/>
      <c r="CC441" s="37"/>
    </row>
    <row r="442" spans="1:81" s="706" customFormat="1" outlineLevel="1" x14ac:dyDescent="0.55000000000000004">
      <c r="A442" s="325" t="s">
        <v>636</v>
      </c>
      <c r="B442" s="76"/>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623"/>
      <c r="AZ442" s="54"/>
      <c r="BA442" s="54"/>
      <c r="BB442" s="54"/>
      <c r="BC442" s="54"/>
      <c r="BD442" s="54"/>
      <c r="BE442" s="54"/>
      <c r="BF442" s="54"/>
      <c r="BG442" s="54"/>
      <c r="BH442" s="815"/>
      <c r="BI442" s="815"/>
      <c r="BJ442" s="815"/>
      <c r="BK442" s="815"/>
      <c r="BL442" s="815"/>
      <c r="BM442" s="815"/>
      <c r="BN442" s="815"/>
      <c r="BO442" s="815"/>
      <c r="BP442" s="815"/>
      <c r="BQ442" s="815"/>
      <c r="BR442" s="815"/>
      <c r="BS442" s="815"/>
      <c r="BT442" s="815"/>
      <c r="BU442" s="815"/>
      <c r="BV442" s="815"/>
      <c r="BW442" s="816"/>
      <c r="BX442" s="815"/>
      <c r="BY442" s="815"/>
      <c r="BZ442" s="858">
        <v>4.0000000000000002E-4</v>
      </c>
      <c r="CA442" s="858">
        <v>4.0000000000000002E-4</v>
      </c>
      <c r="CB442" s="858">
        <v>4.0000000000000002E-4</v>
      </c>
      <c r="CC442" s="37"/>
    </row>
    <row r="443" spans="1:81" s="706" customFormat="1" outlineLevel="2" x14ac:dyDescent="0.55000000000000004">
      <c r="A443" s="325" t="s">
        <v>637</v>
      </c>
      <c r="B443" s="76"/>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623"/>
      <c r="AZ443" s="54">
        <f t="shared" ref="AZ443:BF443" ca="1" si="569">AZ674/(AZ675/AZ723)/AY437</f>
        <v>-1.1740396355780971E-3</v>
      </c>
      <c r="BA443" s="54">
        <f t="shared" ca="1" si="569"/>
        <v>-1.1753019564631111E-3</v>
      </c>
      <c r="BB443" s="54">
        <f t="shared" ca="1" si="569"/>
        <v>-1.1765671213906526E-3</v>
      </c>
      <c r="BC443" s="54">
        <f t="shared" ca="1" si="569"/>
        <v>0</v>
      </c>
      <c r="BD443" s="54">
        <f t="shared" ca="1" si="569"/>
        <v>0</v>
      </c>
      <c r="BE443" s="54">
        <f t="shared" ca="1" si="569"/>
        <v>0</v>
      </c>
      <c r="BF443" s="54">
        <f t="shared" ca="1" si="569"/>
        <v>0</v>
      </c>
      <c r="BG443" s="54"/>
      <c r="BH443" s="815"/>
      <c r="BI443" s="815"/>
      <c r="BJ443" s="815"/>
      <c r="BK443" s="815"/>
      <c r="BL443" s="815"/>
      <c r="BM443" s="815"/>
      <c r="BN443" s="815"/>
      <c r="BO443" s="815"/>
      <c r="BP443" s="815"/>
      <c r="BQ443" s="815"/>
      <c r="BR443" s="815"/>
      <c r="BS443" s="815"/>
      <c r="BT443" s="815"/>
      <c r="BU443" s="815"/>
      <c r="BV443" s="815"/>
      <c r="BW443" s="816"/>
      <c r="BX443" s="815"/>
      <c r="BY443" s="815"/>
      <c r="BZ443" s="815"/>
      <c r="CA443" s="815"/>
      <c r="CB443" s="815"/>
      <c r="CC443" s="37"/>
    </row>
    <row r="444" spans="1:81" s="706" customFormat="1" outlineLevel="2" x14ac:dyDescent="0.55000000000000004">
      <c r="A444" s="402" t="s">
        <v>638</v>
      </c>
      <c r="B444" s="403"/>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c r="AN444" s="404"/>
      <c r="AO444" s="404"/>
      <c r="AP444" s="404"/>
      <c r="AQ444" s="404"/>
      <c r="AR444" s="404"/>
      <c r="AS444" s="404"/>
      <c r="AT444" s="404"/>
      <c r="AU444" s="404"/>
      <c r="AV444" s="404"/>
      <c r="AW444" s="404"/>
      <c r="AX444" s="404"/>
      <c r="AY444" s="651"/>
      <c r="AZ444" s="404"/>
      <c r="BA444" s="404"/>
      <c r="BB444" s="404"/>
      <c r="BC444" s="404"/>
      <c r="BD444" s="404"/>
      <c r="BE444" s="404"/>
      <c r="BF444" s="404"/>
      <c r="BG444" s="404"/>
      <c r="BH444" s="946"/>
      <c r="BI444" s="946"/>
      <c r="BJ444" s="946"/>
      <c r="BK444" s="946"/>
      <c r="BL444" s="946"/>
      <c r="BM444" s="946"/>
      <c r="BN444" s="946"/>
      <c r="BO444" s="946"/>
      <c r="BP444" s="946"/>
      <c r="BQ444" s="946"/>
      <c r="BR444" s="946"/>
      <c r="BS444" s="946"/>
      <c r="BT444" s="946"/>
      <c r="BU444" s="946"/>
      <c r="BV444" s="946"/>
      <c r="BW444" s="947"/>
      <c r="BX444" s="946">
        <f ca="1">BX674/(BX675/BX723)/BW437</f>
        <v>-1.0948146626004679E-2</v>
      </c>
      <c r="BY444" s="946">
        <f ca="1">BY674/(BY675/BY723)/BX437</f>
        <v>0</v>
      </c>
      <c r="BZ444" s="946">
        <f ca="1">BZ674/(BZ675/BZ723)/BY437</f>
        <v>-4.8649031027394925E-3</v>
      </c>
      <c r="CA444" s="946">
        <f ca="1">CA674/(CA675/CA723)/BZ437</f>
        <v>-4.4414871855163957E-3</v>
      </c>
      <c r="CB444" s="946">
        <f ca="1">CB674/(CB675/CB723)/CA437</f>
        <v>-4.0541002172736346E-3</v>
      </c>
      <c r="CC444" s="37"/>
    </row>
    <row r="445" spans="1:81" s="706" customFormat="1" outlineLevel="1" x14ac:dyDescent="0.55000000000000004">
      <c r="A445" s="45" t="s">
        <v>639</v>
      </c>
      <c r="B445" s="76"/>
      <c r="C445" s="54">
        <f>C440/BK440-1</f>
        <v>1.4554002369774777E-2</v>
      </c>
      <c r="D445" s="54">
        <f t="shared" ref="D445:AI445" si="570">D440/C440-1</f>
        <v>9.1179545308681664E-3</v>
      </c>
      <c r="E445" s="54">
        <f t="shared" si="570"/>
        <v>9.9851210399324319E-3</v>
      </c>
      <c r="F445" s="54">
        <f t="shared" si="570"/>
        <v>3.8763972131147462E-2</v>
      </c>
      <c r="G445" s="54">
        <f t="shared" si="570"/>
        <v>7.2658500691007433E-3</v>
      </c>
      <c r="H445" s="54">
        <f t="shared" si="570"/>
        <v>4.7003525264395218E-3</v>
      </c>
      <c r="I445" s="54">
        <f t="shared" si="570"/>
        <v>1.2085769980506811E-2</v>
      </c>
      <c r="J445" s="54">
        <f t="shared" si="570"/>
        <v>7.0071343605547121E-2</v>
      </c>
      <c r="K445" s="54">
        <f t="shared" si="570"/>
        <v>3.9939418983947483E-3</v>
      </c>
      <c r="L445" s="54">
        <f t="shared" si="570"/>
        <v>3.9440659734673034E-3</v>
      </c>
      <c r="M445" s="54">
        <f t="shared" si="570"/>
        <v>4.9999999999998934E-3</v>
      </c>
      <c r="N445" s="54">
        <f t="shared" si="570"/>
        <v>7.1073205401563921E-3</v>
      </c>
      <c r="O445" s="54">
        <f t="shared" si="570"/>
        <v>5.6457304163726185E-3</v>
      </c>
      <c r="P445" s="54">
        <f t="shared" si="570"/>
        <v>4.2105263157894424E-3</v>
      </c>
      <c r="Q445" s="54">
        <f t="shared" si="570"/>
        <v>4.5422781271837742E-3</v>
      </c>
      <c r="R445" s="54">
        <f t="shared" si="570"/>
        <v>3.826086956521646E-3</v>
      </c>
      <c r="S445" s="54">
        <f t="shared" si="570"/>
        <v>2.4255024255024349E-3</v>
      </c>
      <c r="T445" s="54">
        <f t="shared" si="570"/>
        <v>2.4196335983408535E-3</v>
      </c>
      <c r="U445" s="54">
        <f t="shared" si="570"/>
        <v>1.3793103448276334E-3</v>
      </c>
      <c r="V445" s="54">
        <f t="shared" si="570"/>
        <v>6.8870523415975882E-4</v>
      </c>
      <c r="W445" s="54">
        <f t="shared" si="570"/>
        <v>-1.3764624913971124E-3</v>
      </c>
      <c r="X445" s="54">
        <f t="shared" si="570"/>
        <v>-3.7904893177119758E-3</v>
      </c>
      <c r="Y445" s="54">
        <f t="shared" si="570"/>
        <v>-6.2262193012798672E-3</v>
      </c>
      <c r="Z445" s="54">
        <f t="shared" si="570"/>
        <v>-6.6132962060564404E-3</v>
      </c>
      <c r="AA445" s="54">
        <f t="shared" si="570"/>
        <v>7.0077084793274125E-4</v>
      </c>
      <c r="AB445" s="54">
        <f t="shared" si="570"/>
        <v>-7.0028011204481544E-4</v>
      </c>
      <c r="AC445" s="54">
        <f t="shared" si="570"/>
        <v>0</v>
      </c>
      <c r="AD445" s="54">
        <f t="shared" si="570"/>
        <v>-7.0077084793274125E-4</v>
      </c>
      <c r="AE445" s="54">
        <f t="shared" si="570"/>
        <v>-3.506311360448322E-4</v>
      </c>
      <c r="AF445" s="54">
        <f t="shared" si="570"/>
        <v>-3.5075412136087447E-4</v>
      </c>
      <c r="AG445" s="54">
        <f t="shared" si="570"/>
        <v>0</v>
      </c>
      <c r="AH445" s="54">
        <f t="shared" si="570"/>
        <v>-3.5087719298243503E-4</v>
      </c>
      <c r="AI445" s="54">
        <f t="shared" si="570"/>
        <v>-2.8080028080028629E-3</v>
      </c>
      <c r="AJ445" s="54">
        <f t="shared" ref="AJ445:BF445" si="571">AJ440/AI440-1</f>
        <v>-5.2798310454065245E-3</v>
      </c>
      <c r="AK445" s="54">
        <f t="shared" si="571"/>
        <v>-1.1677282377919318E-2</v>
      </c>
      <c r="AL445" s="54">
        <f t="shared" si="571"/>
        <v>-1.8617973505191565E-2</v>
      </c>
      <c r="AM445" s="54">
        <f t="shared" si="571"/>
        <v>-9.8504195549069529E-3</v>
      </c>
      <c r="AN445" s="54">
        <f t="shared" si="571"/>
        <v>-6.2638172439204443E-3</v>
      </c>
      <c r="AO445" s="54">
        <f t="shared" si="571"/>
        <v>-1.1865035224323361E-2</v>
      </c>
      <c r="AP445" s="54">
        <f t="shared" si="571"/>
        <v>-1.9136960600375286E-2</v>
      </c>
      <c r="AQ445" s="54">
        <f t="shared" si="571"/>
        <v>-1.8362662586074996E-2</v>
      </c>
      <c r="AR445" s="54">
        <f t="shared" si="571"/>
        <v>2.7279812938425518E-3</v>
      </c>
      <c r="AS445" s="54">
        <f t="shared" si="571"/>
        <v>-7.7730275942478055E-4</v>
      </c>
      <c r="AT445" s="54">
        <f t="shared" si="571"/>
        <v>-3.88953714507978E-3</v>
      </c>
      <c r="AU445" s="54">
        <f t="shared" si="571"/>
        <v>-9.3713393205778761E-3</v>
      </c>
      <c r="AV445" s="54">
        <f t="shared" si="571"/>
        <v>-1.5766653527788943E-3</v>
      </c>
      <c r="AW445" s="54">
        <f t="shared" si="571"/>
        <v>-3.5530990919857564E-3</v>
      </c>
      <c r="AX445" s="54">
        <f t="shared" si="571"/>
        <v>3.961965134706924E-3</v>
      </c>
      <c r="AY445" s="623">
        <f t="shared" si="571"/>
        <v>-5.5248618784530246E-3</v>
      </c>
      <c r="AZ445" s="54">
        <f t="shared" ca="1" si="571"/>
        <v>-1.0740396355781723E-3</v>
      </c>
      <c r="BA445" s="54">
        <f t="shared" ca="1" si="571"/>
        <v>-1.0753019564631039E-3</v>
      </c>
      <c r="BB445" s="54">
        <f t="shared" ca="1" si="571"/>
        <v>-1.0765671213908146E-3</v>
      </c>
      <c r="BC445" s="54">
        <f t="shared" ca="1" si="571"/>
        <v>9.9999999999988987E-5</v>
      </c>
      <c r="BD445" s="54">
        <f t="shared" ca="1" si="571"/>
        <v>9.9999999999988987E-5</v>
      </c>
      <c r="BE445" s="54">
        <f t="shared" ca="1" si="571"/>
        <v>9.9999999999988987E-5</v>
      </c>
      <c r="BF445" s="54">
        <f t="shared" ca="1" si="571"/>
        <v>9.9999999999988987E-5</v>
      </c>
      <c r="BG445" s="54"/>
      <c r="BH445" s="815"/>
      <c r="BI445" s="815"/>
      <c r="BJ445" s="815"/>
      <c r="BK445" s="815"/>
      <c r="BL445" s="815"/>
      <c r="BM445" s="815"/>
      <c r="BN445" s="815"/>
      <c r="BO445" s="815"/>
      <c r="BP445" s="815"/>
      <c r="BQ445" s="815"/>
      <c r="BR445" s="815"/>
      <c r="BS445" s="815"/>
      <c r="BT445" s="815"/>
      <c r="BU445" s="815"/>
      <c r="BV445" s="815"/>
      <c r="BW445" s="816"/>
      <c r="BX445" s="815"/>
      <c r="BY445" s="815"/>
      <c r="BZ445" s="815"/>
      <c r="CA445" s="815"/>
      <c r="CB445" s="815"/>
      <c r="CC445" s="37"/>
    </row>
    <row r="446" spans="1:81" s="706" customFormat="1" outlineLevel="1" x14ac:dyDescent="0.55000000000000004">
      <c r="A446" s="45" t="s">
        <v>640</v>
      </c>
      <c r="B446" s="76"/>
      <c r="C446" s="54"/>
      <c r="D446" s="54"/>
      <c r="E446" s="54"/>
      <c r="F446" s="54"/>
      <c r="G446" s="54">
        <f t="shared" ref="G446:AL446" si="572">G440/C440-1</f>
        <v>6.6394502851206072E-2</v>
      </c>
      <c r="H446" s="54">
        <f t="shared" si="572"/>
        <v>6.1726162076814139E-2</v>
      </c>
      <c r="I446" s="54">
        <f t="shared" si="572"/>
        <v>6.393442622950829E-2</v>
      </c>
      <c r="J446" s="54">
        <f t="shared" si="572"/>
        <v>9.6000411573639699E-2</v>
      </c>
      <c r="K446" s="54">
        <f t="shared" si="572"/>
        <v>9.244026635330993E-2</v>
      </c>
      <c r="L446" s="54">
        <f t="shared" si="572"/>
        <v>9.161793372319682E-2</v>
      </c>
      <c r="M446" s="54">
        <f t="shared" si="572"/>
        <v>8.3975346687211072E-2</v>
      </c>
      <c r="N446" s="54">
        <f t="shared" si="572"/>
        <v>2.0193198759430153E-2</v>
      </c>
      <c r="O446" s="54">
        <f t="shared" si="572"/>
        <v>2.1871638580136299E-2</v>
      </c>
      <c r="P446" s="54">
        <f t="shared" si="572"/>
        <v>2.2142857142857242E-2</v>
      </c>
      <c r="Q446" s="54">
        <f t="shared" si="572"/>
        <v>2.1677327647476874E-2</v>
      </c>
      <c r="R446" s="54">
        <f t="shared" si="572"/>
        <v>1.8348623853210899E-2</v>
      </c>
      <c r="S446" s="54">
        <f t="shared" si="572"/>
        <v>1.5087719298245705E-2</v>
      </c>
      <c r="T446" s="54">
        <f t="shared" si="572"/>
        <v>1.3277428371768041E-2</v>
      </c>
      <c r="U446" s="54">
        <f t="shared" si="572"/>
        <v>1.0086956521739188E-2</v>
      </c>
      <c r="V446" s="54">
        <f t="shared" si="572"/>
        <v>6.9300069300068934E-3</v>
      </c>
      <c r="W446" s="54">
        <f t="shared" si="572"/>
        <v>3.1109574835810339E-3</v>
      </c>
      <c r="X446" s="54">
        <f t="shared" si="572"/>
        <v>-3.1034482758620641E-3</v>
      </c>
      <c r="Y446" s="54">
        <f t="shared" si="572"/>
        <v>-1.0674931129476595E-2</v>
      </c>
      <c r="Z446" s="54">
        <f t="shared" si="572"/>
        <v>-1.7894012388162461E-2</v>
      </c>
      <c r="AA446" s="54">
        <f t="shared" si="572"/>
        <v>-1.5851137146795313E-2</v>
      </c>
      <c r="AB446" s="54">
        <f t="shared" si="572"/>
        <v>-1.2798339674852999E-2</v>
      </c>
      <c r="AC446" s="54">
        <f t="shared" si="572"/>
        <v>-6.6132962060564404E-3</v>
      </c>
      <c r="AD446" s="54">
        <f t="shared" si="572"/>
        <v>-7.0077084793274125E-4</v>
      </c>
      <c r="AE446" s="54">
        <f t="shared" si="572"/>
        <v>-1.7507002801120386E-3</v>
      </c>
      <c r="AF446" s="54">
        <f t="shared" si="572"/>
        <v>-1.4015416958654825E-3</v>
      </c>
      <c r="AG446" s="54">
        <f t="shared" si="572"/>
        <v>-1.4015416958654825E-3</v>
      </c>
      <c r="AH446" s="54">
        <f t="shared" si="572"/>
        <v>-1.0518934081346076E-3</v>
      </c>
      <c r="AI446" s="54">
        <f t="shared" si="572"/>
        <v>-3.5075412136092998E-3</v>
      </c>
      <c r="AJ446" s="54">
        <f t="shared" si="572"/>
        <v>-8.4210526315789958E-3</v>
      </c>
      <c r="AK446" s="54">
        <f t="shared" si="572"/>
        <v>-2.0000000000000018E-2</v>
      </c>
      <c r="AL446" s="54">
        <f t="shared" si="572"/>
        <v>-3.7908037908037873E-2</v>
      </c>
      <c r="AM446" s="54">
        <f t="shared" ref="AM446:BF446" si="573">AM440/AI440-1</f>
        <v>-4.4702569517775403E-2</v>
      </c>
      <c r="AN446" s="54">
        <f t="shared" si="573"/>
        <v>-4.5647558386411879E-2</v>
      </c>
      <c r="AO446" s="54">
        <f t="shared" si="573"/>
        <v>-4.5828857858933092E-2</v>
      </c>
      <c r="AP446" s="54">
        <f t="shared" si="573"/>
        <v>-4.6333454943451313E-2</v>
      </c>
      <c r="AQ446" s="54">
        <f t="shared" si="573"/>
        <v>-5.4532056005895391E-2</v>
      </c>
      <c r="AR446" s="54">
        <f t="shared" si="573"/>
        <v>-4.5977011494252928E-2</v>
      </c>
      <c r="AS446" s="54">
        <f t="shared" si="573"/>
        <v>-3.5272045028142629E-2</v>
      </c>
      <c r="AT446" s="54">
        <f t="shared" si="573"/>
        <v>-2.0275439938791107E-2</v>
      </c>
      <c r="AU446" s="54">
        <f t="shared" si="573"/>
        <v>-1.130163678877627E-2</v>
      </c>
      <c r="AV446" s="54">
        <f t="shared" si="573"/>
        <v>-1.5546055188495944E-2</v>
      </c>
      <c r="AW446" s="54">
        <f t="shared" si="573"/>
        <v>-1.8280824581874744E-2</v>
      </c>
      <c r="AX446" s="54">
        <f t="shared" si="573"/>
        <v>-1.0542756735650083E-2</v>
      </c>
      <c r="AY446" s="623">
        <f t="shared" si="573"/>
        <v>-6.7008277493102453E-3</v>
      </c>
      <c r="AZ446" s="54">
        <f t="shared" ca="1" si="573"/>
        <v>-6.2007816350797551E-3</v>
      </c>
      <c r="BA446" s="54">
        <f t="shared" ca="1" si="573"/>
        <v>-3.7295683127187562E-3</v>
      </c>
      <c r="BB446" s="54">
        <f t="shared" ca="1" si="573"/>
        <v>-8.7294994656674785E-3</v>
      </c>
      <c r="BC446" s="54">
        <f t="shared" ca="1" si="573"/>
        <v>-3.1227633734786098E-3</v>
      </c>
      <c r="BD446" s="54">
        <f t="shared" ca="1" si="573"/>
        <v>-1.9511316069177331E-3</v>
      </c>
      <c r="BE446" s="54">
        <f t="shared" ca="1" si="573"/>
        <v>-7.7686012282529582E-4</v>
      </c>
      <c r="BF446" s="54">
        <f t="shared" ca="1" si="573"/>
        <v>4.0006000400016895E-4</v>
      </c>
      <c r="BG446" s="54"/>
      <c r="BH446" s="815"/>
      <c r="BI446" s="815"/>
      <c r="BJ446" s="815"/>
      <c r="BK446" s="815"/>
      <c r="BL446" s="815">
        <f t="shared" ref="BL446:CB446" si="574">BL440/BK440-1</f>
        <v>7.4110485229490708E-2</v>
      </c>
      <c r="BM446" s="815">
        <f t="shared" si="574"/>
        <v>9.6000411573639699E-2</v>
      </c>
      <c r="BN446" s="815">
        <f t="shared" si="574"/>
        <v>2.0193198759430153E-2</v>
      </c>
      <c r="BO446" s="815">
        <f t="shared" si="574"/>
        <v>1.8348623853210899E-2</v>
      </c>
      <c r="BP446" s="815">
        <f t="shared" si="574"/>
        <v>6.9300069300068934E-3</v>
      </c>
      <c r="BQ446" s="815">
        <f t="shared" si="574"/>
        <v>-1.7894012388162461E-2</v>
      </c>
      <c r="BR446" s="815">
        <f t="shared" si="574"/>
        <v>-7.0077084793274125E-4</v>
      </c>
      <c r="BS446" s="815">
        <f t="shared" si="574"/>
        <v>-1.0518934081346076E-3</v>
      </c>
      <c r="BT446" s="815">
        <f t="shared" si="574"/>
        <v>-3.7908037908037873E-2</v>
      </c>
      <c r="BU446" s="815">
        <f t="shared" si="574"/>
        <v>-4.6333454943451313E-2</v>
      </c>
      <c r="BV446" s="815">
        <f t="shared" si="574"/>
        <v>-2.0275439938791107E-2</v>
      </c>
      <c r="BW446" s="816">
        <f t="shared" si="574"/>
        <v>-1.0542756735650083E-2</v>
      </c>
      <c r="BX446" s="815">
        <f t="shared" ca="1" si="574"/>
        <v>-8.7294994656674785E-3</v>
      </c>
      <c r="BY446" s="815">
        <f t="shared" ca="1" si="574"/>
        <v>4.0006000400016895E-4</v>
      </c>
      <c r="BZ446" s="815">
        <f t="shared" ca="1" si="574"/>
        <v>-4.4649031027396147E-3</v>
      </c>
      <c r="CA446" s="815">
        <f t="shared" ca="1" si="574"/>
        <v>-4.0414871855165568E-3</v>
      </c>
      <c r="CB446" s="815">
        <f t="shared" ca="1" si="574"/>
        <v>-3.654100217273748E-3</v>
      </c>
      <c r="CC446" s="37"/>
    </row>
    <row r="447" spans="1:81" s="706" customFormat="1" outlineLevel="1" x14ac:dyDescent="0.55000000000000004">
      <c r="A447" s="37"/>
      <c r="B447" s="8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273"/>
      <c r="AZ447" s="37"/>
      <c r="BA447" s="37"/>
      <c r="BB447" s="37"/>
      <c r="BC447" s="37"/>
      <c r="BD447" s="37"/>
      <c r="BE447" s="37"/>
      <c r="BF447" s="37"/>
      <c r="BG447" s="37"/>
      <c r="BH447" s="158"/>
      <c r="BI447" s="158"/>
      <c r="BJ447" s="158"/>
      <c r="BK447" s="158"/>
      <c r="BL447" s="158"/>
      <c r="BM447" s="158"/>
      <c r="BN447" s="158"/>
      <c r="BO447" s="158"/>
      <c r="BP447" s="158"/>
      <c r="BQ447" s="158"/>
      <c r="BR447" s="158"/>
      <c r="BS447" s="158"/>
      <c r="BT447" s="158"/>
      <c r="BU447" s="158"/>
      <c r="BV447" s="158"/>
      <c r="BW447" s="846"/>
      <c r="BX447" s="158"/>
      <c r="BY447" s="158"/>
      <c r="BZ447" s="158"/>
      <c r="CA447" s="158"/>
      <c r="CB447" s="158"/>
      <c r="CC447" s="117"/>
    </row>
    <row r="448" spans="1:81" s="706" customFormat="1" outlineLevel="1" x14ac:dyDescent="0.55000000000000004">
      <c r="A448" s="37" t="s">
        <v>670</v>
      </c>
      <c r="B448" s="87"/>
      <c r="C448" s="37">
        <f>IF(C412&gt;0,(C426-C425),BK448)</f>
        <v>113</v>
      </c>
      <c r="D448" s="37">
        <f>IF(D412&gt;0,(D426-D425),C448)</f>
        <v>95</v>
      </c>
      <c r="E448" s="37">
        <f>IF(E412&gt;0,(E426-E425),D448)</f>
        <v>98</v>
      </c>
      <c r="F448" s="37">
        <f>IF(F412&gt;0,(F426-F425),E448)</f>
        <v>100</v>
      </c>
      <c r="G448" s="37">
        <f>IF(G412&gt;0,(G426-G425),BL448)</f>
        <v>64</v>
      </c>
      <c r="H448" s="37">
        <f>IF(H412&gt;0,(H426-H425),G448)</f>
        <v>55</v>
      </c>
      <c r="I448" s="37">
        <f>IF(I412&gt;0,(I426-I425),H448)</f>
        <v>57</v>
      </c>
      <c r="J448" s="37">
        <f>IF(J412&gt;0,(J426-J425),I448)</f>
        <v>55</v>
      </c>
      <c r="K448" s="37">
        <f>IF(K412&gt;0,(K426-K425),BM448)</f>
        <v>52</v>
      </c>
      <c r="L448" s="37">
        <f>IF(L412&gt;0,(L426-L425),K448)</f>
        <v>54</v>
      </c>
      <c r="M448" s="37">
        <f>IF(M412&gt;0,(M426-M425),L448)</f>
        <v>55</v>
      </c>
      <c r="N448" s="37">
        <f>IF(N412&gt;0,(N426-N425),M448)</f>
        <v>53</v>
      </c>
      <c r="O448" s="37">
        <f>IF(O412&gt;0,(O426-O425),BN448)</f>
        <v>62</v>
      </c>
      <c r="P448" s="37">
        <f>IF(P412&gt;0,(P426-P425),O448)</f>
        <v>65</v>
      </c>
      <c r="Q448" s="37">
        <f>IF(Q412&gt;0,(Q426-Q425),P448)</f>
        <v>44</v>
      </c>
      <c r="R448" s="37">
        <f>IF(R412&gt;0,(R426-R425),Q448)</f>
        <v>56</v>
      </c>
      <c r="S448" s="37">
        <f>IF(S412&gt;0,(S426-S425),BO448)</f>
        <v>53</v>
      </c>
      <c r="T448" s="37">
        <f>IF(T412&gt;0,(T426-T425),S448)</f>
        <v>51</v>
      </c>
      <c r="U448" s="37">
        <f>IF(U412&gt;0,(U426-U425),T448)</f>
        <v>52</v>
      </c>
      <c r="V448" s="37">
        <f>IF(V412&gt;0,(V426-V425),U448)</f>
        <v>47</v>
      </c>
      <c r="W448" s="37">
        <f>IF(W412&gt;0,(W426-W425),BP448)</f>
        <v>39</v>
      </c>
      <c r="X448" s="37">
        <f>IF(X412&gt;0,(X426-X425),W448)</f>
        <v>35</v>
      </c>
      <c r="Y448" s="37">
        <f>IF(Y412&gt;0,(Y426-Y425),X448)</f>
        <v>28</v>
      </c>
      <c r="Z448" s="37">
        <f>IF(Z412&gt;0,(Z426-Z425),Y448)</f>
        <v>14</v>
      </c>
      <c r="AA448" s="37">
        <f>IF(AA412&gt;0,(AA426-AA425),BQ448)</f>
        <v>13</v>
      </c>
      <c r="AB448" s="37">
        <f>IF(AB412&gt;0,(AB426-AB425),AA448)</f>
        <v>20</v>
      </c>
      <c r="AC448" s="37">
        <f>IF(AC412&gt;0,(AC426-AC425),AB448)</f>
        <v>20</v>
      </c>
      <c r="AD448" s="37">
        <f>IF(AD412&gt;0,(AD426-AD425),AC448)</f>
        <v>18</v>
      </c>
      <c r="AE448" s="37">
        <f>IF(AE412&gt;0,(AE426-AE425),BR448)</f>
        <v>17</v>
      </c>
      <c r="AF448" s="37">
        <f>IF(AF412&gt;0,(AF426-AF425),AE448)</f>
        <v>29</v>
      </c>
      <c r="AG448" s="37">
        <f>IF(AG412&gt;0,(AG426-AG425),AF448)</f>
        <v>41</v>
      </c>
      <c r="AH448" s="37">
        <f>IF(AH412&gt;0,(AH426-AH425),AG448)</f>
        <v>40</v>
      </c>
      <c r="AI448" s="37">
        <f>IF(AI412&gt;0,(AI426-AI425),BS448)</f>
        <v>35</v>
      </c>
      <c r="AJ448" s="37">
        <f>IF(AJ412&gt;0,(AJ426-AJ425),AI448)</f>
        <v>43</v>
      </c>
      <c r="AK448" s="37">
        <f>IF(AK412&gt;0,(AK426-AK425),AJ448)</f>
        <v>45</v>
      </c>
      <c r="AL448" s="37">
        <f>IF(AL412&gt;0,(AL426-AL425),AK448)</f>
        <v>34</v>
      </c>
      <c r="AM448" s="37">
        <f>IF(AM412&gt;0,(AM426-AM425),BT448)</f>
        <v>17</v>
      </c>
      <c r="AN448" s="37">
        <f>IF(AN412&gt;0,(AN426-AN425),AM448)</f>
        <v>9</v>
      </c>
      <c r="AO448" s="37">
        <f>IF(AO412&gt;0,(AO426-AO425),AN448)</f>
        <v>5</v>
      </c>
      <c r="AP448" s="37">
        <f>IF(AP412&gt;0,(AP426-AP425),AO448)</f>
        <v>2</v>
      </c>
      <c r="AQ448" s="37">
        <f>IF(AQ412&gt;0,(AQ426-AQ425),BU448)</f>
        <v>9</v>
      </c>
      <c r="AR448" s="37">
        <f>IF(AR412&gt;0,(AR426-AR425),AQ448)</f>
        <v>44</v>
      </c>
      <c r="AS448" s="37">
        <f>IF(AS412&gt;0,(AS426-AS425),AR448)</f>
        <v>65</v>
      </c>
      <c r="AT448" s="37">
        <f>IF(AT412&gt;0,(AT426-AT425),AS448)</f>
        <v>64</v>
      </c>
      <c r="AU448" s="37">
        <f>IF(AU412&gt;0,(AU426-AU425),BV448)</f>
        <v>80</v>
      </c>
      <c r="AV448" s="37">
        <f>IF(AV412&gt;0,(AV426-AV425),AU448)</f>
        <v>76</v>
      </c>
      <c r="AW448" s="37">
        <f>IF(AW412&gt;0,(AW426-AW425),AV448)</f>
        <v>71</v>
      </c>
      <c r="AX448" s="37">
        <f>IF(AX412&gt;0,(AX426-AX425),AW448)</f>
        <v>70</v>
      </c>
      <c r="AY448" s="273">
        <f>IF(AY412&gt;0,(AY426-AY425),BW448)</f>
        <v>63</v>
      </c>
      <c r="AZ448" s="37">
        <f t="shared" ref="AZ448:BF448" ca="1" si="575">AZ440*AZ449-AZ440</f>
        <v>75.52874059573378</v>
      </c>
      <c r="BA448" s="37">
        <f t="shared" ca="1" si="575"/>
        <v>75.447524393202002</v>
      </c>
      <c r="BB448" s="37">
        <f t="shared" ca="1" si="575"/>
        <v>75.366300069049885</v>
      </c>
      <c r="BC448" s="37">
        <f t="shared" ca="1" si="575"/>
        <v>75.373836699056938</v>
      </c>
      <c r="BD448" s="37">
        <f t="shared" ca="1" si="575"/>
        <v>75.381374082726779</v>
      </c>
      <c r="BE448" s="37">
        <f t="shared" ca="1" si="575"/>
        <v>75.388912220135353</v>
      </c>
      <c r="BF448" s="37">
        <f t="shared" ca="1" si="575"/>
        <v>75.396451111357237</v>
      </c>
      <c r="BG448" s="37"/>
      <c r="BH448" s="158"/>
      <c r="BI448" s="158"/>
      <c r="BJ448" s="158"/>
      <c r="BK448" s="158">
        <f>IF(BK412&gt;0,(BK426-BK425),BJ448)</f>
        <v>160</v>
      </c>
      <c r="BL448" s="158">
        <f>F448</f>
        <v>100</v>
      </c>
      <c r="BM448" s="158">
        <f>J448</f>
        <v>55</v>
      </c>
      <c r="BN448" s="158">
        <f>N448</f>
        <v>53</v>
      </c>
      <c r="BO448" s="158">
        <f>R448</f>
        <v>56</v>
      </c>
      <c r="BP448" s="158">
        <f>V448</f>
        <v>47</v>
      </c>
      <c r="BQ448" s="158">
        <f>Z448</f>
        <v>14</v>
      </c>
      <c r="BR448" s="158">
        <f>AD448</f>
        <v>18</v>
      </c>
      <c r="BS448" s="158">
        <f>AH448</f>
        <v>40</v>
      </c>
      <c r="BT448" s="158">
        <f>AL448</f>
        <v>34</v>
      </c>
      <c r="BU448" s="158">
        <f>AP448</f>
        <v>2</v>
      </c>
      <c r="BV448" s="158">
        <f>AT448</f>
        <v>64</v>
      </c>
      <c r="BW448" s="846">
        <f>AX448</f>
        <v>70</v>
      </c>
      <c r="BX448" s="158">
        <f ca="1">BB448</f>
        <v>75.366300069049885</v>
      </c>
      <c r="BY448" s="158">
        <f ca="1">BF448</f>
        <v>75.396451111357237</v>
      </c>
      <c r="BZ448" s="158">
        <f ca="1">BZ440*BZ449-BZ440</f>
        <v>75.059813262854277</v>
      </c>
      <c r="CA448" s="158">
        <f ca="1">CA440*CA449-CA440</f>
        <v>74.756459989405357</v>
      </c>
      <c r="CB448" s="158">
        <f ca="1">CB440*CB449-CB440</f>
        <v>74.483292392715612</v>
      </c>
      <c r="CC448" s="37"/>
    </row>
    <row r="449" spans="1:81" s="716" customFormat="1" outlineLevel="1" x14ac:dyDescent="0.55000000000000004">
      <c r="A449" s="325" t="s">
        <v>641</v>
      </c>
      <c r="B449" s="376"/>
      <c r="C449" s="571">
        <f t="shared" ref="C449:AH449" si="576">(C448+C440)/C437</f>
        <v>1.0398167046297515</v>
      </c>
      <c r="D449" s="571">
        <f t="shared" si="576"/>
        <v>1.0329099309729255</v>
      </c>
      <c r="E449" s="571">
        <f t="shared" si="576"/>
        <v>1.034651447207501</v>
      </c>
      <c r="F449" s="571">
        <f t="shared" si="576"/>
        <v>1.0345560942897778</v>
      </c>
      <c r="G449" s="571">
        <f t="shared" si="576"/>
        <v>1.0206708268330733</v>
      </c>
      <c r="H449" s="571">
        <f t="shared" si="576"/>
        <v>1.0174757281553397</v>
      </c>
      <c r="I449" s="571">
        <f t="shared" si="576"/>
        <v>1.0172546012269938</v>
      </c>
      <c r="J449" s="571">
        <f t="shared" si="576"/>
        <v>1.0128713693610456</v>
      </c>
      <c r="K449" s="571">
        <f t="shared" si="576"/>
        <v>1.0124732715609408</v>
      </c>
      <c r="L449" s="571">
        <f t="shared" si="576"/>
        <v>1.0142146410803128</v>
      </c>
      <c r="M449" s="571">
        <f t="shared" si="576"/>
        <v>1.0152158527954707</v>
      </c>
      <c r="N449" s="571">
        <f t="shared" si="576"/>
        <v>1.0147627416520211</v>
      </c>
      <c r="O449" s="571">
        <f t="shared" si="576"/>
        <v>1.0181818181818181</v>
      </c>
      <c r="P449" s="571">
        <f t="shared" si="576"/>
        <v>1.0198606271777004</v>
      </c>
      <c r="Q449" s="571">
        <f t="shared" si="576"/>
        <v>1.0128383067314366</v>
      </c>
      <c r="R449" s="571">
        <f t="shared" si="576"/>
        <v>1.0172890733056708</v>
      </c>
      <c r="S449" s="571">
        <f t="shared" si="576"/>
        <v>1.0165631469979297</v>
      </c>
      <c r="T449" s="571">
        <f t="shared" si="576"/>
        <v>1.0165346193592835</v>
      </c>
      <c r="U449" s="571">
        <f t="shared" si="576"/>
        <v>1.017205781142464</v>
      </c>
      <c r="V449" s="571">
        <f t="shared" si="576"/>
        <v>1.0161734342739159</v>
      </c>
      <c r="W449" s="571">
        <f t="shared" si="576"/>
        <v>1.0134390075809787</v>
      </c>
      <c r="X449" s="571">
        <f t="shared" si="576"/>
        <v>1.0121065375302662</v>
      </c>
      <c r="Y449" s="571">
        <f t="shared" si="576"/>
        <v>1.009745910198399</v>
      </c>
      <c r="Z449" s="571">
        <f t="shared" si="576"/>
        <v>1.0049053959355292</v>
      </c>
      <c r="AA449" s="571">
        <f t="shared" si="576"/>
        <v>1.0045518207282913</v>
      </c>
      <c r="AB449" s="571">
        <f t="shared" si="576"/>
        <v>1.0070077084793272</v>
      </c>
      <c r="AC449" s="571">
        <f t="shared" si="576"/>
        <v>1.0070077084793272</v>
      </c>
      <c r="AD449" s="571">
        <f t="shared" si="576"/>
        <v>1.0063113604488079</v>
      </c>
      <c r="AE449" s="571">
        <f t="shared" si="576"/>
        <v>1.0059628200631356</v>
      </c>
      <c r="AF449" s="571">
        <f t="shared" si="576"/>
        <v>1.0101754385964912</v>
      </c>
      <c r="AG449" s="571">
        <f t="shared" si="576"/>
        <v>1.0143859649122806</v>
      </c>
      <c r="AH449" s="571">
        <f t="shared" si="576"/>
        <v>1.0140400140400141</v>
      </c>
      <c r="AI449" s="571">
        <f t="shared" ref="AI449:AY449" si="577">(AI448+AI440)/AI437</f>
        <v>1.0123196057726154</v>
      </c>
      <c r="AJ449" s="571">
        <f t="shared" si="577"/>
        <v>1.0152158527954707</v>
      </c>
      <c r="AK449" s="571">
        <f t="shared" si="577"/>
        <v>1.0161117078410311</v>
      </c>
      <c r="AL449" s="571">
        <f t="shared" si="577"/>
        <v>1.0124042320321052</v>
      </c>
      <c r="AM449" s="571">
        <f t="shared" si="577"/>
        <v>1.0062638172439204</v>
      </c>
      <c r="AN449" s="571">
        <f t="shared" si="577"/>
        <v>1.003337041156841</v>
      </c>
      <c r="AO449" s="571">
        <f t="shared" si="577"/>
        <v>1.00187617260788</v>
      </c>
      <c r="AP449" s="571">
        <f t="shared" si="577"/>
        <v>1.0007651109410864</v>
      </c>
      <c r="AQ449" s="571">
        <f t="shared" si="577"/>
        <v>1.0035074045206547</v>
      </c>
      <c r="AR449" s="571">
        <f t="shared" si="577"/>
        <v>1.0171006607073456</v>
      </c>
      <c r="AS449" s="571">
        <f t="shared" si="577"/>
        <v>1.0252819914430182</v>
      </c>
      <c r="AT449" s="571">
        <f t="shared" si="577"/>
        <v>1.0249902381882077</v>
      </c>
      <c r="AU449" s="571">
        <f t="shared" si="577"/>
        <v>1.0315333070555774</v>
      </c>
      <c r="AV449" s="571">
        <f t="shared" si="577"/>
        <v>1.03000394788788</v>
      </c>
      <c r="AW449" s="571">
        <f t="shared" si="577"/>
        <v>1.0281299524564185</v>
      </c>
      <c r="AX449" s="571">
        <f t="shared" si="577"/>
        <v>1.0276243093922652</v>
      </c>
      <c r="AY449" s="652">
        <f t="shared" si="577"/>
        <v>1.0249999999999999</v>
      </c>
      <c r="AZ449" s="778">
        <v>1.03000394788788</v>
      </c>
      <c r="BA449" s="778">
        <v>1.03000394788788</v>
      </c>
      <c r="BB449" s="778">
        <v>1.03000394788788</v>
      </c>
      <c r="BC449" s="778">
        <v>1.03000394788788</v>
      </c>
      <c r="BD449" s="778">
        <v>1.03000394788788</v>
      </c>
      <c r="BE449" s="778">
        <v>1.03000394788788</v>
      </c>
      <c r="BF449" s="778">
        <v>1.03000394788788</v>
      </c>
      <c r="BG449" s="778"/>
      <c r="BH449" s="948"/>
      <c r="BI449" s="948"/>
      <c r="BJ449" s="948"/>
      <c r="BK449" s="948">
        <f t="shared" ref="BK449:BW449" si="578">(BK448+BK440)/BK437</f>
        <v>1.0619545994629982</v>
      </c>
      <c r="BL449" s="948">
        <f t="shared" si="578"/>
        <v>1.0345560942897778</v>
      </c>
      <c r="BM449" s="948">
        <f t="shared" si="578"/>
        <v>1.0128713693610456</v>
      </c>
      <c r="BN449" s="948">
        <f t="shared" si="578"/>
        <v>1.0147627416520211</v>
      </c>
      <c r="BO449" s="948">
        <f t="shared" si="578"/>
        <v>1.0172890733056708</v>
      </c>
      <c r="BP449" s="948">
        <f t="shared" si="578"/>
        <v>1.0161734342739159</v>
      </c>
      <c r="BQ449" s="948">
        <f t="shared" si="578"/>
        <v>1.0049053959355292</v>
      </c>
      <c r="BR449" s="948">
        <f t="shared" si="578"/>
        <v>1.0063113604488079</v>
      </c>
      <c r="BS449" s="948">
        <f t="shared" si="578"/>
        <v>1.0140400140400141</v>
      </c>
      <c r="BT449" s="948">
        <f t="shared" si="578"/>
        <v>1.0124042320321052</v>
      </c>
      <c r="BU449" s="948">
        <f t="shared" si="578"/>
        <v>1.0007651109410864</v>
      </c>
      <c r="BV449" s="948">
        <f t="shared" si="578"/>
        <v>1.0249902381882077</v>
      </c>
      <c r="BW449" s="949">
        <f t="shared" si="578"/>
        <v>1.0276243093922652</v>
      </c>
      <c r="BX449" s="948">
        <f ca="1">(BX448+BX437)/BX437</f>
        <v>1.03000394788788</v>
      </c>
      <c r="BY449" s="948">
        <f ca="1">(BY448+BY437)/BY437</f>
        <v>1.03000394788788</v>
      </c>
      <c r="BZ449" s="950">
        <v>1.03000394788788</v>
      </c>
      <c r="CA449" s="950">
        <v>1.03000394788788</v>
      </c>
      <c r="CB449" s="950">
        <v>1.03000394788788</v>
      </c>
      <c r="CC449" s="347"/>
    </row>
    <row r="450" spans="1:81" s="716" customFormat="1" outlineLevel="1" x14ac:dyDescent="0.55000000000000004">
      <c r="A450" s="37"/>
      <c r="B450" s="346"/>
      <c r="C450" s="347"/>
      <c r="D450" s="347"/>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c r="AA450" s="347"/>
      <c r="AB450" s="347"/>
      <c r="AC450" s="347"/>
      <c r="AD450" s="347"/>
      <c r="AE450" s="347"/>
      <c r="AF450" s="347"/>
      <c r="AG450" s="347"/>
      <c r="AH450" s="347"/>
      <c r="AI450" s="347"/>
      <c r="AJ450" s="347"/>
      <c r="AK450" s="347"/>
      <c r="AL450" s="347"/>
      <c r="AM450" s="347"/>
      <c r="AN450" s="347"/>
      <c r="AO450" s="347"/>
      <c r="AP450" s="347"/>
      <c r="AQ450" s="347"/>
      <c r="AR450" s="347"/>
      <c r="AS450" s="347"/>
      <c r="AT450" s="347"/>
      <c r="AU450" s="347"/>
      <c r="AV450" s="347"/>
      <c r="AW450" s="347"/>
      <c r="AX450" s="347"/>
      <c r="AY450" s="647"/>
      <c r="AZ450" s="347"/>
      <c r="BA450" s="347"/>
      <c r="BB450" s="347"/>
      <c r="BC450" s="347"/>
      <c r="BD450" s="347"/>
      <c r="BE450" s="347"/>
      <c r="BF450" s="347"/>
      <c r="BG450" s="347"/>
      <c r="BH450" s="934"/>
      <c r="BI450" s="934"/>
      <c r="BJ450" s="934"/>
      <c r="BK450" s="934"/>
      <c r="BL450" s="934"/>
      <c r="BM450" s="934"/>
      <c r="BN450" s="934"/>
      <c r="BO450" s="934"/>
      <c r="BP450" s="934"/>
      <c r="BQ450" s="934"/>
      <c r="BR450" s="934"/>
      <c r="BS450" s="934"/>
      <c r="BT450" s="934"/>
      <c r="BU450" s="934"/>
      <c r="BV450" s="934"/>
      <c r="BW450" s="935"/>
      <c r="BX450" s="934"/>
      <c r="BY450" s="934"/>
      <c r="BZ450" s="934"/>
      <c r="CA450" s="934"/>
      <c r="CB450" s="934"/>
      <c r="CC450" s="345"/>
    </row>
    <row r="451" spans="1:81" s="706" customFormat="1" outlineLevel="1" x14ac:dyDescent="0.55000000000000004">
      <c r="A451" s="37" t="s">
        <v>671</v>
      </c>
      <c r="B451" s="87"/>
      <c r="C451" s="37">
        <f t="shared" ref="C451:AH451" si="579">C440+C448</f>
        <v>2507.04835</v>
      </c>
      <c r="D451" s="37">
        <f t="shared" si="579"/>
        <v>2510.8771740000002</v>
      </c>
      <c r="E451" s="37">
        <f t="shared" si="579"/>
        <v>2538</v>
      </c>
      <c r="F451" s="37">
        <f t="shared" si="579"/>
        <v>2634.5840920000001</v>
      </c>
      <c r="G451" s="37">
        <f t="shared" si="579"/>
        <v>2617</v>
      </c>
      <c r="H451" s="37">
        <f t="shared" si="579"/>
        <v>2620</v>
      </c>
      <c r="I451" s="37">
        <f t="shared" si="579"/>
        <v>2653</v>
      </c>
      <c r="J451" s="37">
        <f t="shared" si="579"/>
        <v>2832.9052080000001</v>
      </c>
      <c r="K451" s="37">
        <f t="shared" si="579"/>
        <v>2841</v>
      </c>
      <c r="L451" s="37">
        <f t="shared" si="579"/>
        <v>2854</v>
      </c>
      <c r="M451" s="37">
        <f t="shared" si="579"/>
        <v>2869</v>
      </c>
      <c r="N451" s="37">
        <f t="shared" si="579"/>
        <v>2887</v>
      </c>
      <c r="O451" s="37">
        <f t="shared" si="579"/>
        <v>2912</v>
      </c>
      <c r="P451" s="37">
        <f t="shared" si="579"/>
        <v>2927</v>
      </c>
      <c r="Q451" s="37">
        <f t="shared" si="579"/>
        <v>2919</v>
      </c>
      <c r="R451" s="37">
        <f t="shared" si="579"/>
        <v>2942</v>
      </c>
      <c r="S451" s="37">
        <f t="shared" si="579"/>
        <v>2946</v>
      </c>
      <c r="T451" s="37">
        <f t="shared" si="579"/>
        <v>2951</v>
      </c>
      <c r="U451" s="37">
        <f t="shared" si="579"/>
        <v>2956</v>
      </c>
      <c r="V451" s="37">
        <f t="shared" si="579"/>
        <v>2953</v>
      </c>
      <c r="W451" s="37">
        <f t="shared" si="579"/>
        <v>2941</v>
      </c>
      <c r="X451" s="37">
        <f t="shared" si="579"/>
        <v>2926</v>
      </c>
      <c r="Y451" s="37">
        <f t="shared" si="579"/>
        <v>2901</v>
      </c>
      <c r="Z451" s="37">
        <f t="shared" si="579"/>
        <v>2868</v>
      </c>
      <c r="AA451" s="37">
        <f t="shared" si="579"/>
        <v>2869</v>
      </c>
      <c r="AB451" s="37">
        <f t="shared" si="579"/>
        <v>2874</v>
      </c>
      <c r="AC451" s="37">
        <f t="shared" si="579"/>
        <v>2874</v>
      </c>
      <c r="AD451" s="37">
        <f t="shared" si="579"/>
        <v>2870</v>
      </c>
      <c r="AE451" s="37">
        <f t="shared" si="579"/>
        <v>2868</v>
      </c>
      <c r="AF451" s="37">
        <f t="shared" si="579"/>
        <v>2879</v>
      </c>
      <c r="AG451" s="37">
        <f t="shared" si="579"/>
        <v>2891</v>
      </c>
      <c r="AH451" s="37">
        <f t="shared" si="579"/>
        <v>2889</v>
      </c>
      <c r="AI451" s="37">
        <f t="shared" ref="AI451:BF451" si="580">AI440+AI448</f>
        <v>2876</v>
      </c>
      <c r="AJ451" s="37">
        <f t="shared" si="580"/>
        <v>2869</v>
      </c>
      <c r="AK451" s="37">
        <f t="shared" si="580"/>
        <v>2838</v>
      </c>
      <c r="AL451" s="37">
        <f t="shared" si="580"/>
        <v>2775</v>
      </c>
      <c r="AM451" s="37">
        <f t="shared" si="580"/>
        <v>2731</v>
      </c>
      <c r="AN451" s="37">
        <f t="shared" si="580"/>
        <v>2706</v>
      </c>
      <c r="AO451" s="37">
        <f t="shared" si="580"/>
        <v>2670</v>
      </c>
      <c r="AP451" s="37">
        <f t="shared" si="580"/>
        <v>2616</v>
      </c>
      <c r="AQ451" s="37">
        <f t="shared" si="580"/>
        <v>2575</v>
      </c>
      <c r="AR451" s="37">
        <f t="shared" si="580"/>
        <v>2617</v>
      </c>
      <c r="AS451" s="37">
        <f t="shared" si="580"/>
        <v>2636</v>
      </c>
      <c r="AT451" s="37">
        <f t="shared" si="580"/>
        <v>2625</v>
      </c>
      <c r="AU451" s="37">
        <f t="shared" si="580"/>
        <v>2617</v>
      </c>
      <c r="AV451" s="37">
        <f t="shared" si="580"/>
        <v>2609</v>
      </c>
      <c r="AW451" s="37">
        <f t="shared" si="580"/>
        <v>2595</v>
      </c>
      <c r="AX451" s="37">
        <f t="shared" si="580"/>
        <v>2604</v>
      </c>
      <c r="AY451" s="273">
        <f t="shared" si="580"/>
        <v>2583</v>
      </c>
      <c r="AZ451" s="37">
        <f t="shared" ca="1" si="580"/>
        <v>2592.8221607140767</v>
      </c>
      <c r="BA451" s="37">
        <f t="shared" ca="1" si="580"/>
        <v>2590.0340939718999</v>
      </c>
      <c r="BB451" s="37">
        <f t="shared" ca="1" si="580"/>
        <v>2587.2457484230486</v>
      </c>
      <c r="BC451" s="37">
        <f t="shared" ca="1" si="580"/>
        <v>2587.5044729978908</v>
      </c>
      <c r="BD451" s="37">
        <f t="shared" ca="1" si="580"/>
        <v>2587.7632234451908</v>
      </c>
      <c r="BE451" s="37">
        <f t="shared" ca="1" si="580"/>
        <v>2588.0219997675354</v>
      </c>
      <c r="BF451" s="37">
        <f t="shared" ca="1" si="580"/>
        <v>2588.2808019675122</v>
      </c>
      <c r="BG451" s="37"/>
      <c r="BH451" s="158"/>
      <c r="BI451" s="158"/>
      <c r="BJ451" s="158"/>
      <c r="BK451" s="158">
        <f t="shared" ref="BK451:CB451" si="581">BK440+BK448</f>
        <v>2519.705195</v>
      </c>
      <c r="BL451" s="158">
        <f t="shared" si="581"/>
        <v>2634.5840920000001</v>
      </c>
      <c r="BM451" s="158">
        <f t="shared" si="581"/>
        <v>2832.9052080000001</v>
      </c>
      <c r="BN451" s="158">
        <f t="shared" si="581"/>
        <v>2887</v>
      </c>
      <c r="BO451" s="158">
        <f t="shared" si="581"/>
        <v>2942</v>
      </c>
      <c r="BP451" s="158">
        <f t="shared" si="581"/>
        <v>2953</v>
      </c>
      <c r="BQ451" s="158">
        <f t="shared" si="581"/>
        <v>2868</v>
      </c>
      <c r="BR451" s="158">
        <f t="shared" si="581"/>
        <v>2870</v>
      </c>
      <c r="BS451" s="158">
        <f t="shared" si="581"/>
        <v>2889</v>
      </c>
      <c r="BT451" s="158">
        <f t="shared" si="581"/>
        <v>2775</v>
      </c>
      <c r="BU451" s="158">
        <f t="shared" si="581"/>
        <v>2616</v>
      </c>
      <c r="BV451" s="158">
        <f t="shared" si="581"/>
        <v>2625</v>
      </c>
      <c r="BW451" s="846">
        <f t="shared" si="581"/>
        <v>2604</v>
      </c>
      <c r="BX451" s="158">
        <f t="shared" ca="1" si="581"/>
        <v>2587.2457484230486</v>
      </c>
      <c r="BY451" s="158">
        <f t="shared" ca="1" si="581"/>
        <v>2588.2808019675122</v>
      </c>
      <c r="BZ451" s="158">
        <f t="shared" ca="1" si="581"/>
        <v>2576.7243789840459</v>
      </c>
      <c r="CA451" s="158">
        <f t="shared" ca="1" si="581"/>
        <v>2566.3105804257739</v>
      </c>
      <c r="CB451" s="158">
        <f t="shared" ca="1" si="581"/>
        <v>2556.9330243762483</v>
      </c>
      <c r="CC451" s="37"/>
    </row>
    <row r="452" spans="1:81" s="716" customFormat="1" outlineLevel="2" x14ac:dyDescent="0.55000000000000004">
      <c r="A452" s="37"/>
      <c r="B452" s="346"/>
      <c r="C452" s="600"/>
      <c r="D452" s="600"/>
      <c r="E452" s="600"/>
      <c r="F452" s="600"/>
      <c r="G452" s="600"/>
      <c r="H452" s="600"/>
      <c r="I452" s="600"/>
      <c r="J452" s="600"/>
      <c r="K452" s="600"/>
      <c r="L452" s="600"/>
      <c r="M452" s="600"/>
      <c r="N452" s="600"/>
      <c r="O452" s="600"/>
      <c r="P452" s="600"/>
      <c r="Q452" s="600"/>
      <c r="R452" s="600"/>
      <c r="S452" s="600"/>
      <c r="T452" s="600"/>
      <c r="U452" s="600"/>
      <c r="V452" s="600"/>
      <c r="W452" s="600"/>
      <c r="X452" s="600"/>
      <c r="Y452" s="600"/>
      <c r="Z452" s="600"/>
      <c r="AA452" s="600"/>
      <c r="AB452" s="600"/>
      <c r="AC452" s="600"/>
      <c r="AD452" s="600"/>
      <c r="AE452" s="600"/>
      <c r="AF452" s="600"/>
      <c r="AG452" s="600"/>
      <c r="AH452" s="600"/>
      <c r="AI452" s="600"/>
      <c r="AJ452" s="600"/>
      <c r="AK452" s="600"/>
      <c r="AL452" s="600"/>
      <c r="AM452" s="600"/>
      <c r="AN452" s="600"/>
      <c r="AO452" s="600"/>
      <c r="AP452" s="600"/>
      <c r="AQ452" s="600"/>
      <c r="AR452" s="600"/>
      <c r="AS452" s="600"/>
      <c r="AT452" s="600"/>
      <c r="AU452" s="600"/>
      <c r="AV452" s="600"/>
      <c r="AW452" s="600"/>
      <c r="AX452" s="600"/>
      <c r="AY452" s="604"/>
      <c r="AZ452" s="600"/>
      <c r="BA452" s="600"/>
      <c r="BB452" s="600"/>
      <c r="BC452" s="600"/>
      <c r="BD452" s="600"/>
      <c r="BE452" s="600"/>
      <c r="BF452" s="600"/>
      <c r="BG452" s="600"/>
      <c r="BH452" s="186"/>
      <c r="BI452" s="186"/>
      <c r="BJ452" s="186"/>
      <c r="BK452" s="186"/>
      <c r="BL452" s="186"/>
      <c r="BM452" s="186"/>
      <c r="BN452" s="186"/>
      <c r="BO452" s="186"/>
      <c r="BP452" s="186"/>
      <c r="BQ452" s="186"/>
      <c r="BR452" s="186"/>
      <c r="BS452" s="186"/>
      <c r="BT452" s="186"/>
      <c r="BU452" s="186"/>
      <c r="BV452" s="186"/>
      <c r="BW452" s="909"/>
      <c r="BX452" s="186"/>
      <c r="BY452" s="186"/>
      <c r="BZ452" s="186"/>
      <c r="CA452" s="186"/>
      <c r="CB452" s="186"/>
      <c r="CC452" s="347"/>
    </row>
    <row r="453" spans="1:81" s="706" customFormat="1" outlineLevel="3" x14ac:dyDescent="0.55000000000000004">
      <c r="A453" s="240" t="s">
        <v>645</v>
      </c>
      <c r="B453" s="241"/>
      <c r="C453" s="600">
        <f>BK457</f>
        <v>122.821</v>
      </c>
      <c r="D453" s="600">
        <f>C453</f>
        <v>122.821</v>
      </c>
      <c r="E453" s="600">
        <f>D453</f>
        <v>122.821</v>
      </c>
      <c r="F453" s="600">
        <f>E453</f>
        <v>122.821</v>
      </c>
      <c r="G453" s="600">
        <f>BL457</f>
        <v>22.102</v>
      </c>
      <c r="H453" s="600">
        <f>G453</f>
        <v>22.102</v>
      </c>
      <c r="I453" s="600">
        <f>H453</f>
        <v>22.102</v>
      </c>
      <c r="J453" s="600">
        <f>I453</f>
        <v>22.102</v>
      </c>
      <c r="K453" s="600">
        <f>BM457</f>
        <v>12.984</v>
      </c>
      <c r="L453" s="600">
        <f>K453</f>
        <v>12.984</v>
      </c>
      <c r="M453" s="600">
        <f>L453</f>
        <v>12.984</v>
      </c>
      <c r="N453" s="600">
        <f>M453</f>
        <v>12.984</v>
      </c>
      <c r="O453" s="600">
        <f>BN457</f>
        <v>8.4429999999999996</v>
      </c>
      <c r="P453" s="600">
        <f>O453</f>
        <v>8.4429999999999996</v>
      </c>
      <c r="Q453" s="600">
        <f>P453</f>
        <v>8.4429999999999996</v>
      </c>
      <c r="R453" s="600">
        <f>Q453</f>
        <v>8.4429999999999996</v>
      </c>
      <c r="S453" s="600">
        <f>BO457</f>
        <v>5.6870000000000003</v>
      </c>
      <c r="T453" s="600">
        <f>S453</f>
        <v>5.6870000000000003</v>
      </c>
      <c r="U453" s="600">
        <f>T453</f>
        <v>5.6870000000000003</v>
      </c>
      <c r="V453" s="600">
        <f>U453</f>
        <v>5.6870000000000003</v>
      </c>
      <c r="W453" s="600">
        <f>BP457</f>
        <v>3.0779999999999998</v>
      </c>
      <c r="X453" s="600">
        <f>W453</f>
        <v>3.0779999999999998</v>
      </c>
      <c r="Y453" s="600">
        <f>X453</f>
        <v>3.0779999999999998</v>
      </c>
      <c r="Z453" s="600">
        <f>Y453</f>
        <v>3.0779999999999998</v>
      </c>
      <c r="AA453" s="600"/>
      <c r="AB453" s="600"/>
      <c r="AC453" s="600"/>
      <c r="AD453" s="600"/>
      <c r="AE453" s="600"/>
      <c r="AF453" s="600"/>
      <c r="AG453" s="600"/>
      <c r="AH453" s="600"/>
      <c r="AI453" s="600"/>
      <c r="AJ453" s="600"/>
      <c r="AK453" s="600"/>
      <c r="AL453" s="600"/>
      <c r="AM453" s="600"/>
      <c r="AN453" s="600"/>
      <c r="AO453" s="600"/>
      <c r="AP453" s="600"/>
      <c r="AQ453" s="600"/>
      <c r="AR453" s="600"/>
      <c r="AS453" s="600"/>
      <c r="AT453" s="600"/>
      <c r="AU453" s="600"/>
      <c r="AV453" s="600"/>
      <c r="AW453" s="600"/>
      <c r="AX453" s="600"/>
      <c r="AY453" s="604"/>
      <c r="AZ453" s="600"/>
      <c r="BA453" s="600"/>
      <c r="BB453" s="600"/>
      <c r="BC453" s="600"/>
      <c r="BD453" s="600"/>
      <c r="BE453" s="600"/>
      <c r="BF453" s="600"/>
      <c r="BG453" s="600"/>
      <c r="BH453" s="186"/>
      <c r="BI453" s="186"/>
      <c r="BJ453" s="186"/>
      <c r="BK453" s="951">
        <v>258.53899999999999</v>
      </c>
      <c r="BL453" s="186">
        <f>F453</f>
        <v>122.821</v>
      </c>
      <c r="BM453" s="186">
        <f>J453</f>
        <v>22.102</v>
      </c>
      <c r="BN453" s="186">
        <f>N453</f>
        <v>12.984</v>
      </c>
      <c r="BO453" s="186">
        <f>R453</f>
        <v>8.4429999999999996</v>
      </c>
      <c r="BP453" s="186">
        <f>V453</f>
        <v>5.6870000000000003</v>
      </c>
      <c r="BQ453" s="186">
        <f>Z453</f>
        <v>3.0779999999999998</v>
      </c>
      <c r="BR453" s="186">
        <f>BQ457</f>
        <v>1.137</v>
      </c>
      <c r="BS453" s="186"/>
      <c r="BT453" s="186"/>
      <c r="BU453" s="186"/>
      <c r="BV453" s="186"/>
      <c r="BW453" s="909"/>
      <c r="BX453" s="186"/>
      <c r="BY453" s="186"/>
      <c r="BZ453" s="186"/>
      <c r="CA453" s="186"/>
      <c r="CB453" s="186"/>
      <c r="CC453" s="600"/>
    </row>
    <row r="454" spans="1:81" s="706" customFormat="1" outlineLevel="3" x14ac:dyDescent="0.55000000000000004">
      <c r="A454" s="265" t="s">
        <v>646</v>
      </c>
      <c r="B454" s="241"/>
      <c r="C454" s="600"/>
      <c r="D454" s="600"/>
      <c r="E454" s="600"/>
      <c r="F454" s="600"/>
      <c r="G454" s="600"/>
      <c r="H454" s="600"/>
      <c r="I454" s="600"/>
      <c r="J454" s="600"/>
      <c r="K454" s="600"/>
      <c r="L454" s="600"/>
      <c r="M454" s="600"/>
      <c r="N454" s="600"/>
      <c r="O454" s="600"/>
      <c r="P454" s="600"/>
      <c r="Q454" s="600"/>
      <c r="R454" s="600"/>
      <c r="S454" s="600"/>
      <c r="T454" s="600"/>
      <c r="U454" s="600"/>
      <c r="V454" s="600"/>
      <c r="W454" s="600"/>
      <c r="X454" s="600"/>
      <c r="Y454" s="600"/>
      <c r="Z454" s="600"/>
      <c r="AA454" s="600"/>
      <c r="AB454" s="600"/>
      <c r="AC454" s="600"/>
      <c r="AD454" s="600"/>
      <c r="AE454" s="600"/>
      <c r="AF454" s="600"/>
      <c r="AG454" s="600"/>
      <c r="AH454" s="600"/>
      <c r="AI454" s="600"/>
      <c r="AJ454" s="600"/>
      <c r="AK454" s="600"/>
      <c r="AL454" s="600"/>
      <c r="AM454" s="600"/>
      <c r="AN454" s="600"/>
      <c r="AO454" s="600"/>
      <c r="AP454" s="600"/>
      <c r="AQ454" s="600"/>
      <c r="AR454" s="600"/>
      <c r="AS454" s="600"/>
      <c r="AT454" s="600"/>
      <c r="AU454" s="600"/>
      <c r="AV454" s="600"/>
      <c r="AW454" s="600"/>
      <c r="AX454" s="600"/>
      <c r="AY454" s="604"/>
      <c r="AZ454" s="600"/>
      <c r="BA454" s="600"/>
      <c r="BB454" s="600"/>
      <c r="BC454" s="600"/>
      <c r="BD454" s="600"/>
      <c r="BE454" s="600"/>
      <c r="BF454" s="600"/>
      <c r="BG454" s="600"/>
      <c r="BH454" s="186"/>
      <c r="BI454" s="186"/>
      <c r="BJ454" s="186"/>
      <c r="BK454" s="186"/>
      <c r="BL454" s="186"/>
      <c r="BM454" s="186"/>
      <c r="BN454" s="186"/>
      <c r="BO454" s="186"/>
      <c r="BP454" s="186"/>
      <c r="BQ454" s="186"/>
      <c r="BR454" s="186"/>
      <c r="BS454" s="186"/>
      <c r="BT454" s="186"/>
      <c r="BU454" s="186"/>
      <c r="BV454" s="186"/>
      <c r="BW454" s="909"/>
      <c r="BX454" s="186"/>
      <c r="BY454" s="186"/>
      <c r="BZ454" s="186"/>
      <c r="CA454" s="186"/>
      <c r="CB454" s="186"/>
      <c r="CC454" s="600"/>
    </row>
    <row r="455" spans="1:81" s="706" customFormat="1" outlineLevel="3" x14ac:dyDescent="0.55000000000000004">
      <c r="A455" s="265" t="s">
        <v>647</v>
      </c>
      <c r="B455" s="241"/>
      <c r="C455" s="779">
        <v>-11.196</v>
      </c>
      <c r="D455" s="779">
        <v>-21.419</v>
      </c>
      <c r="E455" s="779">
        <v>-38.292999999999999</v>
      </c>
      <c r="F455" s="600">
        <f>BL455</f>
        <v>-100.504</v>
      </c>
      <c r="G455" s="779">
        <v>-2.7050000000000001</v>
      </c>
      <c r="H455" s="779">
        <v>-3.42</v>
      </c>
      <c r="I455" s="779">
        <v>-5.0149999999999997</v>
      </c>
      <c r="J455" s="600">
        <f>BM455</f>
        <v>-9.1180000000000003</v>
      </c>
      <c r="K455" s="779">
        <v>-0.82899999999999996</v>
      </c>
      <c r="L455" s="779">
        <v>-1.4750000000000001</v>
      </c>
      <c r="M455" s="779">
        <v>-3.512</v>
      </c>
      <c r="N455" s="600">
        <f>BN455</f>
        <v>-4.5410000000000004</v>
      </c>
      <c r="O455" s="779">
        <v>-0.501</v>
      </c>
      <c r="P455" s="779">
        <v>-1.3680000000000001</v>
      </c>
      <c r="Q455" s="779">
        <v>-2.1269999999999998</v>
      </c>
      <c r="R455" s="600">
        <f>BO455</f>
        <v>-2.7559999999999998</v>
      </c>
      <c r="S455" s="779">
        <v>-1.5469999999999999</v>
      </c>
      <c r="T455" s="779">
        <v>-2.1539999999999999</v>
      </c>
      <c r="U455" s="779">
        <v>-2.41</v>
      </c>
      <c r="V455" s="600">
        <f>BP455</f>
        <v>-2.609</v>
      </c>
      <c r="W455" s="779">
        <v>-0.39100000000000001</v>
      </c>
      <c r="X455" s="779">
        <v>-0.92</v>
      </c>
      <c r="Y455" s="779">
        <v>-1.3979999999999999</v>
      </c>
      <c r="Z455" s="600">
        <f>BQ455</f>
        <v>-1.9410000000000001</v>
      </c>
      <c r="AA455" s="600"/>
      <c r="AB455" s="600"/>
      <c r="AC455" s="600"/>
      <c r="AD455" s="600"/>
      <c r="AE455" s="600"/>
      <c r="AF455" s="600"/>
      <c r="AG455" s="600"/>
      <c r="AH455" s="600"/>
      <c r="AI455" s="600"/>
      <c r="AJ455" s="600"/>
      <c r="AK455" s="600"/>
      <c r="AL455" s="600"/>
      <c r="AM455" s="600"/>
      <c r="AN455" s="600"/>
      <c r="AO455" s="600"/>
      <c r="AP455" s="600"/>
      <c r="AQ455" s="600"/>
      <c r="AR455" s="600"/>
      <c r="AS455" s="600"/>
      <c r="AT455" s="600"/>
      <c r="AU455" s="600"/>
      <c r="AV455" s="600"/>
      <c r="AW455" s="600"/>
      <c r="AX455" s="600"/>
      <c r="AY455" s="604"/>
      <c r="AZ455" s="600"/>
      <c r="BA455" s="600"/>
      <c r="BB455" s="600"/>
      <c r="BC455" s="600"/>
      <c r="BD455" s="600"/>
      <c r="BE455" s="600"/>
      <c r="BF455" s="600"/>
      <c r="BG455" s="600"/>
      <c r="BH455" s="186"/>
      <c r="BI455" s="186"/>
      <c r="BJ455" s="186"/>
      <c r="BK455" s="951">
        <v>-135.505</v>
      </c>
      <c r="BL455" s="951">
        <v>-100.504</v>
      </c>
      <c r="BM455" s="951">
        <v>-9.1180000000000003</v>
      </c>
      <c r="BN455" s="951">
        <v>-4.5410000000000004</v>
      </c>
      <c r="BO455" s="951">
        <v>-2.7559999999999998</v>
      </c>
      <c r="BP455" s="951">
        <v>-2.609</v>
      </c>
      <c r="BQ455" s="951">
        <v>-1.9410000000000001</v>
      </c>
      <c r="BR455" s="951">
        <v>-1.137</v>
      </c>
      <c r="BS455" s="186"/>
      <c r="BT455" s="186"/>
      <c r="BU455" s="186"/>
      <c r="BV455" s="186"/>
      <c r="BW455" s="909"/>
      <c r="BX455" s="186"/>
      <c r="BY455" s="186"/>
      <c r="BZ455" s="186"/>
      <c r="CA455" s="186"/>
      <c r="CB455" s="186"/>
      <c r="CC455" s="600"/>
    </row>
    <row r="456" spans="1:81" s="706" customFormat="1" outlineLevel="3" x14ac:dyDescent="0.55000000000000004">
      <c r="A456" s="265" t="s">
        <v>648</v>
      </c>
      <c r="B456" s="241"/>
      <c r="C456" s="600"/>
      <c r="D456" s="600"/>
      <c r="E456" s="779">
        <v>-0.216</v>
      </c>
      <c r="F456" s="600">
        <f>BL456</f>
        <v>-0.215</v>
      </c>
      <c r="G456" s="600"/>
      <c r="H456" s="600"/>
      <c r="I456" s="600"/>
      <c r="J456" s="600"/>
      <c r="K456" s="600"/>
      <c r="L456" s="600"/>
      <c r="M456" s="600"/>
      <c r="N456" s="600"/>
      <c r="O456" s="600"/>
      <c r="P456" s="600"/>
      <c r="Q456" s="600"/>
      <c r="R456" s="600"/>
      <c r="S456" s="600"/>
      <c r="T456" s="600"/>
      <c r="U456" s="600"/>
      <c r="V456" s="600"/>
      <c r="W456" s="600"/>
      <c r="X456" s="600"/>
      <c r="Y456" s="600"/>
      <c r="Z456" s="600"/>
      <c r="AA456" s="600"/>
      <c r="AB456" s="600"/>
      <c r="AC456" s="600"/>
      <c r="AD456" s="600"/>
      <c r="AE456" s="600"/>
      <c r="AF456" s="600"/>
      <c r="AG456" s="600"/>
      <c r="AH456" s="600"/>
      <c r="AI456" s="600"/>
      <c r="AJ456" s="600"/>
      <c r="AK456" s="600"/>
      <c r="AL456" s="600"/>
      <c r="AM456" s="600"/>
      <c r="AN456" s="600"/>
      <c r="AO456" s="600"/>
      <c r="AP456" s="600"/>
      <c r="AQ456" s="600"/>
      <c r="AR456" s="600"/>
      <c r="AS456" s="600"/>
      <c r="AT456" s="600"/>
      <c r="AU456" s="600"/>
      <c r="AV456" s="600"/>
      <c r="AW456" s="600"/>
      <c r="AX456" s="600"/>
      <c r="AY456" s="604"/>
      <c r="AZ456" s="600"/>
      <c r="BA456" s="600"/>
      <c r="BB456" s="600"/>
      <c r="BC456" s="600"/>
      <c r="BD456" s="600"/>
      <c r="BE456" s="600"/>
      <c r="BF456" s="600"/>
      <c r="BG456" s="600"/>
      <c r="BH456" s="186"/>
      <c r="BI456" s="186"/>
      <c r="BJ456" s="186"/>
      <c r="BK456" s="951">
        <v>-0.21299999999999999</v>
      </c>
      <c r="BL456" s="951">
        <v>-0.215</v>
      </c>
      <c r="BM456" s="186"/>
      <c r="BN456" s="186"/>
      <c r="BO456" s="186"/>
      <c r="BP456" s="186"/>
      <c r="BQ456" s="186"/>
      <c r="BR456" s="186"/>
      <c r="BS456" s="186"/>
      <c r="BT456" s="186"/>
      <c r="BU456" s="186"/>
      <c r="BV456" s="186"/>
      <c r="BW456" s="909"/>
      <c r="BX456" s="186"/>
      <c r="BY456" s="186"/>
      <c r="BZ456" s="186"/>
      <c r="CA456" s="186"/>
      <c r="CB456" s="186"/>
      <c r="CC456" s="600"/>
    </row>
    <row r="457" spans="1:81" s="706" customFormat="1" outlineLevel="3" x14ac:dyDescent="0.55000000000000004">
      <c r="A457" s="381" t="s">
        <v>713</v>
      </c>
      <c r="B457" s="380"/>
      <c r="C457" s="780">
        <v>111.625</v>
      </c>
      <c r="D457" s="780">
        <v>101.402</v>
      </c>
      <c r="E457" s="780">
        <v>84.311999999999998</v>
      </c>
      <c r="F457" s="602">
        <f>BL457</f>
        <v>22.102</v>
      </c>
      <c r="G457" s="780">
        <v>19.396999999999998</v>
      </c>
      <c r="H457" s="780">
        <v>18.681999999999999</v>
      </c>
      <c r="I457" s="780">
        <v>17.087</v>
      </c>
      <c r="J457" s="602">
        <f>BM457</f>
        <v>12.984</v>
      </c>
      <c r="K457" s="780">
        <v>12.154999999999999</v>
      </c>
      <c r="L457" s="780">
        <v>11.509</v>
      </c>
      <c r="M457" s="780">
        <v>9.4719999999999995</v>
      </c>
      <c r="N457" s="602">
        <f>BN457</f>
        <v>8.4429999999999996</v>
      </c>
      <c r="O457" s="780">
        <v>7.9420000000000002</v>
      </c>
      <c r="P457" s="780">
        <v>7.0750000000000002</v>
      </c>
      <c r="Q457" s="780">
        <v>6.3159999999999998</v>
      </c>
      <c r="R457" s="602">
        <f>BO457</f>
        <v>5.6870000000000003</v>
      </c>
      <c r="S457" s="780">
        <v>4.1399999999999997</v>
      </c>
      <c r="T457" s="780">
        <v>3.5329999999999999</v>
      </c>
      <c r="U457" s="780">
        <v>3.2770000000000001</v>
      </c>
      <c r="V457" s="602">
        <f>BP457</f>
        <v>3.0779999999999998</v>
      </c>
      <c r="W457" s="780">
        <v>2.6869999999999998</v>
      </c>
      <c r="X457" s="780">
        <v>2.1579999999999999</v>
      </c>
      <c r="Y457" s="780">
        <v>1.6800000000000002</v>
      </c>
      <c r="Z457" s="602">
        <f>BQ457</f>
        <v>1.137</v>
      </c>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595"/>
      <c r="AZ457" s="602"/>
      <c r="BA457" s="602"/>
      <c r="BB457" s="602"/>
      <c r="BC457" s="602"/>
      <c r="BD457" s="602"/>
      <c r="BE457" s="602"/>
      <c r="BF457" s="602"/>
      <c r="BG457" s="602"/>
      <c r="BH457" s="952"/>
      <c r="BI457" s="952"/>
      <c r="BJ457" s="952"/>
      <c r="BK457" s="953">
        <v>122.821</v>
      </c>
      <c r="BL457" s="953">
        <v>22.102</v>
      </c>
      <c r="BM457" s="953">
        <v>12.984</v>
      </c>
      <c r="BN457" s="953">
        <v>8.4429999999999996</v>
      </c>
      <c r="BO457" s="953">
        <v>5.6870000000000003</v>
      </c>
      <c r="BP457" s="953">
        <v>3.0779999999999998</v>
      </c>
      <c r="BQ457" s="953">
        <v>1.137</v>
      </c>
      <c r="BR457" s="952">
        <f>BR453+BR454+BR455+BR456</f>
        <v>0</v>
      </c>
      <c r="BS457" s="952"/>
      <c r="BT457" s="952"/>
      <c r="BU457" s="952"/>
      <c r="BV457" s="952"/>
      <c r="BW457" s="954"/>
      <c r="BX457" s="952"/>
      <c r="BY457" s="952"/>
      <c r="BZ457" s="952"/>
      <c r="CA457" s="952"/>
      <c r="CB457" s="952"/>
      <c r="CC457" s="600"/>
    </row>
    <row r="458" spans="1:81" s="706" customFormat="1" outlineLevel="3" x14ac:dyDescent="0.55000000000000004">
      <c r="A458" s="600"/>
      <c r="B458" s="241"/>
      <c r="C458" s="600"/>
      <c r="D458" s="600"/>
      <c r="E458" s="600"/>
      <c r="F458" s="600"/>
      <c r="G458" s="600"/>
      <c r="H458" s="600"/>
      <c r="I458" s="600"/>
      <c r="J458" s="600"/>
      <c r="K458" s="600"/>
      <c r="L458" s="600"/>
      <c r="M458" s="600"/>
      <c r="N458" s="600"/>
      <c r="O458" s="600"/>
      <c r="P458" s="600"/>
      <c r="Q458" s="600"/>
      <c r="R458" s="600"/>
      <c r="S458" s="600"/>
      <c r="T458" s="600"/>
      <c r="U458" s="600"/>
      <c r="V458" s="600"/>
      <c r="W458" s="600"/>
      <c r="X458" s="600"/>
      <c r="Y458" s="600"/>
      <c r="Z458" s="600"/>
      <c r="AA458" s="600"/>
      <c r="AB458" s="600"/>
      <c r="AC458" s="600"/>
      <c r="AD458" s="600"/>
      <c r="AE458" s="600"/>
      <c r="AF458" s="600"/>
      <c r="AG458" s="600"/>
      <c r="AH458" s="600"/>
      <c r="AI458" s="600"/>
      <c r="AJ458" s="600"/>
      <c r="AK458" s="600"/>
      <c r="AL458" s="600"/>
      <c r="AM458" s="600"/>
      <c r="AN458" s="600"/>
      <c r="AO458" s="600"/>
      <c r="AP458" s="600"/>
      <c r="AQ458" s="600"/>
      <c r="AR458" s="600"/>
      <c r="AS458" s="600"/>
      <c r="AT458" s="600"/>
      <c r="AU458" s="600"/>
      <c r="AV458" s="600"/>
      <c r="AW458" s="600"/>
      <c r="AX458" s="600"/>
      <c r="AY458" s="604"/>
      <c r="AZ458" s="600"/>
      <c r="BA458" s="600"/>
      <c r="BB458" s="600"/>
      <c r="BC458" s="600"/>
      <c r="BD458" s="600"/>
      <c r="BE458" s="600"/>
      <c r="BF458" s="600"/>
      <c r="BG458" s="600"/>
      <c r="BH458" s="186"/>
      <c r="BI458" s="186"/>
      <c r="BJ458" s="186"/>
      <c r="BK458" s="186"/>
      <c r="BL458" s="186"/>
      <c r="BM458" s="186"/>
      <c r="BN458" s="186"/>
      <c r="BO458" s="186"/>
      <c r="BP458" s="186"/>
      <c r="BQ458" s="186"/>
      <c r="BR458" s="186"/>
      <c r="BS458" s="186"/>
      <c r="BT458" s="186"/>
      <c r="BU458" s="186"/>
      <c r="BV458" s="186"/>
      <c r="BW458" s="909"/>
      <c r="BX458" s="186"/>
      <c r="BY458" s="186"/>
      <c r="BZ458" s="186"/>
      <c r="CA458" s="186"/>
      <c r="CB458" s="186"/>
      <c r="CC458" s="358"/>
    </row>
    <row r="459" spans="1:81" s="706" customFormat="1" outlineLevel="3" x14ac:dyDescent="0.55000000000000004">
      <c r="A459" s="240" t="s">
        <v>649</v>
      </c>
      <c r="B459" s="241"/>
      <c r="C459" s="600">
        <f>BK463</f>
        <v>122.821</v>
      </c>
      <c r="D459" s="600">
        <f>C463</f>
        <v>111.625</v>
      </c>
      <c r="E459" s="600">
        <f>D463</f>
        <v>101.402</v>
      </c>
      <c r="F459" s="600">
        <f>E463</f>
        <v>84.312000000000012</v>
      </c>
      <c r="G459" s="600">
        <f>BL463</f>
        <v>22.101999999999993</v>
      </c>
      <c r="H459" s="600">
        <f>G463</f>
        <v>19.396999999999991</v>
      </c>
      <c r="I459" s="600">
        <f>H463</f>
        <v>18.681999999999992</v>
      </c>
      <c r="J459" s="600">
        <f>I463</f>
        <v>17.086999999999993</v>
      </c>
      <c r="K459" s="600">
        <f>BM463</f>
        <v>12.983999999999993</v>
      </c>
      <c r="L459" s="600">
        <f>K463</f>
        <v>12.154999999999992</v>
      </c>
      <c r="M459" s="600">
        <f>L463</f>
        <v>11.508999999999991</v>
      </c>
      <c r="N459" s="600">
        <f>M463</f>
        <v>9.4719999999999906</v>
      </c>
      <c r="O459" s="600">
        <f>BN463</f>
        <v>8.4429999999999925</v>
      </c>
      <c r="P459" s="600">
        <f>O463</f>
        <v>7.9419999999999922</v>
      </c>
      <c r="Q459" s="600">
        <f>P463</f>
        <v>7.0749999999999922</v>
      </c>
      <c r="R459" s="600">
        <f>Q463</f>
        <v>6.3159999999999927</v>
      </c>
      <c r="S459" s="600">
        <f>BO463</f>
        <v>5.6869999999999923</v>
      </c>
      <c r="T459" s="600">
        <f>S463</f>
        <v>4.1399999999999926</v>
      </c>
      <c r="U459" s="600">
        <f>T463</f>
        <v>3.5329999999999924</v>
      </c>
      <c r="V459" s="600">
        <f>U463</f>
        <v>3.2769999999999921</v>
      </c>
      <c r="W459" s="600">
        <f>BP463</f>
        <v>3.0779999999999923</v>
      </c>
      <c r="X459" s="600">
        <f>W463</f>
        <v>2.6869999999999923</v>
      </c>
      <c r="Y459" s="600">
        <f>X463</f>
        <v>2.1579999999999924</v>
      </c>
      <c r="Z459" s="600">
        <f>Y463</f>
        <v>1.6799999999999926</v>
      </c>
      <c r="AA459" s="600"/>
      <c r="AB459" s="600"/>
      <c r="AC459" s="600"/>
      <c r="AD459" s="600"/>
      <c r="AE459" s="600"/>
      <c r="AF459" s="600"/>
      <c r="AG459" s="600"/>
      <c r="AH459" s="600"/>
      <c r="AI459" s="600"/>
      <c r="AJ459" s="600"/>
      <c r="AK459" s="600"/>
      <c r="AL459" s="600"/>
      <c r="AM459" s="600"/>
      <c r="AN459" s="600"/>
      <c r="AO459" s="600"/>
      <c r="AP459" s="600"/>
      <c r="AQ459" s="600"/>
      <c r="AR459" s="600"/>
      <c r="AS459" s="600"/>
      <c r="AT459" s="600"/>
      <c r="AU459" s="600"/>
      <c r="AV459" s="600"/>
      <c r="AW459" s="600"/>
      <c r="AX459" s="600"/>
      <c r="AY459" s="604"/>
      <c r="AZ459" s="600"/>
      <c r="BA459" s="600"/>
      <c r="BB459" s="600"/>
      <c r="BC459" s="600"/>
      <c r="BD459" s="600"/>
      <c r="BE459" s="600"/>
      <c r="BF459" s="600"/>
      <c r="BG459" s="600"/>
      <c r="BH459" s="186"/>
      <c r="BI459" s="186"/>
      <c r="BJ459" s="186"/>
      <c r="BK459" s="186">
        <f>BK453</f>
        <v>258.53899999999999</v>
      </c>
      <c r="BL459" s="186">
        <f t="shared" ref="BL459:BR459" si="582">BK463</f>
        <v>122.821</v>
      </c>
      <c r="BM459" s="186">
        <f t="shared" si="582"/>
        <v>22.101999999999993</v>
      </c>
      <c r="BN459" s="186">
        <f t="shared" si="582"/>
        <v>12.983999999999993</v>
      </c>
      <c r="BO459" s="186">
        <f t="shared" si="582"/>
        <v>8.4429999999999925</v>
      </c>
      <c r="BP459" s="186">
        <f t="shared" si="582"/>
        <v>5.6869999999999923</v>
      </c>
      <c r="BQ459" s="186">
        <f t="shared" si="582"/>
        <v>3.0779999999999923</v>
      </c>
      <c r="BR459" s="186">
        <f t="shared" si="582"/>
        <v>1.1369999999999922</v>
      </c>
      <c r="BS459" s="186"/>
      <c r="BT459" s="186"/>
      <c r="BU459" s="186"/>
      <c r="BV459" s="186"/>
      <c r="BW459" s="909"/>
      <c r="BX459" s="186"/>
      <c r="BY459" s="186"/>
      <c r="BZ459" s="186"/>
      <c r="CA459" s="186"/>
      <c r="CB459" s="186"/>
      <c r="CC459" s="600"/>
    </row>
    <row r="460" spans="1:81" s="706" customFormat="1" outlineLevel="3" x14ac:dyDescent="0.55000000000000004">
      <c r="A460" s="265" t="s">
        <v>666</v>
      </c>
      <c r="B460" s="241"/>
      <c r="C460" s="600">
        <f>C454</f>
        <v>0</v>
      </c>
      <c r="D460" s="600">
        <f t="shared" ref="D460:F462" si="583">D454-C454</f>
        <v>0</v>
      </c>
      <c r="E460" s="600">
        <f t="shared" si="583"/>
        <v>0</v>
      </c>
      <c r="F460" s="600">
        <f t="shared" si="583"/>
        <v>0</v>
      </c>
      <c r="G460" s="600">
        <f>G454</f>
        <v>0</v>
      </c>
      <c r="H460" s="600">
        <f t="shared" ref="H460:J462" si="584">H454-G454</f>
        <v>0</v>
      </c>
      <c r="I460" s="600">
        <f t="shared" si="584"/>
        <v>0</v>
      </c>
      <c r="J460" s="600">
        <f t="shared" si="584"/>
        <v>0</v>
      </c>
      <c r="K460" s="600">
        <f>K454</f>
        <v>0</v>
      </c>
      <c r="L460" s="600">
        <f t="shared" ref="L460:N462" si="585">L454-K454</f>
        <v>0</v>
      </c>
      <c r="M460" s="600">
        <f t="shared" si="585"/>
        <v>0</v>
      </c>
      <c r="N460" s="600">
        <f t="shared" si="585"/>
        <v>0</v>
      </c>
      <c r="O460" s="600">
        <f>O454</f>
        <v>0</v>
      </c>
      <c r="P460" s="600">
        <f t="shared" ref="P460:R462" si="586">P454-O454</f>
        <v>0</v>
      </c>
      <c r="Q460" s="600">
        <f t="shared" si="586"/>
        <v>0</v>
      </c>
      <c r="R460" s="600">
        <f t="shared" si="586"/>
        <v>0</v>
      </c>
      <c r="S460" s="600">
        <f>S454</f>
        <v>0</v>
      </c>
      <c r="T460" s="600">
        <f t="shared" ref="T460:V462" si="587">T454-S454</f>
        <v>0</v>
      </c>
      <c r="U460" s="600">
        <f t="shared" si="587"/>
        <v>0</v>
      </c>
      <c r="V460" s="600">
        <f t="shared" si="587"/>
        <v>0</v>
      </c>
      <c r="W460" s="600">
        <f>W454</f>
        <v>0</v>
      </c>
      <c r="X460" s="600">
        <f t="shared" ref="X460:Z462" si="588">X454-W454</f>
        <v>0</v>
      </c>
      <c r="Y460" s="600">
        <f t="shared" si="588"/>
        <v>0</v>
      </c>
      <c r="Z460" s="600">
        <f t="shared" si="588"/>
        <v>0</v>
      </c>
      <c r="AA460" s="600"/>
      <c r="AB460" s="600"/>
      <c r="AC460" s="600"/>
      <c r="AD460" s="600"/>
      <c r="AE460" s="600"/>
      <c r="AF460" s="600"/>
      <c r="AG460" s="600"/>
      <c r="AH460" s="600"/>
      <c r="AI460" s="600"/>
      <c r="AJ460" s="600"/>
      <c r="AK460" s="600"/>
      <c r="AL460" s="600"/>
      <c r="AM460" s="600"/>
      <c r="AN460" s="600"/>
      <c r="AO460" s="600"/>
      <c r="AP460" s="600"/>
      <c r="AQ460" s="600"/>
      <c r="AR460" s="600"/>
      <c r="AS460" s="600"/>
      <c r="AT460" s="600"/>
      <c r="AU460" s="600"/>
      <c r="AV460" s="600"/>
      <c r="AW460" s="600"/>
      <c r="AX460" s="600"/>
      <c r="AY460" s="604"/>
      <c r="AZ460" s="600"/>
      <c r="BA460" s="600"/>
      <c r="BB460" s="600"/>
      <c r="BC460" s="600"/>
      <c r="BD460" s="600"/>
      <c r="BE460" s="600"/>
      <c r="BF460" s="600"/>
      <c r="BG460" s="600"/>
      <c r="BH460" s="186"/>
      <c r="BI460" s="186"/>
      <c r="BJ460" s="186"/>
      <c r="BK460" s="186">
        <f>BK454</f>
        <v>0</v>
      </c>
      <c r="BL460" s="186">
        <f t="shared" ref="BL460:BR462" si="589">BL454</f>
        <v>0</v>
      </c>
      <c r="BM460" s="186">
        <f t="shared" si="589"/>
        <v>0</v>
      </c>
      <c r="BN460" s="186">
        <f t="shared" si="589"/>
        <v>0</v>
      </c>
      <c r="BO460" s="186">
        <f t="shared" si="589"/>
        <v>0</v>
      </c>
      <c r="BP460" s="186">
        <f t="shared" si="589"/>
        <v>0</v>
      </c>
      <c r="BQ460" s="186">
        <f t="shared" si="589"/>
        <v>0</v>
      </c>
      <c r="BR460" s="186">
        <f t="shared" si="589"/>
        <v>0</v>
      </c>
      <c r="BS460" s="186"/>
      <c r="BT460" s="186"/>
      <c r="BU460" s="186"/>
      <c r="BV460" s="186"/>
      <c r="BW460" s="909"/>
      <c r="BX460" s="186"/>
      <c r="BY460" s="186"/>
      <c r="BZ460" s="186"/>
      <c r="CA460" s="186"/>
      <c r="CB460" s="186"/>
      <c r="CC460" s="600"/>
    </row>
    <row r="461" spans="1:81" s="706" customFormat="1" outlineLevel="3" x14ac:dyDescent="0.55000000000000004">
      <c r="A461" s="265" t="s">
        <v>650</v>
      </c>
      <c r="B461" s="241"/>
      <c r="C461" s="600">
        <f>C455</f>
        <v>-11.196</v>
      </c>
      <c r="D461" s="600">
        <f t="shared" si="583"/>
        <v>-10.223000000000001</v>
      </c>
      <c r="E461" s="600">
        <f t="shared" si="583"/>
        <v>-16.873999999999999</v>
      </c>
      <c r="F461" s="600">
        <f t="shared" si="583"/>
        <v>-62.211000000000006</v>
      </c>
      <c r="G461" s="600">
        <f>G455</f>
        <v>-2.7050000000000001</v>
      </c>
      <c r="H461" s="600">
        <f t="shared" si="584"/>
        <v>-0.71499999999999986</v>
      </c>
      <c r="I461" s="600">
        <f t="shared" si="584"/>
        <v>-1.5949999999999998</v>
      </c>
      <c r="J461" s="600">
        <f t="shared" si="584"/>
        <v>-4.1030000000000006</v>
      </c>
      <c r="K461" s="600">
        <f>K455</f>
        <v>-0.82899999999999996</v>
      </c>
      <c r="L461" s="600">
        <f t="shared" si="585"/>
        <v>-0.64600000000000013</v>
      </c>
      <c r="M461" s="600">
        <f t="shared" si="585"/>
        <v>-2.0369999999999999</v>
      </c>
      <c r="N461" s="600">
        <f t="shared" si="585"/>
        <v>-1.0290000000000004</v>
      </c>
      <c r="O461" s="600">
        <f>O455</f>
        <v>-0.501</v>
      </c>
      <c r="P461" s="600">
        <f t="shared" si="586"/>
        <v>-0.8670000000000001</v>
      </c>
      <c r="Q461" s="600">
        <f t="shared" si="586"/>
        <v>-0.75899999999999967</v>
      </c>
      <c r="R461" s="600">
        <f t="shared" si="586"/>
        <v>-0.629</v>
      </c>
      <c r="S461" s="600">
        <f>S455</f>
        <v>-1.5469999999999999</v>
      </c>
      <c r="T461" s="600">
        <f t="shared" si="587"/>
        <v>-0.60699999999999998</v>
      </c>
      <c r="U461" s="600">
        <f t="shared" si="587"/>
        <v>-0.25600000000000023</v>
      </c>
      <c r="V461" s="600">
        <f t="shared" si="587"/>
        <v>-0.19899999999999984</v>
      </c>
      <c r="W461" s="600">
        <f>W455</f>
        <v>-0.39100000000000001</v>
      </c>
      <c r="X461" s="600">
        <f t="shared" si="588"/>
        <v>-0.52900000000000003</v>
      </c>
      <c r="Y461" s="600">
        <f t="shared" si="588"/>
        <v>-0.47799999999999987</v>
      </c>
      <c r="Z461" s="600">
        <f t="shared" si="588"/>
        <v>-0.54300000000000015</v>
      </c>
      <c r="AA461" s="600"/>
      <c r="AB461" s="600"/>
      <c r="AC461" s="600"/>
      <c r="AD461" s="600"/>
      <c r="AE461" s="600"/>
      <c r="AF461" s="600"/>
      <c r="AG461" s="600"/>
      <c r="AH461" s="600"/>
      <c r="AI461" s="600"/>
      <c r="AJ461" s="600"/>
      <c r="AK461" s="600"/>
      <c r="AL461" s="600"/>
      <c r="AM461" s="600"/>
      <c r="AN461" s="600"/>
      <c r="AO461" s="600"/>
      <c r="AP461" s="600"/>
      <c r="AQ461" s="600"/>
      <c r="AR461" s="600"/>
      <c r="AS461" s="600"/>
      <c r="AT461" s="600"/>
      <c r="AU461" s="600"/>
      <c r="AV461" s="600"/>
      <c r="AW461" s="600"/>
      <c r="AX461" s="600"/>
      <c r="AY461" s="604"/>
      <c r="AZ461" s="600"/>
      <c r="BA461" s="600"/>
      <c r="BB461" s="600"/>
      <c r="BC461" s="600"/>
      <c r="BD461" s="600"/>
      <c r="BE461" s="600"/>
      <c r="BF461" s="600"/>
      <c r="BG461" s="600"/>
      <c r="BH461" s="186"/>
      <c r="BI461" s="186"/>
      <c r="BJ461" s="186"/>
      <c r="BK461" s="186">
        <f>BK455</f>
        <v>-135.505</v>
      </c>
      <c r="BL461" s="186">
        <f t="shared" si="589"/>
        <v>-100.504</v>
      </c>
      <c r="BM461" s="186">
        <f t="shared" si="589"/>
        <v>-9.1180000000000003</v>
      </c>
      <c r="BN461" s="186">
        <f t="shared" si="589"/>
        <v>-4.5410000000000004</v>
      </c>
      <c r="BO461" s="186">
        <f t="shared" si="589"/>
        <v>-2.7559999999999998</v>
      </c>
      <c r="BP461" s="186">
        <f t="shared" si="589"/>
        <v>-2.609</v>
      </c>
      <c r="BQ461" s="186">
        <f t="shared" si="589"/>
        <v>-1.9410000000000001</v>
      </c>
      <c r="BR461" s="186">
        <f t="shared" si="589"/>
        <v>-1.137</v>
      </c>
      <c r="BS461" s="186"/>
      <c r="BT461" s="186"/>
      <c r="BU461" s="186"/>
      <c r="BV461" s="186"/>
      <c r="BW461" s="909"/>
      <c r="BX461" s="186"/>
      <c r="BY461" s="186"/>
      <c r="BZ461" s="186"/>
      <c r="CA461" s="186"/>
      <c r="CB461" s="186"/>
      <c r="CC461" s="600"/>
    </row>
    <row r="462" spans="1:81" s="706" customFormat="1" outlineLevel="3" x14ac:dyDescent="0.55000000000000004">
      <c r="A462" s="401" t="s">
        <v>651</v>
      </c>
      <c r="B462" s="382"/>
      <c r="C462" s="603">
        <f>C456</f>
        <v>0</v>
      </c>
      <c r="D462" s="603">
        <f t="shared" si="583"/>
        <v>0</v>
      </c>
      <c r="E462" s="603">
        <f t="shared" si="583"/>
        <v>-0.216</v>
      </c>
      <c r="F462" s="603">
        <f t="shared" si="583"/>
        <v>1.0000000000000009E-3</v>
      </c>
      <c r="G462" s="603">
        <f>G456</f>
        <v>0</v>
      </c>
      <c r="H462" s="603">
        <f t="shared" si="584"/>
        <v>0</v>
      </c>
      <c r="I462" s="603">
        <f t="shared" si="584"/>
        <v>0</v>
      </c>
      <c r="J462" s="603">
        <f t="shared" si="584"/>
        <v>0</v>
      </c>
      <c r="K462" s="603">
        <f>K456</f>
        <v>0</v>
      </c>
      <c r="L462" s="603">
        <f t="shared" si="585"/>
        <v>0</v>
      </c>
      <c r="M462" s="603">
        <f t="shared" si="585"/>
        <v>0</v>
      </c>
      <c r="N462" s="603">
        <f t="shared" si="585"/>
        <v>0</v>
      </c>
      <c r="O462" s="603">
        <f>O456</f>
        <v>0</v>
      </c>
      <c r="P462" s="603">
        <f t="shared" si="586"/>
        <v>0</v>
      </c>
      <c r="Q462" s="603">
        <f t="shared" si="586"/>
        <v>0</v>
      </c>
      <c r="R462" s="603">
        <f t="shared" si="586"/>
        <v>0</v>
      </c>
      <c r="S462" s="603">
        <f>S456</f>
        <v>0</v>
      </c>
      <c r="T462" s="603">
        <f t="shared" si="587"/>
        <v>0</v>
      </c>
      <c r="U462" s="603">
        <f t="shared" si="587"/>
        <v>0</v>
      </c>
      <c r="V462" s="603">
        <f t="shared" si="587"/>
        <v>0</v>
      </c>
      <c r="W462" s="603">
        <f>W456</f>
        <v>0</v>
      </c>
      <c r="X462" s="603">
        <f t="shared" si="588"/>
        <v>0</v>
      </c>
      <c r="Y462" s="603">
        <f t="shared" si="588"/>
        <v>0</v>
      </c>
      <c r="Z462" s="603">
        <f t="shared" si="588"/>
        <v>0</v>
      </c>
      <c r="AA462" s="603"/>
      <c r="AB462" s="603"/>
      <c r="AC462" s="603"/>
      <c r="AD462" s="603"/>
      <c r="AE462" s="603"/>
      <c r="AF462" s="603"/>
      <c r="AG462" s="603"/>
      <c r="AH462" s="603"/>
      <c r="AI462" s="603"/>
      <c r="AJ462" s="603"/>
      <c r="AK462" s="603"/>
      <c r="AL462" s="603"/>
      <c r="AM462" s="603"/>
      <c r="AN462" s="603"/>
      <c r="AO462" s="603"/>
      <c r="AP462" s="603"/>
      <c r="AQ462" s="603"/>
      <c r="AR462" s="603"/>
      <c r="AS462" s="603"/>
      <c r="AT462" s="603"/>
      <c r="AU462" s="603"/>
      <c r="AV462" s="603"/>
      <c r="AW462" s="603"/>
      <c r="AX462" s="603"/>
      <c r="AY462" s="596"/>
      <c r="AZ462" s="603"/>
      <c r="BA462" s="603"/>
      <c r="BB462" s="603"/>
      <c r="BC462" s="603"/>
      <c r="BD462" s="603"/>
      <c r="BE462" s="603"/>
      <c r="BF462" s="603"/>
      <c r="BG462" s="603"/>
      <c r="BH462" s="955"/>
      <c r="BI462" s="955"/>
      <c r="BJ462" s="955"/>
      <c r="BK462" s="955">
        <f>BK456</f>
        <v>-0.21299999999999999</v>
      </c>
      <c r="BL462" s="955">
        <f t="shared" si="589"/>
        <v>-0.215</v>
      </c>
      <c r="BM462" s="955">
        <f t="shared" si="589"/>
        <v>0</v>
      </c>
      <c r="BN462" s="955">
        <f t="shared" si="589"/>
        <v>0</v>
      </c>
      <c r="BO462" s="955">
        <f t="shared" si="589"/>
        <v>0</v>
      </c>
      <c r="BP462" s="955">
        <f t="shared" si="589"/>
        <v>0</v>
      </c>
      <c r="BQ462" s="955">
        <f t="shared" si="589"/>
        <v>0</v>
      </c>
      <c r="BR462" s="955">
        <f t="shared" si="589"/>
        <v>0</v>
      </c>
      <c r="BS462" s="955"/>
      <c r="BT462" s="955"/>
      <c r="BU462" s="955"/>
      <c r="BV462" s="955"/>
      <c r="BW462" s="956"/>
      <c r="BX462" s="955"/>
      <c r="BY462" s="955"/>
      <c r="BZ462" s="955"/>
      <c r="CA462" s="955"/>
      <c r="CB462" s="955"/>
      <c r="CC462" s="600"/>
    </row>
    <row r="463" spans="1:81" s="706" customFormat="1" outlineLevel="2" x14ac:dyDescent="0.55000000000000004">
      <c r="A463" s="240" t="s">
        <v>712</v>
      </c>
      <c r="B463" s="241"/>
      <c r="C463" s="600">
        <f t="shared" ref="C463:Z463" si="590">C459+C460+C461+C462</f>
        <v>111.625</v>
      </c>
      <c r="D463" s="600">
        <f t="shared" si="590"/>
        <v>101.402</v>
      </c>
      <c r="E463" s="600">
        <f t="shared" si="590"/>
        <v>84.312000000000012</v>
      </c>
      <c r="F463" s="600">
        <f t="shared" si="590"/>
        <v>22.102000000000007</v>
      </c>
      <c r="G463" s="600">
        <f t="shared" si="590"/>
        <v>19.396999999999991</v>
      </c>
      <c r="H463" s="600">
        <f t="shared" si="590"/>
        <v>18.681999999999992</v>
      </c>
      <c r="I463" s="600">
        <f t="shared" si="590"/>
        <v>17.086999999999993</v>
      </c>
      <c r="J463" s="600">
        <f t="shared" si="590"/>
        <v>12.983999999999991</v>
      </c>
      <c r="K463" s="600">
        <f t="shared" si="590"/>
        <v>12.154999999999992</v>
      </c>
      <c r="L463" s="600">
        <f t="shared" si="590"/>
        <v>11.508999999999991</v>
      </c>
      <c r="M463" s="600">
        <f t="shared" si="590"/>
        <v>9.4719999999999906</v>
      </c>
      <c r="N463" s="600">
        <f t="shared" si="590"/>
        <v>8.4429999999999907</v>
      </c>
      <c r="O463" s="600">
        <f t="shared" si="590"/>
        <v>7.9419999999999922</v>
      </c>
      <c r="P463" s="600">
        <f t="shared" si="590"/>
        <v>7.0749999999999922</v>
      </c>
      <c r="Q463" s="600">
        <f t="shared" si="590"/>
        <v>6.3159999999999927</v>
      </c>
      <c r="R463" s="600">
        <f t="shared" si="590"/>
        <v>5.6869999999999923</v>
      </c>
      <c r="S463" s="600">
        <f t="shared" si="590"/>
        <v>4.1399999999999926</v>
      </c>
      <c r="T463" s="600">
        <f t="shared" si="590"/>
        <v>3.5329999999999924</v>
      </c>
      <c r="U463" s="600">
        <f t="shared" si="590"/>
        <v>3.2769999999999921</v>
      </c>
      <c r="V463" s="600">
        <f t="shared" si="590"/>
        <v>3.0779999999999923</v>
      </c>
      <c r="W463" s="600">
        <f t="shared" si="590"/>
        <v>2.6869999999999923</v>
      </c>
      <c r="X463" s="600">
        <f t="shared" si="590"/>
        <v>2.1579999999999924</v>
      </c>
      <c r="Y463" s="600">
        <f t="shared" si="590"/>
        <v>1.6799999999999926</v>
      </c>
      <c r="Z463" s="600">
        <f t="shared" si="590"/>
        <v>1.1369999999999925</v>
      </c>
      <c r="AA463" s="600">
        <f>BQ463</f>
        <v>1.1369999999999922</v>
      </c>
      <c r="AB463" s="600">
        <f>BQ463</f>
        <v>1.1369999999999922</v>
      </c>
      <c r="AC463" s="600">
        <f>BQ463</f>
        <v>1.1369999999999922</v>
      </c>
      <c r="AD463" s="600">
        <f>AD457</f>
        <v>0</v>
      </c>
      <c r="AE463" s="600"/>
      <c r="AF463" s="600"/>
      <c r="AG463" s="600"/>
      <c r="AH463" s="600"/>
      <c r="AI463" s="600"/>
      <c r="AJ463" s="600"/>
      <c r="AK463" s="600"/>
      <c r="AL463" s="600"/>
      <c r="AM463" s="600"/>
      <c r="AN463" s="600"/>
      <c r="AO463" s="600"/>
      <c r="AP463" s="600"/>
      <c r="AQ463" s="600"/>
      <c r="AR463" s="600"/>
      <c r="AS463" s="600"/>
      <c r="AT463" s="600"/>
      <c r="AU463" s="600"/>
      <c r="AV463" s="600"/>
      <c r="AW463" s="600"/>
      <c r="AX463" s="600"/>
      <c r="AY463" s="604"/>
      <c r="AZ463" s="600"/>
      <c r="BA463" s="600"/>
      <c r="BB463" s="600"/>
      <c r="BC463" s="600"/>
      <c r="BD463" s="600"/>
      <c r="BE463" s="600"/>
      <c r="BF463" s="600"/>
      <c r="BG463" s="600"/>
      <c r="BH463" s="186"/>
      <c r="BI463" s="186"/>
      <c r="BJ463" s="186"/>
      <c r="BK463" s="186">
        <f t="shared" ref="BK463:BQ463" si="591">BK459+BK460+BK461+BK462</f>
        <v>122.821</v>
      </c>
      <c r="BL463" s="186">
        <f t="shared" si="591"/>
        <v>22.101999999999993</v>
      </c>
      <c r="BM463" s="186">
        <f t="shared" si="591"/>
        <v>12.983999999999993</v>
      </c>
      <c r="BN463" s="186">
        <f t="shared" si="591"/>
        <v>8.4429999999999925</v>
      </c>
      <c r="BO463" s="186">
        <f t="shared" si="591"/>
        <v>5.6869999999999923</v>
      </c>
      <c r="BP463" s="186">
        <f t="shared" si="591"/>
        <v>3.0779999999999923</v>
      </c>
      <c r="BQ463" s="186">
        <f t="shared" si="591"/>
        <v>1.1369999999999922</v>
      </c>
      <c r="BR463" s="186">
        <f>BR457</f>
        <v>0</v>
      </c>
      <c r="BS463" s="186"/>
      <c r="BT463" s="186"/>
      <c r="BU463" s="186"/>
      <c r="BV463" s="186"/>
      <c r="BW463" s="909"/>
      <c r="BX463" s="186"/>
      <c r="BY463" s="186"/>
      <c r="BZ463" s="186"/>
      <c r="CA463" s="186"/>
      <c r="CB463" s="186"/>
      <c r="CC463" s="600"/>
    </row>
    <row r="464" spans="1:81" s="706" customFormat="1" outlineLevel="3" x14ac:dyDescent="0.55000000000000004">
      <c r="A464" s="600"/>
      <c r="B464" s="241"/>
      <c r="C464" s="600"/>
      <c r="D464" s="600"/>
      <c r="E464" s="600"/>
      <c r="F464" s="600"/>
      <c r="G464" s="600"/>
      <c r="H464" s="600"/>
      <c r="I464" s="600"/>
      <c r="J464" s="600"/>
      <c r="K464" s="600"/>
      <c r="L464" s="600"/>
      <c r="M464" s="600"/>
      <c r="N464" s="600"/>
      <c r="O464" s="600"/>
      <c r="P464" s="600"/>
      <c r="Q464" s="600"/>
      <c r="R464" s="600"/>
      <c r="S464" s="600"/>
      <c r="T464" s="600"/>
      <c r="U464" s="600"/>
      <c r="V464" s="600"/>
      <c r="W464" s="600"/>
      <c r="X464" s="600"/>
      <c r="Y464" s="600"/>
      <c r="Z464" s="600"/>
      <c r="AA464" s="600"/>
      <c r="AB464" s="600"/>
      <c r="AC464" s="600"/>
      <c r="AD464" s="600"/>
      <c r="AE464" s="600"/>
      <c r="AF464" s="600"/>
      <c r="AG464" s="600"/>
      <c r="AH464" s="600"/>
      <c r="AI464" s="600"/>
      <c r="AJ464" s="600"/>
      <c r="AK464" s="600"/>
      <c r="AL464" s="600"/>
      <c r="AM464" s="600"/>
      <c r="AN464" s="600"/>
      <c r="AO464" s="600"/>
      <c r="AP464" s="600"/>
      <c r="AQ464" s="600"/>
      <c r="AR464" s="600"/>
      <c r="AS464" s="600"/>
      <c r="AT464" s="600"/>
      <c r="AU464" s="600"/>
      <c r="AV464" s="600"/>
      <c r="AW464" s="600"/>
      <c r="AX464" s="600"/>
      <c r="AY464" s="604"/>
      <c r="AZ464" s="600"/>
      <c r="BA464" s="600"/>
      <c r="BB464" s="600"/>
      <c r="BC464" s="600"/>
      <c r="BD464" s="600"/>
      <c r="BE464" s="600"/>
      <c r="BF464" s="600"/>
      <c r="BG464" s="600"/>
      <c r="BH464" s="186"/>
      <c r="BI464" s="186"/>
      <c r="BJ464" s="186"/>
      <c r="BK464" s="186"/>
      <c r="BL464" s="186"/>
      <c r="BM464" s="186"/>
      <c r="BN464" s="186"/>
      <c r="BO464" s="186"/>
      <c r="BP464" s="186"/>
      <c r="BQ464" s="186"/>
      <c r="BR464" s="186"/>
      <c r="BS464" s="186"/>
      <c r="BT464" s="186"/>
      <c r="BU464" s="186"/>
      <c r="BV464" s="186"/>
      <c r="BW464" s="909"/>
      <c r="BX464" s="186"/>
      <c r="BY464" s="186"/>
      <c r="BZ464" s="186"/>
      <c r="CA464" s="186"/>
      <c r="CB464" s="186"/>
      <c r="CC464" s="358"/>
    </row>
    <row r="465" spans="1:81" s="706" customFormat="1" outlineLevel="3" x14ac:dyDescent="0.55000000000000004">
      <c r="A465" s="385" t="s">
        <v>652</v>
      </c>
      <c r="B465" s="383"/>
      <c r="C465" s="781">
        <v>0.85</v>
      </c>
      <c r="D465" s="781">
        <v>0.85</v>
      </c>
      <c r="E465" s="781">
        <v>0.85</v>
      </c>
      <c r="F465" s="384">
        <f>BL465</f>
        <v>0.85</v>
      </c>
      <c r="G465" s="781">
        <v>3.56</v>
      </c>
      <c r="H465" s="781">
        <v>3.56</v>
      </c>
      <c r="I465" s="781">
        <v>3.56</v>
      </c>
      <c r="J465" s="384">
        <f>BM465</f>
        <v>3.56</v>
      </c>
      <c r="K465" s="781">
        <v>4.78</v>
      </c>
      <c r="L465" s="781">
        <v>4.78</v>
      </c>
      <c r="M465" s="781">
        <v>4.78</v>
      </c>
      <c r="N465" s="384">
        <f>BN465</f>
        <v>4.78</v>
      </c>
      <c r="O465" s="781">
        <v>7.1</v>
      </c>
      <c r="P465" s="781">
        <v>7.1</v>
      </c>
      <c r="Q465" s="781">
        <v>7.1</v>
      </c>
      <c r="R465" s="384">
        <f>BO465</f>
        <v>7.1</v>
      </c>
      <c r="S465" s="781">
        <v>7.78</v>
      </c>
      <c r="T465" s="781">
        <v>7.78</v>
      </c>
      <c r="U465" s="781">
        <v>7.78</v>
      </c>
      <c r="V465" s="384">
        <f>BP465</f>
        <v>7.78</v>
      </c>
      <c r="W465" s="781">
        <v>10.06</v>
      </c>
      <c r="X465" s="781">
        <v>10.06</v>
      </c>
      <c r="Y465" s="781">
        <v>10.06</v>
      </c>
      <c r="Z465" s="384">
        <f>BQ465</f>
        <v>10.06</v>
      </c>
      <c r="AA465" s="384"/>
      <c r="AB465" s="384"/>
      <c r="AC465" s="384"/>
      <c r="AD465" s="384"/>
      <c r="AE465" s="384"/>
      <c r="AF465" s="384"/>
      <c r="AG465" s="384"/>
      <c r="AH465" s="384"/>
      <c r="AI465" s="384"/>
      <c r="AJ465" s="384"/>
      <c r="AK465" s="384"/>
      <c r="AL465" s="384"/>
      <c r="AM465" s="384"/>
      <c r="AN465" s="384"/>
      <c r="AO465" s="384"/>
      <c r="AP465" s="384"/>
      <c r="AQ465" s="384"/>
      <c r="AR465" s="384"/>
      <c r="AS465" s="384"/>
      <c r="AT465" s="384"/>
      <c r="AU465" s="384"/>
      <c r="AV465" s="384"/>
      <c r="AW465" s="384"/>
      <c r="AX465" s="384"/>
      <c r="AY465" s="653"/>
      <c r="AZ465" s="384"/>
      <c r="BA465" s="384"/>
      <c r="BB465" s="384"/>
      <c r="BC465" s="384"/>
      <c r="BD465" s="384"/>
      <c r="BE465" s="384"/>
      <c r="BF465" s="384"/>
      <c r="BG465" s="384"/>
      <c r="BH465" s="957"/>
      <c r="BI465" s="957"/>
      <c r="BJ465" s="957"/>
      <c r="BK465" s="958">
        <v>0.47</v>
      </c>
      <c r="BL465" s="958">
        <v>0.85</v>
      </c>
      <c r="BM465" s="958">
        <v>3.56</v>
      </c>
      <c r="BN465" s="958">
        <v>4.78</v>
      </c>
      <c r="BO465" s="958">
        <v>7.1</v>
      </c>
      <c r="BP465" s="958">
        <v>7.78</v>
      </c>
      <c r="BQ465" s="958">
        <v>10.06</v>
      </c>
      <c r="BR465" s="958">
        <v>13.74</v>
      </c>
      <c r="BS465" s="957"/>
      <c r="BT465" s="957"/>
      <c r="BU465" s="957"/>
      <c r="BV465" s="957"/>
      <c r="BW465" s="959"/>
      <c r="BX465" s="957"/>
      <c r="BY465" s="957"/>
      <c r="BZ465" s="957"/>
      <c r="CA465" s="957"/>
      <c r="CB465" s="957"/>
      <c r="CC465" s="134"/>
    </row>
    <row r="466" spans="1:81" s="706" customFormat="1" outlineLevel="3" x14ac:dyDescent="0.55000000000000004">
      <c r="A466" s="386" t="s">
        <v>653</v>
      </c>
      <c r="B466" s="383"/>
      <c r="C466" s="384"/>
      <c r="D466" s="384"/>
      <c r="E466" s="384"/>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c r="AK466" s="384"/>
      <c r="AL466" s="384"/>
      <c r="AM466" s="384"/>
      <c r="AN466" s="384"/>
      <c r="AO466" s="384"/>
      <c r="AP466" s="384"/>
      <c r="AQ466" s="384"/>
      <c r="AR466" s="384"/>
      <c r="AS466" s="384"/>
      <c r="AT466" s="384"/>
      <c r="AU466" s="384"/>
      <c r="AV466" s="384"/>
      <c r="AW466" s="384"/>
      <c r="AX466" s="384"/>
      <c r="AY466" s="653"/>
      <c r="AZ466" s="384"/>
      <c r="BA466" s="384"/>
      <c r="BB466" s="384"/>
      <c r="BC466" s="384"/>
      <c r="BD466" s="384"/>
      <c r="BE466" s="384"/>
      <c r="BF466" s="384"/>
      <c r="BG466" s="384"/>
      <c r="BH466" s="957"/>
      <c r="BI466" s="957"/>
      <c r="BJ466" s="957"/>
      <c r="BK466" s="957"/>
      <c r="BL466" s="957"/>
      <c r="BM466" s="957"/>
      <c r="BN466" s="957"/>
      <c r="BO466" s="957"/>
      <c r="BP466" s="957"/>
      <c r="BQ466" s="957"/>
      <c r="BR466" s="957"/>
      <c r="BS466" s="957"/>
      <c r="BT466" s="957"/>
      <c r="BU466" s="957"/>
      <c r="BV466" s="957"/>
      <c r="BW466" s="959"/>
      <c r="BX466" s="957"/>
      <c r="BY466" s="957"/>
      <c r="BZ466" s="957"/>
      <c r="CA466" s="957"/>
      <c r="CB466" s="957"/>
      <c r="CC466" s="134"/>
    </row>
    <row r="467" spans="1:81" s="706" customFormat="1" outlineLevel="3" x14ac:dyDescent="0.55000000000000004">
      <c r="A467" s="386" t="s">
        <v>654</v>
      </c>
      <c r="B467" s="383"/>
      <c r="C467" s="781">
        <v>0.68</v>
      </c>
      <c r="D467" s="781">
        <v>0.52</v>
      </c>
      <c r="E467" s="781">
        <v>0.54</v>
      </c>
      <c r="F467" s="384">
        <f>BL467</f>
        <v>0.26</v>
      </c>
      <c r="G467" s="781">
        <v>0.32</v>
      </c>
      <c r="H467" s="781">
        <v>0.39</v>
      </c>
      <c r="I467" s="781">
        <v>0.91</v>
      </c>
      <c r="J467" s="384">
        <f>BM467</f>
        <v>1.8199999999999998</v>
      </c>
      <c r="K467" s="781">
        <v>0.49</v>
      </c>
      <c r="L467" s="781">
        <v>0.55000000000000004</v>
      </c>
      <c r="M467" s="781">
        <v>0.5</v>
      </c>
      <c r="N467" s="384">
        <f>BN467</f>
        <v>0.48</v>
      </c>
      <c r="O467" s="781">
        <v>3.63</v>
      </c>
      <c r="P467" s="781">
        <v>3.92</v>
      </c>
      <c r="Q467" s="781">
        <v>5.21</v>
      </c>
      <c r="R467" s="384">
        <f>BO467</f>
        <v>5.7</v>
      </c>
      <c r="S467" s="781">
        <v>5.12</v>
      </c>
      <c r="T467" s="781">
        <v>5.67</v>
      </c>
      <c r="U467" s="781">
        <v>5.28</v>
      </c>
      <c r="V467" s="384">
        <f>BP467</f>
        <v>5.0999999999999996</v>
      </c>
      <c r="W467" s="781">
        <v>7.97</v>
      </c>
      <c r="X467" s="781">
        <v>8.5</v>
      </c>
      <c r="Y467" s="781">
        <v>8.06</v>
      </c>
      <c r="Z467" s="384">
        <f>BQ467</f>
        <v>7.9</v>
      </c>
      <c r="AA467" s="384"/>
      <c r="AB467" s="384"/>
      <c r="AC467" s="384"/>
      <c r="AD467" s="384"/>
      <c r="AE467" s="384"/>
      <c r="AF467" s="384"/>
      <c r="AG467" s="384"/>
      <c r="AH467" s="384"/>
      <c r="AI467" s="384"/>
      <c r="AJ467" s="384"/>
      <c r="AK467" s="384"/>
      <c r="AL467" s="384"/>
      <c r="AM467" s="384"/>
      <c r="AN467" s="384"/>
      <c r="AO467" s="384"/>
      <c r="AP467" s="384"/>
      <c r="AQ467" s="384"/>
      <c r="AR467" s="384"/>
      <c r="AS467" s="384"/>
      <c r="AT467" s="384"/>
      <c r="AU467" s="384"/>
      <c r="AV467" s="384"/>
      <c r="AW467" s="384"/>
      <c r="AX467" s="384"/>
      <c r="AY467" s="653"/>
      <c r="AZ467" s="384"/>
      <c r="BA467" s="384"/>
      <c r="BB467" s="384"/>
      <c r="BC467" s="384"/>
      <c r="BD467" s="384"/>
      <c r="BE467" s="384"/>
      <c r="BF467" s="384"/>
      <c r="BG467" s="384"/>
      <c r="BH467" s="957"/>
      <c r="BI467" s="957"/>
      <c r="BJ467" s="957"/>
      <c r="BK467" s="958">
        <v>0.12</v>
      </c>
      <c r="BL467" s="958">
        <v>0.26</v>
      </c>
      <c r="BM467" s="958">
        <v>1.8199999999999998</v>
      </c>
      <c r="BN467" s="958">
        <v>0.48</v>
      </c>
      <c r="BO467" s="958">
        <v>5.7</v>
      </c>
      <c r="BP467" s="958">
        <v>5.0999999999999996</v>
      </c>
      <c r="BQ467" s="958">
        <v>7.9</v>
      </c>
      <c r="BR467" s="958">
        <v>13.74</v>
      </c>
      <c r="BS467" s="957"/>
      <c r="BT467" s="957"/>
      <c r="BU467" s="957"/>
      <c r="BV467" s="957"/>
      <c r="BW467" s="959"/>
      <c r="BX467" s="957"/>
      <c r="BY467" s="957"/>
      <c r="BZ467" s="957"/>
      <c r="CA467" s="957"/>
      <c r="CB467" s="957"/>
      <c r="CC467" s="134"/>
    </row>
    <row r="468" spans="1:81" s="706" customFormat="1" outlineLevel="3" x14ac:dyDescent="0.55000000000000004">
      <c r="A468" s="390" t="s">
        <v>655</v>
      </c>
      <c r="B468" s="388"/>
      <c r="C468" s="389"/>
      <c r="D468" s="389"/>
      <c r="E468" s="782">
        <v>1.85</v>
      </c>
      <c r="F468" s="389">
        <f>BL468</f>
        <v>1.85</v>
      </c>
      <c r="G468" s="389"/>
      <c r="H468" s="389"/>
      <c r="I468" s="389"/>
      <c r="J468" s="389"/>
      <c r="K468" s="389"/>
      <c r="L468" s="389"/>
      <c r="M468" s="389"/>
      <c r="N468" s="389"/>
      <c r="O468" s="389"/>
      <c r="P468" s="389"/>
      <c r="Q468" s="389"/>
      <c r="R468" s="389"/>
      <c r="S468" s="389"/>
      <c r="T468" s="389"/>
      <c r="U468" s="389"/>
      <c r="V468" s="389"/>
      <c r="W468" s="389"/>
      <c r="X468" s="389"/>
      <c r="Y468" s="389"/>
      <c r="Z468" s="389"/>
      <c r="AA468" s="389"/>
      <c r="AB468" s="389"/>
      <c r="AC468" s="389"/>
      <c r="AD468" s="389"/>
      <c r="AE468" s="389"/>
      <c r="AF468" s="389"/>
      <c r="AG468" s="389"/>
      <c r="AH468" s="389"/>
      <c r="AI468" s="389"/>
      <c r="AJ468" s="389"/>
      <c r="AK468" s="389"/>
      <c r="AL468" s="389"/>
      <c r="AM468" s="389"/>
      <c r="AN468" s="389"/>
      <c r="AO468" s="389"/>
      <c r="AP468" s="389"/>
      <c r="AQ468" s="389"/>
      <c r="AR468" s="389"/>
      <c r="AS468" s="389"/>
      <c r="AT468" s="389"/>
      <c r="AU468" s="389"/>
      <c r="AV468" s="389"/>
      <c r="AW468" s="389"/>
      <c r="AX468" s="389"/>
      <c r="AY468" s="654"/>
      <c r="AZ468" s="389"/>
      <c r="BA468" s="389"/>
      <c r="BB468" s="389"/>
      <c r="BC468" s="389"/>
      <c r="BD468" s="389"/>
      <c r="BE468" s="389"/>
      <c r="BF468" s="389"/>
      <c r="BG468" s="389"/>
      <c r="BH468" s="960"/>
      <c r="BI468" s="960"/>
      <c r="BJ468" s="960"/>
      <c r="BK468" s="961">
        <v>1.41</v>
      </c>
      <c r="BL468" s="961">
        <v>1.85</v>
      </c>
      <c r="BM468" s="960"/>
      <c r="BN468" s="960"/>
      <c r="BO468" s="960"/>
      <c r="BP468" s="960"/>
      <c r="BQ468" s="960"/>
      <c r="BR468" s="960"/>
      <c r="BS468" s="960"/>
      <c r="BT468" s="960"/>
      <c r="BU468" s="960"/>
      <c r="BV468" s="960"/>
      <c r="BW468" s="962"/>
      <c r="BX468" s="960"/>
      <c r="BY468" s="960"/>
      <c r="BZ468" s="960"/>
      <c r="CA468" s="960"/>
      <c r="CB468" s="960"/>
      <c r="CC468" s="134"/>
    </row>
    <row r="469" spans="1:81" s="706" customFormat="1" outlineLevel="3" x14ac:dyDescent="0.55000000000000004">
      <c r="A469" s="385" t="s">
        <v>656</v>
      </c>
      <c r="B469" s="383"/>
      <c r="C469" s="781">
        <v>0.87</v>
      </c>
      <c r="D469" s="781">
        <v>0.92</v>
      </c>
      <c r="E469" s="781">
        <v>0.99</v>
      </c>
      <c r="F469" s="384">
        <f>BL469</f>
        <v>3.56</v>
      </c>
      <c r="G469" s="781">
        <v>4.01</v>
      </c>
      <c r="H469" s="781">
        <v>4.1399999999999997</v>
      </c>
      <c r="I469" s="781">
        <v>4.34</v>
      </c>
      <c r="J469" s="384">
        <f>BM469</f>
        <v>4.78</v>
      </c>
      <c r="K469" s="781">
        <v>5.08</v>
      </c>
      <c r="L469" s="781">
        <v>5.33</v>
      </c>
      <c r="M469" s="781">
        <v>6.37</v>
      </c>
      <c r="N469" s="384">
        <f>BN469</f>
        <v>7.1</v>
      </c>
      <c r="O469" s="781">
        <v>7.32</v>
      </c>
      <c r="P469" s="781">
        <v>7.72</v>
      </c>
      <c r="Q469" s="781">
        <v>7.74</v>
      </c>
      <c r="R469" s="384">
        <f>BO469</f>
        <v>7.78</v>
      </c>
      <c r="S469" s="781">
        <v>8.7799999999999994</v>
      </c>
      <c r="T469" s="781">
        <v>9.07</v>
      </c>
      <c r="U469" s="781">
        <v>9.6300000000000008</v>
      </c>
      <c r="V469" s="384">
        <f>BP469</f>
        <v>10.06</v>
      </c>
      <c r="W469" s="781">
        <v>10.36</v>
      </c>
      <c r="X469" s="781">
        <v>10.72</v>
      </c>
      <c r="Y469" s="781">
        <v>11.72</v>
      </c>
      <c r="Z469" s="384">
        <f>BQ469</f>
        <v>13.74</v>
      </c>
      <c r="AA469" s="384"/>
      <c r="AB469" s="384"/>
      <c r="AC469" s="384"/>
      <c r="AD469" s="384"/>
      <c r="AE469" s="384"/>
      <c r="AF469" s="384"/>
      <c r="AG469" s="384"/>
      <c r="AH469" s="384"/>
      <c r="AI469" s="384"/>
      <c r="AJ469" s="384"/>
      <c r="AK469" s="384"/>
      <c r="AL469" s="384"/>
      <c r="AM469" s="384"/>
      <c r="AN469" s="384"/>
      <c r="AO469" s="384"/>
      <c r="AP469" s="384"/>
      <c r="AQ469" s="384"/>
      <c r="AR469" s="384"/>
      <c r="AS469" s="384"/>
      <c r="AT469" s="384"/>
      <c r="AU469" s="384"/>
      <c r="AV469" s="384"/>
      <c r="AW469" s="384"/>
      <c r="AX469" s="384"/>
      <c r="AY469" s="653"/>
      <c r="AZ469" s="384"/>
      <c r="BA469" s="384"/>
      <c r="BB469" s="384"/>
      <c r="BC469" s="384"/>
      <c r="BD469" s="384"/>
      <c r="BE469" s="384"/>
      <c r="BF469" s="384"/>
      <c r="BG469" s="384"/>
      <c r="BH469" s="957"/>
      <c r="BI469" s="957"/>
      <c r="BJ469" s="957"/>
      <c r="BK469" s="958">
        <v>0.85</v>
      </c>
      <c r="BL469" s="958">
        <v>3.56</v>
      </c>
      <c r="BM469" s="958">
        <v>4.78</v>
      </c>
      <c r="BN469" s="958">
        <v>7.1</v>
      </c>
      <c r="BO469" s="958">
        <v>7.78</v>
      </c>
      <c r="BP469" s="958">
        <v>10.06</v>
      </c>
      <c r="BQ469" s="958">
        <v>13.74</v>
      </c>
      <c r="BR469" s="957"/>
      <c r="BS469" s="957"/>
      <c r="BT469" s="957"/>
      <c r="BU469" s="957"/>
      <c r="BV469" s="957"/>
      <c r="BW469" s="959"/>
      <c r="BX469" s="957"/>
      <c r="BY469" s="957"/>
      <c r="BZ469" s="957"/>
      <c r="CA469" s="957"/>
      <c r="CB469" s="957"/>
      <c r="CC469" s="134"/>
    </row>
    <row r="470" spans="1:81" s="706" customFormat="1" outlineLevel="3" x14ac:dyDescent="0.55000000000000004">
      <c r="A470" s="134"/>
      <c r="B470" s="383"/>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c r="AF470" s="134"/>
      <c r="AG470" s="134"/>
      <c r="AH470" s="134"/>
      <c r="AI470" s="134"/>
      <c r="AJ470" s="134"/>
      <c r="AK470" s="134"/>
      <c r="AL470" s="134"/>
      <c r="AM470" s="134"/>
      <c r="AN470" s="134"/>
      <c r="AO470" s="134"/>
      <c r="AP470" s="134"/>
      <c r="AQ470" s="134"/>
      <c r="AR470" s="134"/>
      <c r="AS470" s="134"/>
      <c r="AT470" s="134"/>
      <c r="AU470" s="134"/>
      <c r="AV470" s="134"/>
      <c r="AW470" s="134"/>
      <c r="AX470" s="134"/>
      <c r="AY470" s="279"/>
      <c r="AZ470" s="134"/>
      <c r="BA470" s="134"/>
      <c r="BB470" s="134"/>
      <c r="BC470" s="134"/>
      <c r="BD470" s="134"/>
      <c r="BE470" s="134"/>
      <c r="BF470" s="134"/>
      <c r="BG470" s="134"/>
      <c r="BH470" s="963"/>
      <c r="BI470" s="963"/>
      <c r="BJ470" s="963"/>
      <c r="BK470" s="963"/>
      <c r="BL470" s="963"/>
      <c r="BM470" s="963"/>
      <c r="BN470" s="963"/>
      <c r="BO470" s="963"/>
      <c r="BP470" s="963"/>
      <c r="BQ470" s="963"/>
      <c r="BR470" s="963"/>
      <c r="BS470" s="963"/>
      <c r="BT470" s="963"/>
      <c r="BU470" s="963"/>
      <c r="BV470" s="963"/>
      <c r="BW470" s="964"/>
      <c r="BX470" s="963"/>
      <c r="BY470" s="963"/>
      <c r="BZ470" s="963"/>
      <c r="CA470" s="963"/>
      <c r="CB470" s="963"/>
      <c r="CC470" s="113"/>
    </row>
    <row r="471" spans="1:81" s="706" customFormat="1" outlineLevel="3" x14ac:dyDescent="0.55000000000000004">
      <c r="A471" s="317" t="s">
        <v>657</v>
      </c>
      <c r="B471" s="383"/>
      <c r="C471" s="316">
        <f>BK475</f>
        <v>0.85</v>
      </c>
      <c r="D471" s="316">
        <f>C475</f>
        <v>0.87</v>
      </c>
      <c r="E471" s="316">
        <f>D475</f>
        <v>0.92</v>
      </c>
      <c r="F471" s="316">
        <f>E475</f>
        <v>0.99</v>
      </c>
      <c r="G471" s="316">
        <f>BL475</f>
        <v>3.56</v>
      </c>
      <c r="H471" s="316">
        <f>G475</f>
        <v>4.01</v>
      </c>
      <c r="I471" s="316">
        <f>H475</f>
        <v>4.1399999999999997</v>
      </c>
      <c r="J471" s="316">
        <f>I475</f>
        <v>4.34</v>
      </c>
      <c r="K471" s="316">
        <f>BM475</f>
        <v>4.78</v>
      </c>
      <c r="L471" s="316">
        <f>K475</f>
        <v>5.08</v>
      </c>
      <c r="M471" s="316">
        <f>L475</f>
        <v>5.33</v>
      </c>
      <c r="N471" s="316">
        <f>M475</f>
        <v>6.37</v>
      </c>
      <c r="O471" s="316">
        <f>BN475</f>
        <v>7.1</v>
      </c>
      <c r="P471" s="316">
        <f>O475</f>
        <v>7.32</v>
      </c>
      <c r="Q471" s="316">
        <f>P475</f>
        <v>7.72</v>
      </c>
      <c r="R471" s="316">
        <f>Q475</f>
        <v>7.74</v>
      </c>
      <c r="S471" s="316">
        <f>BO475</f>
        <v>7.78</v>
      </c>
      <c r="T471" s="316">
        <f>S475</f>
        <v>8.7799999999999994</v>
      </c>
      <c r="U471" s="316">
        <f>T475</f>
        <v>9.07</v>
      </c>
      <c r="V471" s="316">
        <f>U475</f>
        <v>9.6300000000000008</v>
      </c>
      <c r="W471" s="316">
        <f>BP475</f>
        <v>10.06</v>
      </c>
      <c r="X471" s="316">
        <f>W475</f>
        <v>10.36</v>
      </c>
      <c r="Y471" s="316">
        <f>X475</f>
        <v>10.72</v>
      </c>
      <c r="Z471" s="316">
        <f>Y475</f>
        <v>11.72</v>
      </c>
      <c r="AA471" s="316"/>
      <c r="AB471" s="316"/>
      <c r="AC471" s="316"/>
      <c r="AD471" s="316"/>
      <c r="AE471" s="316"/>
      <c r="AF471" s="316"/>
      <c r="AG471" s="316"/>
      <c r="AH471" s="316"/>
      <c r="AI471" s="316"/>
      <c r="AJ471" s="316"/>
      <c r="AK471" s="316"/>
      <c r="AL471" s="316"/>
      <c r="AM471" s="316"/>
      <c r="AN471" s="316"/>
      <c r="AO471" s="316"/>
      <c r="AP471" s="316"/>
      <c r="AQ471" s="316"/>
      <c r="AR471" s="316"/>
      <c r="AS471" s="316"/>
      <c r="AT471" s="316"/>
      <c r="AU471" s="316"/>
      <c r="AV471" s="316"/>
      <c r="AW471" s="316"/>
      <c r="AX471" s="316"/>
      <c r="AY471" s="638"/>
      <c r="AZ471" s="316"/>
      <c r="BA471" s="316"/>
      <c r="BB471" s="316"/>
      <c r="BC471" s="316"/>
      <c r="BD471" s="316"/>
      <c r="BE471" s="316"/>
      <c r="BF471" s="316"/>
      <c r="BG471" s="316"/>
      <c r="BH471" s="886"/>
      <c r="BI471" s="886"/>
      <c r="BJ471" s="886"/>
      <c r="BK471" s="886">
        <f t="shared" ref="BK471:BR471" si="592">BK465</f>
        <v>0.47</v>
      </c>
      <c r="BL471" s="886">
        <f t="shared" si="592"/>
        <v>0.85</v>
      </c>
      <c r="BM471" s="886">
        <f t="shared" si="592"/>
        <v>3.56</v>
      </c>
      <c r="BN471" s="886">
        <f t="shared" si="592"/>
        <v>4.78</v>
      </c>
      <c r="BO471" s="886">
        <f t="shared" si="592"/>
        <v>7.1</v>
      </c>
      <c r="BP471" s="886">
        <f t="shared" si="592"/>
        <v>7.78</v>
      </c>
      <c r="BQ471" s="886">
        <f t="shared" si="592"/>
        <v>10.06</v>
      </c>
      <c r="BR471" s="886">
        <f t="shared" si="592"/>
        <v>13.74</v>
      </c>
      <c r="BS471" s="886"/>
      <c r="BT471" s="886"/>
      <c r="BU471" s="886"/>
      <c r="BV471" s="886"/>
      <c r="BW471" s="888"/>
      <c r="BX471" s="886"/>
      <c r="BY471" s="886"/>
      <c r="BZ471" s="886"/>
      <c r="CA471" s="886"/>
      <c r="CB471" s="886"/>
      <c r="CC471" s="134"/>
    </row>
    <row r="472" spans="1:81" s="706" customFormat="1" outlineLevel="3" x14ac:dyDescent="0.55000000000000004">
      <c r="A472" s="391" t="s">
        <v>658</v>
      </c>
      <c r="B472" s="383"/>
      <c r="C472" s="316"/>
      <c r="D472" s="316"/>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c r="AI472" s="316"/>
      <c r="AJ472" s="316"/>
      <c r="AK472" s="316"/>
      <c r="AL472" s="316"/>
      <c r="AM472" s="316"/>
      <c r="AN472" s="316"/>
      <c r="AO472" s="316"/>
      <c r="AP472" s="316"/>
      <c r="AQ472" s="316"/>
      <c r="AR472" s="316"/>
      <c r="AS472" s="316"/>
      <c r="AT472" s="316"/>
      <c r="AU472" s="316"/>
      <c r="AV472" s="316"/>
      <c r="AW472" s="316"/>
      <c r="AX472" s="316"/>
      <c r="AY472" s="638"/>
      <c r="AZ472" s="316"/>
      <c r="BA472" s="316"/>
      <c r="BB472" s="316"/>
      <c r="BC472" s="316"/>
      <c r="BD472" s="316"/>
      <c r="BE472" s="316"/>
      <c r="BF472" s="316"/>
      <c r="BG472" s="316"/>
      <c r="BH472" s="886"/>
      <c r="BI472" s="886"/>
      <c r="BJ472" s="886"/>
      <c r="BK472" s="886"/>
      <c r="BL472" s="886"/>
      <c r="BM472" s="886"/>
      <c r="BN472" s="886"/>
      <c r="BO472" s="886"/>
      <c r="BP472" s="886"/>
      <c r="BQ472" s="886"/>
      <c r="BR472" s="886"/>
      <c r="BS472" s="886"/>
      <c r="BT472" s="886"/>
      <c r="BU472" s="886"/>
      <c r="BV472" s="886"/>
      <c r="BW472" s="888"/>
      <c r="BX472" s="886"/>
      <c r="BY472" s="886"/>
      <c r="BZ472" s="886"/>
      <c r="CA472" s="886"/>
      <c r="CB472" s="886"/>
      <c r="CC472" s="134"/>
    </row>
    <row r="473" spans="1:81" s="706" customFormat="1" outlineLevel="3" x14ac:dyDescent="0.55000000000000004">
      <c r="A473" s="391" t="s">
        <v>659</v>
      </c>
      <c r="B473" s="383"/>
      <c r="C473" s="316">
        <f>C467</f>
        <v>0.68</v>
      </c>
      <c r="D473" s="316">
        <f>IFERROR((D455*D467-C455*C467)/D461,0)</f>
        <v>0.34477159346571457</v>
      </c>
      <c r="E473" s="316">
        <f>IFERROR((E455*E467-D455*D467)/E461,0)</f>
        <v>0.56538698589546044</v>
      </c>
      <c r="F473" s="316">
        <f>IFERROR((F455*F467-E455*E467)/F461,0)</f>
        <v>8.7650415521370859E-2</v>
      </c>
      <c r="G473" s="316">
        <f>G467</f>
        <v>0.32</v>
      </c>
      <c r="H473" s="316">
        <f>IFERROR((H455*H467-G455*G467)/H461,0)</f>
        <v>0.65482517482517499</v>
      </c>
      <c r="I473" s="316">
        <f>IFERROR((I455*I467-H455*H467)/I461,0)</f>
        <v>2.0249843260188092</v>
      </c>
      <c r="J473" s="316">
        <f>IFERROR((J455*J467-I455*I467)/J461,0)</f>
        <v>2.9322715086522058</v>
      </c>
      <c r="K473" s="316">
        <f>K467</f>
        <v>0.49</v>
      </c>
      <c r="L473" s="316">
        <f>IFERROR((L455*L467-K455*K467)/L461,0)</f>
        <v>0.62699690402476793</v>
      </c>
      <c r="M473" s="316">
        <f>IFERROR((M455*M467-L455*L467)/M461,0)</f>
        <v>0.46379479626902304</v>
      </c>
      <c r="N473" s="316">
        <f>IFERROR((N455*N467-M455*M467)/N461,0)</f>
        <v>0.41173955296404291</v>
      </c>
      <c r="O473" s="316">
        <f>O467</f>
        <v>3.63</v>
      </c>
      <c r="P473" s="316">
        <f>IFERROR((P455*P467-O455*O467)/P461,0)</f>
        <v>4.08757785467128</v>
      </c>
      <c r="Q473" s="316">
        <f>IFERROR((Q455*Q467-P455*P467)/Q461,0)</f>
        <v>7.5350592885375507</v>
      </c>
      <c r="R473" s="316">
        <f>IFERROR((R455*R467-Q455*Q467)/R461,0)</f>
        <v>7.3569634340222576</v>
      </c>
      <c r="S473" s="316">
        <f>S467</f>
        <v>5.12</v>
      </c>
      <c r="T473" s="316">
        <f>IFERROR((T455*T467-S455*S467)/T461,0)</f>
        <v>7.0717298187808897</v>
      </c>
      <c r="U473" s="316">
        <f>IFERROR((U455*U467-T455*T467)/U461,0)</f>
        <v>1.9985156250000076</v>
      </c>
      <c r="V473" s="316">
        <f>IFERROR((V455*V467-U455*U467)/V461,0)</f>
        <v>2.9201005025125526</v>
      </c>
      <c r="W473" s="316">
        <f>W467</f>
        <v>7.97</v>
      </c>
      <c r="X473" s="316">
        <f>IFERROR((X455*X467-W455*W467)/X461,0)</f>
        <v>8.8917391304347824</v>
      </c>
      <c r="Y473" s="316">
        <f>IFERROR((Y455*Y467-X455*X467)/Y461,0)</f>
        <v>7.2131380753138084</v>
      </c>
      <c r="Z473" s="316">
        <f>IFERROR((Z455*Z467-Y455*Y467)/Z461,0)</f>
        <v>7.4880662983425426</v>
      </c>
      <c r="AA473" s="316"/>
      <c r="AB473" s="316"/>
      <c r="AC473" s="316"/>
      <c r="AD473" s="316"/>
      <c r="AE473" s="316"/>
      <c r="AF473" s="316"/>
      <c r="AG473" s="316"/>
      <c r="AH473" s="316"/>
      <c r="AI473" s="316"/>
      <c r="AJ473" s="316"/>
      <c r="AK473" s="316"/>
      <c r="AL473" s="316"/>
      <c r="AM473" s="316"/>
      <c r="AN473" s="316"/>
      <c r="AO473" s="316"/>
      <c r="AP473" s="316"/>
      <c r="AQ473" s="316"/>
      <c r="AR473" s="316"/>
      <c r="AS473" s="316"/>
      <c r="AT473" s="316"/>
      <c r="AU473" s="316"/>
      <c r="AV473" s="316"/>
      <c r="AW473" s="316"/>
      <c r="AX473" s="316"/>
      <c r="AY473" s="638"/>
      <c r="AZ473" s="316"/>
      <c r="BA473" s="316"/>
      <c r="BB473" s="316"/>
      <c r="BC473" s="316"/>
      <c r="BD473" s="316"/>
      <c r="BE473" s="316"/>
      <c r="BF473" s="316"/>
      <c r="BG473" s="316"/>
      <c r="BH473" s="886"/>
      <c r="BI473" s="886"/>
      <c r="BJ473" s="886"/>
      <c r="BK473" s="886">
        <f t="shared" ref="BK473:BR473" si="593">BK467</f>
        <v>0.12</v>
      </c>
      <c r="BL473" s="886">
        <f t="shared" si="593"/>
        <v>0.26</v>
      </c>
      <c r="BM473" s="886">
        <f t="shared" si="593"/>
        <v>1.8199999999999998</v>
      </c>
      <c r="BN473" s="886">
        <f t="shared" si="593"/>
        <v>0.48</v>
      </c>
      <c r="BO473" s="886">
        <f t="shared" si="593"/>
        <v>5.7</v>
      </c>
      <c r="BP473" s="886">
        <f t="shared" si="593"/>
        <v>5.0999999999999996</v>
      </c>
      <c r="BQ473" s="886">
        <f t="shared" si="593"/>
        <v>7.9</v>
      </c>
      <c r="BR473" s="886">
        <f t="shared" si="593"/>
        <v>13.74</v>
      </c>
      <c r="BS473" s="886"/>
      <c r="BT473" s="886"/>
      <c r="BU473" s="886"/>
      <c r="BV473" s="886"/>
      <c r="BW473" s="888"/>
      <c r="BX473" s="886"/>
      <c r="BY473" s="886"/>
      <c r="BZ473" s="886"/>
      <c r="CA473" s="886"/>
      <c r="CB473" s="886"/>
      <c r="CC473" s="134"/>
    </row>
    <row r="474" spans="1:81" s="706" customFormat="1" outlineLevel="3" x14ac:dyDescent="0.55000000000000004">
      <c r="A474" s="397" t="s">
        <v>660</v>
      </c>
      <c r="B474" s="387"/>
      <c r="C474" s="398"/>
      <c r="D474" s="398"/>
      <c r="E474" s="398">
        <f>IFERROR((E456*E468-D456*D468)/E462,0)</f>
        <v>1.85</v>
      </c>
      <c r="F474" s="398">
        <f>IFERROR((F456*F468-E456*E468)/F462,0)</f>
        <v>1.8500000000000167</v>
      </c>
      <c r="G474" s="398"/>
      <c r="H474" s="398"/>
      <c r="I474" s="398"/>
      <c r="J474" s="398"/>
      <c r="K474" s="398"/>
      <c r="L474" s="398"/>
      <c r="M474" s="398"/>
      <c r="N474" s="398"/>
      <c r="O474" s="398"/>
      <c r="P474" s="398"/>
      <c r="Q474" s="398"/>
      <c r="R474" s="398"/>
      <c r="S474" s="398"/>
      <c r="T474" s="398"/>
      <c r="U474" s="398"/>
      <c r="V474" s="398"/>
      <c r="W474" s="398"/>
      <c r="X474" s="398"/>
      <c r="Y474" s="398"/>
      <c r="Z474" s="398"/>
      <c r="AA474" s="398"/>
      <c r="AB474" s="398"/>
      <c r="AC474" s="398"/>
      <c r="AD474" s="398"/>
      <c r="AE474" s="398"/>
      <c r="AF474" s="398"/>
      <c r="AG474" s="398"/>
      <c r="AH474" s="398"/>
      <c r="AI474" s="398"/>
      <c r="AJ474" s="398"/>
      <c r="AK474" s="398"/>
      <c r="AL474" s="398"/>
      <c r="AM474" s="398"/>
      <c r="AN474" s="398"/>
      <c r="AO474" s="398"/>
      <c r="AP474" s="398"/>
      <c r="AQ474" s="398"/>
      <c r="AR474" s="398"/>
      <c r="AS474" s="398"/>
      <c r="AT474" s="398"/>
      <c r="AU474" s="398"/>
      <c r="AV474" s="398"/>
      <c r="AW474" s="398"/>
      <c r="AX474" s="398"/>
      <c r="AY474" s="655"/>
      <c r="AZ474" s="398"/>
      <c r="BA474" s="398"/>
      <c r="BB474" s="398"/>
      <c r="BC474" s="398"/>
      <c r="BD474" s="398"/>
      <c r="BE474" s="398"/>
      <c r="BF474" s="398"/>
      <c r="BG474" s="398"/>
      <c r="BH474" s="965"/>
      <c r="BI474" s="965"/>
      <c r="BJ474" s="965"/>
      <c r="BK474" s="965">
        <f>BK468</f>
        <v>1.41</v>
      </c>
      <c r="BL474" s="965">
        <f>BL468</f>
        <v>1.85</v>
      </c>
      <c r="BM474" s="965"/>
      <c r="BN474" s="965"/>
      <c r="BO474" s="965"/>
      <c r="BP474" s="965"/>
      <c r="BQ474" s="965"/>
      <c r="BR474" s="965"/>
      <c r="BS474" s="965"/>
      <c r="BT474" s="965"/>
      <c r="BU474" s="965"/>
      <c r="BV474" s="965"/>
      <c r="BW474" s="966"/>
      <c r="BX474" s="965"/>
      <c r="BY474" s="965"/>
      <c r="BZ474" s="965"/>
      <c r="CA474" s="965"/>
      <c r="CB474" s="965"/>
      <c r="CC474" s="134"/>
    </row>
    <row r="475" spans="1:81" s="706" customFormat="1" outlineLevel="2" x14ac:dyDescent="0.55000000000000004">
      <c r="A475" s="317" t="s">
        <v>661</v>
      </c>
      <c r="B475" s="383"/>
      <c r="C475" s="316">
        <f t="shared" ref="C475:Z475" si="594">C469</f>
        <v>0.87</v>
      </c>
      <c r="D475" s="316">
        <f t="shared" si="594"/>
        <v>0.92</v>
      </c>
      <c r="E475" s="316">
        <f t="shared" si="594"/>
        <v>0.99</v>
      </c>
      <c r="F475" s="316">
        <f t="shared" si="594"/>
        <v>3.56</v>
      </c>
      <c r="G475" s="316">
        <f t="shared" si="594"/>
        <v>4.01</v>
      </c>
      <c r="H475" s="316">
        <f t="shared" si="594"/>
        <v>4.1399999999999997</v>
      </c>
      <c r="I475" s="316">
        <f t="shared" si="594"/>
        <v>4.34</v>
      </c>
      <c r="J475" s="316">
        <f t="shared" si="594"/>
        <v>4.78</v>
      </c>
      <c r="K475" s="316">
        <f t="shared" si="594"/>
        <v>5.08</v>
      </c>
      <c r="L475" s="316">
        <f t="shared" si="594"/>
        <v>5.33</v>
      </c>
      <c r="M475" s="316">
        <f t="shared" si="594"/>
        <v>6.37</v>
      </c>
      <c r="N475" s="316">
        <f t="shared" si="594"/>
        <v>7.1</v>
      </c>
      <c r="O475" s="316">
        <f t="shared" si="594"/>
        <v>7.32</v>
      </c>
      <c r="P475" s="316">
        <f t="shared" si="594"/>
        <v>7.72</v>
      </c>
      <c r="Q475" s="316">
        <f t="shared" si="594"/>
        <v>7.74</v>
      </c>
      <c r="R475" s="316">
        <f t="shared" si="594"/>
        <v>7.78</v>
      </c>
      <c r="S475" s="316">
        <f t="shared" si="594"/>
        <v>8.7799999999999994</v>
      </c>
      <c r="T475" s="316">
        <f t="shared" si="594"/>
        <v>9.07</v>
      </c>
      <c r="U475" s="316">
        <f t="shared" si="594"/>
        <v>9.6300000000000008</v>
      </c>
      <c r="V475" s="316">
        <f t="shared" si="594"/>
        <v>10.06</v>
      </c>
      <c r="W475" s="316">
        <f t="shared" si="594"/>
        <v>10.36</v>
      </c>
      <c r="X475" s="316">
        <f t="shared" si="594"/>
        <v>10.72</v>
      </c>
      <c r="Y475" s="316">
        <f t="shared" si="594"/>
        <v>11.72</v>
      </c>
      <c r="Z475" s="316">
        <f t="shared" si="594"/>
        <v>13.74</v>
      </c>
      <c r="AA475" s="316">
        <f>BQ475</f>
        <v>13.74</v>
      </c>
      <c r="AB475" s="316">
        <f>BQ475</f>
        <v>13.74</v>
      </c>
      <c r="AC475" s="316">
        <f>BQ475</f>
        <v>13.74</v>
      </c>
      <c r="AD475" s="316"/>
      <c r="AE475" s="316"/>
      <c r="AF475" s="316"/>
      <c r="AG475" s="316"/>
      <c r="AH475" s="316"/>
      <c r="AI475" s="316"/>
      <c r="AJ475" s="316"/>
      <c r="AK475" s="316"/>
      <c r="AL475" s="316"/>
      <c r="AM475" s="316"/>
      <c r="AN475" s="316"/>
      <c r="AO475" s="316"/>
      <c r="AP475" s="316"/>
      <c r="AQ475" s="316"/>
      <c r="AR475" s="316"/>
      <c r="AS475" s="316"/>
      <c r="AT475" s="316"/>
      <c r="AU475" s="316"/>
      <c r="AV475" s="316"/>
      <c r="AW475" s="316"/>
      <c r="AX475" s="316"/>
      <c r="AY475" s="638"/>
      <c r="AZ475" s="316"/>
      <c r="BA475" s="316"/>
      <c r="BB475" s="316"/>
      <c r="BC475" s="316"/>
      <c r="BD475" s="316"/>
      <c r="BE475" s="316"/>
      <c r="BF475" s="316"/>
      <c r="BG475" s="316"/>
      <c r="BH475" s="886"/>
      <c r="BI475" s="886"/>
      <c r="BJ475" s="886"/>
      <c r="BK475" s="886">
        <f>BK469</f>
        <v>0.85</v>
      </c>
      <c r="BL475" s="886">
        <f>BL469</f>
        <v>3.56</v>
      </c>
      <c r="BM475" s="886">
        <f>BM469</f>
        <v>4.78</v>
      </c>
      <c r="BN475" s="886">
        <f>BN469</f>
        <v>7.1</v>
      </c>
      <c r="BO475" s="886">
        <f>BO469</f>
        <v>7.78</v>
      </c>
      <c r="BP475" s="886">
        <f>BP469</f>
        <v>10.06</v>
      </c>
      <c r="BQ475" s="886">
        <f>BQ469</f>
        <v>13.74</v>
      </c>
      <c r="BR475" s="886"/>
      <c r="BS475" s="886"/>
      <c r="BT475" s="886"/>
      <c r="BU475" s="886"/>
      <c r="BV475" s="886"/>
      <c r="BW475" s="888"/>
      <c r="BX475" s="886"/>
      <c r="BY475" s="886"/>
      <c r="BZ475" s="886"/>
      <c r="CA475" s="886"/>
      <c r="CB475" s="886"/>
      <c r="CC475" s="134"/>
    </row>
    <row r="476" spans="1:81" s="706" customFormat="1" outlineLevel="2" x14ac:dyDescent="0.55000000000000004">
      <c r="A476" s="395" t="s">
        <v>669</v>
      </c>
      <c r="B476" s="394"/>
      <c r="C476" s="612">
        <f t="shared" ref="C476:AD476" si="595">IF(C431&gt;C475,(1-C475/C431)*C463,0)</f>
        <v>107.82852814698984</v>
      </c>
      <c r="D476" s="612">
        <f t="shared" si="595"/>
        <v>97.652408360128618</v>
      </c>
      <c r="E476" s="612">
        <f t="shared" si="595"/>
        <v>82.683021077283385</v>
      </c>
      <c r="F476" s="612">
        <f t="shared" si="595"/>
        <v>20.637037795568801</v>
      </c>
      <c r="G476" s="612">
        <f t="shared" si="595"/>
        <v>18.100849858356931</v>
      </c>
      <c r="H476" s="612">
        <f t="shared" si="595"/>
        <v>17.537865680473363</v>
      </c>
      <c r="I476" s="612">
        <f t="shared" si="595"/>
        <v>16.148296455696194</v>
      </c>
      <c r="J476" s="612">
        <f t="shared" si="595"/>
        <v>12.200567533451141</v>
      </c>
      <c r="K476" s="612">
        <f t="shared" si="595"/>
        <v>11.412799146583321</v>
      </c>
      <c r="L476" s="612">
        <f t="shared" si="595"/>
        <v>10.794046969696961</v>
      </c>
      <c r="M476" s="612">
        <f t="shared" si="595"/>
        <v>8.7758347755855457</v>
      </c>
      <c r="N476" s="612">
        <f t="shared" si="595"/>
        <v>7.878649595179807</v>
      </c>
      <c r="O476" s="612">
        <f t="shared" si="595"/>
        <v>7.4351522231909248</v>
      </c>
      <c r="P476" s="612">
        <f t="shared" si="595"/>
        <v>6.596557463209523</v>
      </c>
      <c r="Q476" s="612">
        <f t="shared" si="595"/>
        <v>5.9343477242563756</v>
      </c>
      <c r="R476" s="612">
        <f t="shared" si="595"/>
        <v>5.3024292916123352</v>
      </c>
      <c r="S476" s="612">
        <f t="shared" si="595"/>
        <v>3.8847566884347939</v>
      </c>
      <c r="T476" s="612">
        <f t="shared" si="595"/>
        <v>3.3208422272245692</v>
      </c>
      <c r="U476" s="612">
        <f t="shared" si="595"/>
        <v>3.0923127523848466</v>
      </c>
      <c r="V476" s="612">
        <f t="shared" si="595"/>
        <v>2.9025229513770756</v>
      </c>
      <c r="W476" s="612">
        <f t="shared" si="595"/>
        <v>2.5127880968771441</v>
      </c>
      <c r="X476" s="612">
        <f t="shared" si="595"/>
        <v>2.0389501852614171</v>
      </c>
      <c r="Y476" s="612">
        <f t="shared" si="595"/>
        <v>1.5602772710689461</v>
      </c>
      <c r="Z476" s="612">
        <f t="shared" si="595"/>
        <v>1.019714864864858</v>
      </c>
      <c r="AA476" s="612">
        <f t="shared" si="595"/>
        <v>1.0432788409622582</v>
      </c>
      <c r="AB476" s="612">
        <f t="shared" si="595"/>
        <v>1.0560550259067285</v>
      </c>
      <c r="AC476" s="612">
        <f t="shared" si="595"/>
        <v>1.0487878035008398</v>
      </c>
      <c r="AD476" s="612">
        <f t="shared" si="595"/>
        <v>0</v>
      </c>
      <c r="AE476" s="612"/>
      <c r="AF476" s="612"/>
      <c r="AG476" s="612"/>
      <c r="AH476" s="612"/>
      <c r="AI476" s="612"/>
      <c r="AJ476" s="612"/>
      <c r="AK476" s="612"/>
      <c r="AL476" s="612"/>
      <c r="AM476" s="612"/>
      <c r="AN476" s="612"/>
      <c r="AO476" s="612"/>
      <c r="AP476" s="612"/>
      <c r="AQ476" s="612"/>
      <c r="AR476" s="612"/>
      <c r="AS476" s="612"/>
      <c r="AT476" s="612"/>
      <c r="AU476" s="612"/>
      <c r="AV476" s="612"/>
      <c r="AW476" s="612"/>
      <c r="AX476" s="612"/>
      <c r="AY476" s="656"/>
      <c r="AZ476" s="612"/>
      <c r="BA476" s="612"/>
      <c r="BB476" s="612"/>
      <c r="BC476" s="612"/>
      <c r="BD476" s="612"/>
      <c r="BE476" s="612"/>
      <c r="BF476" s="612"/>
      <c r="BG476" s="612"/>
      <c r="BH476" s="967"/>
      <c r="BI476" s="967"/>
      <c r="BJ476" s="967"/>
      <c r="BK476" s="967">
        <f t="shared" ref="BK476:BR476" si="596">IF(BK431&gt;BK475,(1-BK475/BK431)*BK463,0)</f>
        <v>118.79193727808824</v>
      </c>
      <c r="BL476" s="967">
        <f t="shared" si="596"/>
        <v>20.637037795568791</v>
      </c>
      <c r="BM476" s="967">
        <f t="shared" si="596"/>
        <v>12.200567533451142</v>
      </c>
      <c r="BN476" s="967">
        <f t="shared" si="596"/>
        <v>7.8786495951798079</v>
      </c>
      <c r="BO476" s="967">
        <f t="shared" si="596"/>
        <v>5.3024292916123352</v>
      </c>
      <c r="BP476" s="967">
        <f t="shared" si="596"/>
        <v>2.9025229513770756</v>
      </c>
      <c r="BQ476" s="967">
        <f t="shared" si="596"/>
        <v>1.0197148648648577</v>
      </c>
      <c r="BR476" s="967">
        <f t="shared" si="596"/>
        <v>0</v>
      </c>
      <c r="BS476" s="967"/>
      <c r="BT476" s="967"/>
      <c r="BU476" s="967"/>
      <c r="BV476" s="967"/>
      <c r="BW476" s="968"/>
      <c r="BX476" s="967"/>
      <c r="BY476" s="967"/>
      <c r="BZ476" s="967"/>
      <c r="CA476" s="967"/>
      <c r="CB476" s="967"/>
      <c r="CC476" s="134"/>
    </row>
    <row r="477" spans="1:81" s="706" customFormat="1" outlineLevel="2" x14ac:dyDescent="0.55000000000000004">
      <c r="A477" s="600"/>
      <c r="B477" s="241"/>
      <c r="C477" s="600"/>
      <c r="D477" s="600"/>
      <c r="E477" s="600"/>
      <c r="F477" s="600"/>
      <c r="G477" s="600"/>
      <c r="H477" s="600"/>
      <c r="I477" s="600"/>
      <c r="J477" s="600"/>
      <c r="K477" s="600"/>
      <c r="L477" s="600"/>
      <c r="M477" s="600"/>
      <c r="N477" s="600"/>
      <c r="O477" s="600"/>
      <c r="P477" s="600"/>
      <c r="Q477" s="600"/>
      <c r="R477" s="600"/>
      <c r="S477" s="600"/>
      <c r="T477" s="600"/>
      <c r="U477" s="600"/>
      <c r="V477" s="600"/>
      <c r="W477" s="600"/>
      <c r="X477" s="600"/>
      <c r="Y477" s="600"/>
      <c r="Z477" s="600"/>
      <c r="AA477" s="600"/>
      <c r="AB477" s="600"/>
      <c r="AC477" s="600"/>
      <c r="AD477" s="600"/>
      <c r="AE477" s="600"/>
      <c r="AF477" s="600"/>
      <c r="AG477" s="600"/>
      <c r="AH477" s="600"/>
      <c r="AI477" s="600"/>
      <c r="AJ477" s="600"/>
      <c r="AK477" s="600"/>
      <c r="AL477" s="600"/>
      <c r="AM477" s="600"/>
      <c r="AN477" s="600"/>
      <c r="AO477" s="600"/>
      <c r="AP477" s="600"/>
      <c r="AQ477" s="600"/>
      <c r="AR477" s="600"/>
      <c r="AS477" s="600"/>
      <c r="AT477" s="600"/>
      <c r="AU477" s="600"/>
      <c r="AV477" s="600"/>
      <c r="AW477" s="600"/>
      <c r="AX477" s="600"/>
      <c r="AY477" s="604"/>
      <c r="AZ477" s="600"/>
      <c r="BA477" s="600"/>
      <c r="BB477" s="600"/>
      <c r="BC477" s="600"/>
      <c r="BD477" s="600"/>
      <c r="BE477" s="600"/>
      <c r="BF477" s="600"/>
      <c r="BG477" s="600"/>
      <c r="BH477" s="186"/>
      <c r="BI477" s="186"/>
      <c r="BJ477" s="186"/>
      <c r="BK477" s="186"/>
      <c r="BL477" s="186"/>
      <c r="BM477" s="186"/>
      <c r="BN477" s="186"/>
      <c r="BO477" s="186"/>
      <c r="BP477" s="186"/>
      <c r="BQ477" s="186"/>
      <c r="BR477" s="186"/>
      <c r="BS477" s="186"/>
      <c r="BT477" s="186"/>
      <c r="BU477" s="186"/>
      <c r="BV477" s="186"/>
      <c r="BW477" s="909"/>
      <c r="BX477" s="186"/>
      <c r="BY477" s="186"/>
      <c r="BZ477" s="186"/>
      <c r="CA477" s="186"/>
      <c r="CB477" s="186"/>
      <c r="CC477" s="358"/>
    </row>
    <row r="478" spans="1:81" s="706" customFormat="1" outlineLevel="2" x14ac:dyDescent="0.55000000000000004">
      <c r="A478" s="392" t="s">
        <v>662</v>
      </c>
      <c r="B478" s="243"/>
      <c r="C478" s="783">
        <v>103.374</v>
      </c>
      <c r="D478" s="783">
        <v>94.613</v>
      </c>
      <c r="E478" s="783">
        <v>78.593000000000004</v>
      </c>
      <c r="F478" s="601">
        <f>BL478</f>
        <v>17.007000000000001</v>
      </c>
      <c r="G478" s="783">
        <v>14.911</v>
      </c>
      <c r="H478" s="783">
        <v>14.804</v>
      </c>
      <c r="I478" s="783">
        <v>13.718999999999999</v>
      </c>
      <c r="J478" s="601">
        <f>BM478</f>
        <v>9.85</v>
      </c>
      <c r="K478" s="783">
        <v>9.2569999999999997</v>
      </c>
      <c r="L478" s="783">
        <v>8.8450000000000006</v>
      </c>
      <c r="M478" s="783">
        <v>7.0430000000000001</v>
      </c>
      <c r="N478" s="601">
        <f>BN478</f>
        <v>6.25</v>
      </c>
      <c r="O478" s="783">
        <v>5.984</v>
      </c>
      <c r="P478" s="783">
        <v>5.351</v>
      </c>
      <c r="Q478" s="783">
        <v>4.827</v>
      </c>
      <c r="R478" s="601">
        <f>BO478</f>
        <v>4.4329999999999998</v>
      </c>
      <c r="S478" s="783">
        <v>3.1219999999999999</v>
      </c>
      <c r="T478" s="783">
        <v>2.7490000000000001</v>
      </c>
      <c r="U478" s="783">
        <v>2.7280000000000002</v>
      </c>
      <c r="V478" s="601">
        <f>BP478</f>
        <v>2.7650000000000001</v>
      </c>
      <c r="W478" s="783">
        <v>2.609</v>
      </c>
      <c r="X478" s="783">
        <v>2.1579999999999999</v>
      </c>
      <c r="Y478" s="783">
        <v>1.6800000000000002</v>
      </c>
      <c r="Z478" s="601">
        <f>BQ478</f>
        <v>1.137</v>
      </c>
      <c r="AA478" s="601"/>
      <c r="AB478" s="601"/>
      <c r="AC478" s="601"/>
      <c r="AD478" s="601"/>
      <c r="AE478" s="601"/>
      <c r="AF478" s="601"/>
      <c r="AG478" s="601"/>
      <c r="AH478" s="601"/>
      <c r="AI478" s="601"/>
      <c r="AJ478" s="601"/>
      <c r="AK478" s="601"/>
      <c r="AL478" s="601"/>
      <c r="AM478" s="601"/>
      <c r="AN478" s="601"/>
      <c r="AO478" s="601"/>
      <c r="AP478" s="601"/>
      <c r="AQ478" s="601"/>
      <c r="AR478" s="601"/>
      <c r="AS478" s="601"/>
      <c r="AT478" s="601"/>
      <c r="AU478" s="601"/>
      <c r="AV478" s="601"/>
      <c r="AW478" s="601"/>
      <c r="AX478" s="601"/>
      <c r="AY478" s="617"/>
      <c r="AZ478" s="601"/>
      <c r="BA478" s="601"/>
      <c r="BB478" s="601"/>
      <c r="BC478" s="601"/>
      <c r="BD478" s="601"/>
      <c r="BE478" s="601"/>
      <c r="BF478" s="601"/>
      <c r="BG478" s="601"/>
      <c r="BH478" s="911"/>
      <c r="BI478" s="911"/>
      <c r="BJ478" s="911"/>
      <c r="BK478" s="969">
        <v>113.688</v>
      </c>
      <c r="BL478" s="969">
        <v>17.007000000000001</v>
      </c>
      <c r="BM478" s="969">
        <v>9.85</v>
      </c>
      <c r="BN478" s="969">
        <v>6.25</v>
      </c>
      <c r="BO478" s="969">
        <v>4.4329999999999998</v>
      </c>
      <c r="BP478" s="969">
        <v>2.7650000000000001</v>
      </c>
      <c r="BQ478" s="969">
        <v>1.137</v>
      </c>
      <c r="BR478" s="911"/>
      <c r="BS478" s="911"/>
      <c r="BT478" s="911"/>
      <c r="BU478" s="911"/>
      <c r="BV478" s="911"/>
      <c r="BW478" s="912"/>
      <c r="BX478" s="911"/>
      <c r="BY478" s="911"/>
      <c r="BZ478" s="911"/>
      <c r="CA478" s="911"/>
      <c r="CB478" s="911"/>
      <c r="CC478" s="600"/>
    </row>
    <row r="479" spans="1:81" s="706" customFormat="1" outlineLevel="2" x14ac:dyDescent="0.55000000000000004">
      <c r="A479" s="392" t="s">
        <v>663</v>
      </c>
      <c r="B479" s="393"/>
      <c r="C479" s="784">
        <v>0.32</v>
      </c>
      <c r="D479" s="784">
        <v>0.36</v>
      </c>
      <c r="E479" s="784">
        <v>0.37</v>
      </c>
      <c r="F479" s="392">
        <f>BL479</f>
        <v>1.64</v>
      </c>
      <c r="G479" s="784">
        <v>2.06</v>
      </c>
      <c r="H479" s="784">
        <v>2.29</v>
      </c>
      <c r="I479" s="784">
        <v>2.48</v>
      </c>
      <c r="J479" s="392">
        <f>BM479</f>
        <v>2.4900000000000002</v>
      </c>
      <c r="K479" s="784">
        <v>2.88</v>
      </c>
      <c r="L479" s="784">
        <v>3.25</v>
      </c>
      <c r="M479" s="784">
        <v>4.3</v>
      </c>
      <c r="N479" s="392">
        <f>BN479</f>
        <v>5.19</v>
      </c>
      <c r="O479" s="784">
        <v>5.54</v>
      </c>
      <c r="P479" s="784">
        <v>6</v>
      </c>
      <c r="Q479" s="784">
        <v>5.99</v>
      </c>
      <c r="R479" s="392">
        <f>BO479</f>
        <v>6.05</v>
      </c>
      <c r="S479" s="784">
        <v>6.85</v>
      </c>
      <c r="T479" s="784">
        <v>7.38</v>
      </c>
      <c r="U479" s="784">
        <v>8.5500000000000007</v>
      </c>
      <c r="V479" s="392">
        <f>BP479</f>
        <v>9.5</v>
      </c>
      <c r="W479" s="784">
        <v>10.220000000000001</v>
      </c>
      <c r="X479" s="784">
        <v>10.72</v>
      </c>
      <c r="Y479" s="784">
        <v>11.72</v>
      </c>
      <c r="Z479" s="392">
        <f>BQ479</f>
        <v>13.74</v>
      </c>
      <c r="AA479" s="392"/>
      <c r="AB479" s="392"/>
      <c r="AC479" s="392"/>
      <c r="AD479" s="392"/>
      <c r="AE479" s="392"/>
      <c r="AF479" s="392"/>
      <c r="AG479" s="392"/>
      <c r="AH479" s="392"/>
      <c r="AI479" s="392"/>
      <c r="AJ479" s="392"/>
      <c r="AK479" s="392"/>
      <c r="AL479" s="392"/>
      <c r="AM479" s="392"/>
      <c r="AN479" s="392"/>
      <c r="AO479" s="392"/>
      <c r="AP479" s="392"/>
      <c r="AQ479" s="392"/>
      <c r="AR479" s="392"/>
      <c r="AS479" s="392"/>
      <c r="AT479" s="392"/>
      <c r="AU479" s="392"/>
      <c r="AV479" s="392"/>
      <c r="AW479" s="392"/>
      <c r="AX479" s="392"/>
      <c r="AY479" s="657"/>
      <c r="AZ479" s="392"/>
      <c r="BA479" s="392"/>
      <c r="BB479" s="392"/>
      <c r="BC479" s="392"/>
      <c r="BD479" s="392"/>
      <c r="BE479" s="392"/>
      <c r="BF479" s="392"/>
      <c r="BG479" s="392"/>
      <c r="BH479" s="970"/>
      <c r="BI479" s="970"/>
      <c r="BJ479" s="970"/>
      <c r="BK479" s="971">
        <v>0.34</v>
      </c>
      <c r="BL479" s="971">
        <v>1.64</v>
      </c>
      <c r="BM479" s="971">
        <v>2.4900000000000002</v>
      </c>
      <c r="BN479" s="971">
        <v>5.19</v>
      </c>
      <c r="BO479" s="971">
        <v>6.05</v>
      </c>
      <c r="BP479" s="971">
        <v>9.5</v>
      </c>
      <c r="BQ479" s="971">
        <v>13.74</v>
      </c>
      <c r="BR479" s="970"/>
      <c r="BS479" s="970"/>
      <c r="BT479" s="970"/>
      <c r="BU479" s="970"/>
      <c r="BV479" s="970"/>
      <c r="BW479" s="972"/>
      <c r="BX479" s="970"/>
      <c r="BY479" s="970"/>
      <c r="BZ479" s="970"/>
      <c r="CA479" s="970"/>
      <c r="CB479" s="970"/>
      <c r="CC479" s="134"/>
    </row>
    <row r="480" spans="1:81" s="706" customFormat="1" outlineLevel="1" x14ac:dyDescent="0.55000000000000004">
      <c r="A480" s="600"/>
      <c r="B480" s="241"/>
      <c r="C480" s="600"/>
      <c r="D480" s="600"/>
      <c r="E480" s="600"/>
      <c r="F480" s="600"/>
      <c r="G480" s="600"/>
      <c r="H480" s="600"/>
      <c r="I480" s="600"/>
      <c r="J480" s="600"/>
      <c r="K480" s="600"/>
      <c r="L480" s="600"/>
      <c r="M480" s="600"/>
      <c r="N480" s="600"/>
      <c r="O480" s="600"/>
      <c r="P480" s="600"/>
      <c r="Q480" s="600"/>
      <c r="R480" s="600"/>
      <c r="S480" s="600"/>
      <c r="T480" s="600"/>
      <c r="U480" s="600"/>
      <c r="V480" s="600"/>
      <c r="W480" s="600"/>
      <c r="X480" s="600"/>
      <c r="Y480" s="600"/>
      <c r="Z480" s="600"/>
      <c r="AA480" s="600"/>
      <c r="AB480" s="600"/>
      <c r="AC480" s="600"/>
      <c r="AD480" s="600"/>
      <c r="AE480" s="600"/>
      <c r="AF480" s="600"/>
      <c r="AG480" s="600"/>
      <c r="AH480" s="600"/>
      <c r="AI480" s="600"/>
      <c r="AJ480" s="600"/>
      <c r="AK480" s="600"/>
      <c r="AL480" s="600"/>
      <c r="AM480" s="600"/>
      <c r="AN480" s="600"/>
      <c r="AO480" s="600"/>
      <c r="AP480" s="600"/>
      <c r="AQ480" s="600"/>
      <c r="AR480" s="600"/>
      <c r="AS480" s="600"/>
      <c r="AT480" s="600"/>
      <c r="AU480" s="600"/>
      <c r="AV480" s="600"/>
      <c r="AW480" s="600"/>
      <c r="AX480" s="600"/>
      <c r="AY480" s="604"/>
      <c r="AZ480" s="600"/>
      <c r="BA480" s="600"/>
      <c r="BB480" s="600"/>
      <c r="BC480" s="600"/>
      <c r="BD480" s="600"/>
      <c r="BE480" s="600"/>
      <c r="BF480" s="600"/>
      <c r="BG480" s="600"/>
      <c r="BH480" s="186"/>
      <c r="BI480" s="186"/>
      <c r="BJ480" s="186"/>
      <c r="BK480" s="186"/>
      <c r="BL480" s="186"/>
      <c r="BM480" s="186"/>
      <c r="BN480" s="186"/>
      <c r="BO480" s="186"/>
      <c r="BP480" s="186"/>
      <c r="BQ480" s="186"/>
      <c r="BR480" s="186"/>
      <c r="BS480" s="186"/>
      <c r="BT480" s="186"/>
      <c r="BU480" s="186"/>
      <c r="BV480" s="186"/>
      <c r="BW480" s="909"/>
      <c r="BX480" s="186"/>
      <c r="BY480" s="186"/>
      <c r="BZ480" s="186"/>
      <c r="CA480" s="186"/>
      <c r="CB480" s="186"/>
      <c r="CC480" s="358"/>
    </row>
    <row r="481" spans="1:81" s="706" customFormat="1" outlineLevel="1" x14ac:dyDescent="0.55000000000000004">
      <c r="A481" s="37" t="s">
        <v>664</v>
      </c>
      <c r="B481" s="87"/>
      <c r="C481" s="759">
        <v>97.076999999999998</v>
      </c>
      <c r="D481" s="759">
        <v>122.13200000000001</v>
      </c>
      <c r="E481" s="759">
        <v>111.194</v>
      </c>
      <c r="F481" s="37">
        <f>BL481</f>
        <v>103.971</v>
      </c>
      <c r="G481" s="759">
        <v>106.369</v>
      </c>
      <c r="H481" s="759">
        <v>96.286000000000001</v>
      </c>
      <c r="I481" s="759">
        <v>96.417000000000002</v>
      </c>
      <c r="J481" s="37">
        <f>BM481</f>
        <v>138.05500000000001</v>
      </c>
      <c r="K481" s="759">
        <v>148.21899999999999</v>
      </c>
      <c r="L481" s="759">
        <v>139.79499999999999</v>
      </c>
      <c r="M481" s="759">
        <v>132.13900000000001</v>
      </c>
      <c r="N481" s="37">
        <f>BN481</f>
        <v>116.40900000000001</v>
      </c>
      <c r="O481" s="759">
        <v>121.616</v>
      </c>
      <c r="P481" s="759">
        <v>112.047</v>
      </c>
      <c r="Q481" s="759">
        <v>104.502</v>
      </c>
      <c r="R481" s="37">
        <f>BO481</f>
        <v>98.585999999999999</v>
      </c>
      <c r="S481" s="759">
        <v>108.84</v>
      </c>
      <c r="T481" s="759">
        <v>100.622</v>
      </c>
      <c r="U481" s="759">
        <v>93.254000000000005</v>
      </c>
      <c r="V481" s="37">
        <f>BP481</f>
        <v>81.213999999999999</v>
      </c>
      <c r="W481" s="759">
        <v>93.941999999999993</v>
      </c>
      <c r="X481" s="759">
        <v>85.19</v>
      </c>
      <c r="Y481" s="759">
        <v>74.114999999999995</v>
      </c>
      <c r="Z481" s="37">
        <f>BQ481</f>
        <v>67.298000000000002</v>
      </c>
      <c r="AA481" s="759">
        <v>93.965999999999994</v>
      </c>
      <c r="AB481" s="759">
        <v>86.397000000000006</v>
      </c>
      <c r="AC481" s="759">
        <v>81.325999999999993</v>
      </c>
      <c r="AD481" s="37">
        <f>BR481</f>
        <v>78.850999999999999</v>
      </c>
      <c r="AE481" s="759">
        <v>108.221</v>
      </c>
      <c r="AF481" s="759">
        <v>106.25700000000001</v>
      </c>
      <c r="AG481" s="759">
        <v>103.057</v>
      </c>
      <c r="AH481" s="37">
        <f>BS481</f>
        <v>96.733000000000004</v>
      </c>
      <c r="AI481" s="759">
        <v>125.139</v>
      </c>
      <c r="AJ481" s="759">
        <v>114.69499999999999</v>
      </c>
      <c r="AK481" s="759">
        <v>107.842</v>
      </c>
      <c r="AL481" s="37">
        <f>BT481</f>
        <v>98.847999999999999</v>
      </c>
      <c r="AM481" s="759">
        <v>151.15700000000001</v>
      </c>
      <c r="AN481" s="759">
        <v>149.18600000000001</v>
      </c>
      <c r="AO481" s="759">
        <v>145.51900000000001</v>
      </c>
      <c r="AP481" s="37">
        <f>BU481</f>
        <v>127.11</v>
      </c>
      <c r="AQ481" s="759">
        <v>215.392</v>
      </c>
      <c r="AR481" s="759">
        <v>182.96899999999999</v>
      </c>
      <c r="AS481" s="759">
        <v>164.703</v>
      </c>
      <c r="AT481" s="37">
        <f>BV481</f>
        <v>149.06200000000001</v>
      </c>
      <c r="AU481" s="759">
        <v>170.06800000000001</v>
      </c>
      <c r="AV481" s="759">
        <v>152.715</v>
      </c>
      <c r="AW481" s="759">
        <v>137.34700000000001</v>
      </c>
      <c r="AX481" s="37">
        <f>BW481</f>
        <v>122.63200000000001</v>
      </c>
      <c r="AY481" s="273"/>
      <c r="AZ481" s="37"/>
      <c r="BA481" s="37"/>
      <c r="BB481" s="37"/>
      <c r="BC481" s="37"/>
      <c r="BD481" s="37"/>
      <c r="BE481" s="37"/>
      <c r="BF481" s="37"/>
      <c r="BG481" s="37"/>
      <c r="BH481" s="158"/>
      <c r="BI481" s="158"/>
      <c r="BJ481" s="158"/>
      <c r="BK481" s="857">
        <v>128.22300000000001</v>
      </c>
      <c r="BL481" s="857">
        <v>103.971</v>
      </c>
      <c r="BM481" s="857">
        <v>138.05500000000001</v>
      </c>
      <c r="BN481" s="857">
        <v>116.40900000000001</v>
      </c>
      <c r="BO481" s="857">
        <v>98.585999999999999</v>
      </c>
      <c r="BP481" s="857">
        <v>81.213999999999999</v>
      </c>
      <c r="BQ481" s="857">
        <v>67.298000000000002</v>
      </c>
      <c r="BR481" s="857">
        <v>78.850999999999999</v>
      </c>
      <c r="BS481" s="857">
        <v>96.733000000000004</v>
      </c>
      <c r="BT481" s="857">
        <v>98.847999999999999</v>
      </c>
      <c r="BU481" s="857">
        <v>127.11</v>
      </c>
      <c r="BV481" s="857">
        <v>149.06200000000001</v>
      </c>
      <c r="BW481" s="862">
        <v>122.63200000000001</v>
      </c>
      <c r="BX481" s="158"/>
      <c r="BY481" s="158"/>
      <c r="BZ481" s="158"/>
      <c r="CA481" s="158"/>
      <c r="CB481" s="158"/>
      <c r="CC481" s="37"/>
    </row>
    <row r="482" spans="1:81" s="706" customFormat="1" outlineLevel="1" x14ac:dyDescent="0.55000000000000004">
      <c r="A482" s="384" t="s">
        <v>665</v>
      </c>
      <c r="B482" s="383"/>
      <c r="C482" s="781">
        <v>22.46</v>
      </c>
      <c r="D482" s="781">
        <v>24.78</v>
      </c>
      <c r="E482" s="781">
        <v>25.87</v>
      </c>
      <c r="F482" s="384">
        <f>BL482</f>
        <v>27.3</v>
      </c>
      <c r="G482" s="781">
        <v>35.07</v>
      </c>
      <c r="H482" s="781">
        <v>36.590000000000003</v>
      </c>
      <c r="I482" s="781">
        <v>42.64</v>
      </c>
      <c r="J482" s="384">
        <f>BM482</f>
        <v>55.89</v>
      </c>
      <c r="K482" s="781">
        <v>60.25</v>
      </c>
      <c r="L482" s="781">
        <v>62.29</v>
      </c>
      <c r="M482" s="781">
        <v>64.36</v>
      </c>
      <c r="N482" s="384">
        <f>BN482</f>
        <v>65.95</v>
      </c>
      <c r="O482" s="781">
        <v>74.34</v>
      </c>
      <c r="P482" s="781">
        <v>76.69</v>
      </c>
      <c r="Q482" s="781">
        <v>79.69</v>
      </c>
      <c r="R482" s="384">
        <f>BO482</f>
        <v>82.99</v>
      </c>
      <c r="S482" s="781">
        <v>96.59</v>
      </c>
      <c r="T482" s="781">
        <v>99.49</v>
      </c>
      <c r="U482" s="781">
        <v>103.43</v>
      </c>
      <c r="V482" s="384">
        <f>BP482</f>
        <v>110.49</v>
      </c>
      <c r="W482" s="781">
        <v>128.16</v>
      </c>
      <c r="X482" s="781">
        <v>134.4</v>
      </c>
      <c r="Y482" s="781">
        <v>142.08000000000001</v>
      </c>
      <c r="Z482" s="384">
        <f>BQ482</f>
        <v>144.77000000000001</v>
      </c>
      <c r="AA482" s="781">
        <v>153.97999999999999</v>
      </c>
      <c r="AB482" s="781">
        <v>157.91999999999999</v>
      </c>
      <c r="AC482" s="781">
        <v>161.21</v>
      </c>
      <c r="AD482" s="384">
        <f>BR482</f>
        <v>165.74</v>
      </c>
      <c r="AE482" s="781">
        <v>163.08000000000001</v>
      </c>
      <c r="AF482" s="781">
        <v>168.49</v>
      </c>
      <c r="AG482" s="781">
        <v>175.78</v>
      </c>
      <c r="AH482" s="384">
        <f>BS482</f>
        <v>181.88</v>
      </c>
      <c r="AI482" s="781">
        <v>218.68</v>
      </c>
      <c r="AJ482" s="781">
        <v>225.01</v>
      </c>
      <c r="AK482" s="781">
        <v>235.64</v>
      </c>
      <c r="AL482" s="384">
        <f>BT482</f>
        <v>244.32</v>
      </c>
      <c r="AM482" s="781">
        <v>233.13</v>
      </c>
      <c r="AN482" s="781">
        <v>228.67</v>
      </c>
      <c r="AO482" s="781">
        <v>222.49</v>
      </c>
      <c r="AP482" s="384">
        <f>BU482</f>
        <v>216.93</v>
      </c>
      <c r="AQ482" s="781">
        <v>206.98</v>
      </c>
      <c r="AR482" s="781">
        <v>207.16</v>
      </c>
      <c r="AS482" s="781">
        <v>207.37</v>
      </c>
      <c r="AT482" s="384">
        <f>BV482</f>
        <v>209.85</v>
      </c>
      <c r="AU482" s="781">
        <v>276.45</v>
      </c>
      <c r="AV482" s="781">
        <v>282.27999999999997</v>
      </c>
      <c r="AW482" s="781">
        <v>291.41000000000003</v>
      </c>
      <c r="AX482" s="384">
        <f>BW482</f>
        <v>302.27</v>
      </c>
      <c r="AY482" s="653"/>
      <c r="AZ482" s="384"/>
      <c r="BA482" s="384"/>
      <c r="BB482" s="384"/>
      <c r="BC482" s="384"/>
      <c r="BD482" s="384"/>
      <c r="BE482" s="384"/>
      <c r="BF482" s="384"/>
      <c r="BG482" s="384"/>
      <c r="BH482" s="957"/>
      <c r="BI482" s="957"/>
      <c r="BJ482" s="957"/>
      <c r="BK482" s="958">
        <v>22.08</v>
      </c>
      <c r="BL482" s="958">
        <v>27.3</v>
      </c>
      <c r="BM482" s="958">
        <v>55.89</v>
      </c>
      <c r="BN482" s="958">
        <v>65.95</v>
      </c>
      <c r="BO482" s="958">
        <v>82.99</v>
      </c>
      <c r="BP482" s="958">
        <v>110.49</v>
      </c>
      <c r="BQ482" s="958">
        <v>144.77000000000001</v>
      </c>
      <c r="BR482" s="958">
        <v>165.74</v>
      </c>
      <c r="BS482" s="958">
        <v>181.88</v>
      </c>
      <c r="BT482" s="958">
        <v>244.32</v>
      </c>
      <c r="BU482" s="958">
        <v>216.93</v>
      </c>
      <c r="BV482" s="958">
        <v>209.85</v>
      </c>
      <c r="BW482" s="973">
        <v>302.27</v>
      </c>
      <c r="BX482" s="957"/>
      <c r="BY482" s="957"/>
      <c r="BZ482" s="957"/>
      <c r="CA482" s="957"/>
      <c r="CB482" s="957"/>
      <c r="CC482" s="134"/>
    </row>
    <row r="483" spans="1:81" s="706" customFormat="1" outlineLevel="1" x14ac:dyDescent="0.55000000000000004">
      <c r="A483" s="134"/>
      <c r="B483" s="383"/>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c r="AF483" s="134"/>
      <c r="AG483" s="134"/>
      <c r="AH483" s="134"/>
      <c r="AI483" s="134"/>
      <c r="AJ483" s="134"/>
      <c r="AK483" s="134"/>
      <c r="AL483" s="134"/>
      <c r="AM483" s="134"/>
      <c r="AN483" s="134"/>
      <c r="AO483" s="134"/>
      <c r="AP483" s="134"/>
      <c r="AQ483" s="134"/>
      <c r="AR483" s="134"/>
      <c r="AS483" s="134"/>
      <c r="AT483" s="134"/>
      <c r="AU483" s="134"/>
      <c r="AV483" s="134"/>
      <c r="AW483" s="134"/>
      <c r="AX483" s="134"/>
      <c r="AY483" s="279"/>
      <c r="AZ483" s="134"/>
      <c r="BA483" s="134"/>
      <c r="BB483" s="134"/>
      <c r="BC483" s="134"/>
      <c r="BD483" s="134"/>
      <c r="BE483" s="134"/>
      <c r="BF483" s="134"/>
      <c r="BG483" s="134"/>
      <c r="BH483" s="963"/>
      <c r="BI483" s="963"/>
      <c r="BJ483" s="963"/>
      <c r="BK483" s="963"/>
      <c r="BL483" s="963"/>
      <c r="BM483" s="963"/>
      <c r="BN483" s="963"/>
      <c r="BO483" s="963"/>
      <c r="BP483" s="963"/>
      <c r="BQ483" s="963"/>
      <c r="BR483" s="963"/>
      <c r="BS483" s="963"/>
      <c r="BT483" s="963"/>
      <c r="BU483" s="963"/>
      <c r="BV483" s="963"/>
      <c r="BW483" s="964"/>
      <c r="BX483" s="963"/>
      <c r="BY483" s="963"/>
      <c r="BZ483" s="963"/>
      <c r="CA483" s="963"/>
      <c r="CB483" s="963"/>
      <c r="CC483" s="113"/>
    </row>
    <row r="484" spans="1:81" s="706" customFormat="1" outlineLevel="2" x14ac:dyDescent="0.55000000000000004">
      <c r="A484" s="134" t="s">
        <v>693</v>
      </c>
      <c r="B484" s="383"/>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c r="AF484" s="134"/>
      <c r="AG484" s="134"/>
      <c r="AH484" s="134"/>
      <c r="AI484" s="134"/>
      <c r="AJ484" s="134"/>
      <c r="AK484" s="134"/>
      <c r="AL484" s="134"/>
      <c r="AM484" s="134"/>
      <c r="AN484" s="134"/>
      <c r="AO484" s="134"/>
      <c r="AP484" s="134"/>
      <c r="AQ484" s="134"/>
      <c r="AR484" s="134"/>
      <c r="AS484" s="134"/>
      <c r="AT484" s="134"/>
      <c r="AU484" s="134"/>
      <c r="AV484" s="134"/>
      <c r="AW484" s="134"/>
      <c r="AX484" s="134"/>
      <c r="AY484" s="279"/>
      <c r="AZ484" s="134"/>
      <c r="BA484" s="134"/>
      <c r="BB484" s="134"/>
      <c r="BC484" s="134"/>
      <c r="BD484" s="134"/>
      <c r="BE484" s="134"/>
      <c r="BF484" s="134"/>
      <c r="BG484" s="134"/>
      <c r="BH484" s="963"/>
      <c r="BI484" s="963"/>
      <c r="BJ484" s="963"/>
      <c r="BK484" s="963"/>
      <c r="BL484" s="963"/>
      <c r="BM484" s="963"/>
      <c r="BN484" s="963"/>
      <c r="BO484" s="963"/>
      <c r="BP484" s="963"/>
      <c r="BQ484" s="963"/>
      <c r="BR484" s="963"/>
      <c r="BS484" s="963"/>
      <c r="BT484" s="963"/>
      <c r="BU484" s="963"/>
      <c r="BV484" s="963"/>
      <c r="BW484" s="964"/>
      <c r="BX484" s="963"/>
      <c r="BY484" s="963"/>
      <c r="BZ484" s="963"/>
      <c r="CA484" s="963"/>
      <c r="CB484" s="963"/>
      <c r="CC484" s="113"/>
    </row>
    <row r="485" spans="1:81" s="706" customFormat="1" outlineLevel="2" x14ac:dyDescent="0.55000000000000004">
      <c r="A485" s="116" t="str">
        <f>A438</f>
        <v>EoP Class A Outstanding Shares Subject to Repurchase, mm shares</v>
      </c>
      <c r="B485" s="87"/>
      <c r="C485" s="37">
        <f t="shared" ref="C485:U485" si="597">C438</f>
        <v>7</v>
      </c>
      <c r="D485" s="37">
        <f t="shared" si="597"/>
        <v>6</v>
      </c>
      <c r="E485" s="37">
        <f t="shared" si="597"/>
        <v>6</v>
      </c>
      <c r="F485" s="37">
        <f t="shared" si="597"/>
        <v>6</v>
      </c>
      <c r="G485" s="37">
        <f t="shared" si="597"/>
        <v>5</v>
      </c>
      <c r="H485" s="37">
        <f t="shared" si="597"/>
        <v>5</v>
      </c>
      <c r="I485" s="37">
        <f t="shared" si="597"/>
        <v>4</v>
      </c>
      <c r="J485" s="37">
        <f t="shared" si="597"/>
        <v>13</v>
      </c>
      <c r="K485" s="37">
        <f t="shared" si="597"/>
        <v>12</v>
      </c>
      <c r="L485" s="37">
        <f t="shared" si="597"/>
        <v>10</v>
      </c>
      <c r="M485" s="37">
        <f t="shared" si="597"/>
        <v>9</v>
      </c>
      <c r="N485" s="37">
        <f t="shared" si="597"/>
        <v>8</v>
      </c>
      <c r="O485" s="37">
        <f t="shared" si="597"/>
        <v>7</v>
      </c>
      <c r="P485" s="37">
        <f t="shared" si="597"/>
        <v>6</v>
      </c>
      <c r="Q485" s="37">
        <f t="shared" si="597"/>
        <v>5</v>
      </c>
      <c r="R485" s="37">
        <f t="shared" si="597"/>
        <v>4</v>
      </c>
      <c r="S485" s="37">
        <f t="shared" si="597"/>
        <v>3</v>
      </c>
      <c r="T485" s="37">
        <f t="shared" si="597"/>
        <v>2</v>
      </c>
      <c r="U485" s="37">
        <f t="shared" si="597"/>
        <v>1</v>
      </c>
      <c r="V485" s="37"/>
      <c r="W485" s="37"/>
      <c r="X485" s="37"/>
      <c r="Y485" s="37"/>
      <c r="Z485" s="37"/>
      <c r="AA485" s="37"/>
      <c r="AB485" s="37"/>
      <c r="AC485" s="37"/>
      <c r="AD485" s="37"/>
      <c r="AE485" s="37"/>
      <c r="AF485" s="37"/>
      <c r="AG485" s="37"/>
      <c r="AH485" s="37"/>
      <c r="AI485" s="37"/>
      <c r="AJ485" s="37"/>
      <c r="AK485" s="37"/>
      <c r="AL485" s="37"/>
      <c r="AM485" s="37"/>
      <c r="AN485" s="37"/>
      <c r="AO485" s="37"/>
      <c r="AP485" s="37"/>
      <c r="AQ485" s="37"/>
      <c r="AR485" s="37"/>
      <c r="AS485" s="37"/>
      <c r="AT485" s="37"/>
      <c r="AU485" s="37"/>
      <c r="AV485" s="37"/>
      <c r="AW485" s="37"/>
      <c r="AX485" s="37"/>
      <c r="AY485" s="273"/>
      <c r="AZ485" s="37"/>
      <c r="BA485" s="37"/>
      <c r="BB485" s="37"/>
      <c r="BC485" s="37"/>
      <c r="BD485" s="37"/>
      <c r="BE485" s="37"/>
      <c r="BF485" s="37"/>
      <c r="BG485" s="37"/>
      <c r="BH485" s="158"/>
      <c r="BI485" s="158"/>
      <c r="BJ485" s="158"/>
      <c r="BK485" s="158">
        <f t="shared" ref="BK485:BO486" si="598">BK438</f>
        <v>2</v>
      </c>
      <c r="BL485" s="158">
        <f t="shared" si="598"/>
        <v>6</v>
      </c>
      <c r="BM485" s="158">
        <f t="shared" si="598"/>
        <v>13</v>
      </c>
      <c r="BN485" s="158">
        <f t="shared" si="598"/>
        <v>8</v>
      </c>
      <c r="BO485" s="158">
        <f t="shared" si="598"/>
        <v>4</v>
      </c>
      <c r="BP485" s="158"/>
      <c r="BQ485" s="158"/>
      <c r="BR485" s="158"/>
      <c r="BS485" s="158"/>
      <c r="BT485" s="158"/>
      <c r="BU485" s="158"/>
      <c r="BV485" s="158"/>
      <c r="BW485" s="846"/>
      <c r="BX485" s="158"/>
      <c r="BY485" s="158"/>
      <c r="BZ485" s="158"/>
      <c r="CA485" s="158"/>
      <c r="CB485" s="158"/>
      <c r="CC485" s="117"/>
    </row>
    <row r="486" spans="1:81" s="706" customFormat="1" outlineLevel="2" x14ac:dyDescent="0.55000000000000004">
      <c r="A486" s="18" t="str">
        <f>A439</f>
        <v>EoP Class B Outstanding Shares Subject to Repurchase, mm shares</v>
      </c>
      <c r="B486" s="244"/>
      <c r="C486" s="82">
        <f t="shared" ref="C486:U486" si="599">C439</f>
        <v>10</v>
      </c>
      <c r="D486" s="82">
        <f t="shared" si="599"/>
        <v>9</v>
      </c>
      <c r="E486" s="82">
        <f t="shared" si="599"/>
        <v>7</v>
      </c>
      <c r="F486" s="82">
        <f t="shared" si="599"/>
        <v>6</v>
      </c>
      <c r="G486" s="82">
        <f t="shared" si="599"/>
        <v>6</v>
      </c>
      <c r="H486" s="82">
        <f t="shared" si="599"/>
        <v>5</v>
      </c>
      <c r="I486" s="82">
        <f t="shared" si="599"/>
        <v>8</v>
      </c>
      <c r="J486" s="82">
        <f t="shared" si="599"/>
        <v>6</v>
      </c>
      <c r="K486" s="82">
        <f t="shared" si="599"/>
        <v>5</v>
      </c>
      <c r="L486" s="82">
        <f t="shared" si="599"/>
        <v>4</v>
      </c>
      <c r="M486" s="82">
        <f t="shared" si="599"/>
        <v>3</v>
      </c>
      <c r="N486" s="82">
        <f t="shared" si="599"/>
        <v>3</v>
      </c>
      <c r="O486" s="82">
        <f t="shared" si="599"/>
        <v>3</v>
      </c>
      <c r="P486" s="82">
        <f t="shared" si="599"/>
        <v>2</v>
      </c>
      <c r="Q486" s="82">
        <f t="shared" si="599"/>
        <v>2</v>
      </c>
      <c r="R486" s="82">
        <f t="shared" si="599"/>
        <v>2</v>
      </c>
      <c r="S486" s="82">
        <f t="shared" si="599"/>
        <v>2</v>
      </c>
      <c r="T486" s="82">
        <f t="shared" si="599"/>
        <v>1</v>
      </c>
      <c r="U486" s="82">
        <f t="shared" si="599"/>
        <v>1</v>
      </c>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406"/>
      <c r="AZ486" s="82"/>
      <c r="BA486" s="82"/>
      <c r="BB486" s="82"/>
      <c r="BC486" s="82"/>
      <c r="BD486" s="82"/>
      <c r="BE486" s="82"/>
      <c r="BF486" s="82"/>
      <c r="BG486" s="82"/>
      <c r="BH486" s="854"/>
      <c r="BI486" s="854"/>
      <c r="BJ486" s="854"/>
      <c r="BK486" s="854">
        <f t="shared" si="598"/>
        <v>11</v>
      </c>
      <c r="BL486" s="854">
        <f t="shared" si="598"/>
        <v>6</v>
      </c>
      <c r="BM486" s="854">
        <f t="shared" si="598"/>
        <v>6</v>
      </c>
      <c r="BN486" s="854">
        <f t="shared" si="598"/>
        <v>3</v>
      </c>
      <c r="BO486" s="854">
        <f t="shared" si="598"/>
        <v>2</v>
      </c>
      <c r="BP486" s="854"/>
      <c r="BQ486" s="854"/>
      <c r="BR486" s="854"/>
      <c r="BS486" s="854"/>
      <c r="BT486" s="854"/>
      <c r="BU486" s="854"/>
      <c r="BV486" s="854"/>
      <c r="BW486" s="855"/>
      <c r="BX486" s="854"/>
      <c r="BY486" s="854"/>
      <c r="BZ486" s="854"/>
      <c r="CA486" s="854"/>
      <c r="CB486" s="854"/>
      <c r="CC486" s="117"/>
    </row>
    <row r="487" spans="1:81" s="706" customFormat="1" outlineLevel="1" x14ac:dyDescent="0.55000000000000004">
      <c r="A487" s="117" t="s">
        <v>674</v>
      </c>
      <c r="B487" s="87"/>
      <c r="C487" s="37">
        <f t="shared" ref="C487:U487" si="600">SUM(C485:C486)</f>
        <v>17</v>
      </c>
      <c r="D487" s="37">
        <f t="shared" si="600"/>
        <v>15</v>
      </c>
      <c r="E487" s="37">
        <f t="shared" si="600"/>
        <v>13</v>
      </c>
      <c r="F487" s="37">
        <f t="shared" si="600"/>
        <v>12</v>
      </c>
      <c r="G487" s="37">
        <f t="shared" si="600"/>
        <v>11</v>
      </c>
      <c r="H487" s="37">
        <f t="shared" si="600"/>
        <v>10</v>
      </c>
      <c r="I487" s="37">
        <f t="shared" si="600"/>
        <v>12</v>
      </c>
      <c r="J487" s="37">
        <f t="shared" si="600"/>
        <v>19</v>
      </c>
      <c r="K487" s="37">
        <f t="shared" si="600"/>
        <v>17</v>
      </c>
      <c r="L487" s="37">
        <f t="shared" si="600"/>
        <v>14</v>
      </c>
      <c r="M487" s="37">
        <f t="shared" si="600"/>
        <v>12</v>
      </c>
      <c r="N487" s="37">
        <f t="shared" si="600"/>
        <v>11</v>
      </c>
      <c r="O487" s="37">
        <f t="shared" si="600"/>
        <v>10</v>
      </c>
      <c r="P487" s="37">
        <f t="shared" si="600"/>
        <v>8</v>
      </c>
      <c r="Q487" s="37">
        <f t="shared" si="600"/>
        <v>7</v>
      </c>
      <c r="R487" s="37">
        <f t="shared" si="600"/>
        <v>6</v>
      </c>
      <c r="S487" s="37">
        <f t="shared" si="600"/>
        <v>5</v>
      </c>
      <c r="T487" s="37">
        <f t="shared" si="600"/>
        <v>3</v>
      </c>
      <c r="U487" s="37">
        <f t="shared" si="600"/>
        <v>2</v>
      </c>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c r="AU487" s="37"/>
      <c r="AV487" s="37"/>
      <c r="AW487" s="37"/>
      <c r="AX487" s="37"/>
      <c r="AY487" s="273"/>
      <c r="AZ487" s="37"/>
      <c r="BA487" s="37"/>
      <c r="BB487" s="37"/>
      <c r="BC487" s="37"/>
      <c r="BD487" s="37"/>
      <c r="BE487" s="37"/>
      <c r="BF487" s="37"/>
      <c r="BG487" s="37"/>
      <c r="BH487" s="158"/>
      <c r="BI487" s="158"/>
      <c r="BJ487" s="158"/>
      <c r="BK487" s="158">
        <f>SUM(BK485:BK486)</f>
        <v>13</v>
      </c>
      <c r="BL487" s="158">
        <f>SUM(BL485:BL486)</f>
        <v>12</v>
      </c>
      <c r="BM487" s="158">
        <f>SUM(BM485:BM486)</f>
        <v>19</v>
      </c>
      <c r="BN487" s="158">
        <f>SUM(BN485:BN486)</f>
        <v>11</v>
      </c>
      <c r="BO487" s="158">
        <f>SUM(BO485:BO486)</f>
        <v>6</v>
      </c>
      <c r="BP487" s="158"/>
      <c r="BQ487" s="158"/>
      <c r="BR487" s="158"/>
      <c r="BS487" s="158"/>
      <c r="BT487" s="158"/>
      <c r="BU487" s="158"/>
      <c r="BV487" s="158"/>
      <c r="BW487" s="846"/>
      <c r="BX487" s="158"/>
      <c r="BY487" s="158"/>
      <c r="BZ487" s="158"/>
      <c r="CA487" s="158"/>
      <c r="CB487" s="158"/>
      <c r="CC487" s="117"/>
    </row>
    <row r="488" spans="1:81" s="706" customFormat="1" outlineLevel="1" x14ac:dyDescent="0.55000000000000004">
      <c r="A488" s="134"/>
      <c r="B488" s="383"/>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c r="AF488" s="134"/>
      <c r="AG488" s="134"/>
      <c r="AH488" s="134"/>
      <c r="AI488" s="134"/>
      <c r="AJ488" s="134"/>
      <c r="AK488" s="134"/>
      <c r="AL488" s="134"/>
      <c r="AM488" s="134"/>
      <c r="AN488" s="134"/>
      <c r="AO488" s="134"/>
      <c r="AP488" s="134"/>
      <c r="AQ488" s="134"/>
      <c r="AR488" s="134"/>
      <c r="AS488" s="134"/>
      <c r="AT488" s="134"/>
      <c r="AU488" s="134"/>
      <c r="AV488" s="134"/>
      <c r="AW488" s="134"/>
      <c r="AX488" s="134"/>
      <c r="AY488" s="279"/>
      <c r="AZ488" s="134"/>
      <c r="BA488" s="134"/>
      <c r="BB488" s="134"/>
      <c r="BC488" s="134"/>
      <c r="BD488" s="134"/>
      <c r="BE488" s="134"/>
      <c r="BF488" s="134"/>
      <c r="BG488" s="134"/>
      <c r="BH488" s="963"/>
      <c r="BI488" s="963"/>
      <c r="BJ488" s="963"/>
      <c r="BK488" s="963"/>
      <c r="BL488" s="963"/>
      <c r="BM488" s="963"/>
      <c r="BN488" s="963"/>
      <c r="BO488" s="963"/>
      <c r="BP488" s="963"/>
      <c r="BQ488" s="963"/>
      <c r="BR488" s="963"/>
      <c r="BS488" s="963"/>
      <c r="BT488" s="963"/>
      <c r="BU488" s="963"/>
      <c r="BV488" s="963"/>
      <c r="BW488" s="964"/>
      <c r="BX488" s="963"/>
      <c r="BY488" s="963"/>
      <c r="BZ488" s="963"/>
      <c r="CA488" s="963"/>
      <c r="CB488" s="963"/>
      <c r="CC488" s="113"/>
    </row>
    <row r="489" spans="1:81" s="706" customFormat="1" outlineLevel="1" x14ac:dyDescent="0.55000000000000004">
      <c r="A489" s="399" t="s">
        <v>672</v>
      </c>
      <c r="B489" s="400"/>
      <c r="C489" s="399">
        <f t="shared" ref="C489:AX489" si="601">SUM(C476,C481,C484,C487)</f>
        <v>221.90552814698984</v>
      </c>
      <c r="D489" s="399">
        <f t="shared" si="601"/>
        <v>234.78440836012862</v>
      </c>
      <c r="E489" s="399">
        <f t="shared" si="601"/>
        <v>206.87702107728339</v>
      </c>
      <c r="F489" s="399">
        <f t="shared" si="601"/>
        <v>136.6080377955688</v>
      </c>
      <c r="G489" s="399">
        <f t="shared" si="601"/>
        <v>135.46984985835692</v>
      </c>
      <c r="H489" s="399">
        <f t="shared" si="601"/>
        <v>123.82386568047336</v>
      </c>
      <c r="I489" s="399">
        <f t="shared" si="601"/>
        <v>124.5652964556962</v>
      </c>
      <c r="J489" s="399">
        <f t="shared" si="601"/>
        <v>169.25556753345114</v>
      </c>
      <c r="K489" s="399">
        <f t="shared" si="601"/>
        <v>176.63179914658332</v>
      </c>
      <c r="L489" s="399">
        <f t="shared" si="601"/>
        <v>164.58904696969694</v>
      </c>
      <c r="M489" s="399">
        <f t="shared" si="601"/>
        <v>152.91483477558555</v>
      </c>
      <c r="N489" s="399">
        <f t="shared" si="601"/>
        <v>135.2876495951798</v>
      </c>
      <c r="O489" s="399">
        <f t="shared" si="601"/>
        <v>139.05115222319091</v>
      </c>
      <c r="P489" s="399">
        <f t="shared" si="601"/>
        <v>126.64355746320952</v>
      </c>
      <c r="Q489" s="399">
        <f t="shared" si="601"/>
        <v>117.43634772425636</v>
      </c>
      <c r="R489" s="399">
        <f t="shared" si="601"/>
        <v>109.88842929161234</v>
      </c>
      <c r="S489" s="399">
        <f t="shared" si="601"/>
        <v>117.72475668843479</v>
      </c>
      <c r="T489" s="399">
        <f t="shared" si="601"/>
        <v>106.94284222722457</v>
      </c>
      <c r="U489" s="399">
        <f t="shared" si="601"/>
        <v>98.346312752384847</v>
      </c>
      <c r="V489" s="399">
        <f t="shared" si="601"/>
        <v>84.116522951377078</v>
      </c>
      <c r="W489" s="399">
        <f t="shared" si="601"/>
        <v>96.454788096877138</v>
      </c>
      <c r="X489" s="399">
        <f t="shared" si="601"/>
        <v>87.228950185261411</v>
      </c>
      <c r="Y489" s="399">
        <f t="shared" si="601"/>
        <v>75.675277271068936</v>
      </c>
      <c r="Z489" s="399">
        <f t="shared" si="601"/>
        <v>68.317714864864854</v>
      </c>
      <c r="AA489" s="399">
        <f t="shared" si="601"/>
        <v>95.009278840962253</v>
      </c>
      <c r="AB489" s="399">
        <f t="shared" si="601"/>
        <v>87.453055025906735</v>
      </c>
      <c r="AC489" s="399">
        <f t="shared" si="601"/>
        <v>82.374787803500837</v>
      </c>
      <c r="AD489" s="399">
        <f t="shared" si="601"/>
        <v>78.850999999999999</v>
      </c>
      <c r="AE489" s="399">
        <f t="shared" si="601"/>
        <v>108.221</v>
      </c>
      <c r="AF489" s="399">
        <f t="shared" si="601"/>
        <v>106.25700000000001</v>
      </c>
      <c r="AG489" s="399">
        <f t="shared" si="601"/>
        <v>103.057</v>
      </c>
      <c r="AH489" s="399">
        <f t="shared" si="601"/>
        <v>96.733000000000004</v>
      </c>
      <c r="AI489" s="399">
        <f t="shared" si="601"/>
        <v>125.139</v>
      </c>
      <c r="AJ489" s="399">
        <f t="shared" si="601"/>
        <v>114.69499999999999</v>
      </c>
      <c r="AK489" s="399">
        <f t="shared" si="601"/>
        <v>107.842</v>
      </c>
      <c r="AL489" s="399">
        <f t="shared" si="601"/>
        <v>98.847999999999999</v>
      </c>
      <c r="AM489" s="399">
        <f t="shared" si="601"/>
        <v>151.15700000000001</v>
      </c>
      <c r="AN489" s="399">
        <f t="shared" si="601"/>
        <v>149.18600000000001</v>
      </c>
      <c r="AO489" s="399">
        <f t="shared" si="601"/>
        <v>145.51900000000001</v>
      </c>
      <c r="AP489" s="399">
        <f t="shared" si="601"/>
        <v>127.11</v>
      </c>
      <c r="AQ489" s="399">
        <f t="shared" si="601"/>
        <v>215.392</v>
      </c>
      <c r="AR489" s="399">
        <f t="shared" si="601"/>
        <v>182.96899999999999</v>
      </c>
      <c r="AS489" s="399">
        <f t="shared" si="601"/>
        <v>164.703</v>
      </c>
      <c r="AT489" s="399">
        <f t="shared" si="601"/>
        <v>149.06200000000001</v>
      </c>
      <c r="AU489" s="399">
        <f t="shared" si="601"/>
        <v>170.06800000000001</v>
      </c>
      <c r="AV489" s="399">
        <f t="shared" si="601"/>
        <v>152.715</v>
      </c>
      <c r="AW489" s="399">
        <f t="shared" si="601"/>
        <v>137.34700000000001</v>
      </c>
      <c r="AX489" s="399">
        <f t="shared" si="601"/>
        <v>122.63200000000001</v>
      </c>
      <c r="AY489" s="785">
        <v>123</v>
      </c>
      <c r="AZ489" s="399"/>
      <c r="BA489" s="399"/>
      <c r="BB489" s="399"/>
      <c r="BC489" s="399"/>
      <c r="BD489" s="399"/>
      <c r="BE489" s="399"/>
      <c r="BF489" s="399"/>
      <c r="BG489" s="399"/>
      <c r="BH489" s="974"/>
      <c r="BI489" s="974"/>
      <c r="BJ489" s="974"/>
      <c r="BK489" s="974">
        <f t="shared" ref="BK489:BW489" si="602">SUM(BK476,BK481,BK484,BK487)</f>
        <v>260.01493727808827</v>
      </c>
      <c r="BL489" s="974">
        <f t="shared" si="602"/>
        <v>136.6080377955688</v>
      </c>
      <c r="BM489" s="974">
        <f t="shared" si="602"/>
        <v>169.25556753345114</v>
      </c>
      <c r="BN489" s="974">
        <f t="shared" si="602"/>
        <v>135.2876495951798</v>
      </c>
      <c r="BO489" s="974">
        <f t="shared" si="602"/>
        <v>109.88842929161234</v>
      </c>
      <c r="BP489" s="974">
        <f t="shared" si="602"/>
        <v>84.116522951377078</v>
      </c>
      <c r="BQ489" s="974">
        <f t="shared" si="602"/>
        <v>68.317714864864854</v>
      </c>
      <c r="BR489" s="974">
        <f t="shared" si="602"/>
        <v>78.850999999999999</v>
      </c>
      <c r="BS489" s="974">
        <f t="shared" si="602"/>
        <v>96.733000000000004</v>
      </c>
      <c r="BT489" s="974">
        <f t="shared" si="602"/>
        <v>98.847999999999999</v>
      </c>
      <c r="BU489" s="974">
        <f t="shared" si="602"/>
        <v>127.11</v>
      </c>
      <c r="BV489" s="974">
        <f t="shared" si="602"/>
        <v>149.06200000000001</v>
      </c>
      <c r="BW489" s="975">
        <f t="shared" si="602"/>
        <v>122.63200000000001</v>
      </c>
      <c r="BX489" s="974"/>
      <c r="BY489" s="974"/>
      <c r="BZ489" s="974"/>
      <c r="CA489" s="974"/>
      <c r="CB489" s="974"/>
      <c r="CC489" s="37"/>
    </row>
    <row r="490" spans="1:81" s="706" customFormat="1" outlineLevel="1" x14ac:dyDescent="0.55000000000000004">
      <c r="A490" s="134"/>
      <c r="B490" s="383"/>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c r="AF490" s="134"/>
      <c r="AG490" s="134"/>
      <c r="AH490" s="134"/>
      <c r="AI490" s="134"/>
      <c r="AJ490" s="134"/>
      <c r="AK490" s="134"/>
      <c r="AL490" s="134"/>
      <c r="AM490" s="134"/>
      <c r="AN490" s="134"/>
      <c r="AO490" s="134"/>
      <c r="AP490" s="134"/>
      <c r="AQ490" s="134"/>
      <c r="AR490" s="134"/>
      <c r="AS490" s="134"/>
      <c r="AT490" s="134"/>
      <c r="AU490" s="134"/>
      <c r="AV490" s="134"/>
      <c r="AW490" s="134"/>
      <c r="AX490" s="134"/>
      <c r="AY490" s="279"/>
      <c r="AZ490" s="134"/>
      <c r="BA490" s="134"/>
      <c r="BB490" s="134"/>
      <c r="BC490" s="134"/>
      <c r="BD490" s="134"/>
      <c r="BE490" s="134"/>
      <c r="BF490" s="134"/>
      <c r="BG490" s="134"/>
      <c r="BH490" s="963"/>
      <c r="BI490" s="963"/>
      <c r="BJ490" s="963"/>
      <c r="BK490" s="963"/>
      <c r="BL490" s="963"/>
      <c r="BM490" s="963"/>
      <c r="BN490" s="963"/>
      <c r="BO490" s="963"/>
      <c r="BP490" s="963"/>
      <c r="BQ490" s="963"/>
      <c r="BR490" s="963"/>
      <c r="BS490" s="963"/>
      <c r="BT490" s="963"/>
      <c r="BU490" s="963"/>
      <c r="BV490" s="963"/>
      <c r="BW490" s="964"/>
      <c r="BX490" s="963"/>
      <c r="BY490" s="963"/>
      <c r="BZ490" s="963"/>
      <c r="CA490" s="963"/>
      <c r="CB490" s="963"/>
      <c r="CC490" s="113"/>
    </row>
    <row r="491" spans="1:81" s="706" customFormat="1" outlineLevel="1" x14ac:dyDescent="0.55000000000000004">
      <c r="A491" s="35" t="s">
        <v>667</v>
      </c>
      <c r="B491" s="193"/>
      <c r="C491" s="35">
        <f t="shared" ref="C491:AH491" si="603">C440+C489</f>
        <v>2615.9538781469901</v>
      </c>
      <c r="D491" s="35">
        <f t="shared" si="603"/>
        <v>2650.6615823601287</v>
      </c>
      <c r="E491" s="35">
        <f t="shared" si="603"/>
        <v>2646.8770210772832</v>
      </c>
      <c r="F491" s="35">
        <f t="shared" si="603"/>
        <v>2671.1921297955687</v>
      </c>
      <c r="G491" s="35">
        <f t="shared" si="603"/>
        <v>2688.4698498583571</v>
      </c>
      <c r="H491" s="35">
        <f t="shared" si="603"/>
        <v>2688.8238656804733</v>
      </c>
      <c r="I491" s="35">
        <f t="shared" si="603"/>
        <v>2720.5652964556962</v>
      </c>
      <c r="J491" s="35">
        <f t="shared" si="603"/>
        <v>2947.1607755334512</v>
      </c>
      <c r="K491" s="35">
        <f t="shared" si="603"/>
        <v>2965.6317991465835</v>
      </c>
      <c r="L491" s="35">
        <f t="shared" si="603"/>
        <v>2964.5890469696969</v>
      </c>
      <c r="M491" s="35">
        <f t="shared" si="603"/>
        <v>2966.9148347755854</v>
      </c>
      <c r="N491" s="35">
        <f t="shared" si="603"/>
        <v>2969.2876495951796</v>
      </c>
      <c r="O491" s="35">
        <f t="shared" si="603"/>
        <v>2989.0511522231909</v>
      </c>
      <c r="P491" s="35">
        <f t="shared" si="603"/>
        <v>2988.6435574632096</v>
      </c>
      <c r="Q491" s="35">
        <f t="shared" si="603"/>
        <v>2992.4363477242564</v>
      </c>
      <c r="R491" s="35">
        <f t="shared" si="603"/>
        <v>2995.8884292916123</v>
      </c>
      <c r="S491" s="35">
        <f t="shared" si="603"/>
        <v>3010.7247566884348</v>
      </c>
      <c r="T491" s="35">
        <f t="shared" si="603"/>
        <v>3006.9428422272244</v>
      </c>
      <c r="U491" s="35">
        <f t="shared" si="603"/>
        <v>3002.3463127523846</v>
      </c>
      <c r="V491" s="35">
        <f t="shared" si="603"/>
        <v>2990.1165229513772</v>
      </c>
      <c r="W491" s="35">
        <f t="shared" si="603"/>
        <v>2998.4547880968771</v>
      </c>
      <c r="X491" s="35">
        <f t="shared" si="603"/>
        <v>2978.2289501852615</v>
      </c>
      <c r="Y491" s="35">
        <f t="shared" si="603"/>
        <v>2948.6752772710688</v>
      </c>
      <c r="Z491" s="35">
        <f t="shared" si="603"/>
        <v>2922.3177148648647</v>
      </c>
      <c r="AA491" s="35">
        <f t="shared" si="603"/>
        <v>2951.0092788409625</v>
      </c>
      <c r="AB491" s="35">
        <f t="shared" si="603"/>
        <v>2941.4530550259069</v>
      </c>
      <c r="AC491" s="35">
        <f t="shared" si="603"/>
        <v>2936.374787803501</v>
      </c>
      <c r="AD491" s="35">
        <f t="shared" si="603"/>
        <v>2930.8510000000001</v>
      </c>
      <c r="AE491" s="35">
        <f t="shared" si="603"/>
        <v>2959.221</v>
      </c>
      <c r="AF491" s="35">
        <f t="shared" si="603"/>
        <v>2956.2570000000001</v>
      </c>
      <c r="AG491" s="35">
        <f t="shared" si="603"/>
        <v>2953.0569999999998</v>
      </c>
      <c r="AH491" s="35">
        <f t="shared" si="603"/>
        <v>2945.7330000000002</v>
      </c>
      <c r="AI491" s="35">
        <f t="shared" ref="AI491:AY491" si="604">AI440+AI489</f>
        <v>2966.1390000000001</v>
      </c>
      <c r="AJ491" s="35">
        <f t="shared" si="604"/>
        <v>2940.6950000000002</v>
      </c>
      <c r="AK491" s="35">
        <f t="shared" si="604"/>
        <v>2900.8420000000001</v>
      </c>
      <c r="AL491" s="35">
        <f t="shared" si="604"/>
        <v>2839.848</v>
      </c>
      <c r="AM491" s="35">
        <f t="shared" si="604"/>
        <v>2865.1570000000002</v>
      </c>
      <c r="AN491" s="35">
        <f t="shared" si="604"/>
        <v>2846.1860000000001</v>
      </c>
      <c r="AO491" s="35">
        <f t="shared" si="604"/>
        <v>2810.5190000000002</v>
      </c>
      <c r="AP491" s="35">
        <f t="shared" si="604"/>
        <v>2741.11</v>
      </c>
      <c r="AQ491" s="35">
        <f t="shared" si="604"/>
        <v>2781.3919999999998</v>
      </c>
      <c r="AR491" s="35">
        <f t="shared" si="604"/>
        <v>2755.9690000000001</v>
      </c>
      <c r="AS491" s="35">
        <f t="shared" si="604"/>
        <v>2735.703</v>
      </c>
      <c r="AT491" s="35">
        <f t="shared" si="604"/>
        <v>2710.0619999999999</v>
      </c>
      <c r="AU491" s="35">
        <f t="shared" si="604"/>
        <v>2707.0680000000002</v>
      </c>
      <c r="AV491" s="35">
        <f t="shared" si="604"/>
        <v>2685.7150000000001</v>
      </c>
      <c r="AW491" s="35">
        <f t="shared" si="604"/>
        <v>2661.3470000000002</v>
      </c>
      <c r="AX491" s="35">
        <f t="shared" si="604"/>
        <v>2656.6320000000001</v>
      </c>
      <c r="AY491" s="272">
        <f t="shared" si="604"/>
        <v>2643</v>
      </c>
      <c r="AZ491" s="35"/>
      <c r="BA491" s="35"/>
      <c r="BB491" s="35"/>
      <c r="BC491" s="35"/>
      <c r="BD491" s="35"/>
      <c r="BE491" s="35"/>
      <c r="BF491" s="35"/>
      <c r="BG491" s="35"/>
      <c r="BH491" s="812"/>
      <c r="BI491" s="812"/>
      <c r="BJ491" s="812"/>
      <c r="BK491" s="812">
        <f t="shared" ref="BK491:BW491" si="605">BK440+BK489</f>
        <v>2619.7201322780884</v>
      </c>
      <c r="BL491" s="812">
        <f t="shared" si="605"/>
        <v>2671.1921297955687</v>
      </c>
      <c r="BM491" s="812">
        <f t="shared" si="605"/>
        <v>2947.1607755334512</v>
      </c>
      <c r="BN491" s="812">
        <f t="shared" si="605"/>
        <v>2969.2876495951796</v>
      </c>
      <c r="BO491" s="812">
        <f t="shared" si="605"/>
        <v>2995.8884292916123</v>
      </c>
      <c r="BP491" s="812">
        <f t="shared" si="605"/>
        <v>2990.1165229513772</v>
      </c>
      <c r="BQ491" s="812">
        <f t="shared" si="605"/>
        <v>2922.3177148648647</v>
      </c>
      <c r="BR491" s="812">
        <f t="shared" si="605"/>
        <v>2930.8510000000001</v>
      </c>
      <c r="BS491" s="812">
        <f t="shared" si="605"/>
        <v>2945.7330000000002</v>
      </c>
      <c r="BT491" s="812">
        <f t="shared" si="605"/>
        <v>2839.848</v>
      </c>
      <c r="BU491" s="812">
        <f t="shared" si="605"/>
        <v>2741.11</v>
      </c>
      <c r="BV491" s="812">
        <f t="shared" si="605"/>
        <v>2710.0619999999999</v>
      </c>
      <c r="BW491" s="814">
        <f t="shared" si="605"/>
        <v>2656.6320000000001</v>
      </c>
      <c r="BX491" s="812"/>
      <c r="BY491" s="812"/>
      <c r="BZ491" s="812"/>
      <c r="CA491" s="812"/>
      <c r="CB491" s="812"/>
      <c r="CC491" s="37"/>
    </row>
    <row r="492" spans="1:81" s="706" customFormat="1" outlineLevel="1" x14ac:dyDescent="0.55000000000000004">
      <c r="A492" s="601"/>
      <c r="B492" s="393"/>
      <c r="C492" s="601"/>
      <c r="D492" s="601"/>
      <c r="E492" s="601"/>
      <c r="F492" s="601"/>
      <c r="G492" s="601"/>
      <c r="H492" s="601"/>
      <c r="I492" s="601"/>
      <c r="J492" s="601"/>
      <c r="K492" s="601"/>
      <c r="L492" s="601"/>
      <c r="M492" s="601"/>
      <c r="N492" s="601"/>
      <c r="O492" s="601"/>
      <c r="P492" s="601"/>
      <c r="Q492" s="601"/>
      <c r="R492" s="601"/>
      <c r="S492" s="601"/>
      <c r="T492" s="601"/>
      <c r="U492" s="601"/>
      <c r="V492" s="601"/>
      <c r="W492" s="601"/>
      <c r="X492" s="601"/>
      <c r="Y492" s="601"/>
      <c r="Z492" s="601"/>
      <c r="AA492" s="601"/>
      <c r="AB492" s="601"/>
      <c r="AC492" s="601"/>
      <c r="AD492" s="601"/>
      <c r="AE492" s="601"/>
      <c r="AF492" s="601"/>
      <c r="AG492" s="601"/>
      <c r="AH492" s="601"/>
      <c r="AI492" s="601"/>
      <c r="AJ492" s="601"/>
      <c r="AK492" s="601"/>
      <c r="AL492" s="601"/>
      <c r="AM492" s="601"/>
      <c r="AN492" s="601"/>
      <c r="AO492" s="601"/>
      <c r="AP492" s="601"/>
      <c r="AQ492" s="601"/>
      <c r="AR492" s="601"/>
      <c r="AS492" s="601"/>
      <c r="AT492" s="601"/>
      <c r="AU492" s="601"/>
      <c r="AV492" s="601"/>
      <c r="AW492" s="601"/>
      <c r="AX492" s="601"/>
      <c r="AY492" s="617"/>
      <c r="AZ492" s="601"/>
      <c r="BA492" s="601"/>
      <c r="BB492" s="601"/>
      <c r="BC492" s="601"/>
      <c r="BD492" s="601"/>
      <c r="BE492" s="601"/>
      <c r="BF492" s="601"/>
      <c r="BG492" s="601"/>
      <c r="BH492" s="911"/>
      <c r="BI492" s="911"/>
      <c r="BJ492" s="911"/>
      <c r="BK492" s="911"/>
      <c r="BL492" s="911"/>
      <c r="BM492" s="911"/>
      <c r="BN492" s="911"/>
      <c r="BO492" s="911"/>
      <c r="BP492" s="911"/>
      <c r="BQ492" s="911"/>
      <c r="BR492" s="911"/>
      <c r="BS492" s="911"/>
      <c r="BT492" s="911"/>
      <c r="BU492" s="911"/>
      <c r="BV492" s="911"/>
      <c r="BW492" s="912"/>
      <c r="BX492" s="911"/>
      <c r="BY492" s="911"/>
      <c r="BZ492" s="911"/>
      <c r="CA492" s="911"/>
      <c r="CB492" s="911"/>
      <c r="CC492" s="134"/>
    </row>
    <row r="493" spans="1:81" s="706" customFormat="1" outlineLevel="2" x14ac:dyDescent="0.55000000000000004">
      <c r="A493" s="116" t="s">
        <v>632</v>
      </c>
      <c r="B493" s="87"/>
      <c r="C493" s="759">
        <v>1749.6222190000001</v>
      </c>
      <c r="D493" s="759">
        <v>1817.515157</v>
      </c>
      <c r="E493" s="759">
        <v>1874.048211</v>
      </c>
      <c r="F493" s="37">
        <f>BL493</f>
        <v>1975.722473</v>
      </c>
      <c r="G493" s="759">
        <v>1993.729703</v>
      </c>
      <c r="H493" s="759">
        <v>2015.0480769999999</v>
      </c>
      <c r="I493" s="759">
        <v>2223.9362679999999</v>
      </c>
      <c r="J493" s="37">
        <f>BM493</f>
        <v>2236.3338330000001</v>
      </c>
      <c r="K493" s="759">
        <v>2248.8965229999999</v>
      </c>
      <c r="L493" s="759">
        <v>2259.7365289999998</v>
      </c>
      <c r="M493" s="759">
        <v>2270.457461</v>
      </c>
      <c r="N493" s="37">
        <f>BN493</f>
        <v>2294.9398649999998</v>
      </c>
      <c r="O493" s="759">
        <v>2311.865096</v>
      </c>
      <c r="P493" s="759">
        <v>2322.9587289999999</v>
      </c>
      <c r="Q493" s="759">
        <v>2340.8245440000001</v>
      </c>
      <c r="R493" s="37">
        <f>BO493</f>
        <v>2355.168103</v>
      </c>
      <c r="S493" s="759">
        <v>2364.7826150000001</v>
      </c>
      <c r="T493" s="759">
        <v>2370.3330980000001</v>
      </c>
      <c r="U493" s="759">
        <v>2384.7980400000001</v>
      </c>
      <c r="V493" s="37">
        <f>BP493</f>
        <v>2395.9216350000002</v>
      </c>
      <c r="W493" s="759">
        <v>2398.6062010000001</v>
      </c>
      <c r="X493" s="759">
        <v>2411.6795590000002</v>
      </c>
      <c r="Y493" s="759">
        <v>2402.4662109999999</v>
      </c>
      <c r="Z493" s="37">
        <f>BQ493</f>
        <v>2385.5339399999998</v>
      </c>
      <c r="AA493" s="759">
        <v>2402.542856</v>
      </c>
      <c r="AB493" s="759">
        <v>2405.7231360000001</v>
      </c>
      <c r="AC493" s="759">
        <v>2406.468226</v>
      </c>
      <c r="AD493" s="37">
        <f>BR493</f>
        <v>2405.7457399999998</v>
      </c>
      <c r="AE493" s="759">
        <v>2404.55186</v>
      </c>
      <c r="AF493" s="759">
        <v>2404.2821100000001</v>
      </c>
      <c r="AG493" s="759">
        <v>2403.9689629999998</v>
      </c>
      <c r="AH493" s="37">
        <f>BS493</f>
        <v>2405.44841</v>
      </c>
      <c r="AI493" s="759">
        <v>2396.0471210000001</v>
      </c>
      <c r="AJ493" s="759">
        <v>2383.8122629999998</v>
      </c>
      <c r="AK493" s="759">
        <v>2366.2778480000002</v>
      </c>
      <c r="AL493" s="37">
        <f>BT493</f>
        <v>2309.0800180000001</v>
      </c>
      <c r="AM493" s="759">
        <v>2293.5187780000001</v>
      </c>
      <c r="AN493" s="759">
        <v>2280.6720019999998</v>
      </c>
      <c r="AO493" s="759">
        <v>2248.672204</v>
      </c>
      <c r="AP493" s="37">
        <f>BU493</f>
        <v>2225.763078</v>
      </c>
      <c r="AQ493" s="759">
        <v>2212.1532029999998</v>
      </c>
      <c r="AR493" s="759">
        <v>2222.5825420000001</v>
      </c>
      <c r="AS493" s="759">
        <v>2219.6070260000001</v>
      </c>
      <c r="AT493" s="37">
        <f>BV493</f>
        <v>2200.0489069999999</v>
      </c>
      <c r="AU493" s="759">
        <v>2191.4462330000001</v>
      </c>
      <c r="AV493" s="759">
        <v>2184.728795</v>
      </c>
      <c r="AW493" s="759">
        <v>2180.0008710000002</v>
      </c>
      <c r="AX493" s="37">
        <f>BW493</f>
        <v>2189.8981480000002</v>
      </c>
      <c r="AY493" s="273"/>
      <c r="AZ493" s="37"/>
      <c r="BA493" s="37"/>
      <c r="BB493" s="37"/>
      <c r="BC493" s="37"/>
      <c r="BD493" s="37"/>
      <c r="BE493" s="37"/>
      <c r="BF493" s="37"/>
      <c r="BG493" s="37"/>
      <c r="BH493" s="158"/>
      <c r="BI493" s="158"/>
      <c r="BJ493" s="158"/>
      <c r="BK493" s="857">
        <v>1684.18517</v>
      </c>
      <c r="BL493" s="857">
        <v>1975.722473</v>
      </c>
      <c r="BM493" s="857">
        <v>2236.3338330000001</v>
      </c>
      <c r="BN493" s="857">
        <v>2294.9398649999998</v>
      </c>
      <c r="BO493" s="857">
        <v>2355.168103</v>
      </c>
      <c r="BP493" s="857">
        <v>2395.9216350000002</v>
      </c>
      <c r="BQ493" s="857">
        <v>2385.5339399999998</v>
      </c>
      <c r="BR493" s="857">
        <v>2405.7457399999998</v>
      </c>
      <c r="BS493" s="857">
        <v>2405.44841</v>
      </c>
      <c r="BT493" s="857">
        <v>2309.0800180000001</v>
      </c>
      <c r="BU493" s="857">
        <v>2225.763078</v>
      </c>
      <c r="BV493" s="857">
        <v>2200.0489069999999</v>
      </c>
      <c r="BW493" s="862">
        <v>2189.8981480000002</v>
      </c>
      <c r="BX493" s="158"/>
      <c r="BY493" s="158"/>
      <c r="BZ493" s="158"/>
      <c r="CA493" s="158"/>
      <c r="CB493" s="158"/>
      <c r="CC493" s="117"/>
    </row>
    <row r="494" spans="1:81" s="706" customFormat="1" outlineLevel="2" x14ac:dyDescent="0.55000000000000004">
      <c r="A494" s="18" t="s">
        <v>633</v>
      </c>
      <c r="B494" s="244"/>
      <c r="C494" s="763">
        <v>668.28340600000001</v>
      </c>
      <c r="D494" s="763">
        <v>617.80481199999997</v>
      </c>
      <c r="E494" s="763">
        <v>580.77991899999995</v>
      </c>
      <c r="F494" s="82">
        <f>BL494</f>
        <v>574.02031399999998</v>
      </c>
      <c r="G494" s="763">
        <v>572.61747700000001</v>
      </c>
      <c r="H494" s="763">
        <v>585.003514</v>
      </c>
      <c r="I494" s="763">
        <v>563.91166699999997</v>
      </c>
      <c r="J494" s="82">
        <f>BM494</f>
        <v>562.67798100000005</v>
      </c>
      <c r="K494" s="763">
        <v>559.33972300000005</v>
      </c>
      <c r="L494" s="763">
        <v>557.80896299999995</v>
      </c>
      <c r="M494" s="763">
        <v>557.53659200000004</v>
      </c>
      <c r="N494" s="82">
        <f>BN494</f>
        <v>551.34061099999997</v>
      </c>
      <c r="O494" s="763">
        <v>548.43942500000003</v>
      </c>
      <c r="P494" s="763">
        <v>548.70553199999995</v>
      </c>
      <c r="Q494" s="763">
        <v>541.34293400000001</v>
      </c>
      <c r="R494" s="82">
        <f>BO494</f>
        <v>534.81323099999997</v>
      </c>
      <c r="S494" s="763">
        <v>533.39433299999996</v>
      </c>
      <c r="T494" s="763">
        <v>533.86348599999997</v>
      </c>
      <c r="U494" s="763">
        <v>521.01070800000002</v>
      </c>
      <c r="V494" s="82">
        <f>BP494</f>
        <v>509.07912299999998</v>
      </c>
      <c r="W494" s="763">
        <v>496.021547</v>
      </c>
      <c r="X494" s="763">
        <v>475.53910500000001</v>
      </c>
      <c r="Y494" s="763">
        <v>471.32140099999998</v>
      </c>
      <c r="Z494" s="82">
        <f>BQ494</f>
        <v>468.45585999999997</v>
      </c>
      <c r="AA494" s="763">
        <v>451.94587999999999</v>
      </c>
      <c r="AB494" s="763">
        <v>447.22736200000003</v>
      </c>
      <c r="AC494" s="763">
        <v>445.27830499999999</v>
      </c>
      <c r="AD494" s="82">
        <f>BR494</f>
        <v>444.70491900000002</v>
      </c>
      <c r="AE494" s="763">
        <v>444.55144000000001</v>
      </c>
      <c r="AF494" s="763">
        <v>444.53370799999999</v>
      </c>
      <c r="AG494" s="763">
        <v>444.32370800000001</v>
      </c>
      <c r="AH494" s="82">
        <f>BS494</f>
        <v>442.221541</v>
      </c>
      <c r="AI494" s="763">
        <v>439.41771299999999</v>
      </c>
      <c r="AJ494" s="763">
        <v>435.63223799999997</v>
      </c>
      <c r="AK494" s="763">
        <v>415.48166800000001</v>
      </c>
      <c r="AL494" s="82">
        <f>BT494</f>
        <v>412.861942</v>
      </c>
      <c r="AM494" s="763">
        <v>412.80460900000003</v>
      </c>
      <c r="AN494" s="763">
        <v>406.87646999999998</v>
      </c>
      <c r="AO494" s="763">
        <v>402.87646999999998</v>
      </c>
      <c r="AP494" s="82">
        <f>BU494</f>
        <v>366.87646999999998</v>
      </c>
      <c r="AQ494" s="763">
        <v>350.57883099999998</v>
      </c>
      <c r="AR494" s="763">
        <v>350.57883099999998</v>
      </c>
      <c r="AS494" s="763">
        <v>350.25570599999998</v>
      </c>
      <c r="AT494" s="82">
        <f>BV494</f>
        <v>349.356199</v>
      </c>
      <c r="AU494" s="763">
        <v>345.08795800000001</v>
      </c>
      <c r="AV494" s="763">
        <v>345.08795800000001</v>
      </c>
      <c r="AW494" s="763">
        <v>344.487662</v>
      </c>
      <c r="AX494" s="82">
        <f>BW494</f>
        <v>343.76111700000001</v>
      </c>
      <c r="AY494" s="406"/>
      <c r="AZ494" s="82"/>
      <c r="BA494" s="82"/>
      <c r="BB494" s="82"/>
      <c r="BC494" s="82"/>
      <c r="BD494" s="82"/>
      <c r="BE494" s="82"/>
      <c r="BF494" s="82"/>
      <c r="BG494" s="82"/>
      <c r="BH494" s="854"/>
      <c r="BI494" s="854"/>
      <c r="BJ494" s="854"/>
      <c r="BK494" s="863">
        <v>697.94892400000003</v>
      </c>
      <c r="BL494" s="863">
        <v>574.02031399999998</v>
      </c>
      <c r="BM494" s="863">
        <v>562.67798100000005</v>
      </c>
      <c r="BN494" s="863">
        <v>551.34061099999997</v>
      </c>
      <c r="BO494" s="863">
        <v>534.81323099999997</v>
      </c>
      <c r="BP494" s="863">
        <v>509.07912299999998</v>
      </c>
      <c r="BQ494" s="863">
        <v>468.45585999999997</v>
      </c>
      <c r="BR494" s="863">
        <v>444.70491900000002</v>
      </c>
      <c r="BS494" s="863">
        <v>442.221541</v>
      </c>
      <c r="BT494" s="863">
        <v>412.861942</v>
      </c>
      <c r="BU494" s="863">
        <v>366.87646999999998</v>
      </c>
      <c r="BV494" s="863">
        <v>349.356199</v>
      </c>
      <c r="BW494" s="864">
        <v>343.76111700000001</v>
      </c>
      <c r="BX494" s="854"/>
      <c r="BY494" s="854"/>
      <c r="BZ494" s="854"/>
      <c r="CA494" s="854"/>
      <c r="CB494" s="854"/>
      <c r="CC494" s="117"/>
    </row>
    <row r="495" spans="1:81" s="706" customFormat="1" outlineLevel="1" x14ac:dyDescent="0.55000000000000004">
      <c r="A495" s="37" t="s">
        <v>673</v>
      </c>
      <c r="B495" s="87"/>
      <c r="C495" s="37">
        <f>SUM(C493:C494)</f>
        <v>2417.9056250000003</v>
      </c>
      <c r="D495" s="37">
        <f>SUM(D493:D494)</f>
        <v>2435.3199690000001</v>
      </c>
      <c r="E495" s="37">
        <f>SUM(E493:E494)</f>
        <v>2454.8281299999999</v>
      </c>
      <c r="F495" s="37">
        <f>BL495</f>
        <v>2549.7427870000001</v>
      </c>
      <c r="G495" s="37">
        <f>SUM(G493:G494)</f>
        <v>2566.3471799999998</v>
      </c>
      <c r="H495" s="37">
        <f>SUM(H493:H494)</f>
        <v>2600.0515909999999</v>
      </c>
      <c r="I495" s="37">
        <f>SUM(I493:I494)</f>
        <v>2787.8479349999998</v>
      </c>
      <c r="J495" s="37">
        <f>BM495</f>
        <v>2799.0118140000004</v>
      </c>
      <c r="K495" s="37">
        <f>SUM(K493:K494)</f>
        <v>2808.2362459999999</v>
      </c>
      <c r="L495" s="37">
        <f>SUM(L493:L494)</f>
        <v>2817.5454919999997</v>
      </c>
      <c r="M495" s="37">
        <f>SUM(M493:M494)</f>
        <v>2827.9940529999999</v>
      </c>
      <c r="N495" s="37">
        <f>BN495</f>
        <v>2846.2804759999999</v>
      </c>
      <c r="O495" s="37">
        <f>SUM(O493:O494)</f>
        <v>2860.304521</v>
      </c>
      <c r="P495" s="37">
        <f>SUM(P493:P494)</f>
        <v>2871.6642609999999</v>
      </c>
      <c r="Q495" s="37">
        <f>SUM(Q493:Q494)</f>
        <v>2882.1674780000003</v>
      </c>
      <c r="R495" s="37">
        <f>BO495</f>
        <v>2889.9813340000001</v>
      </c>
      <c r="S495" s="37">
        <f>SUM(S493:S494)</f>
        <v>2898.1769480000003</v>
      </c>
      <c r="T495" s="37">
        <f>SUM(T493:T494)</f>
        <v>2904.1965840000003</v>
      </c>
      <c r="U495" s="37">
        <f>SUM(U493:U494)</f>
        <v>2905.8087480000004</v>
      </c>
      <c r="V495" s="37">
        <f>BP495</f>
        <v>2905.0007580000001</v>
      </c>
      <c r="W495" s="37">
        <f>SUM(W493:W494)</f>
        <v>2894.6277479999999</v>
      </c>
      <c r="X495" s="37">
        <f>SUM(X493:X494)</f>
        <v>2887.218664</v>
      </c>
      <c r="Y495" s="37">
        <f>SUM(Y493:Y494)</f>
        <v>2873.7876120000001</v>
      </c>
      <c r="Z495" s="37">
        <f>BQ495</f>
        <v>2853.9897999999998</v>
      </c>
      <c r="AA495" s="37">
        <f>SUM(AA493:AA494)</f>
        <v>2854.4887360000002</v>
      </c>
      <c r="AB495" s="37">
        <f>SUM(AB493:AB494)</f>
        <v>2852.9504980000002</v>
      </c>
      <c r="AC495" s="37">
        <f>SUM(AC493:AC494)</f>
        <v>2851.7465309999998</v>
      </c>
      <c r="AD495" s="37">
        <f>BR495</f>
        <v>2850.4506590000001</v>
      </c>
      <c r="AE495" s="37">
        <f>SUM(AE493:AE494)</f>
        <v>2849.1033000000002</v>
      </c>
      <c r="AF495" s="37">
        <f>SUM(AF493:AF494)</f>
        <v>2848.815818</v>
      </c>
      <c r="AG495" s="37">
        <f>SUM(AG493:AG494)</f>
        <v>2848.2926709999997</v>
      </c>
      <c r="AH495" s="37">
        <f>BS495</f>
        <v>2847.6699509999999</v>
      </c>
      <c r="AI495" s="37">
        <f>SUM(AI493:AI494)</f>
        <v>2835.4648339999999</v>
      </c>
      <c r="AJ495" s="37">
        <f>SUM(AJ493:AJ494)</f>
        <v>2819.4445009999999</v>
      </c>
      <c r="AK495" s="37">
        <f>SUM(AK493:AK494)</f>
        <v>2781.7595160000001</v>
      </c>
      <c r="AL495" s="37">
        <f>BT495</f>
        <v>2721.9419600000001</v>
      </c>
      <c r="AM495" s="37">
        <f>SUM(AM493:AM494)</f>
        <v>2706.3233870000004</v>
      </c>
      <c r="AN495" s="37">
        <f>SUM(AN493:AN494)</f>
        <v>2687.5484719999999</v>
      </c>
      <c r="AO495" s="37">
        <f>SUM(AO493:AO494)</f>
        <v>2651.5486740000001</v>
      </c>
      <c r="AP495" s="37">
        <f>BU495</f>
        <v>2592.6395480000001</v>
      </c>
      <c r="AQ495" s="37">
        <f>SUM(AQ493:AQ494)</f>
        <v>2562.7320339999997</v>
      </c>
      <c r="AR495" s="37">
        <f>SUM(AR493:AR494)</f>
        <v>2573.1613729999999</v>
      </c>
      <c r="AS495" s="37">
        <f>SUM(AS493:AS494)</f>
        <v>2569.8627320000001</v>
      </c>
      <c r="AT495" s="37">
        <f>BV495</f>
        <v>2549.4051059999997</v>
      </c>
      <c r="AU495" s="37">
        <f>SUM(AU493:AU494)</f>
        <v>2536.5341910000002</v>
      </c>
      <c r="AV495" s="37">
        <f>SUM(AV493:AV494)</f>
        <v>2529.8167530000001</v>
      </c>
      <c r="AW495" s="37">
        <f>SUM(AW493:AW494)</f>
        <v>2524.4885330000002</v>
      </c>
      <c r="AX495" s="37">
        <f>BW495</f>
        <v>2533.6592650000002</v>
      </c>
      <c r="AY495" s="273"/>
      <c r="AZ495" s="37"/>
      <c r="BA495" s="37"/>
      <c r="BB495" s="37"/>
      <c r="BC495" s="37"/>
      <c r="BD495" s="37"/>
      <c r="BE495" s="37"/>
      <c r="BF495" s="37"/>
      <c r="BG495" s="37"/>
      <c r="BH495" s="158"/>
      <c r="BI495" s="158"/>
      <c r="BJ495" s="158"/>
      <c r="BK495" s="158">
        <f t="shared" ref="BK495:BW495" si="606">SUM(BK493:BK494)</f>
        <v>2382.134094</v>
      </c>
      <c r="BL495" s="158">
        <f t="shared" si="606"/>
        <v>2549.7427870000001</v>
      </c>
      <c r="BM495" s="158">
        <f t="shared" si="606"/>
        <v>2799.0118140000004</v>
      </c>
      <c r="BN495" s="158">
        <f t="shared" si="606"/>
        <v>2846.2804759999999</v>
      </c>
      <c r="BO495" s="158">
        <f t="shared" si="606"/>
        <v>2889.9813340000001</v>
      </c>
      <c r="BP495" s="158">
        <f t="shared" si="606"/>
        <v>2905.0007580000001</v>
      </c>
      <c r="BQ495" s="158">
        <f t="shared" si="606"/>
        <v>2853.9897999999998</v>
      </c>
      <c r="BR495" s="158">
        <f t="shared" si="606"/>
        <v>2850.4506590000001</v>
      </c>
      <c r="BS495" s="158">
        <f t="shared" si="606"/>
        <v>2847.6699509999999</v>
      </c>
      <c r="BT495" s="158">
        <f t="shared" si="606"/>
        <v>2721.9419600000001</v>
      </c>
      <c r="BU495" s="158">
        <f t="shared" si="606"/>
        <v>2592.6395480000001</v>
      </c>
      <c r="BV495" s="158">
        <f t="shared" si="606"/>
        <v>2549.4051059999997</v>
      </c>
      <c r="BW495" s="846">
        <f t="shared" si="606"/>
        <v>2533.6592650000002</v>
      </c>
      <c r="BX495" s="158"/>
      <c r="BY495" s="158"/>
      <c r="BZ495" s="158"/>
      <c r="CA495" s="158"/>
      <c r="CB495" s="158"/>
      <c r="CC495" s="37"/>
    </row>
    <row r="496" spans="1:81" s="716" customFormat="1" outlineLevel="1" x14ac:dyDescent="0.55000000000000004">
      <c r="A496" s="37" t="s">
        <v>634</v>
      </c>
      <c r="B496" s="346"/>
      <c r="C496" s="786">
        <v>41394</v>
      </c>
      <c r="D496" s="786">
        <v>41478</v>
      </c>
      <c r="E496" s="786">
        <v>41576</v>
      </c>
      <c r="F496" s="396">
        <f>BL496</f>
        <v>41667</v>
      </c>
      <c r="G496" s="786">
        <v>41751</v>
      </c>
      <c r="H496" s="786">
        <v>41842</v>
      </c>
      <c r="I496" s="786">
        <v>41939</v>
      </c>
      <c r="J496" s="396">
        <f>BM496</f>
        <v>42031</v>
      </c>
      <c r="K496" s="786">
        <v>42115</v>
      </c>
      <c r="L496" s="786">
        <v>42212</v>
      </c>
      <c r="M496" s="786">
        <v>42310</v>
      </c>
      <c r="N496" s="396">
        <f>BN496</f>
        <v>42394</v>
      </c>
      <c r="O496" s="786">
        <v>42485</v>
      </c>
      <c r="P496" s="786">
        <v>42576</v>
      </c>
      <c r="Q496" s="786">
        <v>42671</v>
      </c>
      <c r="R496" s="396">
        <f>BO496</f>
        <v>42765</v>
      </c>
      <c r="S496" s="786">
        <v>42856</v>
      </c>
      <c r="T496" s="786">
        <v>42940</v>
      </c>
      <c r="U496" s="786">
        <v>43038</v>
      </c>
      <c r="V496" s="396">
        <f>BP496</f>
        <v>43129</v>
      </c>
      <c r="W496" s="786">
        <v>43213</v>
      </c>
      <c r="X496" s="786">
        <v>43304</v>
      </c>
      <c r="Y496" s="786">
        <v>43399</v>
      </c>
      <c r="Z496" s="396">
        <f>BQ496</f>
        <v>43493</v>
      </c>
      <c r="AA496" s="786">
        <v>43577</v>
      </c>
      <c r="AB496" s="786">
        <v>43665</v>
      </c>
      <c r="AC496" s="786">
        <v>43763</v>
      </c>
      <c r="AD496" s="396">
        <f>BR496</f>
        <v>43853</v>
      </c>
      <c r="AE496" s="786">
        <v>43945</v>
      </c>
      <c r="AF496" s="786">
        <v>44035</v>
      </c>
      <c r="AG496" s="786">
        <v>44127</v>
      </c>
      <c r="AH496" s="396">
        <f>BS496</f>
        <v>44218</v>
      </c>
      <c r="AI496" s="786">
        <v>44309</v>
      </c>
      <c r="AJ496" s="786">
        <v>44400</v>
      </c>
      <c r="AK496" s="786">
        <v>44489</v>
      </c>
      <c r="AL496" s="396">
        <f>BT496</f>
        <v>44589</v>
      </c>
      <c r="AM496" s="786">
        <v>44673</v>
      </c>
      <c r="AN496" s="786">
        <v>44764</v>
      </c>
      <c r="AO496" s="786">
        <v>44855</v>
      </c>
      <c r="AP496" s="396">
        <f>BU496</f>
        <v>44953</v>
      </c>
      <c r="AQ496" s="786">
        <v>45037</v>
      </c>
      <c r="AR496" s="786">
        <v>45128</v>
      </c>
      <c r="AS496" s="786">
        <v>45219</v>
      </c>
      <c r="AT496" s="396">
        <f>BV496</f>
        <v>45317</v>
      </c>
      <c r="AU496" s="786">
        <v>45401</v>
      </c>
      <c r="AV496" s="786">
        <v>45499</v>
      </c>
      <c r="AW496" s="786">
        <v>45590</v>
      </c>
      <c r="AX496" s="396">
        <f>BW496</f>
        <v>45681</v>
      </c>
      <c r="AY496" s="701"/>
      <c r="AZ496" s="396"/>
      <c r="BA496" s="396"/>
      <c r="BB496" s="396"/>
      <c r="BC496" s="396"/>
      <c r="BD496" s="396"/>
      <c r="BE496" s="396"/>
      <c r="BF496" s="396"/>
      <c r="BG496" s="396"/>
      <c r="BH496" s="976"/>
      <c r="BI496" s="976"/>
      <c r="BJ496" s="976"/>
      <c r="BK496" s="977">
        <v>41303</v>
      </c>
      <c r="BL496" s="977">
        <v>41667</v>
      </c>
      <c r="BM496" s="977">
        <v>42031</v>
      </c>
      <c r="BN496" s="977">
        <v>42394</v>
      </c>
      <c r="BO496" s="977">
        <v>42765</v>
      </c>
      <c r="BP496" s="977">
        <v>43129</v>
      </c>
      <c r="BQ496" s="977">
        <v>43493</v>
      </c>
      <c r="BR496" s="977">
        <v>43853</v>
      </c>
      <c r="BS496" s="977">
        <v>44218</v>
      </c>
      <c r="BT496" s="977">
        <v>44589</v>
      </c>
      <c r="BU496" s="977">
        <v>44953</v>
      </c>
      <c r="BV496" s="977">
        <v>45317</v>
      </c>
      <c r="BW496" s="978">
        <v>45681</v>
      </c>
      <c r="BX496" s="976"/>
      <c r="BY496" s="976"/>
      <c r="BZ496" s="976"/>
      <c r="CA496" s="976"/>
      <c r="CB496" s="976"/>
      <c r="CC496" s="347"/>
    </row>
    <row r="497" spans="1:81" s="716" customFormat="1" outlineLevel="1" x14ac:dyDescent="0.55000000000000004">
      <c r="A497" s="37"/>
      <c r="B497" s="346"/>
      <c r="C497" s="347"/>
      <c r="D497" s="347"/>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c r="AA497" s="347"/>
      <c r="AB497" s="347"/>
      <c r="AC497" s="347"/>
      <c r="AD497" s="347"/>
      <c r="AE497" s="347"/>
      <c r="AF497" s="347"/>
      <c r="AG497" s="347"/>
      <c r="AH497" s="347"/>
      <c r="AI497" s="347"/>
      <c r="AJ497" s="347"/>
      <c r="AK497" s="347"/>
      <c r="AL497" s="347"/>
      <c r="AM497" s="347"/>
      <c r="AN497" s="347"/>
      <c r="AO497" s="347"/>
      <c r="AP497" s="347"/>
      <c r="AQ497" s="347"/>
      <c r="AR497" s="347"/>
      <c r="AS497" s="347"/>
      <c r="AT497" s="347"/>
      <c r="AU497" s="347"/>
      <c r="AV497" s="347"/>
      <c r="AW497" s="347"/>
      <c r="AX497" s="347"/>
      <c r="AY497" s="647"/>
      <c r="AZ497" s="347"/>
      <c r="BA497" s="347"/>
      <c r="BB497" s="347"/>
      <c r="BC497" s="347"/>
      <c r="BD497" s="347"/>
      <c r="BE497" s="347"/>
      <c r="BF497" s="347"/>
      <c r="BG497" s="347"/>
      <c r="BH497" s="934"/>
      <c r="BI497" s="934"/>
      <c r="BJ497" s="934"/>
      <c r="BK497" s="934"/>
      <c r="BL497" s="934"/>
      <c r="BM497" s="934"/>
      <c r="BN497" s="934"/>
      <c r="BO497" s="934"/>
      <c r="BP497" s="934"/>
      <c r="BQ497" s="934"/>
      <c r="BR497" s="934"/>
      <c r="BS497" s="934"/>
      <c r="BT497" s="934"/>
      <c r="BU497" s="934"/>
      <c r="BV497" s="934"/>
      <c r="BW497" s="935"/>
      <c r="BX497" s="934"/>
      <c r="BY497" s="934"/>
      <c r="BZ497" s="934"/>
      <c r="CA497" s="934"/>
      <c r="CB497" s="934"/>
      <c r="CC497" s="345"/>
    </row>
    <row r="498" spans="1:81" s="706" customFormat="1" outlineLevel="1" x14ac:dyDescent="0.55000000000000004">
      <c r="A498" s="35" t="s">
        <v>668</v>
      </c>
      <c r="B498" s="193"/>
      <c r="C498" s="35">
        <f t="shared" ref="C498:AX498" si="607">C495-C438-C439+C489</f>
        <v>2622.8111531469904</v>
      </c>
      <c r="D498" s="35">
        <f t="shared" si="607"/>
        <v>2655.1043773601286</v>
      </c>
      <c r="E498" s="35">
        <f t="shared" si="607"/>
        <v>2648.7051510772831</v>
      </c>
      <c r="F498" s="35">
        <f t="shared" si="607"/>
        <v>2674.3508247955688</v>
      </c>
      <c r="G498" s="35">
        <f t="shared" si="607"/>
        <v>2690.8170298583568</v>
      </c>
      <c r="H498" s="35">
        <f t="shared" si="607"/>
        <v>2713.8754566804732</v>
      </c>
      <c r="I498" s="35">
        <f t="shared" si="607"/>
        <v>2900.4132314556959</v>
      </c>
      <c r="J498" s="35">
        <f t="shared" si="607"/>
        <v>2949.2673815334515</v>
      </c>
      <c r="K498" s="35">
        <f t="shared" si="607"/>
        <v>2967.8680451465834</v>
      </c>
      <c r="L498" s="35">
        <f t="shared" si="607"/>
        <v>2968.1345389696967</v>
      </c>
      <c r="M498" s="35">
        <f t="shared" si="607"/>
        <v>2968.9088877755853</v>
      </c>
      <c r="N498" s="35">
        <f t="shared" si="607"/>
        <v>2970.5681255951795</v>
      </c>
      <c r="O498" s="35">
        <f t="shared" si="607"/>
        <v>2989.3556732231909</v>
      </c>
      <c r="P498" s="35">
        <f t="shared" si="607"/>
        <v>2990.3078184632095</v>
      </c>
      <c r="Q498" s="35">
        <f t="shared" si="607"/>
        <v>2992.6038257242567</v>
      </c>
      <c r="R498" s="35">
        <f t="shared" si="607"/>
        <v>2993.8697632916123</v>
      </c>
      <c r="S498" s="35">
        <f t="shared" si="607"/>
        <v>3010.9017046884351</v>
      </c>
      <c r="T498" s="35">
        <f t="shared" si="607"/>
        <v>3008.1394262272247</v>
      </c>
      <c r="U498" s="35">
        <f t="shared" si="607"/>
        <v>3002.155060752385</v>
      </c>
      <c r="V498" s="35">
        <f t="shared" si="607"/>
        <v>2989.1172809513773</v>
      </c>
      <c r="W498" s="35">
        <f t="shared" si="607"/>
        <v>2991.082536096877</v>
      </c>
      <c r="X498" s="35">
        <f t="shared" si="607"/>
        <v>2974.4476141852615</v>
      </c>
      <c r="Y498" s="35">
        <f t="shared" si="607"/>
        <v>2949.4628892710689</v>
      </c>
      <c r="Z498" s="35">
        <f t="shared" si="607"/>
        <v>2922.3075148648645</v>
      </c>
      <c r="AA498" s="35">
        <f t="shared" si="607"/>
        <v>2949.4980148409627</v>
      </c>
      <c r="AB498" s="35">
        <f t="shared" si="607"/>
        <v>2940.4035530259071</v>
      </c>
      <c r="AC498" s="35">
        <f t="shared" si="607"/>
        <v>2934.1213188035008</v>
      </c>
      <c r="AD498" s="35">
        <f t="shared" si="607"/>
        <v>2929.3016590000002</v>
      </c>
      <c r="AE498" s="35">
        <f t="shared" si="607"/>
        <v>2957.3243000000002</v>
      </c>
      <c r="AF498" s="35">
        <f t="shared" si="607"/>
        <v>2955.0728180000001</v>
      </c>
      <c r="AG498" s="35">
        <f t="shared" si="607"/>
        <v>2951.3496709999995</v>
      </c>
      <c r="AH498" s="35">
        <f t="shared" si="607"/>
        <v>2944.402951</v>
      </c>
      <c r="AI498" s="35">
        <f t="shared" si="607"/>
        <v>2960.603834</v>
      </c>
      <c r="AJ498" s="35">
        <f t="shared" si="607"/>
        <v>2934.1395010000001</v>
      </c>
      <c r="AK498" s="35">
        <f t="shared" si="607"/>
        <v>2889.6015160000002</v>
      </c>
      <c r="AL498" s="35">
        <f t="shared" si="607"/>
        <v>2820.7899600000001</v>
      </c>
      <c r="AM498" s="35">
        <f t="shared" si="607"/>
        <v>2857.4803870000005</v>
      </c>
      <c r="AN498" s="35">
        <f t="shared" si="607"/>
        <v>2836.7344720000001</v>
      </c>
      <c r="AO498" s="35">
        <f t="shared" si="607"/>
        <v>2797.0676739999999</v>
      </c>
      <c r="AP498" s="35">
        <f t="shared" si="607"/>
        <v>2719.7495480000002</v>
      </c>
      <c r="AQ498" s="35">
        <f t="shared" si="607"/>
        <v>2778.1240339999995</v>
      </c>
      <c r="AR498" s="35">
        <f t="shared" si="607"/>
        <v>2756.130373</v>
      </c>
      <c r="AS498" s="35">
        <f t="shared" si="607"/>
        <v>2734.565732</v>
      </c>
      <c r="AT498" s="35">
        <f t="shared" si="607"/>
        <v>2698.4671059999996</v>
      </c>
      <c r="AU498" s="35">
        <f t="shared" si="607"/>
        <v>2706.6021910000004</v>
      </c>
      <c r="AV498" s="35">
        <f t="shared" si="607"/>
        <v>2682.5317530000002</v>
      </c>
      <c r="AW498" s="35">
        <f t="shared" si="607"/>
        <v>2661.8355330000004</v>
      </c>
      <c r="AX498" s="35">
        <f t="shared" si="607"/>
        <v>2656.2912650000003</v>
      </c>
      <c r="AY498" s="272"/>
      <c r="AZ498" s="35"/>
      <c r="BA498" s="35"/>
      <c r="BB498" s="35"/>
      <c r="BC498" s="35"/>
      <c r="BD498" s="35"/>
      <c r="BE498" s="35"/>
      <c r="BF498" s="35"/>
      <c r="BG498" s="35"/>
      <c r="BH498" s="812"/>
      <c r="BI498" s="812"/>
      <c r="BJ498" s="812"/>
      <c r="BK498" s="812">
        <f t="shared" ref="BK498:BW498" si="608">BK495-BK438-BK439+BK489</f>
        <v>2629.1490312780884</v>
      </c>
      <c r="BL498" s="812">
        <f t="shared" si="608"/>
        <v>2674.3508247955688</v>
      </c>
      <c r="BM498" s="812">
        <f t="shared" si="608"/>
        <v>2949.2673815334515</v>
      </c>
      <c r="BN498" s="812">
        <f t="shared" si="608"/>
        <v>2970.5681255951795</v>
      </c>
      <c r="BO498" s="812">
        <f t="shared" si="608"/>
        <v>2993.8697632916123</v>
      </c>
      <c r="BP498" s="812">
        <f t="shared" si="608"/>
        <v>2989.1172809513773</v>
      </c>
      <c r="BQ498" s="812">
        <f t="shared" si="608"/>
        <v>2922.3075148648645</v>
      </c>
      <c r="BR498" s="812">
        <f t="shared" si="608"/>
        <v>2929.3016590000002</v>
      </c>
      <c r="BS498" s="812">
        <f t="shared" si="608"/>
        <v>2944.402951</v>
      </c>
      <c r="BT498" s="812">
        <f t="shared" si="608"/>
        <v>2820.7899600000001</v>
      </c>
      <c r="BU498" s="812">
        <f t="shared" si="608"/>
        <v>2719.7495480000002</v>
      </c>
      <c r="BV498" s="812">
        <f t="shared" si="608"/>
        <v>2698.4671059999996</v>
      </c>
      <c r="BW498" s="814">
        <f t="shared" si="608"/>
        <v>2656.2912650000003</v>
      </c>
      <c r="BX498" s="812"/>
      <c r="BY498" s="812"/>
      <c r="BZ498" s="812"/>
      <c r="CA498" s="812"/>
      <c r="CB498" s="812"/>
      <c r="CC498" s="37"/>
    </row>
    <row r="499" spans="1:81" s="706" customFormat="1" outlineLevel="1" x14ac:dyDescent="0.55000000000000004">
      <c r="A499" s="600"/>
      <c r="B499" s="241"/>
      <c r="C499" s="600"/>
      <c r="D499" s="600"/>
      <c r="E499" s="600"/>
      <c r="F499" s="600"/>
      <c r="G499" s="600"/>
      <c r="H499" s="600"/>
      <c r="I499" s="600"/>
      <c r="J499" s="600"/>
      <c r="K499" s="600"/>
      <c r="L499" s="600"/>
      <c r="M499" s="600"/>
      <c r="N499" s="600"/>
      <c r="O499" s="600"/>
      <c r="P499" s="600"/>
      <c r="Q499" s="600"/>
      <c r="R499" s="600"/>
      <c r="S499" s="600"/>
      <c r="T499" s="600"/>
      <c r="U499" s="600"/>
      <c r="V499" s="600"/>
      <c r="W499" s="600"/>
      <c r="X499" s="600"/>
      <c r="Y499" s="600"/>
      <c r="Z499" s="600"/>
      <c r="AA499" s="600"/>
      <c r="AB499" s="600"/>
      <c r="AC499" s="600"/>
      <c r="AD499" s="600"/>
      <c r="AE499" s="600"/>
      <c r="AF499" s="600"/>
      <c r="AG499" s="600"/>
      <c r="AH499" s="600"/>
      <c r="AI499" s="600"/>
      <c r="AJ499" s="600"/>
      <c r="AK499" s="600"/>
      <c r="AL499" s="600"/>
      <c r="AM499" s="600"/>
      <c r="AN499" s="600"/>
      <c r="AO499" s="600"/>
      <c r="AP499" s="600"/>
      <c r="AQ499" s="600"/>
      <c r="AR499" s="600"/>
      <c r="AS499" s="600"/>
      <c r="AT499" s="600"/>
      <c r="AU499" s="600"/>
      <c r="AV499" s="600"/>
      <c r="AW499" s="600"/>
      <c r="AX499" s="600"/>
      <c r="AY499" s="604"/>
      <c r="AZ499" s="600"/>
      <c r="BA499" s="600"/>
      <c r="BB499" s="600"/>
      <c r="BC499" s="600"/>
      <c r="BD499" s="600"/>
      <c r="BE499" s="600"/>
      <c r="BF499" s="600"/>
      <c r="BG499" s="600"/>
      <c r="BH499" s="186"/>
      <c r="BI499" s="186"/>
      <c r="BJ499" s="186"/>
      <c r="BK499" s="186"/>
      <c r="BL499" s="186"/>
      <c r="BM499" s="186"/>
      <c r="BN499" s="186"/>
      <c r="BO499" s="186"/>
      <c r="BP499" s="186"/>
      <c r="BQ499" s="186"/>
      <c r="BR499" s="186"/>
      <c r="BS499" s="186"/>
      <c r="BT499" s="186"/>
      <c r="BU499" s="186"/>
      <c r="BV499" s="186"/>
      <c r="BW499" s="909"/>
      <c r="BX499" s="186"/>
      <c r="BY499" s="186"/>
      <c r="BZ499" s="186"/>
      <c r="CA499" s="186"/>
      <c r="CB499" s="186"/>
      <c r="CC499" s="358"/>
    </row>
    <row r="500" spans="1:81" s="706" customFormat="1" outlineLevel="2" x14ac:dyDescent="0.55000000000000004">
      <c r="A500" s="116" t="s">
        <v>575</v>
      </c>
      <c r="B500" s="87"/>
      <c r="C500" s="37"/>
      <c r="D500" s="37"/>
      <c r="E500" s="37"/>
      <c r="F500" s="37"/>
      <c r="G500" s="37"/>
      <c r="H500" s="37"/>
      <c r="I500" s="37"/>
      <c r="J500" s="37"/>
      <c r="K500" s="37"/>
      <c r="L500" s="37"/>
      <c r="M500" s="37"/>
      <c r="N500" s="37"/>
      <c r="O500" s="37"/>
      <c r="P500" s="37"/>
      <c r="Q500" s="37"/>
      <c r="R500" s="37"/>
      <c r="S500" s="759">
        <v>1939</v>
      </c>
      <c r="T500" s="759">
        <v>0</v>
      </c>
      <c r="U500" s="759">
        <v>1249</v>
      </c>
      <c r="V500" s="759">
        <v>1008</v>
      </c>
      <c r="W500" s="759">
        <v>1706</v>
      </c>
      <c r="X500" s="759">
        <v>9668</v>
      </c>
      <c r="Y500" s="759">
        <v>5288</v>
      </c>
      <c r="Z500" s="759">
        <v>0</v>
      </c>
      <c r="AA500" s="759">
        <v>0</v>
      </c>
      <c r="AB500" s="759">
        <v>2159</v>
      </c>
      <c r="AC500" s="759">
        <v>1980</v>
      </c>
      <c r="AD500" s="759">
        <v>2415</v>
      </c>
      <c r="AE500" s="759">
        <v>2205</v>
      </c>
      <c r="AF500" s="759">
        <v>2205</v>
      </c>
      <c r="AG500" s="759">
        <v>2310</v>
      </c>
      <c r="AH500" s="759">
        <v>2310</v>
      </c>
      <c r="AI500" s="759">
        <v>2375</v>
      </c>
      <c r="AJ500" s="759">
        <v>6904</v>
      </c>
      <c r="AK500" s="759">
        <v>8586</v>
      </c>
      <c r="AL500" s="759">
        <v>21703</v>
      </c>
      <c r="AM500" s="759">
        <v>19687</v>
      </c>
      <c r="AN500" s="759">
        <v>10633</v>
      </c>
      <c r="AO500" s="759">
        <v>13004</v>
      </c>
      <c r="AP500" s="759">
        <v>20180</v>
      </c>
      <c r="AQ500" s="759">
        <v>23677</v>
      </c>
      <c r="AR500" s="759">
        <v>3788</v>
      </c>
      <c r="AS500" s="759">
        <v>0</v>
      </c>
      <c r="AT500" s="759">
        <v>10105</v>
      </c>
      <c r="AU500" s="759">
        <v>15259</v>
      </c>
      <c r="AV500" s="759">
        <v>2045</v>
      </c>
      <c r="AW500" s="759">
        <v>4731</v>
      </c>
      <c r="AX500" s="37"/>
      <c r="AY500" s="273"/>
      <c r="AZ500" s="37"/>
      <c r="BA500" s="37"/>
      <c r="BB500" s="37"/>
      <c r="BC500" s="37"/>
      <c r="BD500" s="37"/>
      <c r="BE500" s="37"/>
      <c r="BF500" s="37"/>
      <c r="BG500" s="37"/>
      <c r="BH500" s="158"/>
      <c r="BI500" s="158"/>
      <c r="BJ500" s="158"/>
      <c r="BK500" s="158"/>
      <c r="BL500" s="158"/>
      <c r="BM500" s="158"/>
      <c r="BN500" s="158"/>
      <c r="BO500" s="158"/>
      <c r="BP500" s="158"/>
      <c r="BQ500" s="158"/>
      <c r="BR500" s="158"/>
      <c r="BS500" s="158"/>
      <c r="BT500" s="158"/>
      <c r="BU500" s="158"/>
      <c r="BV500" s="158"/>
      <c r="BW500" s="846"/>
      <c r="BX500" s="158"/>
      <c r="BY500" s="158"/>
      <c r="BZ500" s="158"/>
      <c r="CA500" s="158"/>
      <c r="CB500" s="158"/>
      <c r="CC500" s="117"/>
    </row>
    <row r="501" spans="1:81" s="706" customFormat="1" outlineLevel="2" x14ac:dyDescent="0.55000000000000004">
      <c r="A501" s="116" t="s">
        <v>576</v>
      </c>
      <c r="B501" s="87"/>
      <c r="C501" s="37"/>
      <c r="D501" s="37"/>
      <c r="E501" s="37"/>
      <c r="F501" s="37"/>
      <c r="G501" s="37"/>
      <c r="H501" s="37"/>
      <c r="I501" s="37"/>
      <c r="J501" s="37"/>
      <c r="K501" s="37"/>
      <c r="L501" s="37"/>
      <c r="M501" s="37"/>
      <c r="N501" s="37"/>
      <c r="O501" s="37"/>
      <c r="P501" s="37"/>
      <c r="Q501" s="37"/>
      <c r="R501" s="37"/>
      <c r="S501" s="759">
        <v>0</v>
      </c>
      <c r="T501" s="759">
        <v>0</v>
      </c>
      <c r="U501" s="759">
        <v>1360</v>
      </c>
      <c r="V501" s="759">
        <v>0</v>
      </c>
      <c r="W501" s="759">
        <v>1576</v>
      </c>
      <c r="X501" s="759">
        <v>3353</v>
      </c>
      <c r="Y501" s="759">
        <v>6480</v>
      </c>
      <c r="Z501" s="759">
        <v>0</v>
      </c>
      <c r="AA501" s="759">
        <v>0</v>
      </c>
      <c r="AB501" s="759">
        <v>2200</v>
      </c>
      <c r="AC501" s="759">
        <v>1980</v>
      </c>
      <c r="AD501" s="759">
        <v>2100</v>
      </c>
      <c r="AE501" s="759">
        <v>1995</v>
      </c>
      <c r="AF501" s="759">
        <v>2100</v>
      </c>
      <c r="AG501" s="759">
        <v>2205</v>
      </c>
      <c r="AH501" s="759">
        <v>2100</v>
      </c>
      <c r="AI501" s="759">
        <v>2375</v>
      </c>
      <c r="AJ501" s="759">
        <v>6024</v>
      </c>
      <c r="AK501" s="759">
        <v>9548</v>
      </c>
      <c r="AL501" s="759">
        <v>21606</v>
      </c>
      <c r="AM501" s="759">
        <v>5918</v>
      </c>
      <c r="AN501" s="759">
        <v>10237</v>
      </c>
      <c r="AO501" s="759">
        <v>12814</v>
      </c>
      <c r="AP501" s="759">
        <v>24878</v>
      </c>
      <c r="AQ501" s="759">
        <v>18216</v>
      </c>
      <c r="AR501" s="759">
        <v>0</v>
      </c>
      <c r="AS501" s="759">
        <v>80</v>
      </c>
      <c r="AT501" s="759">
        <v>0</v>
      </c>
      <c r="AU501" s="759">
        <v>14654</v>
      </c>
      <c r="AV501" s="759">
        <v>10818</v>
      </c>
      <c r="AW501" s="759">
        <v>7062</v>
      </c>
      <c r="AX501" s="37"/>
      <c r="AY501" s="273"/>
      <c r="AZ501" s="37"/>
      <c r="BA501" s="37"/>
      <c r="BB501" s="37"/>
      <c r="BC501" s="37"/>
      <c r="BD501" s="37"/>
      <c r="BE501" s="37"/>
      <c r="BF501" s="37"/>
      <c r="BG501" s="37"/>
      <c r="BH501" s="158"/>
      <c r="BI501" s="158"/>
      <c r="BJ501" s="158"/>
      <c r="BK501" s="158"/>
      <c r="BL501" s="158"/>
      <c r="BM501" s="158"/>
      <c r="BN501" s="158"/>
      <c r="BO501" s="158"/>
      <c r="BP501" s="158"/>
      <c r="BQ501" s="158"/>
      <c r="BR501" s="158"/>
      <c r="BS501" s="158"/>
      <c r="BT501" s="158"/>
      <c r="BU501" s="158"/>
      <c r="BV501" s="158"/>
      <c r="BW501" s="846"/>
      <c r="BX501" s="158"/>
      <c r="BY501" s="158"/>
      <c r="BZ501" s="158"/>
      <c r="CA501" s="158"/>
      <c r="CB501" s="158"/>
      <c r="CC501" s="117"/>
    </row>
    <row r="502" spans="1:81" s="706" customFormat="1" outlineLevel="2" x14ac:dyDescent="0.55000000000000004">
      <c r="A502" s="18" t="s">
        <v>577</v>
      </c>
      <c r="B502" s="244"/>
      <c r="C502" s="82"/>
      <c r="D502" s="82"/>
      <c r="E502" s="82"/>
      <c r="F502" s="82"/>
      <c r="G502" s="82"/>
      <c r="H502" s="82"/>
      <c r="I502" s="82"/>
      <c r="J502" s="82"/>
      <c r="K502" s="82"/>
      <c r="L502" s="82"/>
      <c r="M502" s="82"/>
      <c r="N502" s="82"/>
      <c r="O502" s="82"/>
      <c r="P502" s="82"/>
      <c r="Q502" s="82"/>
      <c r="R502" s="82"/>
      <c r="S502" s="763">
        <v>0</v>
      </c>
      <c r="T502" s="763">
        <v>1185</v>
      </c>
      <c r="U502" s="763">
        <v>1173</v>
      </c>
      <c r="V502" s="763">
        <v>4832</v>
      </c>
      <c r="W502" s="763">
        <v>7838</v>
      </c>
      <c r="X502" s="763">
        <v>5380</v>
      </c>
      <c r="Y502" s="763">
        <v>12535</v>
      </c>
      <c r="Z502" s="763">
        <v>25708</v>
      </c>
      <c r="AA502" s="763">
        <v>3137</v>
      </c>
      <c r="AB502" s="763">
        <v>1800</v>
      </c>
      <c r="AC502" s="763">
        <v>2100</v>
      </c>
      <c r="AD502" s="763">
        <v>2205</v>
      </c>
      <c r="AE502" s="763">
        <v>2100</v>
      </c>
      <c r="AF502" s="763">
        <v>2310</v>
      </c>
      <c r="AG502" s="763">
        <v>2205</v>
      </c>
      <c r="AH502" s="763">
        <v>2670</v>
      </c>
      <c r="AI502" s="763">
        <v>10280</v>
      </c>
      <c r="AJ502" s="763">
        <v>9289</v>
      </c>
      <c r="AK502" s="763">
        <v>22144</v>
      </c>
      <c r="AL502" s="763">
        <v>14728</v>
      </c>
      <c r="AM502" s="763">
        <v>8666</v>
      </c>
      <c r="AN502" s="763">
        <v>4865</v>
      </c>
      <c r="AO502" s="763">
        <v>15088</v>
      </c>
      <c r="AP502" s="763">
        <v>14808</v>
      </c>
      <c r="AQ502" s="763">
        <v>14279</v>
      </c>
      <c r="AR502" s="763">
        <v>0</v>
      </c>
      <c r="AS502" s="763">
        <v>12317</v>
      </c>
      <c r="AT502" s="763">
        <v>9607</v>
      </c>
      <c r="AU502" s="763">
        <v>3921</v>
      </c>
      <c r="AV502" s="763">
        <v>793</v>
      </c>
      <c r="AW502" s="763">
        <v>5979</v>
      </c>
      <c r="AX502" s="82"/>
      <c r="AY502" s="406"/>
      <c r="AZ502" s="82"/>
      <c r="BA502" s="82"/>
      <c r="BB502" s="82"/>
      <c r="BC502" s="82"/>
      <c r="BD502" s="82"/>
      <c r="BE502" s="82"/>
      <c r="BF502" s="82"/>
      <c r="BG502" s="82"/>
      <c r="BH502" s="854"/>
      <c r="BI502" s="854"/>
      <c r="BJ502" s="854"/>
      <c r="BK502" s="854"/>
      <c r="BL502" s="854"/>
      <c r="BM502" s="854"/>
      <c r="BN502" s="854"/>
      <c r="BO502" s="854"/>
      <c r="BP502" s="854"/>
      <c r="BQ502" s="854"/>
      <c r="BR502" s="854"/>
      <c r="BS502" s="854"/>
      <c r="BT502" s="854"/>
      <c r="BU502" s="854"/>
      <c r="BV502" s="854"/>
      <c r="BW502" s="855"/>
      <c r="BX502" s="854"/>
      <c r="BY502" s="854"/>
      <c r="BZ502" s="854"/>
      <c r="CA502" s="854"/>
      <c r="CB502" s="854"/>
      <c r="CC502" s="117"/>
    </row>
    <row r="503" spans="1:81" s="706" customFormat="1" outlineLevel="1" x14ac:dyDescent="0.55000000000000004">
      <c r="A503" s="117" t="s">
        <v>595</v>
      </c>
      <c r="B503" s="87"/>
      <c r="C503" s="37"/>
      <c r="D503" s="37"/>
      <c r="E503" s="37"/>
      <c r="F503" s="37"/>
      <c r="G503" s="37"/>
      <c r="H503" s="37"/>
      <c r="I503" s="37"/>
      <c r="J503" s="37"/>
      <c r="K503" s="37"/>
      <c r="L503" s="37"/>
      <c r="M503" s="37"/>
      <c r="N503" s="37"/>
      <c r="O503" s="37"/>
      <c r="P503" s="37"/>
      <c r="Q503" s="37"/>
      <c r="R503" s="37"/>
      <c r="S503" s="37">
        <f t="shared" ref="S503:AW503" si="609">SUM(S500:S502)</f>
        <v>1939</v>
      </c>
      <c r="T503" s="37">
        <f t="shared" si="609"/>
        <v>1185</v>
      </c>
      <c r="U503" s="37">
        <f t="shared" si="609"/>
        <v>3782</v>
      </c>
      <c r="V503" s="37">
        <f t="shared" si="609"/>
        <v>5840</v>
      </c>
      <c r="W503" s="37">
        <f t="shared" si="609"/>
        <v>11120</v>
      </c>
      <c r="X503" s="37">
        <f t="shared" si="609"/>
        <v>18401</v>
      </c>
      <c r="Y503" s="37">
        <f t="shared" si="609"/>
        <v>24303</v>
      </c>
      <c r="Z503" s="37">
        <f t="shared" si="609"/>
        <v>25708</v>
      </c>
      <c r="AA503" s="37">
        <f t="shared" si="609"/>
        <v>3137</v>
      </c>
      <c r="AB503" s="37">
        <f t="shared" si="609"/>
        <v>6159</v>
      </c>
      <c r="AC503" s="37">
        <f t="shared" si="609"/>
        <v>6060</v>
      </c>
      <c r="AD503" s="37">
        <f t="shared" si="609"/>
        <v>6720</v>
      </c>
      <c r="AE503" s="37">
        <f t="shared" si="609"/>
        <v>6300</v>
      </c>
      <c r="AF503" s="37">
        <f t="shared" si="609"/>
        <v>6615</v>
      </c>
      <c r="AG503" s="37">
        <f t="shared" si="609"/>
        <v>6720</v>
      </c>
      <c r="AH503" s="37">
        <f t="shared" si="609"/>
        <v>7080</v>
      </c>
      <c r="AI503" s="37">
        <f t="shared" si="609"/>
        <v>15030</v>
      </c>
      <c r="AJ503" s="37">
        <f t="shared" si="609"/>
        <v>22217</v>
      </c>
      <c r="AK503" s="37">
        <f t="shared" si="609"/>
        <v>40278</v>
      </c>
      <c r="AL503" s="37">
        <f t="shared" si="609"/>
        <v>58037</v>
      </c>
      <c r="AM503" s="37">
        <f t="shared" si="609"/>
        <v>34271</v>
      </c>
      <c r="AN503" s="37">
        <f t="shared" si="609"/>
        <v>25735</v>
      </c>
      <c r="AO503" s="37">
        <f t="shared" si="609"/>
        <v>40906</v>
      </c>
      <c r="AP503" s="37">
        <f t="shared" si="609"/>
        <v>59866</v>
      </c>
      <c r="AQ503" s="37">
        <f t="shared" si="609"/>
        <v>56172</v>
      </c>
      <c r="AR503" s="37">
        <f t="shared" si="609"/>
        <v>3788</v>
      </c>
      <c r="AS503" s="37">
        <f t="shared" si="609"/>
        <v>12397</v>
      </c>
      <c r="AT503" s="37">
        <f t="shared" si="609"/>
        <v>19712</v>
      </c>
      <c r="AU503" s="37">
        <f t="shared" si="609"/>
        <v>33834</v>
      </c>
      <c r="AV503" s="37">
        <f t="shared" si="609"/>
        <v>13656</v>
      </c>
      <c r="AW503" s="37">
        <f t="shared" si="609"/>
        <v>17772</v>
      </c>
      <c r="AX503" s="37"/>
      <c r="AY503" s="273"/>
      <c r="AZ503" s="37"/>
      <c r="BA503" s="37"/>
      <c r="BB503" s="37"/>
      <c r="BC503" s="37"/>
      <c r="BD503" s="37"/>
      <c r="BE503" s="37"/>
      <c r="BF503" s="37"/>
      <c r="BG503" s="37"/>
      <c r="BH503" s="158"/>
      <c r="BI503" s="158"/>
      <c r="BJ503" s="158"/>
      <c r="BK503" s="158"/>
      <c r="BL503" s="158"/>
      <c r="BM503" s="158"/>
      <c r="BN503" s="158"/>
      <c r="BO503" s="158"/>
      <c r="BP503" s="158">
        <f>SUM(S503,T503,U503,V503)</f>
        <v>12746</v>
      </c>
      <c r="BQ503" s="158">
        <f>SUM(W503,X503,Y503,Z503)</f>
        <v>79532</v>
      </c>
      <c r="BR503" s="158">
        <f>SUM(AA503,AB503,AC503,AD503)</f>
        <v>22076</v>
      </c>
      <c r="BS503" s="158">
        <f>SUM(AE503,AF503,AG503,AH503)</f>
        <v>26715</v>
      </c>
      <c r="BT503" s="158">
        <f>SUM(AI503,AJ503,AK503,AL503)</f>
        <v>135562</v>
      </c>
      <c r="BU503" s="158">
        <f>SUM(AM503,AN503,AO503,AP503)</f>
        <v>160778</v>
      </c>
      <c r="BV503" s="158">
        <f>SUM(AQ503,AR503,AS503,AT503)</f>
        <v>92069</v>
      </c>
      <c r="BW503" s="846">
        <f>SUM(AU503,AV503,AW503,AX503)</f>
        <v>65262</v>
      </c>
      <c r="BX503" s="158"/>
      <c r="BY503" s="158"/>
      <c r="BZ503" s="158"/>
      <c r="CA503" s="158"/>
      <c r="CB503" s="158"/>
      <c r="CC503" s="117"/>
    </row>
    <row r="504" spans="1:81" s="706" customFormat="1" outlineLevel="2" x14ac:dyDescent="0.55000000000000004">
      <c r="A504" s="37"/>
      <c r="B504" s="8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c r="AU504" s="37"/>
      <c r="AV504" s="37"/>
      <c r="AW504" s="37"/>
      <c r="AX504" s="37"/>
      <c r="AY504" s="273"/>
      <c r="AZ504" s="37"/>
      <c r="BA504" s="37"/>
      <c r="BB504" s="37"/>
      <c r="BC504" s="37"/>
      <c r="BD504" s="37"/>
      <c r="BE504" s="37"/>
      <c r="BF504" s="37"/>
      <c r="BG504" s="37"/>
      <c r="BH504" s="158"/>
      <c r="BI504" s="158"/>
      <c r="BJ504" s="158"/>
      <c r="BK504" s="158"/>
      <c r="BL504" s="158"/>
      <c r="BM504" s="158"/>
      <c r="BN504" s="158"/>
      <c r="BO504" s="158"/>
      <c r="BP504" s="158"/>
      <c r="BQ504" s="158"/>
      <c r="BR504" s="158"/>
      <c r="BS504" s="158"/>
      <c r="BT504" s="158"/>
      <c r="BU504" s="158"/>
      <c r="BV504" s="158"/>
      <c r="BW504" s="846"/>
      <c r="BX504" s="158"/>
      <c r="BY504" s="158"/>
      <c r="BZ504" s="158"/>
      <c r="CA504" s="158"/>
      <c r="CB504" s="158"/>
      <c r="CC504" s="117"/>
    </row>
    <row r="505" spans="1:81" s="717" customFormat="1" outlineLevel="2" x14ac:dyDescent="0.55000000000000004">
      <c r="A505" s="351" t="s">
        <v>578</v>
      </c>
      <c r="B505" s="352"/>
      <c r="C505" s="353"/>
      <c r="D505" s="353"/>
      <c r="E505" s="353"/>
      <c r="F505" s="353"/>
      <c r="G505" s="353"/>
      <c r="H505" s="353"/>
      <c r="I505" s="353"/>
      <c r="J505" s="353"/>
      <c r="K505" s="353"/>
      <c r="L505" s="353"/>
      <c r="M505" s="353"/>
      <c r="N505" s="353"/>
      <c r="O505" s="353"/>
      <c r="P505" s="353"/>
      <c r="Q505" s="353"/>
      <c r="R505" s="353"/>
      <c r="S505" s="787">
        <v>117.82</v>
      </c>
      <c r="T505" s="787">
        <v>0</v>
      </c>
      <c r="U505" s="787">
        <v>160.1</v>
      </c>
      <c r="V505" s="787">
        <v>172.19</v>
      </c>
      <c r="W505" s="787">
        <v>184.67</v>
      </c>
      <c r="X505" s="787">
        <v>161.19999999999999</v>
      </c>
      <c r="Y505" s="787">
        <v>198.56</v>
      </c>
      <c r="Z505" s="787">
        <v>0</v>
      </c>
      <c r="AA505" s="787">
        <v>0</v>
      </c>
      <c r="AB505" s="787">
        <v>180.22</v>
      </c>
      <c r="AC505" s="787">
        <v>199.28</v>
      </c>
      <c r="AD505" s="787">
        <v>184.42</v>
      </c>
      <c r="AE505" s="787">
        <v>216.5</v>
      </c>
      <c r="AF505" s="787">
        <v>176.65</v>
      </c>
      <c r="AG505" s="787">
        <v>239.04</v>
      </c>
      <c r="AH505" s="787">
        <v>270.12</v>
      </c>
      <c r="AI505" s="787">
        <v>265.37</v>
      </c>
      <c r="AJ505" s="787">
        <v>307.02999999999997</v>
      </c>
      <c r="AK505" s="787">
        <v>352.32</v>
      </c>
      <c r="AL505" s="787">
        <v>326.2</v>
      </c>
      <c r="AM505" s="787">
        <v>316.45</v>
      </c>
      <c r="AN505" s="787">
        <v>207.84</v>
      </c>
      <c r="AO505" s="787">
        <v>166.26</v>
      </c>
      <c r="AP505" s="787">
        <v>126.03</v>
      </c>
      <c r="AQ505" s="787">
        <v>136.6</v>
      </c>
      <c r="AR505" s="787">
        <v>214.16</v>
      </c>
      <c r="AS505" s="787">
        <v>0</v>
      </c>
      <c r="AT505" s="787">
        <v>294.58999999999997</v>
      </c>
      <c r="AU505" s="787">
        <v>375.61</v>
      </c>
      <c r="AV505" s="787">
        <v>440</v>
      </c>
      <c r="AW505" s="787">
        <v>466.7</v>
      </c>
      <c r="AX505" s="353"/>
      <c r="AY505" s="658"/>
      <c r="AZ505" s="353"/>
      <c r="BA505" s="353"/>
      <c r="BB505" s="353"/>
      <c r="BC505" s="353"/>
      <c r="BD505" s="353"/>
      <c r="BE505" s="353"/>
      <c r="BF505" s="353"/>
      <c r="BG505" s="353"/>
      <c r="BH505" s="979"/>
      <c r="BI505" s="979"/>
      <c r="BJ505" s="979"/>
      <c r="BK505" s="979"/>
      <c r="BL505" s="979"/>
      <c r="BM505" s="979"/>
      <c r="BN505" s="979"/>
      <c r="BO505" s="979"/>
      <c r="BP505" s="979"/>
      <c r="BQ505" s="979"/>
      <c r="BR505" s="979"/>
      <c r="BS505" s="979"/>
      <c r="BT505" s="979"/>
      <c r="BU505" s="979"/>
      <c r="BV505" s="979"/>
      <c r="BW505" s="980"/>
      <c r="BX505" s="979"/>
      <c r="BY505" s="979"/>
      <c r="BZ505" s="979"/>
      <c r="CA505" s="979"/>
      <c r="CB505" s="979"/>
      <c r="CC505" s="354"/>
    </row>
    <row r="506" spans="1:81" s="717" customFormat="1" outlineLevel="2" x14ac:dyDescent="0.55000000000000004">
      <c r="A506" s="351" t="s">
        <v>579</v>
      </c>
      <c r="B506" s="352"/>
      <c r="C506" s="353"/>
      <c r="D506" s="353"/>
      <c r="E506" s="353"/>
      <c r="F506" s="353"/>
      <c r="G506" s="353"/>
      <c r="H506" s="353"/>
      <c r="I506" s="353"/>
      <c r="J506" s="353"/>
      <c r="K506" s="353"/>
      <c r="L506" s="353"/>
      <c r="M506" s="353"/>
      <c r="N506" s="353"/>
      <c r="O506" s="353"/>
      <c r="P506" s="353"/>
      <c r="Q506" s="353"/>
      <c r="R506" s="353"/>
      <c r="S506" s="787">
        <v>0</v>
      </c>
      <c r="T506" s="787">
        <v>0</v>
      </c>
      <c r="U506" s="787">
        <v>169.12</v>
      </c>
      <c r="V506" s="787">
        <v>0</v>
      </c>
      <c r="W506" s="787">
        <v>180.83</v>
      </c>
      <c r="X506" s="787">
        <v>180.81</v>
      </c>
      <c r="Y506" s="787">
        <v>177.52</v>
      </c>
      <c r="Z506" s="787">
        <v>0</v>
      </c>
      <c r="AA506" s="787">
        <v>0</v>
      </c>
      <c r="AB506" s="787">
        <v>186.29</v>
      </c>
      <c r="AC506" s="787">
        <v>184.89</v>
      </c>
      <c r="AD506" s="787">
        <v>195.74</v>
      </c>
      <c r="AE506" s="787">
        <v>207.57</v>
      </c>
      <c r="AF506" s="787">
        <v>216.74</v>
      </c>
      <c r="AG506" s="787">
        <v>268.67</v>
      </c>
      <c r="AH506" s="787">
        <v>276.32</v>
      </c>
      <c r="AI506" s="787">
        <v>266.54000000000002</v>
      </c>
      <c r="AJ506" s="787">
        <v>316.18</v>
      </c>
      <c r="AK506" s="787">
        <v>361.87</v>
      </c>
      <c r="AL506" s="787">
        <v>335.09</v>
      </c>
      <c r="AM506" s="787">
        <v>224.75</v>
      </c>
      <c r="AN506" s="787">
        <v>197.06</v>
      </c>
      <c r="AO506" s="787">
        <v>169.58</v>
      </c>
      <c r="AP506" s="787">
        <v>105.28</v>
      </c>
      <c r="AQ506" s="787">
        <v>176.57</v>
      </c>
      <c r="AR506" s="787">
        <v>0</v>
      </c>
      <c r="AS506" s="787">
        <v>274.95</v>
      </c>
      <c r="AT506" s="787">
        <v>0</v>
      </c>
      <c r="AU506" s="787">
        <v>466.39</v>
      </c>
      <c r="AV506" s="787">
        <v>464.31</v>
      </c>
      <c r="AW506" s="787">
        <v>504.21</v>
      </c>
      <c r="AX506" s="353"/>
      <c r="AY506" s="658"/>
      <c r="AZ506" s="353"/>
      <c r="BA506" s="353"/>
      <c r="BB506" s="353"/>
      <c r="BC506" s="353"/>
      <c r="BD506" s="353"/>
      <c r="BE506" s="353"/>
      <c r="BF506" s="353"/>
      <c r="BG506" s="353"/>
      <c r="BH506" s="979"/>
      <c r="BI506" s="979"/>
      <c r="BJ506" s="979"/>
      <c r="BK506" s="979"/>
      <c r="BL506" s="979"/>
      <c r="BM506" s="979"/>
      <c r="BN506" s="979"/>
      <c r="BO506" s="979"/>
      <c r="BP506" s="979"/>
      <c r="BQ506" s="979"/>
      <c r="BR506" s="979"/>
      <c r="BS506" s="979"/>
      <c r="BT506" s="979"/>
      <c r="BU506" s="979"/>
      <c r="BV506" s="979"/>
      <c r="BW506" s="980"/>
      <c r="BX506" s="979"/>
      <c r="BY506" s="979"/>
      <c r="BZ506" s="979"/>
      <c r="CA506" s="979"/>
      <c r="CB506" s="979"/>
      <c r="CC506" s="354"/>
    </row>
    <row r="507" spans="1:81" s="717" customFormat="1" outlineLevel="2" x14ac:dyDescent="0.55000000000000004">
      <c r="A507" s="355" t="s">
        <v>580</v>
      </c>
      <c r="B507" s="356"/>
      <c r="C507" s="357"/>
      <c r="D507" s="357"/>
      <c r="E507" s="357"/>
      <c r="F507" s="357"/>
      <c r="G507" s="357"/>
      <c r="H507" s="357"/>
      <c r="I507" s="357"/>
      <c r="J507" s="357"/>
      <c r="K507" s="357"/>
      <c r="L507" s="357"/>
      <c r="M507" s="357"/>
      <c r="N507" s="357"/>
      <c r="O507" s="357"/>
      <c r="P507" s="357"/>
      <c r="Q507" s="357"/>
      <c r="R507" s="357"/>
      <c r="S507" s="788">
        <v>0</v>
      </c>
      <c r="T507" s="788">
        <v>151.91</v>
      </c>
      <c r="U507" s="788">
        <v>170.5</v>
      </c>
      <c r="V507" s="788">
        <v>177.64</v>
      </c>
      <c r="W507" s="788">
        <v>167.77</v>
      </c>
      <c r="X507" s="788">
        <v>195.14</v>
      </c>
      <c r="Y507" s="788">
        <v>163.98</v>
      </c>
      <c r="Z507" s="788">
        <v>137.87</v>
      </c>
      <c r="AA507" s="788">
        <v>166.34</v>
      </c>
      <c r="AB507" s="788">
        <v>181.21</v>
      </c>
      <c r="AC507" s="788">
        <v>185.71</v>
      </c>
      <c r="AD507" s="788">
        <v>202.02</v>
      </c>
      <c r="AE507" s="788">
        <v>166.71</v>
      </c>
      <c r="AF507" s="788">
        <v>231.65</v>
      </c>
      <c r="AG507" s="788">
        <v>267.27</v>
      </c>
      <c r="AH507" s="788">
        <v>276.38</v>
      </c>
      <c r="AI507" s="788">
        <v>276.97000000000003</v>
      </c>
      <c r="AJ507" s="788">
        <v>336.42</v>
      </c>
      <c r="AK507" s="788">
        <v>356.34</v>
      </c>
      <c r="AL507" s="788">
        <v>329.97</v>
      </c>
      <c r="AM507" s="788">
        <v>210.79</v>
      </c>
      <c r="AN507" s="788">
        <v>175.74</v>
      </c>
      <c r="AO507" s="788">
        <v>146.69</v>
      </c>
      <c r="AP507" s="788">
        <v>117.87</v>
      </c>
      <c r="AQ507" s="788">
        <v>188.46</v>
      </c>
      <c r="AR507" s="788">
        <v>0</v>
      </c>
      <c r="AS507" s="788">
        <v>297.95</v>
      </c>
      <c r="AT507" s="788">
        <v>345.27</v>
      </c>
      <c r="AU507" s="788">
        <v>501.9</v>
      </c>
      <c r="AV507" s="788">
        <v>474.4</v>
      </c>
      <c r="AW507" s="788">
        <v>509.99</v>
      </c>
      <c r="AX507" s="357"/>
      <c r="AY507" s="702"/>
      <c r="AZ507" s="357"/>
      <c r="BA507" s="357"/>
      <c r="BB507" s="357"/>
      <c r="BC507" s="357"/>
      <c r="BD507" s="357"/>
      <c r="BE507" s="357"/>
      <c r="BF507" s="357"/>
      <c r="BG507" s="357"/>
      <c r="BH507" s="981"/>
      <c r="BI507" s="981"/>
      <c r="BJ507" s="981"/>
      <c r="BK507" s="981"/>
      <c r="BL507" s="981"/>
      <c r="BM507" s="981"/>
      <c r="BN507" s="981"/>
      <c r="BO507" s="981"/>
      <c r="BP507" s="981"/>
      <c r="BQ507" s="981"/>
      <c r="BR507" s="981"/>
      <c r="BS507" s="981"/>
      <c r="BT507" s="981"/>
      <c r="BU507" s="981"/>
      <c r="BV507" s="981"/>
      <c r="BW507" s="982"/>
      <c r="BX507" s="981"/>
      <c r="BY507" s="981"/>
      <c r="BZ507" s="981"/>
      <c r="CA507" s="981"/>
      <c r="CB507" s="981"/>
      <c r="CC507" s="354"/>
    </row>
    <row r="508" spans="1:81" s="717" customFormat="1" outlineLevel="1" x14ac:dyDescent="0.55000000000000004">
      <c r="A508" s="354" t="s">
        <v>594</v>
      </c>
      <c r="B508" s="352"/>
      <c r="C508" s="353"/>
      <c r="D508" s="353"/>
      <c r="E508" s="353"/>
      <c r="F508" s="353"/>
      <c r="G508" s="353"/>
      <c r="H508" s="353"/>
      <c r="I508" s="353"/>
      <c r="J508" s="353"/>
      <c r="K508" s="353"/>
      <c r="L508" s="353"/>
      <c r="M508" s="353"/>
      <c r="N508" s="353"/>
      <c r="O508" s="353"/>
      <c r="P508" s="353"/>
      <c r="Q508" s="353"/>
      <c r="R508" s="353"/>
      <c r="S508" s="353">
        <f t="shared" ref="S508:AW508" si="610">S513/S503*1000</f>
        <v>117.58638473439918</v>
      </c>
      <c r="T508" s="353">
        <f t="shared" si="610"/>
        <v>151.8987341772152</v>
      </c>
      <c r="U508" s="353">
        <f t="shared" si="610"/>
        <v>166.57852987837123</v>
      </c>
      <c r="V508" s="353">
        <f t="shared" si="610"/>
        <v>176.7123287671233</v>
      </c>
      <c r="W508" s="353">
        <f t="shared" si="610"/>
        <v>172.21223021582736</v>
      </c>
      <c r="X508" s="353">
        <f t="shared" si="610"/>
        <v>174.71876528449539</v>
      </c>
      <c r="Y508" s="353">
        <f t="shared" si="610"/>
        <v>175.12241287083899</v>
      </c>
      <c r="Z508" s="353">
        <f t="shared" si="610"/>
        <v>137.85592033608216</v>
      </c>
      <c r="AA508" s="353">
        <f t="shared" si="610"/>
        <v>166.40102008288173</v>
      </c>
      <c r="AB508" s="353">
        <f t="shared" si="610"/>
        <v>182.6595226497808</v>
      </c>
      <c r="AC508" s="353">
        <f t="shared" si="610"/>
        <v>189.93399339933995</v>
      </c>
      <c r="AD508" s="353">
        <f t="shared" si="610"/>
        <v>193.60119047619048</v>
      </c>
      <c r="AE508" s="353">
        <f t="shared" si="610"/>
        <v>197.14285714285714</v>
      </c>
      <c r="AF508" s="353">
        <f t="shared" si="610"/>
        <v>208.61678004535148</v>
      </c>
      <c r="AG508" s="353">
        <f t="shared" si="610"/>
        <v>258.03571428571433</v>
      </c>
      <c r="AH508" s="353">
        <f t="shared" si="610"/>
        <v>274.29378531073445</v>
      </c>
      <c r="AI508" s="353">
        <f t="shared" si="610"/>
        <v>273.51962741184298</v>
      </c>
      <c r="AJ508" s="353">
        <f t="shared" si="610"/>
        <v>321.78061844533465</v>
      </c>
      <c r="AK508" s="353">
        <f t="shared" si="610"/>
        <v>356.79527285366703</v>
      </c>
      <c r="AL508" s="353">
        <f t="shared" si="610"/>
        <v>330.42714130640798</v>
      </c>
      <c r="AM508" s="353">
        <f t="shared" si="610"/>
        <v>273.90505091768551</v>
      </c>
      <c r="AN508" s="353">
        <f t="shared" si="610"/>
        <v>197.4742568486497</v>
      </c>
      <c r="AO508" s="353">
        <f t="shared" si="610"/>
        <v>160.07431672615263</v>
      </c>
      <c r="AP508" s="353">
        <f t="shared" si="610"/>
        <v>115.39103998930945</v>
      </c>
      <c r="AQ508" s="353">
        <f t="shared" si="610"/>
        <v>162.75012461724702</v>
      </c>
      <c r="AR508" s="353">
        <f t="shared" si="610"/>
        <v>214.09714889123549</v>
      </c>
      <c r="AS508" s="353">
        <f t="shared" si="610"/>
        <v>297.81398725498104</v>
      </c>
      <c r="AT508" s="353">
        <f t="shared" si="610"/>
        <v>319.29788961038963</v>
      </c>
      <c r="AU508" s="353">
        <f t="shared" si="610"/>
        <v>429.56789028787614</v>
      </c>
      <c r="AV508" s="353">
        <f t="shared" si="610"/>
        <v>461.26244874048041</v>
      </c>
      <c r="AW508" s="353">
        <f t="shared" si="610"/>
        <v>496.17375647085305</v>
      </c>
      <c r="AX508" s="353"/>
      <c r="AY508" s="658"/>
      <c r="AZ508" s="353"/>
      <c r="BA508" s="353"/>
      <c r="BB508" s="353"/>
      <c r="BC508" s="353"/>
      <c r="BD508" s="353"/>
      <c r="BE508" s="353"/>
      <c r="BF508" s="353"/>
      <c r="BG508" s="353"/>
      <c r="BH508" s="979"/>
      <c r="BI508" s="979"/>
      <c r="BJ508" s="979"/>
      <c r="BK508" s="979"/>
      <c r="BL508" s="979"/>
      <c r="BM508" s="979"/>
      <c r="BN508" s="979"/>
      <c r="BO508" s="979"/>
      <c r="BP508" s="979">
        <f t="shared" ref="BP508:BW508" si="611">BP513/BP503*1000</f>
        <v>162.40389141691512</v>
      </c>
      <c r="BQ508" s="979">
        <f t="shared" si="611"/>
        <v>162.57607000955591</v>
      </c>
      <c r="BR508" s="979">
        <f t="shared" si="611"/>
        <v>185.67675303497012</v>
      </c>
      <c r="BS508" s="979">
        <f t="shared" si="611"/>
        <v>235.74770728055401</v>
      </c>
      <c r="BT508" s="979">
        <f t="shared" si="611"/>
        <v>330.5351057080893</v>
      </c>
      <c r="BU508" s="979">
        <f t="shared" si="611"/>
        <v>173.68669842888954</v>
      </c>
      <c r="BV508" s="979">
        <f t="shared" si="611"/>
        <v>216.56583649219607</v>
      </c>
      <c r="BW508" s="980">
        <f t="shared" si="611"/>
        <v>454.33789954337902</v>
      </c>
      <c r="BX508" s="979"/>
      <c r="BY508" s="979"/>
      <c r="BZ508" s="979"/>
      <c r="CA508" s="979"/>
      <c r="CB508" s="979"/>
      <c r="CC508" s="354"/>
    </row>
    <row r="509" spans="1:81" s="718" customFormat="1" outlineLevel="2" x14ac:dyDescent="0.55000000000000004">
      <c r="A509" s="600"/>
      <c r="B509" s="241"/>
      <c r="C509" s="600"/>
      <c r="D509" s="600"/>
      <c r="E509" s="600"/>
      <c r="F509" s="600"/>
      <c r="G509" s="600"/>
      <c r="H509" s="600"/>
      <c r="I509" s="600"/>
      <c r="J509" s="600"/>
      <c r="K509" s="600"/>
      <c r="L509" s="600"/>
      <c r="M509" s="600"/>
      <c r="N509" s="600"/>
      <c r="O509" s="600"/>
      <c r="P509" s="600"/>
      <c r="Q509" s="600"/>
      <c r="R509" s="600"/>
      <c r="S509" s="600"/>
      <c r="T509" s="600"/>
      <c r="U509" s="600"/>
      <c r="V509" s="600"/>
      <c r="W509" s="600"/>
      <c r="X509" s="600"/>
      <c r="Y509" s="600"/>
      <c r="Z509" s="600"/>
      <c r="AA509" s="600"/>
      <c r="AB509" s="600"/>
      <c r="AC509" s="600"/>
      <c r="AD509" s="600"/>
      <c r="AE509" s="600"/>
      <c r="AF509" s="600"/>
      <c r="AG509" s="600"/>
      <c r="AH509" s="600"/>
      <c r="AI509" s="600"/>
      <c r="AJ509" s="600"/>
      <c r="AK509" s="600"/>
      <c r="AL509" s="600"/>
      <c r="AM509" s="600"/>
      <c r="AN509" s="600"/>
      <c r="AO509" s="600"/>
      <c r="AP509" s="600"/>
      <c r="AQ509" s="600"/>
      <c r="AR509" s="600"/>
      <c r="AS509" s="600"/>
      <c r="AT509" s="600"/>
      <c r="AU509" s="600"/>
      <c r="AV509" s="600"/>
      <c r="AW509" s="600"/>
      <c r="AX509" s="600"/>
      <c r="AY509" s="604"/>
      <c r="AZ509" s="600"/>
      <c r="BA509" s="600"/>
      <c r="BB509" s="600"/>
      <c r="BC509" s="600"/>
      <c r="BD509" s="600"/>
      <c r="BE509" s="600"/>
      <c r="BF509" s="600"/>
      <c r="BG509" s="600"/>
      <c r="BH509" s="186"/>
      <c r="BI509" s="186"/>
      <c r="BJ509" s="186"/>
      <c r="BK509" s="186"/>
      <c r="BL509" s="186"/>
      <c r="BM509" s="186"/>
      <c r="BN509" s="186"/>
      <c r="BO509" s="186"/>
      <c r="BP509" s="186"/>
      <c r="BQ509" s="186"/>
      <c r="BR509" s="186"/>
      <c r="BS509" s="186"/>
      <c r="BT509" s="186"/>
      <c r="BU509" s="186"/>
      <c r="BV509" s="186"/>
      <c r="BW509" s="909"/>
      <c r="BX509" s="186"/>
      <c r="BY509" s="186"/>
      <c r="BZ509" s="186"/>
      <c r="CA509" s="186"/>
      <c r="CB509" s="186"/>
      <c r="CC509" s="358"/>
    </row>
    <row r="510" spans="1:81" s="706" customFormat="1" outlineLevel="2" x14ac:dyDescent="0.55000000000000004">
      <c r="A510" s="116" t="s">
        <v>581</v>
      </c>
      <c r="B510" s="87"/>
      <c r="C510" s="37"/>
      <c r="D510" s="37"/>
      <c r="E510" s="37"/>
      <c r="F510" s="37"/>
      <c r="G510" s="37"/>
      <c r="H510" s="37"/>
      <c r="I510" s="37"/>
      <c r="J510" s="37"/>
      <c r="K510" s="37"/>
      <c r="L510" s="37"/>
      <c r="M510" s="37"/>
      <c r="N510" s="37"/>
      <c r="O510" s="37"/>
      <c r="P510" s="37"/>
      <c r="Q510" s="37"/>
      <c r="R510" s="37"/>
      <c r="S510" s="37">
        <f>BO523+S515-S520</f>
        <v>228</v>
      </c>
      <c r="T510" s="37">
        <f>S523+T515-T520</f>
        <v>0</v>
      </c>
      <c r="U510" s="37">
        <f>T523+U515-U520</f>
        <v>200</v>
      </c>
      <c r="V510" s="37">
        <f>U523+V515-V520</f>
        <v>174</v>
      </c>
      <c r="W510" s="37">
        <f>BP523+W515-W520</f>
        <v>315</v>
      </c>
      <c r="X510" s="37">
        <f>W523+X515-X520</f>
        <v>1559</v>
      </c>
      <c r="Y510" s="37">
        <f>X523+Y515-Y520</f>
        <v>1050</v>
      </c>
      <c r="Z510" s="37">
        <f>Y523+Z515-Z520</f>
        <v>0</v>
      </c>
      <c r="AA510" s="37">
        <f>BQ523+AA515-AA520</f>
        <v>0</v>
      </c>
      <c r="AB510" s="37">
        <f>AA523+AB515-AB520</f>
        <v>389</v>
      </c>
      <c r="AC510" s="37">
        <f>AB523+AC515-AC520</f>
        <v>395</v>
      </c>
      <c r="AD510" s="37">
        <f>AC523+AD515-AD520</f>
        <v>445</v>
      </c>
      <c r="AE510" s="37">
        <f>BR523+AE515-AE520</f>
        <v>478</v>
      </c>
      <c r="AF510" s="37">
        <f>AE523+AF515-AF520</f>
        <v>390</v>
      </c>
      <c r="AG510" s="37">
        <f>AF523+AG515-AG520</f>
        <v>552</v>
      </c>
      <c r="AH510" s="37">
        <f>AG523+AH515-AH520</f>
        <v>624</v>
      </c>
      <c r="AI510" s="37">
        <f>BS523+AI515-AI520</f>
        <v>630</v>
      </c>
      <c r="AJ510" s="37">
        <f>AI523+AJ515-AJ520</f>
        <v>2119</v>
      </c>
      <c r="AK510" s="37">
        <f>AJ523+AK515-AK520</f>
        <v>3025</v>
      </c>
      <c r="AL510" s="37">
        <f>AK523+AL515-AL520</f>
        <v>7077</v>
      </c>
      <c r="AM510" s="37">
        <f>BT523+AM515-AM520</f>
        <v>6230</v>
      </c>
      <c r="AN510" s="37">
        <f>AM523+AN515-AN520</f>
        <v>2209</v>
      </c>
      <c r="AO510" s="37">
        <f>AN523+AO515-AO520</f>
        <v>2162</v>
      </c>
      <c r="AP510" s="37">
        <f>AO523+AP515-AP520</f>
        <v>2544</v>
      </c>
      <c r="AQ510" s="37">
        <f>BU523+AQ515-AQ520</f>
        <v>3234</v>
      </c>
      <c r="AR510" s="37">
        <f>AQ523+AR515-AR520</f>
        <v>811</v>
      </c>
      <c r="AS510" s="37">
        <f>AR523+AS515-AS520</f>
        <v>0</v>
      </c>
      <c r="AT510" s="37">
        <f>AS523+AT515-AT520</f>
        <v>2977</v>
      </c>
      <c r="AU510" s="37">
        <f>BV523+AU515-AU520</f>
        <v>5731</v>
      </c>
      <c r="AV510" s="37">
        <f>AU523+AV515-AV520</f>
        <v>900</v>
      </c>
      <c r="AW510" s="37">
        <f>AV523+AW515-AW520</f>
        <v>2208</v>
      </c>
      <c r="AX510" s="37"/>
      <c r="AY510" s="273"/>
      <c r="AZ510" s="37"/>
      <c r="BA510" s="37"/>
      <c r="BB510" s="37"/>
      <c r="BC510" s="37"/>
      <c r="BD510" s="37"/>
      <c r="BE510" s="37"/>
      <c r="BF510" s="37"/>
      <c r="BG510" s="37"/>
      <c r="BH510" s="158"/>
      <c r="BI510" s="158"/>
      <c r="BJ510" s="158"/>
      <c r="BK510" s="158"/>
      <c r="BL510" s="158"/>
      <c r="BM510" s="158"/>
      <c r="BN510" s="158"/>
      <c r="BO510" s="158"/>
      <c r="BP510" s="158"/>
      <c r="BQ510" s="158"/>
      <c r="BR510" s="158"/>
      <c r="BS510" s="158"/>
      <c r="BT510" s="158"/>
      <c r="BU510" s="158"/>
      <c r="BV510" s="158"/>
      <c r="BW510" s="846"/>
      <c r="BX510" s="158"/>
      <c r="BY510" s="158"/>
      <c r="BZ510" s="158"/>
      <c r="CA510" s="158"/>
      <c r="CB510" s="158"/>
      <c r="CC510" s="117"/>
    </row>
    <row r="511" spans="1:81" s="706" customFormat="1" outlineLevel="2" x14ac:dyDescent="0.55000000000000004">
      <c r="A511" s="116" t="s">
        <v>582</v>
      </c>
      <c r="B511" s="87"/>
      <c r="C511" s="37"/>
      <c r="D511" s="37"/>
      <c r="E511" s="37"/>
      <c r="F511" s="37"/>
      <c r="G511" s="37"/>
      <c r="H511" s="37"/>
      <c r="I511" s="37"/>
      <c r="J511" s="37"/>
      <c r="K511" s="37"/>
      <c r="L511" s="37"/>
      <c r="M511" s="37"/>
      <c r="N511" s="37"/>
      <c r="O511" s="37"/>
      <c r="P511" s="37"/>
      <c r="Q511" s="37"/>
      <c r="R511" s="37"/>
      <c r="S511" s="37">
        <f>S520+S516-S521</f>
        <v>0</v>
      </c>
      <c r="T511" s="37">
        <f>T520-T521</f>
        <v>0</v>
      </c>
      <c r="U511" s="37">
        <f>U520-U521</f>
        <v>230</v>
      </c>
      <c r="V511" s="37">
        <f>V520+V516-V521</f>
        <v>0</v>
      </c>
      <c r="W511" s="37">
        <f>W520+W516-W521</f>
        <v>285</v>
      </c>
      <c r="X511" s="37">
        <f>X520-X521</f>
        <v>606</v>
      </c>
      <c r="Y511" s="37">
        <f>Y520-Y521</f>
        <v>1150</v>
      </c>
      <c r="Z511" s="37">
        <f t="shared" ref="Z511:AW511" si="612">Z520+Z516-Z521</f>
        <v>0</v>
      </c>
      <c r="AA511" s="37">
        <f t="shared" si="612"/>
        <v>0</v>
      </c>
      <c r="AB511" s="37">
        <f t="shared" si="612"/>
        <v>410</v>
      </c>
      <c r="AC511" s="37">
        <f t="shared" si="612"/>
        <v>366</v>
      </c>
      <c r="AD511" s="37">
        <f t="shared" si="612"/>
        <v>411</v>
      </c>
      <c r="AE511" s="37">
        <f t="shared" si="612"/>
        <v>414</v>
      </c>
      <c r="AF511" s="37">
        <f t="shared" si="612"/>
        <v>455</v>
      </c>
      <c r="AG511" s="37">
        <f t="shared" si="612"/>
        <v>592</v>
      </c>
      <c r="AH511" s="37">
        <f t="shared" si="612"/>
        <v>580</v>
      </c>
      <c r="AI511" s="37">
        <f t="shared" si="612"/>
        <v>633</v>
      </c>
      <c r="AJ511" s="37">
        <f t="shared" si="612"/>
        <v>1905</v>
      </c>
      <c r="AK511" s="37">
        <f t="shared" si="612"/>
        <v>3455</v>
      </c>
      <c r="AL511" s="37">
        <f t="shared" si="612"/>
        <v>7240</v>
      </c>
      <c r="AM511" s="37">
        <f t="shared" si="612"/>
        <v>1330</v>
      </c>
      <c r="AN511" s="37">
        <f t="shared" si="612"/>
        <v>2018</v>
      </c>
      <c r="AO511" s="37">
        <f t="shared" si="612"/>
        <v>2173</v>
      </c>
      <c r="AP511" s="37">
        <f t="shared" si="612"/>
        <v>2619</v>
      </c>
      <c r="AQ511" s="37">
        <f t="shared" si="612"/>
        <v>3217</v>
      </c>
      <c r="AR511" s="37">
        <f t="shared" si="612"/>
        <v>0</v>
      </c>
      <c r="AS511" s="37">
        <f t="shared" si="612"/>
        <v>22</v>
      </c>
      <c r="AT511" s="37">
        <f t="shared" si="612"/>
        <v>0</v>
      </c>
      <c r="AU511" s="37">
        <f t="shared" si="612"/>
        <v>6835</v>
      </c>
      <c r="AV511" s="37">
        <f t="shared" si="612"/>
        <v>5023</v>
      </c>
      <c r="AW511" s="37">
        <f t="shared" si="612"/>
        <v>3560</v>
      </c>
      <c r="AX511" s="37"/>
      <c r="AY511" s="273"/>
      <c r="AZ511" s="37"/>
      <c r="BA511" s="37"/>
      <c r="BB511" s="37"/>
      <c r="BC511" s="37"/>
      <c r="BD511" s="37"/>
      <c r="BE511" s="37"/>
      <c r="BF511" s="37"/>
      <c r="BG511" s="37"/>
      <c r="BH511" s="158"/>
      <c r="BI511" s="158"/>
      <c r="BJ511" s="158"/>
      <c r="BK511" s="158"/>
      <c r="BL511" s="158"/>
      <c r="BM511" s="158"/>
      <c r="BN511" s="158"/>
      <c r="BO511" s="158"/>
      <c r="BP511" s="158"/>
      <c r="BQ511" s="158"/>
      <c r="BR511" s="158"/>
      <c r="BS511" s="158"/>
      <c r="BT511" s="158"/>
      <c r="BU511" s="158"/>
      <c r="BV511" s="158"/>
      <c r="BW511" s="846"/>
      <c r="BX511" s="158"/>
      <c r="BY511" s="158"/>
      <c r="BZ511" s="158"/>
      <c r="CA511" s="158"/>
      <c r="CB511" s="158"/>
      <c r="CC511" s="117"/>
    </row>
    <row r="512" spans="1:81" s="706" customFormat="1" outlineLevel="2" x14ac:dyDescent="0.55000000000000004">
      <c r="A512" s="18" t="s">
        <v>583</v>
      </c>
      <c r="B512" s="244"/>
      <c r="C512" s="82"/>
      <c r="D512" s="82"/>
      <c r="E512" s="82"/>
      <c r="F512" s="82"/>
      <c r="G512" s="82"/>
      <c r="H512" s="82"/>
      <c r="I512" s="82"/>
      <c r="J512" s="82"/>
      <c r="K512" s="82"/>
      <c r="L512" s="82"/>
      <c r="M512" s="82"/>
      <c r="N512" s="82"/>
      <c r="O512" s="82"/>
      <c r="P512" s="82"/>
      <c r="Q512" s="82"/>
      <c r="R512" s="82"/>
      <c r="S512" s="82">
        <f>S521+S517-S522</f>
        <v>0</v>
      </c>
      <c r="T512" s="82">
        <f>T521-T522</f>
        <v>180</v>
      </c>
      <c r="U512" s="82">
        <f>U521-U522</f>
        <v>200</v>
      </c>
      <c r="V512" s="82">
        <f>V521+V517-V522</f>
        <v>858</v>
      </c>
      <c r="W512" s="82">
        <f>W521+W517-W522</f>
        <v>1315</v>
      </c>
      <c r="X512" s="82">
        <f>X521-X522</f>
        <v>1050</v>
      </c>
      <c r="Y512" s="82">
        <f>Y521-Y522</f>
        <v>2056</v>
      </c>
      <c r="Z512" s="82">
        <f t="shared" ref="Z512:AW512" si="613">Z521+Z517-Z522</f>
        <v>3544</v>
      </c>
      <c r="AA512" s="82">
        <f t="shared" si="613"/>
        <v>522</v>
      </c>
      <c r="AB512" s="82">
        <f t="shared" si="613"/>
        <v>326</v>
      </c>
      <c r="AC512" s="82">
        <f t="shared" si="613"/>
        <v>390</v>
      </c>
      <c r="AD512" s="82">
        <f t="shared" si="613"/>
        <v>445</v>
      </c>
      <c r="AE512" s="82">
        <f t="shared" si="613"/>
        <v>350</v>
      </c>
      <c r="AF512" s="82">
        <f t="shared" si="613"/>
        <v>535</v>
      </c>
      <c r="AG512" s="82">
        <f t="shared" si="613"/>
        <v>590</v>
      </c>
      <c r="AH512" s="82">
        <f t="shared" si="613"/>
        <v>738</v>
      </c>
      <c r="AI512" s="82">
        <f t="shared" si="613"/>
        <v>2848</v>
      </c>
      <c r="AJ512" s="82">
        <f t="shared" si="613"/>
        <v>3125</v>
      </c>
      <c r="AK512" s="82">
        <f t="shared" si="613"/>
        <v>7891</v>
      </c>
      <c r="AL512" s="82">
        <f t="shared" si="613"/>
        <v>4860</v>
      </c>
      <c r="AM512" s="82">
        <f t="shared" si="613"/>
        <v>1827</v>
      </c>
      <c r="AN512" s="82">
        <f t="shared" si="613"/>
        <v>855</v>
      </c>
      <c r="AO512" s="82">
        <f t="shared" si="613"/>
        <v>2213</v>
      </c>
      <c r="AP512" s="82">
        <f t="shared" si="613"/>
        <v>1745</v>
      </c>
      <c r="AQ512" s="82">
        <f t="shared" si="613"/>
        <v>2691</v>
      </c>
      <c r="AR512" s="82">
        <f t="shared" si="613"/>
        <v>0</v>
      </c>
      <c r="AS512" s="82">
        <f t="shared" si="613"/>
        <v>3670</v>
      </c>
      <c r="AT512" s="82">
        <f t="shared" si="613"/>
        <v>3317</v>
      </c>
      <c r="AU512" s="82">
        <f t="shared" si="613"/>
        <v>1968</v>
      </c>
      <c r="AV512" s="82">
        <f t="shared" si="613"/>
        <v>376</v>
      </c>
      <c r="AW512" s="82">
        <f t="shared" si="613"/>
        <v>3050</v>
      </c>
      <c r="AX512" s="82"/>
      <c r="AY512" s="406"/>
      <c r="AZ512" s="82"/>
      <c r="BA512" s="82"/>
      <c r="BB512" s="82"/>
      <c r="BC512" s="82"/>
      <c r="BD512" s="82"/>
      <c r="BE512" s="82"/>
      <c r="BF512" s="82"/>
      <c r="BG512" s="82"/>
      <c r="BH512" s="854"/>
      <c r="BI512" s="854"/>
      <c r="BJ512" s="854"/>
      <c r="BK512" s="854"/>
      <c r="BL512" s="854"/>
      <c r="BM512" s="854"/>
      <c r="BN512" s="854"/>
      <c r="BO512" s="854"/>
      <c r="BP512" s="854"/>
      <c r="BQ512" s="854"/>
      <c r="BR512" s="854"/>
      <c r="BS512" s="854"/>
      <c r="BT512" s="854"/>
      <c r="BU512" s="854"/>
      <c r="BV512" s="854"/>
      <c r="BW512" s="855"/>
      <c r="BX512" s="854"/>
      <c r="BY512" s="854"/>
      <c r="BZ512" s="854"/>
      <c r="CA512" s="854"/>
      <c r="CB512" s="854"/>
      <c r="CC512" s="117"/>
    </row>
    <row r="513" spans="1:81" s="706" customFormat="1" outlineLevel="1" x14ac:dyDescent="0.55000000000000004">
      <c r="A513" s="117" t="s">
        <v>593</v>
      </c>
      <c r="B513" s="87"/>
      <c r="C513" s="37"/>
      <c r="D513" s="37"/>
      <c r="E513" s="37"/>
      <c r="F513" s="37"/>
      <c r="G513" s="37"/>
      <c r="H513" s="37"/>
      <c r="I513" s="37"/>
      <c r="J513" s="37"/>
      <c r="K513" s="37"/>
      <c r="L513" s="37"/>
      <c r="M513" s="37"/>
      <c r="N513" s="37"/>
      <c r="O513" s="37"/>
      <c r="P513" s="37"/>
      <c r="Q513" s="37"/>
      <c r="R513" s="37"/>
      <c r="S513" s="37">
        <f t="shared" ref="S513:AW513" si="614">SUM(S510:S512)</f>
        <v>228</v>
      </c>
      <c r="T513" s="37">
        <f t="shared" si="614"/>
        <v>180</v>
      </c>
      <c r="U513" s="37">
        <f t="shared" si="614"/>
        <v>630</v>
      </c>
      <c r="V513" s="37">
        <f t="shared" si="614"/>
        <v>1032</v>
      </c>
      <c r="W513" s="37">
        <f t="shared" si="614"/>
        <v>1915</v>
      </c>
      <c r="X513" s="37">
        <f t="shared" si="614"/>
        <v>3215</v>
      </c>
      <c r="Y513" s="37">
        <f t="shared" si="614"/>
        <v>4256</v>
      </c>
      <c r="Z513" s="37">
        <f t="shared" si="614"/>
        <v>3544</v>
      </c>
      <c r="AA513" s="37">
        <f t="shared" si="614"/>
        <v>522</v>
      </c>
      <c r="AB513" s="37">
        <f t="shared" si="614"/>
        <v>1125</v>
      </c>
      <c r="AC513" s="37">
        <f t="shared" si="614"/>
        <v>1151</v>
      </c>
      <c r="AD513" s="37">
        <f t="shared" si="614"/>
        <v>1301</v>
      </c>
      <c r="AE513" s="37">
        <f t="shared" si="614"/>
        <v>1242</v>
      </c>
      <c r="AF513" s="37">
        <f t="shared" si="614"/>
        <v>1380</v>
      </c>
      <c r="AG513" s="37">
        <f t="shared" si="614"/>
        <v>1734</v>
      </c>
      <c r="AH513" s="37">
        <f t="shared" si="614"/>
        <v>1942</v>
      </c>
      <c r="AI513" s="37">
        <f t="shared" si="614"/>
        <v>4111</v>
      </c>
      <c r="AJ513" s="37">
        <f t="shared" si="614"/>
        <v>7149</v>
      </c>
      <c r="AK513" s="37">
        <f t="shared" si="614"/>
        <v>14371</v>
      </c>
      <c r="AL513" s="37">
        <f t="shared" si="614"/>
        <v>19177</v>
      </c>
      <c r="AM513" s="37">
        <f t="shared" si="614"/>
        <v>9387</v>
      </c>
      <c r="AN513" s="37">
        <f t="shared" si="614"/>
        <v>5082</v>
      </c>
      <c r="AO513" s="37">
        <f t="shared" si="614"/>
        <v>6548</v>
      </c>
      <c r="AP513" s="37">
        <f t="shared" si="614"/>
        <v>6908</v>
      </c>
      <c r="AQ513" s="37">
        <f t="shared" si="614"/>
        <v>9142</v>
      </c>
      <c r="AR513" s="37">
        <f t="shared" si="614"/>
        <v>811</v>
      </c>
      <c r="AS513" s="37">
        <f t="shared" si="614"/>
        <v>3692</v>
      </c>
      <c r="AT513" s="37">
        <f t="shared" si="614"/>
        <v>6294</v>
      </c>
      <c r="AU513" s="37">
        <f t="shared" si="614"/>
        <v>14534</v>
      </c>
      <c r="AV513" s="37">
        <f t="shared" si="614"/>
        <v>6299</v>
      </c>
      <c r="AW513" s="37">
        <f t="shared" si="614"/>
        <v>8818</v>
      </c>
      <c r="AX513" s="37"/>
      <c r="AY513" s="273"/>
      <c r="AZ513" s="37"/>
      <c r="BA513" s="37"/>
      <c r="BB513" s="37"/>
      <c r="BC513" s="37"/>
      <c r="BD513" s="37"/>
      <c r="BE513" s="37"/>
      <c r="BF513" s="37"/>
      <c r="BG513" s="37"/>
      <c r="BH513" s="158"/>
      <c r="BI513" s="158"/>
      <c r="BJ513" s="158"/>
      <c r="BK513" s="158"/>
      <c r="BL513" s="158"/>
      <c r="BM513" s="158"/>
      <c r="BN513" s="158"/>
      <c r="BO513" s="158"/>
      <c r="BP513" s="158">
        <f>SUM(S513,T513,U513,V513)</f>
        <v>2070</v>
      </c>
      <c r="BQ513" s="158">
        <f>SUM(W513,X513,Y513,Z513)</f>
        <v>12930</v>
      </c>
      <c r="BR513" s="158">
        <f>SUM(AA513,AB513,AC513,AD513)</f>
        <v>4099</v>
      </c>
      <c r="BS513" s="158">
        <f>SUM(AE513,AF513,AG513,AH513)</f>
        <v>6298</v>
      </c>
      <c r="BT513" s="158">
        <f>SUM(AI513,AJ513,AK513,AL513)</f>
        <v>44808</v>
      </c>
      <c r="BU513" s="158">
        <f>SUM(AM513,AN513,AO513,AP513)</f>
        <v>27925</v>
      </c>
      <c r="BV513" s="158">
        <f>SUM(AQ513,AR513,AS513,AT513)</f>
        <v>19939</v>
      </c>
      <c r="BW513" s="846">
        <f>SUM(AU513,AV513,AW513,AX513)</f>
        <v>29651</v>
      </c>
      <c r="BX513" s="158"/>
      <c r="BY513" s="158"/>
      <c r="BZ513" s="158"/>
      <c r="CA513" s="158"/>
      <c r="CB513" s="158"/>
      <c r="CC513" s="117"/>
    </row>
    <row r="514" spans="1:81" s="706" customFormat="1" outlineLevel="2" x14ac:dyDescent="0.55000000000000004">
      <c r="A514" s="37"/>
      <c r="B514" s="8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c r="AU514" s="37"/>
      <c r="AV514" s="37"/>
      <c r="AW514" s="37"/>
      <c r="AX514" s="37"/>
      <c r="AY514" s="273"/>
      <c r="AZ514" s="37"/>
      <c r="BA514" s="37"/>
      <c r="BB514" s="37"/>
      <c r="BC514" s="37"/>
      <c r="BD514" s="37"/>
      <c r="BE514" s="37"/>
      <c r="BF514" s="37"/>
      <c r="BG514" s="37"/>
      <c r="BH514" s="158"/>
      <c r="BI514" s="158"/>
      <c r="BJ514" s="158"/>
      <c r="BK514" s="158"/>
      <c r="BL514" s="158"/>
      <c r="BM514" s="158"/>
      <c r="BN514" s="158"/>
      <c r="BO514" s="158"/>
      <c r="BP514" s="158"/>
      <c r="BQ514" s="158"/>
      <c r="BR514" s="158"/>
      <c r="BS514" s="158"/>
      <c r="BT514" s="158"/>
      <c r="BU514" s="158"/>
      <c r="BV514" s="158"/>
      <c r="BW514" s="846"/>
      <c r="BX514" s="158"/>
      <c r="BY514" s="158"/>
      <c r="BZ514" s="158"/>
      <c r="CA514" s="158"/>
      <c r="CB514" s="158"/>
      <c r="CC514" s="117"/>
    </row>
    <row r="515" spans="1:81" s="706" customFormat="1" outlineLevel="2" x14ac:dyDescent="0.55000000000000004">
      <c r="A515" s="116" t="s">
        <v>584</v>
      </c>
      <c r="B515" s="87"/>
      <c r="C515" s="37"/>
      <c r="D515" s="37"/>
      <c r="E515" s="37"/>
      <c r="F515" s="37"/>
      <c r="G515" s="37"/>
      <c r="H515" s="37"/>
      <c r="I515" s="37"/>
      <c r="J515" s="37"/>
      <c r="K515" s="37"/>
      <c r="L515" s="37"/>
      <c r="M515" s="37"/>
      <c r="N515" s="37"/>
      <c r="O515" s="37"/>
      <c r="P515" s="37"/>
      <c r="Q515" s="37"/>
      <c r="R515" s="37"/>
      <c r="S515" s="37"/>
      <c r="T515" s="37"/>
      <c r="U515" s="37"/>
      <c r="V515" s="37"/>
      <c r="W515" s="37"/>
      <c r="X515" s="759">
        <v>9000</v>
      </c>
      <c r="Y515" s="37"/>
      <c r="Z515" s="37"/>
      <c r="AA515" s="37"/>
      <c r="AB515" s="37"/>
      <c r="AC515" s="37"/>
      <c r="AD515" s="37"/>
      <c r="AE515" s="759">
        <v>10000</v>
      </c>
      <c r="AF515" s="37"/>
      <c r="AG515" s="37"/>
      <c r="AH515" s="37"/>
      <c r="AI515" s="759">
        <v>25000</v>
      </c>
      <c r="AJ515" s="37"/>
      <c r="AK515" s="37"/>
      <c r="AL515" s="759">
        <v>50000</v>
      </c>
      <c r="AM515" s="37"/>
      <c r="AN515" s="37"/>
      <c r="AO515" s="37"/>
      <c r="AP515" s="37"/>
      <c r="AQ515" s="759">
        <v>40000</v>
      </c>
      <c r="AR515" s="37"/>
      <c r="AS515" s="37"/>
      <c r="AT515" s="37"/>
      <c r="AU515" s="759">
        <v>50000</v>
      </c>
      <c r="AV515" s="37"/>
      <c r="AW515" s="37"/>
      <c r="AX515" s="37"/>
      <c r="AY515" s="273"/>
      <c r="AZ515" s="37"/>
      <c r="BA515" s="37"/>
      <c r="BB515" s="37"/>
      <c r="BC515" s="37"/>
      <c r="BD515" s="37"/>
      <c r="BE515" s="37"/>
      <c r="BF515" s="37"/>
      <c r="BG515" s="37"/>
      <c r="BH515" s="158"/>
      <c r="BI515" s="158"/>
      <c r="BJ515" s="158"/>
      <c r="BK515" s="158"/>
      <c r="BL515" s="158"/>
      <c r="BM515" s="158"/>
      <c r="BN515" s="158"/>
      <c r="BO515" s="158"/>
      <c r="BP515" s="158"/>
      <c r="BQ515" s="158"/>
      <c r="BR515" s="158"/>
      <c r="BS515" s="158"/>
      <c r="BT515" s="158"/>
      <c r="BU515" s="158"/>
      <c r="BV515" s="158"/>
      <c r="BW515" s="846"/>
      <c r="BX515" s="158"/>
      <c r="BY515" s="158"/>
      <c r="BZ515" s="158"/>
      <c r="CA515" s="158"/>
      <c r="CB515" s="158"/>
      <c r="CC515" s="117"/>
    </row>
    <row r="516" spans="1:81" s="706" customFormat="1" outlineLevel="2" x14ac:dyDescent="0.55000000000000004">
      <c r="A516" s="116" t="s">
        <v>585</v>
      </c>
      <c r="B516" s="87"/>
      <c r="C516" s="37"/>
      <c r="D516" s="37"/>
      <c r="E516" s="37"/>
      <c r="F516" s="37"/>
      <c r="G516" s="37"/>
      <c r="H516" s="37"/>
      <c r="I516" s="37"/>
      <c r="J516" s="37"/>
      <c r="K516" s="37"/>
      <c r="L516" s="37"/>
      <c r="M516" s="37"/>
      <c r="N516" s="37"/>
      <c r="O516" s="37"/>
      <c r="P516" s="37"/>
      <c r="Q516" s="37"/>
      <c r="R516" s="759">
        <v>6000</v>
      </c>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c r="AU516" s="37"/>
      <c r="AV516" s="37"/>
      <c r="AW516" s="37"/>
      <c r="AX516" s="37"/>
      <c r="AY516" s="273"/>
      <c r="AZ516" s="37"/>
      <c r="BA516" s="37"/>
      <c r="BB516" s="37"/>
      <c r="BC516" s="37"/>
      <c r="BD516" s="37"/>
      <c r="BE516" s="37"/>
      <c r="BF516" s="37"/>
      <c r="BG516" s="37"/>
      <c r="BH516" s="158"/>
      <c r="BI516" s="158"/>
      <c r="BJ516" s="158"/>
      <c r="BK516" s="158"/>
      <c r="BL516" s="158"/>
      <c r="BM516" s="158"/>
      <c r="BN516" s="158"/>
      <c r="BO516" s="158"/>
      <c r="BP516" s="158"/>
      <c r="BQ516" s="158"/>
      <c r="BR516" s="158"/>
      <c r="BS516" s="158"/>
      <c r="BT516" s="158"/>
      <c r="BU516" s="158"/>
      <c r="BV516" s="158"/>
      <c r="BW516" s="846"/>
      <c r="BX516" s="158"/>
      <c r="BY516" s="158"/>
      <c r="BZ516" s="158"/>
      <c r="CA516" s="158"/>
      <c r="CB516" s="158"/>
      <c r="CC516" s="117"/>
    </row>
    <row r="517" spans="1:81" s="706" customFormat="1" outlineLevel="2" x14ac:dyDescent="0.55000000000000004">
      <c r="A517" s="18" t="s">
        <v>586</v>
      </c>
      <c r="B517" s="244"/>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763">
        <v>9000</v>
      </c>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406"/>
      <c r="AZ517" s="82"/>
      <c r="BA517" s="82"/>
      <c r="BB517" s="82"/>
      <c r="BC517" s="82"/>
      <c r="BD517" s="82"/>
      <c r="BE517" s="82"/>
      <c r="BF517" s="82"/>
      <c r="BG517" s="82"/>
      <c r="BH517" s="854"/>
      <c r="BI517" s="854"/>
      <c r="BJ517" s="854"/>
      <c r="BK517" s="854"/>
      <c r="BL517" s="854"/>
      <c r="BM517" s="854"/>
      <c r="BN517" s="854"/>
      <c r="BO517" s="854"/>
      <c r="BP517" s="854"/>
      <c r="BQ517" s="854"/>
      <c r="BR517" s="854"/>
      <c r="BS517" s="854"/>
      <c r="BT517" s="854"/>
      <c r="BU517" s="854"/>
      <c r="BV517" s="854"/>
      <c r="BW517" s="855"/>
      <c r="BX517" s="854"/>
      <c r="BY517" s="854"/>
      <c r="BZ517" s="854"/>
      <c r="CA517" s="854"/>
      <c r="CB517" s="854"/>
      <c r="CC517" s="117"/>
    </row>
    <row r="518" spans="1:81" s="706" customFormat="1" outlineLevel="1" x14ac:dyDescent="0.55000000000000004">
      <c r="A518" s="74" t="s">
        <v>587</v>
      </c>
      <c r="B518" s="87"/>
      <c r="C518" s="37"/>
      <c r="D518" s="37"/>
      <c r="E518" s="37"/>
      <c r="F518" s="37"/>
      <c r="G518" s="37"/>
      <c r="H518" s="37"/>
      <c r="I518" s="37"/>
      <c r="J518" s="37"/>
      <c r="K518" s="37"/>
      <c r="L518" s="37"/>
      <c r="M518" s="37"/>
      <c r="N518" s="37"/>
      <c r="O518" s="37"/>
      <c r="P518" s="37"/>
      <c r="Q518" s="37"/>
      <c r="R518" s="37">
        <f t="shared" ref="R518:AL518" si="615">SUM(R515:R517)</f>
        <v>6000</v>
      </c>
      <c r="S518" s="37">
        <f t="shared" si="615"/>
        <v>0</v>
      </c>
      <c r="T518" s="37">
        <f t="shared" si="615"/>
        <v>0</v>
      </c>
      <c r="U518" s="37">
        <f t="shared" si="615"/>
        <v>0</v>
      </c>
      <c r="V518" s="37">
        <f t="shared" si="615"/>
        <v>0</v>
      </c>
      <c r="W518" s="37">
        <f t="shared" si="615"/>
        <v>0</v>
      </c>
      <c r="X518" s="37">
        <f t="shared" si="615"/>
        <v>9000</v>
      </c>
      <c r="Y518" s="37">
        <f t="shared" si="615"/>
        <v>0</v>
      </c>
      <c r="Z518" s="37">
        <f t="shared" si="615"/>
        <v>9000</v>
      </c>
      <c r="AA518" s="37">
        <f t="shared" si="615"/>
        <v>0</v>
      </c>
      <c r="AB518" s="37">
        <f t="shared" si="615"/>
        <v>0</v>
      </c>
      <c r="AC518" s="37">
        <f t="shared" si="615"/>
        <v>0</v>
      </c>
      <c r="AD518" s="37">
        <f t="shared" si="615"/>
        <v>0</v>
      </c>
      <c r="AE518" s="37">
        <f t="shared" si="615"/>
        <v>10000</v>
      </c>
      <c r="AF518" s="37">
        <f t="shared" si="615"/>
        <v>0</v>
      </c>
      <c r="AG518" s="37">
        <f t="shared" si="615"/>
        <v>0</v>
      </c>
      <c r="AH518" s="37">
        <f t="shared" si="615"/>
        <v>0</v>
      </c>
      <c r="AI518" s="37">
        <f t="shared" si="615"/>
        <v>25000</v>
      </c>
      <c r="AJ518" s="37">
        <f t="shared" si="615"/>
        <v>0</v>
      </c>
      <c r="AK518" s="37">
        <f t="shared" si="615"/>
        <v>0</v>
      </c>
      <c r="AL518" s="37">
        <f t="shared" si="615"/>
        <v>50000</v>
      </c>
      <c r="AM518" s="759">
        <v>0</v>
      </c>
      <c r="AN518" s="759">
        <v>0</v>
      </c>
      <c r="AO518" s="37">
        <f>SUM(AO515:AO517)</f>
        <v>0</v>
      </c>
      <c r="AP518" s="759">
        <v>0</v>
      </c>
      <c r="AQ518" s="37">
        <f t="shared" ref="AQ518:AX518" si="616">SUM(AQ515:AQ517)</f>
        <v>40000</v>
      </c>
      <c r="AR518" s="37">
        <f t="shared" si="616"/>
        <v>0</v>
      </c>
      <c r="AS518" s="37">
        <f t="shared" si="616"/>
        <v>0</v>
      </c>
      <c r="AT518" s="37">
        <f t="shared" si="616"/>
        <v>0</v>
      </c>
      <c r="AU518" s="37">
        <f t="shared" si="616"/>
        <v>50000</v>
      </c>
      <c r="AV518" s="37">
        <f t="shared" si="616"/>
        <v>0</v>
      </c>
      <c r="AW518" s="37">
        <f t="shared" si="616"/>
        <v>0</v>
      </c>
      <c r="AX518" s="37">
        <f t="shared" si="616"/>
        <v>0</v>
      </c>
      <c r="AY518" s="273"/>
      <c r="AZ518" s="37"/>
      <c r="BA518" s="37"/>
      <c r="BB518" s="37"/>
      <c r="BC518" s="37"/>
      <c r="BD518" s="37"/>
      <c r="BE518" s="37"/>
      <c r="BF518" s="37"/>
      <c r="BG518" s="37"/>
      <c r="BH518" s="158"/>
      <c r="BI518" s="158"/>
      <c r="BJ518" s="158"/>
      <c r="BK518" s="158"/>
      <c r="BL518" s="158"/>
      <c r="BM518" s="158"/>
      <c r="BN518" s="158"/>
      <c r="BO518" s="158">
        <f>SUM(O518,P518,Q518,R518)</f>
        <v>6000</v>
      </c>
      <c r="BP518" s="158"/>
      <c r="BQ518" s="158">
        <f>SUM(W518,X518,Y518,Z518)</f>
        <v>18000</v>
      </c>
      <c r="BR518" s="158">
        <f>SUM(AA518,AB518,AC518,AD518)</f>
        <v>0</v>
      </c>
      <c r="BS518" s="158">
        <f>SUM(AE518,AF518,AG518,AH518)</f>
        <v>10000</v>
      </c>
      <c r="BT518" s="158">
        <f>SUM(AI518,AJ518,AK518,AL518)</f>
        <v>75000</v>
      </c>
      <c r="BU518" s="158">
        <f>SUM(AM518,AN518,AO518,AP518)</f>
        <v>0</v>
      </c>
      <c r="BV518" s="158">
        <f>SUM(AQ518,AR518,AS518,AT518)</f>
        <v>40000</v>
      </c>
      <c r="BW518" s="846">
        <f>SUM(AU518,AV518,AW518,AX518)</f>
        <v>50000</v>
      </c>
      <c r="BX518" s="158"/>
      <c r="BY518" s="158"/>
      <c r="BZ518" s="158"/>
      <c r="CA518" s="158"/>
      <c r="CB518" s="158"/>
      <c r="CC518" s="117"/>
    </row>
    <row r="519" spans="1:81" s="706" customFormat="1" outlineLevel="2" x14ac:dyDescent="0.55000000000000004">
      <c r="A519" s="37"/>
      <c r="B519" s="8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c r="AU519" s="37"/>
      <c r="AV519" s="37"/>
      <c r="AW519" s="37"/>
      <c r="AX519" s="37"/>
      <c r="AY519" s="273"/>
      <c r="AZ519" s="37"/>
      <c r="BA519" s="37"/>
      <c r="BB519" s="37"/>
      <c r="BC519" s="37"/>
      <c r="BD519" s="37"/>
      <c r="BE519" s="37"/>
      <c r="BF519" s="37"/>
      <c r="BG519" s="37"/>
      <c r="BH519" s="158"/>
      <c r="BI519" s="158"/>
      <c r="BJ519" s="158"/>
      <c r="BK519" s="158"/>
      <c r="BL519" s="158"/>
      <c r="BM519" s="158"/>
      <c r="BN519" s="158"/>
      <c r="BO519" s="158"/>
      <c r="BP519" s="158"/>
      <c r="BQ519" s="158"/>
      <c r="BR519" s="158"/>
      <c r="BS519" s="158"/>
      <c r="BT519" s="158"/>
      <c r="BU519" s="158"/>
      <c r="BV519" s="158"/>
      <c r="BW519" s="846"/>
      <c r="BX519" s="158"/>
      <c r="BY519" s="158"/>
      <c r="BZ519" s="158"/>
      <c r="CA519" s="158"/>
      <c r="CB519" s="158"/>
      <c r="CC519" s="117"/>
    </row>
    <row r="520" spans="1:81" s="706" customFormat="1" outlineLevel="2" x14ac:dyDescent="0.55000000000000004">
      <c r="A520" s="116" t="s">
        <v>588</v>
      </c>
      <c r="B520" s="87"/>
      <c r="C520" s="37"/>
      <c r="D520" s="37"/>
      <c r="E520" s="37"/>
      <c r="F520" s="37"/>
      <c r="G520" s="37"/>
      <c r="H520" s="37"/>
      <c r="I520" s="37"/>
      <c r="J520" s="37"/>
      <c r="K520" s="37"/>
      <c r="L520" s="37"/>
      <c r="M520" s="37"/>
      <c r="N520" s="37"/>
      <c r="O520" s="37"/>
      <c r="P520" s="37"/>
      <c r="Q520" s="37"/>
      <c r="R520" s="37"/>
      <c r="S520" s="759">
        <v>5772</v>
      </c>
      <c r="T520" s="759">
        <v>5772</v>
      </c>
      <c r="U520" s="759">
        <v>5392</v>
      </c>
      <c r="V520" s="759">
        <v>4788</v>
      </c>
      <c r="W520" s="759">
        <v>3615</v>
      </c>
      <c r="X520" s="759">
        <v>9456</v>
      </c>
      <c r="Y520" s="759">
        <v>6750</v>
      </c>
      <c r="Z520" s="759">
        <v>3544</v>
      </c>
      <c r="AA520" s="759">
        <v>9000</v>
      </c>
      <c r="AB520" s="759">
        <v>8089</v>
      </c>
      <c r="AC520" s="759">
        <v>6958</v>
      </c>
      <c r="AD520" s="759">
        <v>5757</v>
      </c>
      <c r="AE520" s="759">
        <v>14423</v>
      </c>
      <c r="AF520" s="759">
        <v>13269</v>
      </c>
      <c r="AG520" s="759">
        <v>11727</v>
      </c>
      <c r="AH520" s="759">
        <v>9921</v>
      </c>
      <c r="AI520" s="759">
        <v>32973</v>
      </c>
      <c r="AJ520" s="759">
        <v>27373</v>
      </c>
      <c r="AK520" s="759">
        <v>19318</v>
      </c>
      <c r="AL520" s="759">
        <v>50893</v>
      </c>
      <c r="AM520" s="759">
        <v>32563</v>
      </c>
      <c r="AN520" s="759">
        <v>27197</v>
      </c>
      <c r="AO520" s="759">
        <v>22162</v>
      </c>
      <c r="AP520" s="759">
        <v>15232</v>
      </c>
      <c r="AQ520" s="759">
        <v>47634</v>
      </c>
      <c r="AR520" s="759">
        <v>40915</v>
      </c>
      <c r="AS520" s="759">
        <v>40915</v>
      </c>
      <c r="AT520" s="759">
        <v>34246</v>
      </c>
      <c r="AU520" s="759">
        <v>75198</v>
      </c>
      <c r="AV520" s="759">
        <v>65495</v>
      </c>
      <c r="AW520" s="759">
        <v>57888</v>
      </c>
      <c r="AX520" s="37"/>
      <c r="AY520" s="273"/>
      <c r="AZ520" s="37"/>
      <c r="BA520" s="37"/>
      <c r="BB520" s="37"/>
      <c r="BC520" s="37"/>
      <c r="BD520" s="37"/>
      <c r="BE520" s="37"/>
      <c r="BF520" s="37"/>
      <c r="BG520" s="37"/>
      <c r="BH520" s="158"/>
      <c r="BI520" s="158"/>
      <c r="BJ520" s="158"/>
      <c r="BK520" s="158"/>
      <c r="BL520" s="158"/>
      <c r="BM520" s="158"/>
      <c r="BN520" s="158"/>
      <c r="BO520" s="158"/>
      <c r="BP520" s="158"/>
      <c r="BQ520" s="158"/>
      <c r="BR520" s="158"/>
      <c r="BS520" s="158"/>
      <c r="BT520" s="158"/>
      <c r="BU520" s="158"/>
      <c r="BV520" s="158"/>
      <c r="BW520" s="846"/>
      <c r="BX520" s="158"/>
      <c r="BY520" s="158"/>
      <c r="BZ520" s="158"/>
      <c r="CA520" s="158"/>
      <c r="CB520" s="158"/>
      <c r="CC520" s="117"/>
    </row>
    <row r="521" spans="1:81" s="706" customFormat="1" outlineLevel="2" x14ac:dyDescent="0.55000000000000004">
      <c r="A521" s="116" t="s">
        <v>589</v>
      </c>
      <c r="B521" s="87"/>
      <c r="C521" s="37"/>
      <c r="D521" s="37"/>
      <c r="E521" s="37"/>
      <c r="F521" s="37"/>
      <c r="G521" s="37"/>
      <c r="H521" s="37"/>
      <c r="I521" s="37"/>
      <c r="J521" s="37"/>
      <c r="K521" s="37"/>
      <c r="L521" s="37"/>
      <c r="M521" s="37"/>
      <c r="N521" s="37"/>
      <c r="O521" s="37"/>
      <c r="P521" s="37"/>
      <c r="Q521" s="37"/>
      <c r="R521" s="37"/>
      <c r="S521" s="759">
        <v>5772</v>
      </c>
      <c r="T521" s="759">
        <v>5772</v>
      </c>
      <c r="U521" s="759">
        <v>5162</v>
      </c>
      <c r="V521" s="759">
        <v>4788</v>
      </c>
      <c r="W521" s="759">
        <v>3330</v>
      </c>
      <c r="X521" s="759">
        <v>8850</v>
      </c>
      <c r="Y521" s="759">
        <v>5600</v>
      </c>
      <c r="Z521" s="759">
        <v>3544</v>
      </c>
      <c r="AA521" s="759">
        <v>9000</v>
      </c>
      <c r="AB521" s="759">
        <v>7679</v>
      </c>
      <c r="AC521" s="759">
        <v>6592</v>
      </c>
      <c r="AD521" s="759">
        <v>5346</v>
      </c>
      <c r="AE521" s="759">
        <v>14009</v>
      </c>
      <c r="AF521" s="759">
        <v>12814</v>
      </c>
      <c r="AG521" s="759">
        <v>11135</v>
      </c>
      <c r="AH521" s="759">
        <v>9341</v>
      </c>
      <c r="AI521" s="759">
        <v>32340</v>
      </c>
      <c r="AJ521" s="759">
        <v>25468</v>
      </c>
      <c r="AK521" s="759">
        <v>15863</v>
      </c>
      <c r="AL521" s="759">
        <v>43653</v>
      </c>
      <c r="AM521" s="759">
        <v>31233</v>
      </c>
      <c r="AN521" s="759">
        <v>25179</v>
      </c>
      <c r="AO521" s="759">
        <v>19989</v>
      </c>
      <c r="AP521" s="759">
        <v>12613</v>
      </c>
      <c r="AQ521" s="759">
        <v>44417</v>
      </c>
      <c r="AR521" s="759">
        <v>40915</v>
      </c>
      <c r="AS521" s="759">
        <v>40893</v>
      </c>
      <c r="AT521" s="759">
        <v>34246</v>
      </c>
      <c r="AU521" s="759">
        <v>68363</v>
      </c>
      <c r="AV521" s="759">
        <v>60472</v>
      </c>
      <c r="AW521" s="759">
        <v>54328</v>
      </c>
      <c r="AX521" s="37"/>
      <c r="AY521" s="273"/>
      <c r="AZ521" s="37"/>
      <c r="BA521" s="37"/>
      <c r="BB521" s="37"/>
      <c r="BC521" s="37"/>
      <c r="BD521" s="37"/>
      <c r="BE521" s="37"/>
      <c r="BF521" s="37"/>
      <c r="BG521" s="37"/>
      <c r="BH521" s="158"/>
      <c r="BI521" s="158"/>
      <c r="BJ521" s="158"/>
      <c r="BK521" s="158"/>
      <c r="BL521" s="158"/>
      <c r="BM521" s="158"/>
      <c r="BN521" s="158"/>
      <c r="BO521" s="158"/>
      <c r="BP521" s="158"/>
      <c r="BQ521" s="158"/>
      <c r="BR521" s="158"/>
      <c r="BS521" s="158"/>
      <c r="BT521" s="158"/>
      <c r="BU521" s="158"/>
      <c r="BV521" s="158"/>
      <c r="BW521" s="846"/>
      <c r="BX521" s="158"/>
      <c r="BY521" s="158"/>
      <c r="BZ521" s="158"/>
      <c r="CA521" s="158"/>
      <c r="CB521" s="158"/>
      <c r="CC521" s="117"/>
    </row>
    <row r="522" spans="1:81" s="706" customFormat="1" outlineLevel="2" x14ac:dyDescent="0.55000000000000004">
      <c r="A522" s="18" t="s">
        <v>590</v>
      </c>
      <c r="B522" s="244"/>
      <c r="C522" s="82"/>
      <c r="D522" s="82"/>
      <c r="E522" s="82"/>
      <c r="F522" s="82"/>
      <c r="G522" s="82"/>
      <c r="H522" s="82"/>
      <c r="I522" s="82"/>
      <c r="J522" s="82"/>
      <c r="K522" s="82"/>
      <c r="L522" s="82"/>
      <c r="M522" s="82"/>
      <c r="N522" s="82"/>
      <c r="O522" s="82"/>
      <c r="P522" s="82"/>
      <c r="Q522" s="82"/>
      <c r="R522" s="82"/>
      <c r="S522" s="763">
        <v>5772</v>
      </c>
      <c r="T522" s="763">
        <v>5592</v>
      </c>
      <c r="U522" s="763">
        <v>4962</v>
      </c>
      <c r="V522" s="763">
        <v>3930</v>
      </c>
      <c r="W522" s="763">
        <v>2015</v>
      </c>
      <c r="X522" s="763">
        <v>7800</v>
      </c>
      <c r="Y522" s="763">
        <v>3544</v>
      </c>
      <c r="Z522" s="763">
        <v>9000</v>
      </c>
      <c r="AA522" s="763">
        <v>8478</v>
      </c>
      <c r="AB522" s="763">
        <v>7353</v>
      </c>
      <c r="AC522" s="763">
        <v>6202</v>
      </c>
      <c r="AD522" s="763">
        <v>4901</v>
      </c>
      <c r="AE522" s="763">
        <v>13659</v>
      </c>
      <c r="AF522" s="763">
        <v>12279</v>
      </c>
      <c r="AG522" s="763">
        <v>10545</v>
      </c>
      <c r="AH522" s="763">
        <v>8603</v>
      </c>
      <c r="AI522" s="763">
        <v>29492</v>
      </c>
      <c r="AJ522" s="763">
        <v>22343</v>
      </c>
      <c r="AK522" s="763">
        <v>7972</v>
      </c>
      <c r="AL522" s="763">
        <v>38793</v>
      </c>
      <c r="AM522" s="763">
        <v>29406</v>
      </c>
      <c r="AN522" s="763">
        <v>24324</v>
      </c>
      <c r="AO522" s="763">
        <v>17776</v>
      </c>
      <c r="AP522" s="763">
        <v>10868</v>
      </c>
      <c r="AQ522" s="763">
        <v>41726</v>
      </c>
      <c r="AR522" s="763">
        <v>40915</v>
      </c>
      <c r="AS522" s="763">
        <v>37223</v>
      </c>
      <c r="AT522" s="763">
        <v>30929</v>
      </c>
      <c r="AU522" s="763">
        <v>66395</v>
      </c>
      <c r="AV522" s="763">
        <v>60096</v>
      </c>
      <c r="AW522" s="763">
        <v>51278</v>
      </c>
      <c r="AX522" s="82"/>
      <c r="AY522" s="406"/>
      <c r="AZ522" s="82"/>
      <c r="BA522" s="82"/>
      <c r="BB522" s="82"/>
      <c r="BC522" s="82"/>
      <c r="BD522" s="82"/>
      <c r="BE522" s="82"/>
      <c r="BF522" s="82"/>
      <c r="BG522" s="82"/>
      <c r="BH522" s="854"/>
      <c r="BI522" s="854"/>
      <c r="BJ522" s="854"/>
      <c r="BK522" s="854"/>
      <c r="BL522" s="854"/>
      <c r="BM522" s="854"/>
      <c r="BN522" s="854"/>
      <c r="BO522" s="854"/>
      <c r="BP522" s="854"/>
      <c r="BQ522" s="854"/>
      <c r="BR522" s="854"/>
      <c r="BS522" s="854"/>
      <c r="BT522" s="854"/>
      <c r="BU522" s="854"/>
      <c r="BV522" s="854"/>
      <c r="BW522" s="855"/>
      <c r="BX522" s="854"/>
      <c r="BY522" s="854"/>
      <c r="BZ522" s="854"/>
      <c r="CA522" s="854"/>
      <c r="CB522" s="854"/>
      <c r="CC522" s="117"/>
    </row>
    <row r="523" spans="1:81" s="706" customFormat="1" outlineLevel="1" x14ac:dyDescent="0.55000000000000004">
      <c r="A523" s="117" t="s">
        <v>591</v>
      </c>
      <c r="B523" s="87"/>
      <c r="C523" s="37"/>
      <c r="D523" s="37"/>
      <c r="E523" s="37"/>
      <c r="F523" s="37"/>
      <c r="G523" s="37"/>
      <c r="H523" s="37"/>
      <c r="I523" s="37"/>
      <c r="J523" s="37"/>
      <c r="K523" s="37"/>
      <c r="L523" s="37"/>
      <c r="M523" s="37"/>
      <c r="N523" s="37"/>
      <c r="O523" s="37"/>
      <c r="P523" s="37"/>
      <c r="Q523" s="37"/>
      <c r="R523" s="759">
        <v>6000</v>
      </c>
      <c r="S523" s="37">
        <f t="shared" ref="S523:AJ523" si="617">S522</f>
        <v>5772</v>
      </c>
      <c r="T523" s="37">
        <f t="shared" si="617"/>
        <v>5592</v>
      </c>
      <c r="U523" s="37">
        <f t="shared" si="617"/>
        <v>4962</v>
      </c>
      <c r="V523" s="37">
        <f t="shared" si="617"/>
        <v>3930</v>
      </c>
      <c r="W523" s="37">
        <f t="shared" si="617"/>
        <v>2015</v>
      </c>
      <c r="X523" s="37">
        <f t="shared" si="617"/>
        <v>7800</v>
      </c>
      <c r="Y523" s="37">
        <f t="shared" si="617"/>
        <v>3544</v>
      </c>
      <c r="Z523" s="37">
        <f t="shared" si="617"/>
        <v>9000</v>
      </c>
      <c r="AA523" s="37">
        <f t="shared" si="617"/>
        <v>8478</v>
      </c>
      <c r="AB523" s="37">
        <f t="shared" si="617"/>
        <v>7353</v>
      </c>
      <c r="AC523" s="37">
        <f t="shared" si="617"/>
        <v>6202</v>
      </c>
      <c r="AD523" s="37">
        <f t="shared" si="617"/>
        <v>4901</v>
      </c>
      <c r="AE523" s="37">
        <f t="shared" si="617"/>
        <v>13659</v>
      </c>
      <c r="AF523" s="37">
        <f t="shared" si="617"/>
        <v>12279</v>
      </c>
      <c r="AG523" s="37">
        <f t="shared" si="617"/>
        <v>10545</v>
      </c>
      <c r="AH523" s="37">
        <f t="shared" si="617"/>
        <v>8603</v>
      </c>
      <c r="AI523" s="37">
        <f t="shared" si="617"/>
        <v>29492</v>
      </c>
      <c r="AJ523" s="37">
        <f t="shared" si="617"/>
        <v>22343</v>
      </c>
      <c r="AK523" s="759">
        <v>7970</v>
      </c>
      <c r="AL523" s="37">
        <f t="shared" ref="AL523:AW523" si="618">AL522</f>
        <v>38793</v>
      </c>
      <c r="AM523" s="37">
        <f t="shared" si="618"/>
        <v>29406</v>
      </c>
      <c r="AN523" s="37">
        <f t="shared" si="618"/>
        <v>24324</v>
      </c>
      <c r="AO523" s="37">
        <f t="shared" si="618"/>
        <v>17776</v>
      </c>
      <c r="AP523" s="37">
        <f t="shared" si="618"/>
        <v>10868</v>
      </c>
      <c r="AQ523" s="37">
        <f t="shared" si="618"/>
        <v>41726</v>
      </c>
      <c r="AR523" s="37">
        <f t="shared" si="618"/>
        <v>40915</v>
      </c>
      <c r="AS523" s="37">
        <f t="shared" si="618"/>
        <v>37223</v>
      </c>
      <c r="AT523" s="37">
        <f t="shared" si="618"/>
        <v>30929</v>
      </c>
      <c r="AU523" s="37">
        <f t="shared" si="618"/>
        <v>66395</v>
      </c>
      <c r="AV523" s="37">
        <f t="shared" si="618"/>
        <v>60096</v>
      </c>
      <c r="AW523" s="37">
        <f t="shared" si="618"/>
        <v>51278</v>
      </c>
      <c r="AX523" s="759">
        <v>51280</v>
      </c>
      <c r="AY523" s="273"/>
      <c r="AZ523" s="37"/>
      <c r="BA523" s="37"/>
      <c r="BB523" s="37"/>
      <c r="BC523" s="37"/>
      <c r="BD523" s="37"/>
      <c r="BE523" s="37"/>
      <c r="BF523" s="37"/>
      <c r="BG523" s="37"/>
      <c r="BH523" s="158"/>
      <c r="BI523" s="158"/>
      <c r="BJ523" s="158"/>
      <c r="BK523" s="158"/>
      <c r="BL523" s="158"/>
      <c r="BM523" s="158"/>
      <c r="BN523" s="158"/>
      <c r="BO523" s="158">
        <f>R523</f>
        <v>6000</v>
      </c>
      <c r="BP523" s="158">
        <f>V523</f>
        <v>3930</v>
      </c>
      <c r="BQ523" s="158">
        <f>Z523</f>
        <v>9000</v>
      </c>
      <c r="BR523" s="158">
        <f>AD523</f>
        <v>4901</v>
      </c>
      <c r="BS523" s="158">
        <f>AH523</f>
        <v>8603</v>
      </c>
      <c r="BT523" s="158">
        <f>AL523</f>
        <v>38793</v>
      </c>
      <c r="BU523" s="158">
        <f>AP523</f>
        <v>10868</v>
      </c>
      <c r="BV523" s="158">
        <f>AT523</f>
        <v>30929</v>
      </c>
      <c r="BW523" s="846">
        <f>AX523</f>
        <v>51280</v>
      </c>
      <c r="BX523" s="158"/>
      <c r="BY523" s="158"/>
      <c r="BZ523" s="158"/>
      <c r="CA523" s="158"/>
      <c r="CB523" s="158"/>
      <c r="CC523" s="117"/>
    </row>
    <row r="524" spans="1:81" x14ac:dyDescent="0.55000000000000004">
      <c r="A524" s="37"/>
      <c r="B524" s="241"/>
      <c r="C524" s="600"/>
      <c r="D524" s="600"/>
      <c r="E524" s="600"/>
      <c r="F524" s="600"/>
      <c r="G524" s="600"/>
      <c r="H524" s="600"/>
      <c r="I524" s="600"/>
      <c r="J524" s="600"/>
      <c r="K524" s="600"/>
      <c r="L524" s="600"/>
      <c r="M524" s="600"/>
      <c r="N524" s="600"/>
      <c r="O524" s="600"/>
      <c r="P524" s="600"/>
      <c r="Q524" s="600"/>
      <c r="R524" s="600"/>
      <c r="S524" s="600"/>
      <c r="T524" s="600"/>
      <c r="U524" s="600"/>
      <c r="V524" s="600"/>
      <c r="W524" s="600"/>
      <c r="X524" s="600"/>
      <c r="Y524" s="600"/>
      <c r="Z524" s="600"/>
      <c r="AA524" s="600"/>
      <c r="AB524" s="600"/>
      <c r="AC524" s="600"/>
      <c r="AD524" s="600"/>
      <c r="AE524" s="600"/>
      <c r="AF524" s="600"/>
      <c r="AG524" s="600"/>
      <c r="AH524" s="600"/>
      <c r="AI524" s="600"/>
      <c r="AJ524" s="600"/>
      <c r="AK524" s="600"/>
      <c r="AL524" s="600"/>
      <c r="AM524" s="600"/>
      <c r="AN524" s="600"/>
      <c r="AO524" s="600"/>
      <c r="AP524" s="600"/>
      <c r="AQ524" s="600"/>
      <c r="AR524" s="600"/>
      <c r="AS524" s="600"/>
      <c r="AT524" s="600"/>
      <c r="AU524" s="600"/>
      <c r="AV524" s="600"/>
      <c r="AW524" s="600"/>
      <c r="AX524" s="600"/>
      <c r="AY524" s="604"/>
      <c r="AZ524" s="600"/>
      <c r="BA524" s="600"/>
      <c r="BB524" s="600"/>
      <c r="BC524" s="600"/>
      <c r="BD524" s="600"/>
      <c r="BE524" s="600"/>
      <c r="BF524" s="600"/>
      <c r="BG524" s="600"/>
      <c r="BH524" s="186"/>
      <c r="BI524" s="186"/>
      <c r="BJ524" s="186"/>
      <c r="BK524" s="186"/>
      <c r="BL524" s="186"/>
      <c r="BM524" s="186"/>
      <c r="BN524" s="186"/>
      <c r="BO524" s="186"/>
      <c r="BP524" s="186"/>
      <c r="BQ524" s="186"/>
      <c r="BR524" s="186"/>
      <c r="BS524" s="186"/>
      <c r="BT524" s="186"/>
      <c r="BU524" s="186"/>
      <c r="BV524" s="186"/>
      <c r="BW524" s="909"/>
      <c r="BX524" s="186"/>
      <c r="BY524" s="186"/>
      <c r="BZ524" s="186"/>
      <c r="CA524" s="186"/>
      <c r="CB524" s="186"/>
      <c r="CC524" s="358"/>
    </row>
    <row r="525" spans="1:81" x14ac:dyDescent="0.55000000000000004">
      <c r="A525" s="598" t="s">
        <v>732</v>
      </c>
      <c r="B525" s="598"/>
      <c r="C525" s="598"/>
      <c r="D525" s="598"/>
      <c r="E525" s="598"/>
      <c r="F525" s="598"/>
      <c r="G525" s="598"/>
      <c r="H525" s="598"/>
      <c r="I525" s="598"/>
      <c r="J525" s="598"/>
      <c r="K525" s="598"/>
      <c r="L525" s="598"/>
      <c r="M525" s="598"/>
      <c r="N525" s="598"/>
      <c r="O525" s="598"/>
      <c r="P525" s="598"/>
      <c r="Q525" s="598"/>
      <c r="R525" s="598"/>
      <c r="S525" s="598"/>
      <c r="T525" s="598"/>
      <c r="U525" s="598"/>
      <c r="V525" s="598"/>
      <c r="W525" s="598"/>
      <c r="X525" s="598"/>
      <c r="Y525" s="598"/>
      <c r="Z525" s="598"/>
      <c r="AA525" s="598"/>
      <c r="AB525" s="598"/>
      <c r="AC525" s="598"/>
      <c r="AD525" s="598"/>
      <c r="AE525" s="598"/>
      <c r="AF525" s="598"/>
      <c r="AG525" s="598"/>
      <c r="AH525" s="598"/>
      <c r="AI525" s="598"/>
      <c r="AJ525" s="598"/>
      <c r="AK525" s="598"/>
      <c r="AL525" s="598"/>
      <c r="AM525" s="598"/>
      <c r="AN525" s="598"/>
      <c r="AO525" s="598"/>
      <c r="AP525" s="598"/>
      <c r="AQ525" s="598"/>
      <c r="AR525" s="598"/>
      <c r="AS525" s="598"/>
      <c r="AT525" s="598"/>
      <c r="AU525" s="598"/>
      <c r="AV525" s="598"/>
      <c r="AW525" s="598"/>
      <c r="AX525" s="598"/>
      <c r="AY525" s="599"/>
      <c r="AZ525" s="598"/>
      <c r="BA525" s="598"/>
      <c r="BB525" s="598"/>
      <c r="BC525" s="598"/>
      <c r="BD525" s="598"/>
      <c r="BE525" s="598"/>
      <c r="BF525" s="598"/>
      <c r="BG525" s="598"/>
      <c r="BH525" s="598"/>
      <c r="BI525" s="598"/>
      <c r="BJ525" s="598"/>
      <c r="BK525" s="598"/>
      <c r="BL525" s="598"/>
      <c r="BM525" s="598"/>
      <c r="BN525" s="598"/>
      <c r="BO525" s="598"/>
      <c r="BP525" s="598"/>
      <c r="BQ525" s="598"/>
      <c r="BR525" s="598"/>
      <c r="BS525" s="598"/>
      <c r="BT525" s="598"/>
      <c r="BU525" s="598"/>
      <c r="BV525" s="598"/>
      <c r="BW525" s="599"/>
      <c r="BX525" s="598"/>
      <c r="BY525" s="598"/>
      <c r="BZ525" s="598"/>
      <c r="CA525" s="598"/>
      <c r="CB525" s="598"/>
      <c r="CC525" s="217"/>
    </row>
    <row r="526" spans="1:81" outlineLevel="1" x14ac:dyDescent="0.55000000000000004">
      <c r="A526" s="598" t="s">
        <v>733</v>
      </c>
      <c r="B526" s="598"/>
      <c r="C526" s="598"/>
      <c r="D526" s="598"/>
      <c r="E526" s="598"/>
      <c r="F526" s="598"/>
      <c r="G526" s="598"/>
      <c r="H526" s="598"/>
      <c r="I526" s="598"/>
      <c r="J526" s="598"/>
      <c r="K526" s="598"/>
      <c r="L526" s="598"/>
      <c r="M526" s="598"/>
      <c r="N526" s="598"/>
      <c r="O526" s="598"/>
      <c r="P526" s="598"/>
      <c r="Q526" s="598"/>
      <c r="R526" s="598"/>
      <c r="S526" s="598"/>
      <c r="T526" s="598"/>
      <c r="U526" s="598"/>
      <c r="V526" s="598"/>
      <c r="W526" s="598"/>
      <c r="X526" s="598"/>
      <c r="Y526" s="598"/>
      <c r="Z526" s="598"/>
      <c r="AA526" s="598"/>
      <c r="AB526" s="598"/>
      <c r="AC526" s="598"/>
      <c r="AD526" s="598"/>
      <c r="AE526" s="598"/>
      <c r="AF526" s="598"/>
      <c r="AG526" s="598"/>
      <c r="AH526" s="598"/>
      <c r="AI526" s="598"/>
      <c r="AJ526" s="598"/>
      <c r="AK526" s="598"/>
      <c r="AL526" s="598"/>
      <c r="AM526" s="598"/>
      <c r="AN526" s="598"/>
      <c r="AO526" s="598"/>
      <c r="AP526" s="598"/>
      <c r="AQ526" s="598"/>
      <c r="AR526" s="598"/>
      <c r="AS526" s="598"/>
      <c r="AT526" s="598"/>
      <c r="AU526" s="598"/>
      <c r="AV526" s="598"/>
      <c r="AW526" s="598"/>
      <c r="AX526" s="598"/>
      <c r="AY526" s="599"/>
      <c r="AZ526" s="598"/>
      <c r="BA526" s="598"/>
      <c r="BB526" s="598"/>
      <c r="BC526" s="598"/>
      <c r="BD526" s="598"/>
      <c r="BE526" s="598"/>
      <c r="BF526" s="598"/>
      <c r="BG526" s="598"/>
      <c r="BH526" s="598"/>
      <c r="BI526" s="598"/>
      <c r="BJ526" s="598"/>
      <c r="BK526" s="598"/>
      <c r="BL526" s="598"/>
      <c r="BM526" s="598"/>
      <c r="BN526" s="598"/>
      <c r="BO526" s="598"/>
      <c r="BP526" s="598"/>
      <c r="BQ526" s="598"/>
      <c r="BR526" s="598"/>
      <c r="BS526" s="598"/>
      <c r="BT526" s="598"/>
      <c r="BU526" s="598"/>
      <c r="BV526" s="598"/>
      <c r="BW526" s="599"/>
      <c r="BX526" s="598"/>
      <c r="BY526" s="598"/>
      <c r="BZ526" s="598"/>
      <c r="CA526" s="598"/>
      <c r="CB526" s="598"/>
      <c r="CC526" s="217"/>
    </row>
    <row r="527" spans="1:81" s="706" customFormat="1" outlineLevel="2" x14ac:dyDescent="0.55000000000000004">
      <c r="A527" s="86" t="s">
        <v>736</v>
      </c>
      <c r="B527" s="87"/>
      <c r="C527" s="200"/>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200">
        <f t="shared" ref="AC527:AY527" si="619">AB547</f>
        <v>16472.399999999998</v>
      </c>
      <c r="AD527" s="200">
        <f t="shared" si="619"/>
        <v>21396.21</v>
      </c>
      <c r="AE527" s="200">
        <f t="shared" si="619"/>
        <v>18243.169999999998</v>
      </c>
      <c r="AF527" s="200" t="str">
        <f t="shared" si="619"/>
        <v>NR</v>
      </c>
      <c r="AG527" s="200" t="str">
        <f t="shared" si="619"/>
        <v>NR</v>
      </c>
      <c r="AH527" s="200" t="str">
        <f t="shared" si="619"/>
        <v>NR</v>
      </c>
      <c r="AI527" s="200" t="str">
        <f t="shared" si="619"/>
        <v>NR</v>
      </c>
      <c r="AJ527" s="200" t="str">
        <f t="shared" si="619"/>
        <v>NR</v>
      </c>
      <c r="AK527" s="200" t="str">
        <f t="shared" si="619"/>
        <v>NR</v>
      </c>
      <c r="AL527" s="200">
        <f t="shared" si="619"/>
        <v>32750</v>
      </c>
      <c r="AM527" s="200">
        <f t="shared" si="619"/>
        <v>28000</v>
      </c>
      <c r="AN527" s="200">
        <f t="shared" si="619"/>
        <v>29000</v>
      </c>
      <c r="AO527" s="200">
        <f t="shared" si="619"/>
        <v>27250</v>
      </c>
      <c r="AP527" s="200">
        <f t="shared" si="619"/>
        <v>31250</v>
      </c>
      <c r="AQ527" s="200">
        <f t="shared" si="619"/>
        <v>27250</v>
      </c>
      <c r="AR527" s="200">
        <f t="shared" si="619"/>
        <v>30750</v>
      </c>
      <c r="AS527" s="200">
        <f t="shared" si="619"/>
        <v>33250</v>
      </c>
      <c r="AT527" s="200">
        <f t="shared" si="619"/>
        <v>38250</v>
      </c>
      <c r="AU527" s="200">
        <f t="shared" si="619"/>
        <v>35750</v>
      </c>
      <c r="AV527" s="200">
        <f t="shared" si="619"/>
        <v>37750</v>
      </c>
      <c r="AW527" s="200">
        <f t="shared" si="619"/>
        <v>39750</v>
      </c>
      <c r="AX527" s="200">
        <f t="shared" si="619"/>
        <v>46500</v>
      </c>
      <c r="AY527" s="407">
        <f t="shared" si="619"/>
        <v>40650</v>
      </c>
      <c r="AZ527" s="200">
        <f t="shared" ref="AZ527:BF527" si="620">IF(AZ380=0,"",AZ380)</f>
        <v>44000</v>
      </c>
      <c r="BA527" s="200" t="str">
        <f t="shared" si="620"/>
        <v/>
      </c>
      <c r="BB527" s="200" t="str">
        <f t="shared" si="620"/>
        <v/>
      </c>
      <c r="BC527" s="200" t="str">
        <f t="shared" si="620"/>
        <v/>
      </c>
      <c r="BD527" s="200" t="str">
        <f t="shared" si="620"/>
        <v/>
      </c>
      <c r="BE527" s="200" t="str">
        <f t="shared" si="620"/>
        <v/>
      </c>
      <c r="BF527" s="200" t="str">
        <f t="shared" si="620"/>
        <v/>
      </c>
      <c r="BG527" s="200"/>
      <c r="BH527" s="841"/>
      <c r="BI527" s="841"/>
      <c r="BJ527" s="841"/>
      <c r="BK527" s="841"/>
      <c r="BL527" s="841"/>
      <c r="BM527" s="841"/>
      <c r="BN527" s="841"/>
      <c r="BO527" s="841"/>
      <c r="BP527" s="841"/>
      <c r="BQ527" s="841"/>
      <c r="BR527" s="841"/>
      <c r="BS527" s="841" t="str">
        <f>AD562</f>
        <v>NR</v>
      </c>
      <c r="BT527" s="841" t="str">
        <f>AH562</f>
        <v>NR</v>
      </c>
      <c r="BU527" s="841"/>
      <c r="BV527" s="841"/>
      <c r="BW527" s="842"/>
      <c r="BX527" s="841" t="str">
        <f>IF(BX380=0,"",BX380)</f>
        <v/>
      </c>
      <c r="BY527" s="841" t="str">
        <f>IF(BY380=0,"",BY380)</f>
        <v/>
      </c>
      <c r="BZ527" s="841" t="str">
        <f>IF(BZ380=0,"",BZ380)</f>
        <v/>
      </c>
      <c r="CA527" s="841" t="str">
        <f>IF(CA380=0,"",CA380)</f>
        <v/>
      </c>
      <c r="CB527" s="841" t="str">
        <f>IF(CB380=0,"",CB380)</f>
        <v/>
      </c>
      <c r="CC527" s="117"/>
    </row>
    <row r="528" spans="1:81" s="706" customFormat="1" outlineLevel="2" x14ac:dyDescent="0.55000000000000004">
      <c r="A528" s="86" t="s">
        <v>737</v>
      </c>
      <c r="B528" s="87"/>
      <c r="C528" s="200"/>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200"/>
      <c r="AD528" s="200"/>
      <c r="AE528" s="200"/>
      <c r="AF528" s="200"/>
      <c r="AG528" s="200"/>
      <c r="AH528" s="200"/>
      <c r="AI528" s="200"/>
      <c r="AJ528" s="200"/>
      <c r="AK528" s="200"/>
      <c r="AL528" s="200"/>
      <c r="AM528" s="200"/>
      <c r="AN528" s="200"/>
      <c r="AO528" s="200"/>
      <c r="AP528" s="200"/>
      <c r="AQ528" s="200"/>
      <c r="AR528" s="200"/>
      <c r="AS528" s="200"/>
      <c r="AT528" s="200"/>
      <c r="AU528" s="200"/>
      <c r="AV528" s="200"/>
      <c r="AW528" s="200"/>
      <c r="AX528" s="200"/>
      <c r="AY528" s="407"/>
      <c r="AZ528" s="200"/>
      <c r="BA528" s="200"/>
      <c r="BB528" s="200"/>
      <c r="BC528" s="200"/>
      <c r="BD528" s="200"/>
      <c r="BE528" s="200"/>
      <c r="BF528" s="200"/>
      <c r="BG528" s="200"/>
      <c r="BH528" s="841"/>
      <c r="BI528" s="841"/>
      <c r="BJ528" s="841"/>
      <c r="BK528" s="841"/>
      <c r="BL528" s="841"/>
      <c r="BM528" s="841"/>
      <c r="BN528" s="841"/>
      <c r="BO528" s="841"/>
      <c r="BP528" s="841"/>
      <c r="BQ528" s="841"/>
      <c r="BR528" s="841"/>
      <c r="BS528" s="841" t="str">
        <f>AE562</f>
        <v>NR</v>
      </c>
      <c r="BT528" s="841" t="str">
        <f>AI562</f>
        <v>NR</v>
      </c>
      <c r="BU528" s="841"/>
      <c r="BV528" s="841"/>
      <c r="BW528" s="842"/>
      <c r="BX528" s="841"/>
      <c r="BY528" s="841"/>
      <c r="BZ528" s="841"/>
      <c r="CA528" s="841"/>
      <c r="CB528" s="841"/>
      <c r="CC528" s="117"/>
    </row>
    <row r="529" spans="1:81" s="706" customFormat="1" outlineLevel="2" x14ac:dyDescent="0.55000000000000004">
      <c r="A529" s="86" t="s">
        <v>738</v>
      </c>
      <c r="B529" s="87"/>
      <c r="C529" s="200"/>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200"/>
      <c r="AD529" s="200"/>
      <c r="AE529" s="200"/>
      <c r="AF529" s="200"/>
      <c r="AG529" s="200"/>
      <c r="AH529" s="200"/>
      <c r="AI529" s="200"/>
      <c r="AJ529" s="200"/>
      <c r="AK529" s="200"/>
      <c r="AL529" s="200"/>
      <c r="AM529" s="200"/>
      <c r="AN529" s="200"/>
      <c r="AO529" s="200"/>
      <c r="AP529" s="200"/>
      <c r="AQ529" s="200"/>
      <c r="AR529" s="200"/>
      <c r="AS529" s="200"/>
      <c r="AT529" s="200"/>
      <c r="AU529" s="200"/>
      <c r="AV529" s="200"/>
      <c r="AW529" s="200"/>
      <c r="AX529" s="200"/>
      <c r="AY529" s="407"/>
      <c r="AZ529" s="200"/>
      <c r="BA529" s="200"/>
      <c r="BB529" s="200"/>
      <c r="BC529" s="200"/>
      <c r="BD529" s="200"/>
      <c r="BE529" s="200"/>
      <c r="BF529" s="200"/>
      <c r="BG529" s="200"/>
      <c r="BH529" s="841"/>
      <c r="BI529" s="841"/>
      <c r="BJ529" s="841"/>
      <c r="BK529" s="841"/>
      <c r="BL529" s="841"/>
      <c r="BM529" s="841"/>
      <c r="BN529" s="841"/>
      <c r="BO529" s="841"/>
      <c r="BP529" s="841"/>
      <c r="BQ529" s="841"/>
      <c r="BR529" s="841"/>
      <c r="BS529" s="841" t="str">
        <f>AF562</f>
        <v>NR</v>
      </c>
      <c r="BT529" s="841" t="str">
        <f>AJ562</f>
        <v>NR</v>
      </c>
      <c r="BU529" s="841"/>
      <c r="BV529" s="841"/>
      <c r="BW529" s="842"/>
      <c r="BX529" s="841"/>
      <c r="BY529" s="841"/>
      <c r="BZ529" s="841"/>
      <c r="CA529" s="841"/>
      <c r="CB529" s="841"/>
      <c r="CC529" s="117"/>
    </row>
    <row r="530" spans="1:81" s="706" customFormat="1" outlineLevel="2" x14ac:dyDescent="0.55000000000000004">
      <c r="A530" s="315" t="s">
        <v>739</v>
      </c>
      <c r="B530" s="244"/>
      <c r="C530" s="320"/>
      <c r="D530" s="320"/>
      <c r="E530" s="320"/>
      <c r="F530" s="320"/>
      <c r="G530" s="320"/>
      <c r="H530" s="320"/>
      <c r="I530" s="320"/>
      <c r="J530" s="320"/>
      <c r="K530" s="320"/>
      <c r="L530" s="320"/>
      <c r="M530" s="320"/>
      <c r="N530" s="320"/>
      <c r="O530" s="320"/>
      <c r="P530" s="320"/>
      <c r="Q530" s="320"/>
      <c r="R530" s="320"/>
      <c r="S530" s="320"/>
      <c r="T530" s="320"/>
      <c r="U530" s="320"/>
      <c r="V530" s="320"/>
      <c r="W530" s="320"/>
      <c r="X530" s="320"/>
      <c r="Y530" s="320"/>
      <c r="Z530" s="320"/>
      <c r="AA530" s="320"/>
      <c r="AB530" s="320"/>
      <c r="AC530" s="320"/>
      <c r="AD530" s="320"/>
      <c r="AE530" s="320"/>
      <c r="AF530" s="320"/>
      <c r="AG530" s="320"/>
      <c r="AH530" s="320"/>
      <c r="AI530" s="320"/>
      <c r="AJ530" s="320"/>
      <c r="AK530" s="320"/>
      <c r="AL530" s="320"/>
      <c r="AM530" s="320"/>
      <c r="AN530" s="320"/>
      <c r="AO530" s="320"/>
      <c r="AP530" s="320"/>
      <c r="AQ530" s="320"/>
      <c r="AR530" s="320"/>
      <c r="AS530" s="320"/>
      <c r="AT530" s="320"/>
      <c r="AU530" s="320"/>
      <c r="AV530" s="320"/>
      <c r="AW530" s="320"/>
      <c r="AX530" s="320"/>
      <c r="AY530" s="628"/>
      <c r="AZ530" s="320"/>
      <c r="BA530" s="320"/>
      <c r="BB530" s="320"/>
      <c r="BC530" s="320"/>
      <c r="BD530" s="320"/>
      <c r="BE530" s="320"/>
      <c r="BF530" s="320"/>
      <c r="BG530" s="320"/>
      <c r="BH530" s="843"/>
      <c r="BI530" s="843"/>
      <c r="BJ530" s="843"/>
      <c r="BK530" s="843"/>
      <c r="BL530" s="843"/>
      <c r="BM530" s="843"/>
      <c r="BN530" s="843"/>
      <c r="BO530" s="843"/>
      <c r="BP530" s="843"/>
      <c r="BQ530" s="843"/>
      <c r="BR530" s="843">
        <f>AC562</f>
        <v>71011.209999999992</v>
      </c>
      <c r="BS530" s="843" t="str">
        <f>AG562</f>
        <v>NR</v>
      </c>
      <c r="BT530" s="843">
        <f>AK562</f>
        <v>117008</v>
      </c>
      <c r="BU530" s="843">
        <f>AO562</f>
        <v>115694</v>
      </c>
      <c r="BV530" s="843">
        <f>AS562</f>
        <v>133040</v>
      </c>
      <c r="BW530" s="844">
        <f>AW562</f>
        <v>162615</v>
      </c>
      <c r="BX530" s="843"/>
      <c r="BY530" s="843"/>
      <c r="BZ530" s="843"/>
      <c r="CA530" s="843"/>
      <c r="CB530" s="843"/>
      <c r="CC530" s="117"/>
    </row>
    <row r="531" spans="1:81" s="706" customFormat="1" outlineLevel="1" x14ac:dyDescent="0.55000000000000004">
      <c r="A531" s="37" t="s">
        <v>740</v>
      </c>
      <c r="B531" s="87"/>
      <c r="C531" s="200"/>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200">
        <f t="shared" ref="AC531:AY531" si="621">IF(ISBLANK(AC530),IF(ISBLANK(AC529),IF(ISBLANK(AC528),IF(ISBLANK(AC527),"n/a",AC527),AC528),AC529),AC530)</f>
        <v>16472.399999999998</v>
      </c>
      <c r="AD531" s="200">
        <f t="shared" si="621"/>
        <v>21396.21</v>
      </c>
      <c r="AE531" s="200">
        <f t="shared" si="621"/>
        <v>18243.169999999998</v>
      </c>
      <c r="AF531" s="200" t="str">
        <f t="shared" si="621"/>
        <v>NR</v>
      </c>
      <c r="AG531" s="200" t="str">
        <f t="shared" si="621"/>
        <v>NR</v>
      </c>
      <c r="AH531" s="200" t="str">
        <f t="shared" si="621"/>
        <v>NR</v>
      </c>
      <c r="AI531" s="200" t="str">
        <f t="shared" si="621"/>
        <v>NR</v>
      </c>
      <c r="AJ531" s="200" t="str">
        <f t="shared" si="621"/>
        <v>NR</v>
      </c>
      <c r="AK531" s="200" t="str">
        <f t="shared" si="621"/>
        <v>NR</v>
      </c>
      <c r="AL531" s="200">
        <f t="shared" si="621"/>
        <v>32750</v>
      </c>
      <c r="AM531" s="200">
        <f t="shared" si="621"/>
        <v>28000</v>
      </c>
      <c r="AN531" s="200">
        <f t="shared" si="621"/>
        <v>29000</v>
      </c>
      <c r="AO531" s="200">
        <f t="shared" si="621"/>
        <v>27250</v>
      </c>
      <c r="AP531" s="200">
        <f t="shared" si="621"/>
        <v>31250</v>
      </c>
      <c r="AQ531" s="200">
        <f t="shared" si="621"/>
        <v>27250</v>
      </c>
      <c r="AR531" s="200">
        <f t="shared" si="621"/>
        <v>30750</v>
      </c>
      <c r="AS531" s="200">
        <f t="shared" si="621"/>
        <v>33250</v>
      </c>
      <c r="AT531" s="200">
        <f t="shared" si="621"/>
        <v>38250</v>
      </c>
      <c r="AU531" s="200">
        <f t="shared" si="621"/>
        <v>35750</v>
      </c>
      <c r="AV531" s="200">
        <f t="shared" si="621"/>
        <v>37750</v>
      </c>
      <c r="AW531" s="200">
        <f t="shared" si="621"/>
        <v>39750</v>
      </c>
      <c r="AX531" s="200">
        <f t="shared" si="621"/>
        <v>46500</v>
      </c>
      <c r="AY531" s="407">
        <f t="shared" si="621"/>
        <v>40650</v>
      </c>
      <c r="AZ531" s="200">
        <f t="shared" ref="AZ531:BF531" si="622">IF(AZ380=0,"",AZ380)</f>
        <v>44000</v>
      </c>
      <c r="BA531" s="200" t="str">
        <f t="shared" si="622"/>
        <v/>
      </c>
      <c r="BB531" s="200" t="str">
        <f t="shared" si="622"/>
        <v/>
      </c>
      <c r="BC531" s="200" t="str">
        <f t="shared" si="622"/>
        <v/>
      </c>
      <c r="BD531" s="200" t="str">
        <f t="shared" si="622"/>
        <v/>
      </c>
      <c r="BE531" s="200" t="str">
        <f t="shared" si="622"/>
        <v/>
      </c>
      <c r="BF531" s="200" t="str">
        <f t="shared" si="622"/>
        <v/>
      </c>
      <c r="BG531" s="200"/>
      <c r="BH531" s="841"/>
      <c r="BI531" s="841"/>
      <c r="BJ531" s="841"/>
      <c r="BK531" s="841"/>
      <c r="BL531" s="841"/>
      <c r="BM531" s="841"/>
      <c r="BN531" s="841"/>
      <c r="BO531" s="841"/>
      <c r="BP531" s="841"/>
      <c r="BQ531" s="841"/>
      <c r="BR531" s="841">
        <f t="shared" ref="BR531:BW531" si="623">IF(ISBLANK(BR530),IF(ISBLANK(BR529),IF(ISBLANK(BR528),IF(ISBLANK(BR527),"n/a",BR527),BR528),BR529),BR530)</f>
        <v>71011.209999999992</v>
      </c>
      <c r="BS531" s="841" t="str">
        <f t="shared" si="623"/>
        <v>NR</v>
      </c>
      <c r="BT531" s="841">
        <f t="shared" si="623"/>
        <v>117008</v>
      </c>
      <c r="BU531" s="841">
        <f t="shared" si="623"/>
        <v>115694</v>
      </c>
      <c r="BV531" s="841">
        <f t="shared" si="623"/>
        <v>133040</v>
      </c>
      <c r="BW531" s="842">
        <f t="shared" si="623"/>
        <v>162615</v>
      </c>
      <c r="BX531" s="841" t="str">
        <f>IF(BX380=0,"",BX380)</f>
        <v/>
      </c>
      <c r="BY531" s="841" t="str">
        <f>IF(BY380=0,"",BY380)</f>
        <v/>
      </c>
      <c r="BZ531" s="841" t="str">
        <f>IF(BZ380=0,"",BZ380)</f>
        <v/>
      </c>
      <c r="CA531" s="841" t="str">
        <f>IF(CA380=0,"",CA380)</f>
        <v/>
      </c>
      <c r="CB531" s="841" t="str">
        <f>IF(CB380=0,"",CB380)</f>
        <v/>
      </c>
      <c r="CC531" s="117"/>
    </row>
    <row r="532" spans="1:81" s="706" customFormat="1" outlineLevel="1" x14ac:dyDescent="0.55000000000000004">
      <c r="A532" s="37" t="s">
        <v>859</v>
      </c>
      <c r="B532" s="87"/>
      <c r="C532" s="200">
        <f t="shared" ref="C532:AH532" si="624">C378</f>
        <v>1458</v>
      </c>
      <c r="D532" s="200">
        <f t="shared" si="624"/>
        <v>1813</v>
      </c>
      <c r="E532" s="200">
        <f t="shared" si="624"/>
        <v>2016</v>
      </c>
      <c r="F532" s="200">
        <f t="shared" si="624"/>
        <v>2585</v>
      </c>
      <c r="G532" s="200">
        <f t="shared" si="624"/>
        <v>2502</v>
      </c>
      <c r="H532" s="200">
        <f t="shared" si="624"/>
        <v>2910</v>
      </c>
      <c r="I532" s="200">
        <f t="shared" si="624"/>
        <v>3203</v>
      </c>
      <c r="J532" s="200">
        <f t="shared" si="624"/>
        <v>3851</v>
      </c>
      <c r="K532" s="200">
        <f t="shared" si="624"/>
        <v>3543</v>
      </c>
      <c r="L532" s="200">
        <f t="shared" si="624"/>
        <v>4042</v>
      </c>
      <c r="M532" s="200">
        <f t="shared" si="624"/>
        <v>4501</v>
      </c>
      <c r="N532" s="200">
        <f t="shared" si="624"/>
        <v>5841</v>
      </c>
      <c r="O532" s="200">
        <f t="shared" si="624"/>
        <v>5382</v>
      </c>
      <c r="P532" s="200">
        <f t="shared" si="624"/>
        <v>6436</v>
      </c>
      <c r="Q532" s="200">
        <f t="shared" si="624"/>
        <v>7011</v>
      </c>
      <c r="R532" s="200">
        <f t="shared" si="624"/>
        <v>8809</v>
      </c>
      <c r="S532" s="200">
        <f t="shared" si="624"/>
        <v>8032</v>
      </c>
      <c r="T532" s="200">
        <f t="shared" si="624"/>
        <v>9321</v>
      </c>
      <c r="U532" s="200">
        <f t="shared" si="624"/>
        <v>10328</v>
      </c>
      <c r="V532" s="200">
        <f t="shared" si="624"/>
        <v>12972</v>
      </c>
      <c r="W532" s="200">
        <f t="shared" si="624"/>
        <v>11966</v>
      </c>
      <c r="X532" s="200">
        <f t="shared" si="624"/>
        <v>13231</v>
      </c>
      <c r="Y532" s="200">
        <f t="shared" si="624"/>
        <v>13727</v>
      </c>
      <c r="Z532" s="200">
        <f t="shared" si="624"/>
        <v>16914</v>
      </c>
      <c r="AA532" s="200">
        <f t="shared" si="624"/>
        <v>15077</v>
      </c>
      <c r="AB532" s="200">
        <f t="shared" si="624"/>
        <v>16886</v>
      </c>
      <c r="AC532" s="200">
        <f t="shared" si="624"/>
        <v>17652</v>
      </c>
      <c r="AD532" s="200">
        <f t="shared" si="624"/>
        <v>21082</v>
      </c>
      <c r="AE532" s="200">
        <f t="shared" si="624"/>
        <v>17737</v>
      </c>
      <c r="AF532" s="200">
        <f t="shared" si="624"/>
        <v>18687</v>
      </c>
      <c r="AG532" s="200">
        <f t="shared" si="624"/>
        <v>21470</v>
      </c>
      <c r="AH532" s="200">
        <f t="shared" si="624"/>
        <v>28072</v>
      </c>
      <c r="AI532" s="200">
        <f t="shared" ref="AI532:BF532" si="625">AI378</f>
        <v>26171</v>
      </c>
      <c r="AJ532" s="200">
        <f t="shared" si="625"/>
        <v>29077</v>
      </c>
      <c r="AK532" s="200">
        <f t="shared" si="625"/>
        <v>29010</v>
      </c>
      <c r="AL532" s="200">
        <f t="shared" si="625"/>
        <v>33671</v>
      </c>
      <c r="AM532" s="200">
        <f t="shared" si="625"/>
        <v>27908</v>
      </c>
      <c r="AN532" s="200">
        <f t="shared" si="625"/>
        <v>28822</v>
      </c>
      <c r="AO532" s="200">
        <f t="shared" si="625"/>
        <v>27714</v>
      </c>
      <c r="AP532" s="200">
        <f t="shared" si="625"/>
        <v>32165</v>
      </c>
      <c r="AQ532" s="200">
        <f t="shared" si="625"/>
        <v>28645</v>
      </c>
      <c r="AR532" s="200">
        <f t="shared" si="625"/>
        <v>31999</v>
      </c>
      <c r="AS532" s="200">
        <f t="shared" si="625"/>
        <v>34146</v>
      </c>
      <c r="AT532" s="200">
        <f t="shared" si="625"/>
        <v>40111</v>
      </c>
      <c r="AU532" s="200">
        <f t="shared" si="625"/>
        <v>36455</v>
      </c>
      <c r="AV532" s="200">
        <f t="shared" si="625"/>
        <v>39071</v>
      </c>
      <c r="AW532" s="200">
        <f t="shared" si="625"/>
        <v>40589</v>
      </c>
      <c r="AX532" s="200">
        <f t="shared" si="625"/>
        <v>48385</v>
      </c>
      <c r="AY532" s="407">
        <f t="shared" si="625"/>
        <v>42314</v>
      </c>
      <c r="AZ532" s="200">
        <f t="shared" si="625"/>
        <v>43477.474999999999</v>
      </c>
      <c r="BA532" s="200">
        <f t="shared" si="625"/>
        <v>45854.762999999999</v>
      </c>
      <c r="BB532" s="200">
        <f t="shared" si="625"/>
        <v>56284.65</v>
      </c>
      <c r="BC532" s="200">
        <f t="shared" si="625"/>
        <v>47899.12</v>
      </c>
      <c r="BD532" s="200">
        <f t="shared" si="625"/>
        <v>48182.601500000004</v>
      </c>
      <c r="BE532" s="200">
        <f t="shared" si="625"/>
        <v>51275.127140000004</v>
      </c>
      <c r="BF532" s="200">
        <f t="shared" si="625"/>
        <v>64519.90398000001</v>
      </c>
      <c r="BG532" s="200"/>
      <c r="BH532" s="841">
        <f t="shared" ref="BH532:CB532" si="626">BH378</f>
        <v>777</v>
      </c>
      <c r="BI532" s="841">
        <f t="shared" si="626"/>
        <v>1974</v>
      </c>
      <c r="BJ532" s="841">
        <f t="shared" si="626"/>
        <v>3711</v>
      </c>
      <c r="BK532" s="841">
        <f t="shared" si="626"/>
        <v>5089</v>
      </c>
      <c r="BL532" s="841">
        <f t="shared" si="626"/>
        <v>7872</v>
      </c>
      <c r="BM532" s="841">
        <f t="shared" si="626"/>
        <v>12466</v>
      </c>
      <c r="BN532" s="841">
        <f t="shared" si="626"/>
        <v>17928</v>
      </c>
      <c r="BO532" s="841">
        <f t="shared" si="626"/>
        <v>27638</v>
      </c>
      <c r="BP532" s="841">
        <f t="shared" si="626"/>
        <v>40653</v>
      </c>
      <c r="BQ532" s="841">
        <f t="shared" si="626"/>
        <v>55838</v>
      </c>
      <c r="BR532" s="841">
        <f t="shared" si="626"/>
        <v>70697</v>
      </c>
      <c r="BS532" s="841">
        <f t="shared" si="626"/>
        <v>85965</v>
      </c>
      <c r="BT532" s="841">
        <f t="shared" si="626"/>
        <v>117929</v>
      </c>
      <c r="BU532" s="841">
        <f t="shared" si="626"/>
        <v>116609</v>
      </c>
      <c r="BV532" s="841">
        <f t="shared" si="626"/>
        <v>134902</v>
      </c>
      <c r="BW532" s="842">
        <f t="shared" si="626"/>
        <v>164501</v>
      </c>
      <c r="BX532" s="841">
        <f t="shared" si="626"/>
        <v>187930.88800000001</v>
      </c>
      <c r="BY532" s="841">
        <f t="shared" si="626"/>
        <v>211876.75262000001</v>
      </c>
      <c r="BZ532" s="841">
        <f t="shared" si="626"/>
        <v>235790.84697054373</v>
      </c>
      <c r="CA532" s="841">
        <f t="shared" si="626"/>
        <v>248322.89351273677</v>
      </c>
      <c r="CB532" s="841">
        <f t="shared" si="626"/>
        <v>260680.33510576782</v>
      </c>
      <c r="CC532" s="117"/>
    </row>
    <row r="533" spans="1:81" s="706" customFormat="1" outlineLevel="1" x14ac:dyDescent="0.55000000000000004">
      <c r="A533" s="173" t="s">
        <v>741</v>
      </c>
      <c r="B533" s="246"/>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c r="Z533" s="442"/>
      <c r="AA533" s="442"/>
      <c r="AB533" s="442"/>
      <c r="AC533" s="442">
        <f t="shared" ref="AC533:BF533" si="627">IFERROR(AC532-AC531,"")</f>
        <v>1179.6000000000022</v>
      </c>
      <c r="AD533" s="442">
        <f t="shared" si="627"/>
        <v>-314.20999999999913</v>
      </c>
      <c r="AE533" s="442">
        <f t="shared" si="627"/>
        <v>-506.16999999999825</v>
      </c>
      <c r="AF533" s="442" t="str">
        <f t="shared" si="627"/>
        <v/>
      </c>
      <c r="AG533" s="442" t="str">
        <f t="shared" si="627"/>
        <v/>
      </c>
      <c r="AH533" s="442" t="str">
        <f t="shared" si="627"/>
        <v/>
      </c>
      <c r="AI533" s="442" t="str">
        <f t="shared" si="627"/>
        <v/>
      </c>
      <c r="AJ533" s="442" t="str">
        <f t="shared" si="627"/>
        <v/>
      </c>
      <c r="AK533" s="442" t="str">
        <f t="shared" si="627"/>
        <v/>
      </c>
      <c r="AL533" s="442">
        <f t="shared" si="627"/>
        <v>921</v>
      </c>
      <c r="AM533" s="442">
        <f t="shared" si="627"/>
        <v>-92</v>
      </c>
      <c r="AN533" s="442">
        <f t="shared" si="627"/>
        <v>-178</v>
      </c>
      <c r="AO533" s="442">
        <f t="shared" si="627"/>
        <v>464</v>
      </c>
      <c r="AP533" s="442">
        <f t="shared" si="627"/>
        <v>915</v>
      </c>
      <c r="AQ533" s="442">
        <f t="shared" si="627"/>
        <v>1395</v>
      </c>
      <c r="AR533" s="442">
        <f t="shared" si="627"/>
        <v>1249</v>
      </c>
      <c r="AS533" s="442">
        <f t="shared" si="627"/>
        <v>896</v>
      </c>
      <c r="AT533" s="442">
        <f t="shared" si="627"/>
        <v>1861</v>
      </c>
      <c r="AU533" s="442">
        <f t="shared" si="627"/>
        <v>705</v>
      </c>
      <c r="AV533" s="442">
        <f t="shared" si="627"/>
        <v>1321</v>
      </c>
      <c r="AW533" s="442">
        <f t="shared" si="627"/>
        <v>839</v>
      </c>
      <c r="AX533" s="442">
        <f t="shared" si="627"/>
        <v>1885</v>
      </c>
      <c r="AY533" s="659">
        <f t="shared" si="627"/>
        <v>1664</v>
      </c>
      <c r="AZ533" s="442">
        <f t="shared" si="627"/>
        <v>-522.52500000000146</v>
      </c>
      <c r="BA533" s="442" t="str">
        <f t="shared" si="627"/>
        <v/>
      </c>
      <c r="BB533" s="442" t="str">
        <f t="shared" si="627"/>
        <v/>
      </c>
      <c r="BC533" s="442" t="str">
        <f t="shared" si="627"/>
        <v/>
      </c>
      <c r="BD533" s="442" t="str">
        <f t="shared" si="627"/>
        <v/>
      </c>
      <c r="BE533" s="442" t="str">
        <f t="shared" si="627"/>
        <v/>
      </c>
      <c r="BF533" s="442" t="str">
        <f t="shared" si="627"/>
        <v/>
      </c>
      <c r="BG533" s="442"/>
      <c r="BH533" s="983"/>
      <c r="BI533" s="983"/>
      <c r="BJ533" s="983"/>
      <c r="BK533" s="983"/>
      <c r="BL533" s="983"/>
      <c r="BM533" s="983"/>
      <c r="BN533" s="983"/>
      <c r="BO533" s="983"/>
      <c r="BP533" s="983"/>
      <c r="BQ533" s="983"/>
      <c r="BR533" s="983">
        <f t="shared" ref="BR533:CB533" si="628">IFERROR(BR532-BR531,"")</f>
        <v>-314.20999999999185</v>
      </c>
      <c r="BS533" s="983" t="str">
        <f t="shared" si="628"/>
        <v/>
      </c>
      <c r="BT533" s="983">
        <f t="shared" si="628"/>
        <v>921</v>
      </c>
      <c r="BU533" s="983">
        <f t="shared" si="628"/>
        <v>915</v>
      </c>
      <c r="BV533" s="983">
        <f t="shared" si="628"/>
        <v>1862</v>
      </c>
      <c r="BW533" s="984">
        <f t="shared" si="628"/>
        <v>1886</v>
      </c>
      <c r="BX533" s="983" t="str">
        <f t="shared" si="628"/>
        <v/>
      </c>
      <c r="BY533" s="983" t="str">
        <f t="shared" si="628"/>
        <v/>
      </c>
      <c r="BZ533" s="983" t="str">
        <f t="shared" si="628"/>
        <v/>
      </c>
      <c r="CA533" s="983" t="str">
        <f t="shared" si="628"/>
        <v/>
      </c>
      <c r="CB533" s="983" t="str">
        <f t="shared" si="628"/>
        <v/>
      </c>
      <c r="CC533" s="117"/>
    </row>
    <row r="534" spans="1:81" s="709" customFormat="1" outlineLevel="1" x14ac:dyDescent="0.55000000000000004">
      <c r="A534" s="440" t="s">
        <v>742</v>
      </c>
      <c r="B534" s="266"/>
      <c r="C534" s="441"/>
      <c r="D534" s="441"/>
      <c r="E534" s="441"/>
      <c r="F534" s="441"/>
      <c r="G534" s="441"/>
      <c r="H534" s="441"/>
      <c r="I534" s="441"/>
      <c r="J534" s="441"/>
      <c r="K534" s="441"/>
      <c r="L534" s="441"/>
      <c r="M534" s="441"/>
      <c r="N534" s="441"/>
      <c r="O534" s="441"/>
      <c r="P534" s="441"/>
      <c r="Q534" s="441"/>
      <c r="R534" s="441"/>
      <c r="S534" s="441"/>
      <c r="T534" s="441"/>
      <c r="U534" s="441"/>
      <c r="V534" s="441"/>
      <c r="W534" s="441"/>
      <c r="X534" s="441"/>
      <c r="Y534" s="441"/>
      <c r="Z534" s="441"/>
      <c r="AA534" s="441"/>
      <c r="AB534" s="441"/>
      <c r="AC534" s="441">
        <f t="shared" ref="AC534:BF534" si="629">IFERROR(AC533/AC531,"")</f>
        <v>7.161069425220383E-2</v>
      </c>
      <c r="AD534" s="441">
        <f t="shared" si="629"/>
        <v>-1.4685311090141625E-2</v>
      </c>
      <c r="AE534" s="441">
        <f t="shared" si="629"/>
        <v>-2.7745726208767352E-2</v>
      </c>
      <c r="AF534" s="441" t="str">
        <f t="shared" si="629"/>
        <v/>
      </c>
      <c r="AG534" s="441" t="str">
        <f t="shared" si="629"/>
        <v/>
      </c>
      <c r="AH534" s="441" t="str">
        <f t="shared" si="629"/>
        <v/>
      </c>
      <c r="AI534" s="441" t="str">
        <f t="shared" si="629"/>
        <v/>
      </c>
      <c r="AJ534" s="441" t="str">
        <f t="shared" si="629"/>
        <v/>
      </c>
      <c r="AK534" s="441" t="str">
        <f t="shared" si="629"/>
        <v/>
      </c>
      <c r="AL534" s="441">
        <f t="shared" si="629"/>
        <v>2.8122137404580153E-2</v>
      </c>
      <c r="AM534" s="441">
        <f t="shared" si="629"/>
        <v>-3.2857142857142859E-3</v>
      </c>
      <c r="AN534" s="441">
        <f t="shared" si="629"/>
        <v>-6.1379310344827588E-3</v>
      </c>
      <c r="AO534" s="441">
        <f t="shared" si="629"/>
        <v>1.7027522935779818E-2</v>
      </c>
      <c r="AP534" s="441">
        <f t="shared" si="629"/>
        <v>2.928E-2</v>
      </c>
      <c r="AQ534" s="441">
        <f t="shared" si="629"/>
        <v>5.1192660550458714E-2</v>
      </c>
      <c r="AR534" s="441">
        <f t="shared" si="629"/>
        <v>4.0617886178861785E-2</v>
      </c>
      <c r="AS534" s="441">
        <f t="shared" si="629"/>
        <v>2.6947368421052633E-2</v>
      </c>
      <c r="AT534" s="441">
        <f t="shared" si="629"/>
        <v>4.8653594771241829E-2</v>
      </c>
      <c r="AU534" s="441">
        <f t="shared" si="629"/>
        <v>1.9720279720279722E-2</v>
      </c>
      <c r="AV534" s="441">
        <f t="shared" si="629"/>
        <v>3.4993377483443708E-2</v>
      </c>
      <c r="AW534" s="441">
        <f t="shared" si="629"/>
        <v>2.1106918238993709E-2</v>
      </c>
      <c r="AX534" s="441">
        <f t="shared" si="629"/>
        <v>4.0537634408602148E-2</v>
      </c>
      <c r="AY534" s="660">
        <f t="shared" si="629"/>
        <v>4.093480934809348E-2</v>
      </c>
      <c r="AZ534" s="441">
        <f t="shared" si="629"/>
        <v>-1.1875568181818215E-2</v>
      </c>
      <c r="BA534" s="441" t="str">
        <f t="shared" si="629"/>
        <v/>
      </c>
      <c r="BB534" s="441" t="str">
        <f t="shared" si="629"/>
        <v/>
      </c>
      <c r="BC534" s="441" t="str">
        <f t="shared" si="629"/>
        <v/>
      </c>
      <c r="BD534" s="441" t="str">
        <f t="shared" si="629"/>
        <v/>
      </c>
      <c r="BE534" s="441" t="str">
        <f t="shared" si="629"/>
        <v/>
      </c>
      <c r="BF534" s="441" t="str">
        <f t="shared" si="629"/>
        <v/>
      </c>
      <c r="BG534" s="441"/>
      <c r="BH534" s="985"/>
      <c r="BI534" s="985"/>
      <c r="BJ534" s="985"/>
      <c r="BK534" s="985"/>
      <c r="BL534" s="985"/>
      <c r="BM534" s="985"/>
      <c r="BN534" s="985"/>
      <c r="BO534" s="985"/>
      <c r="BP534" s="985"/>
      <c r="BQ534" s="985"/>
      <c r="BR534" s="985">
        <f t="shared" ref="BR534:CB534" si="630">IFERROR(BR533/BR531,"")</f>
        <v>-4.4247943388092091E-3</v>
      </c>
      <c r="BS534" s="985" t="str">
        <f t="shared" si="630"/>
        <v/>
      </c>
      <c r="BT534" s="985">
        <f t="shared" si="630"/>
        <v>7.8712566662108574E-3</v>
      </c>
      <c r="BU534" s="985">
        <f t="shared" si="630"/>
        <v>7.9087938873234568E-3</v>
      </c>
      <c r="BV534" s="985">
        <f t="shared" si="630"/>
        <v>1.399579073962718E-2</v>
      </c>
      <c r="BW534" s="986">
        <f t="shared" si="630"/>
        <v>1.1597946068935831E-2</v>
      </c>
      <c r="BX534" s="985" t="str">
        <f t="shared" si="630"/>
        <v/>
      </c>
      <c r="BY534" s="985" t="str">
        <f t="shared" si="630"/>
        <v/>
      </c>
      <c r="BZ534" s="985" t="str">
        <f t="shared" si="630"/>
        <v/>
      </c>
      <c r="CA534" s="985" t="str">
        <f t="shared" si="630"/>
        <v/>
      </c>
      <c r="CB534" s="985" t="str">
        <f t="shared" si="630"/>
        <v/>
      </c>
      <c r="CC534" s="24"/>
    </row>
    <row r="535" spans="1:81" outlineLevel="1" x14ac:dyDescent="0.55000000000000004">
      <c r="A535" s="37"/>
      <c r="B535" s="241"/>
      <c r="C535" s="600"/>
      <c r="D535" s="600"/>
      <c r="E535" s="600"/>
      <c r="F535" s="600"/>
      <c r="G535" s="600"/>
      <c r="H535" s="600"/>
      <c r="I535" s="600"/>
      <c r="J535" s="600"/>
      <c r="K535" s="600"/>
      <c r="L535" s="600"/>
      <c r="M535" s="600"/>
      <c r="N535" s="600"/>
      <c r="O535" s="600"/>
      <c r="P535" s="600"/>
      <c r="Q535" s="600"/>
      <c r="R535" s="600"/>
      <c r="S535" s="600"/>
      <c r="T535" s="600"/>
      <c r="U535" s="600"/>
      <c r="V535" s="600"/>
      <c r="W535" s="600"/>
      <c r="X535" s="600"/>
      <c r="Y535" s="600"/>
      <c r="Z535" s="600"/>
      <c r="AA535" s="600"/>
      <c r="AB535" s="600"/>
      <c r="AC535" s="600"/>
      <c r="AD535" s="600"/>
      <c r="AE535" s="600"/>
      <c r="AF535" s="600"/>
      <c r="AG535" s="600"/>
      <c r="AH535" s="600"/>
      <c r="AI535" s="600"/>
      <c r="AJ535" s="600"/>
      <c r="AK535" s="600"/>
      <c r="AL535" s="600"/>
      <c r="AM535" s="600"/>
      <c r="AN535" s="600"/>
      <c r="AO535" s="600"/>
      <c r="AP535" s="600"/>
      <c r="AQ535" s="600"/>
      <c r="AR535" s="600"/>
      <c r="AS535" s="600"/>
      <c r="AT535" s="600"/>
      <c r="AU535" s="600"/>
      <c r="AV535" s="600"/>
      <c r="AW535" s="600"/>
      <c r="AX535" s="600"/>
      <c r="AY535" s="604"/>
      <c r="AZ535" s="600"/>
      <c r="BA535" s="600"/>
      <c r="BB535" s="600"/>
      <c r="BC535" s="600"/>
      <c r="BD535" s="600"/>
      <c r="BE535" s="600"/>
      <c r="BF535" s="600"/>
      <c r="BG535" s="600"/>
      <c r="BH535" s="186"/>
      <c r="BI535" s="186"/>
      <c r="BJ535" s="186"/>
      <c r="BK535" s="186"/>
      <c r="BL535" s="186"/>
      <c r="BM535" s="186"/>
      <c r="BN535" s="186"/>
      <c r="BO535" s="186"/>
      <c r="BP535" s="186"/>
      <c r="BQ535" s="186"/>
      <c r="BR535" s="186"/>
      <c r="BS535" s="186"/>
      <c r="BT535" s="186"/>
      <c r="BU535" s="186"/>
      <c r="BV535" s="186"/>
      <c r="BW535" s="909"/>
      <c r="BX535" s="186"/>
      <c r="BY535" s="186"/>
      <c r="BZ535" s="186"/>
      <c r="CA535" s="186"/>
      <c r="CB535" s="186"/>
      <c r="CC535" s="358"/>
    </row>
    <row r="536" spans="1:81" s="709" customFormat="1" outlineLevel="2" x14ac:dyDescent="0.55000000000000004">
      <c r="A536" s="79" t="s">
        <v>743</v>
      </c>
      <c r="B536" s="75"/>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f>IF(AE531="","",AE531/AD532-1)</f>
        <v>-0.13465657907219442</v>
      </c>
      <c r="AF536" s="54"/>
      <c r="AG536" s="54"/>
      <c r="AH536" s="54"/>
      <c r="AI536" s="54"/>
      <c r="AJ536" s="54"/>
      <c r="AK536" s="54"/>
      <c r="AL536" s="54">
        <f t="shared" ref="AL536:AY536" si="631">IF(AL531="","",AL531/AK532-1)</f>
        <v>0.12892106170286111</v>
      </c>
      <c r="AM536" s="54">
        <f t="shared" si="631"/>
        <v>-0.16842386623503902</v>
      </c>
      <c r="AN536" s="54">
        <f t="shared" si="631"/>
        <v>3.9128565285939443E-2</v>
      </c>
      <c r="AO536" s="54">
        <f t="shared" si="631"/>
        <v>-5.4541669557976569E-2</v>
      </c>
      <c r="AP536" s="54">
        <f t="shared" si="631"/>
        <v>0.12758894421591971</v>
      </c>
      <c r="AQ536" s="54">
        <f t="shared" si="631"/>
        <v>-0.1528058448624281</v>
      </c>
      <c r="AR536" s="54">
        <f t="shared" si="631"/>
        <v>7.3485774131611059E-2</v>
      </c>
      <c r="AS536" s="54">
        <f t="shared" si="631"/>
        <v>3.9094971717866134E-2</v>
      </c>
      <c r="AT536" s="54">
        <f t="shared" si="631"/>
        <v>0.12018977332630465</v>
      </c>
      <c r="AU536" s="54">
        <f t="shared" si="631"/>
        <v>-0.10872329286230709</v>
      </c>
      <c r="AV536" s="54">
        <f t="shared" si="631"/>
        <v>3.552324783980243E-2</v>
      </c>
      <c r="AW536" s="54">
        <f t="shared" si="631"/>
        <v>1.737861841263344E-2</v>
      </c>
      <c r="AX536" s="54">
        <f t="shared" si="631"/>
        <v>0.14563058956860231</v>
      </c>
      <c r="AY536" s="623">
        <f t="shared" si="631"/>
        <v>-0.15986359408907724</v>
      </c>
      <c r="AZ536" s="54"/>
      <c r="BA536" s="54"/>
      <c r="BB536" s="54"/>
      <c r="BC536" s="54"/>
      <c r="BD536" s="54"/>
      <c r="BE536" s="54"/>
      <c r="BF536" s="54"/>
      <c r="BG536" s="54"/>
      <c r="BH536" s="815"/>
      <c r="BI536" s="815"/>
      <c r="BJ536" s="815"/>
      <c r="BK536" s="815"/>
      <c r="BL536" s="815"/>
      <c r="BM536" s="815"/>
      <c r="BN536" s="815"/>
      <c r="BO536" s="815"/>
      <c r="BP536" s="815"/>
      <c r="BQ536" s="815"/>
      <c r="BR536" s="815"/>
      <c r="BS536" s="815"/>
      <c r="BT536" s="815"/>
      <c r="BU536" s="815"/>
      <c r="BV536" s="815"/>
      <c r="BW536" s="816"/>
      <c r="BX536" s="815"/>
      <c r="BY536" s="815"/>
      <c r="BZ536" s="815"/>
      <c r="CA536" s="815"/>
      <c r="CB536" s="815"/>
      <c r="CC536" s="24"/>
    </row>
    <row r="537" spans="1:81" s="709" customFormat="1" outlineLevel="2" x14ac:dyDescent="0.55000000000000004">
      <c r="A537" s="344" t="s">
        <v>744</v>
      </c>
      <c r="B537" s="43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f>IF(AE531="","",AE533/AD532)</f>
        <v>-2.4009581633621015E-2</v>
      </c>
      <c r="AF537" s="404"/>
      <c r="AG537" s="404"/>
      <c r="AH537" s="404"/>
      <c r="AI537" s="404"/>
      <c r="AJ537" s="404"/>
      <c r="AK537" s="404"/>
      <c r="AL537" s="404">
        <f t="shared" ref="AL537:AY537" si="632">IF(AL531="","",AL533/AK532)</f>
        <v>3.1747673216132366E-2</v>
      </c>
      <c r="AM537" s="404">
        <f t="shared" si="632"/>
        <v>-2.732321582370586E-3</v>
      </c>
      <c r="AN537" s="404">
        <f t="shared" si="632"/>
        <v>-6.3780994696861111E-3</v>
      </c>
      <c r="AO537" s="404">
        <f t="shared" si="632"/>
        <v>1.6098813406425647E-2</v>
      </c>
      <c r="AP537" s="404">
        <f t="shared" si="632"/>
        <v>3.3015804286642129E-2</v>
      </c>
      <c r="AQ537" s="404">
        <f t="shared" si="632"/>
        <v>4.3370122804290374E-2</v>
      </c>
      <c r="AR537" s="404">
        <f t="shared" si="632"/>
        <v>4.3602722988305115E-2</v>
      </c>
      <c r="AS537" s="404">
        <f t="shared" si="632"/>
        <v>2.8000875027344604E-2</v>
      </c>
      <c r="AT537" s="404">
        <f t="shared" si="632"/>
        <v>5.4501259298307271E-2</v>
      </c>
      <c r="AU537" s="404">
        <f t="shared" si="632"/>
        <v>1.7576225972925134E-2</v>
      </c>
      <c r="AV537" s="404">
        <f t="shared" si="632"/>
        <v>3.6236455904539847E-2</v>
      </c>
      <c r="AW537" s="404">
        <f t="shared" si="632"/>
        <v>2.1473727316935833E-2</v>
      </c>
      <c r="AX537" s="404">
        <f t="shared" si="632"/>
        <v>4.6441154007243343E-2</v>
      </c>
      <c r="AY537" s="651">
        <f t="shared" si="632"/>
        <v>3.4390823602356103E-2</v>
      </c>
      <c r="AZ537" s="404"/>
      <c r="BA537" s="404"/>
      <c r="BB537" s="404"/>
      <c r="BC537" s="404"/>
      <c r="BD537" s="404"/>
      <c r="BE537" s="404"/>
      <c r="BF537" s="404"/>
      <c r="BG537" s="404"/>
      <c r="BH537" s="946"/>
      <c r="BI537" s="946"/>
      <c r="BJ537" s="946"/>
      <c r="BK537" s="946"/>
      <c r="BL537" s="946"/>
      <c r="BM537" s="946"/>
      <c r="BN537" s="946"/>
      <c r="BO537" s="946"/>
      <c r="BP537" s="946"/>
      <c r="BQ537" s="946"/>
      <c r="BR537" s="946"/>
      <c r="BS537" s="946"/>
      <c r="BT537" s="946"/>
      <c r="BU537" s="946"/>
      <c r="BV537" s="946"/>
      <c r="BW537" s="947"/>
      <c r="BX537" s="946"/>
      <c r="BY537" s="946"/>
      <c r="BZ537" s="946"/>
      <c r="CA537" s="946"/>
      <c r="CB537" s="946"/>
      <c r="CC537" s="24"/>
    </row>
    <row r="538" spans="1:81" s="709" customFormat="1" outlineLevel="2" x14ac:dyDescent="0.55000000000000004">
      <c r="A538" s="267" t="s">
        <v>745</v>
      </c>
      <c r="B538" s="266"/>
      <c r="C538" s="267"/>
      <c r="D538" s="267"/>
      <c r="E538" s="267"/>
      <c r="F538" s="267"/>
      <c r="G538" s="267"/>
      <c r="H538" s="267"/>
      <c r="I538" s="267"/>
      <c r="J538" s="267"/>
      <c r="K538" s="267"/>
      <c r="L538" s="267"/>
      <c r="M538" s="267"/>
      <c r="N538" s="267"/>
      <c r="O538" s="267"/>
      <c r="P538" s="267"/>
      <c r="Q538" s="267"/>
      <c r="R538" s="267"/>
      <c r="S538" s="267"/>
      <c r="T538" s="267"/>
      <c r="U538" s="267"/>
      <c r="V538" s="267"/>
      <c r="W538" s="267"/>
      <c r="X538" s="267"/>
      <c r="Y538" s="267"/>
      <c r="Z538" s="267"/>
      <c r="AA538" s="267"/>
      <c r="AB538" s="267"/>
      <c r="AC538" s="267"/>
      <c r="AD538" s="267"/>
      <c r="AE538" s="267">
        <f t="shared" ref="AE538:BF538" si="633">AE532/AD532-1</f>
        <v>-0.15866616070581541</v>
      </c>
      <c r="AF538" s="267">
        <f t="shared" si="633"/>
        <v>5.3560354062130111E-2</v>
      </c>
      <c r="AG538" s="267">
        <f t="shared" si="633"/>
        <v>0.14892706159362112</v>
      </c>
      <c r="AH538" s="267">
        <f t="shared" si="633"/>
        <v>0.3074988355845365</v>
      </c>
      <c r="AI538" s="267">
        <f t="shared" si="633"/>
        <v>-6.7718723282986559E-2</v>
      </c>
      <c r="AJ538" s="267">
        <f t="shared" si="633"/>
        <v>0.11103893622712158</v>
      </c>
      <c r="AK538" s="267">
        <f t="shared" si="633"/>
        <v>-2.3042267083949186E-3</v>
      </c>
      <c r="AL538" s="267">
        <f t="shared" si="633"/>
        <v>0.16066873491899347</v>
      </c>
      <c r="AM538" s="267">
        <f t="shared" si="633"/>
        <v>-0.1711561878174096</v>
      </c>
      <c r="AN538" s="267">
        <f t="shared" si="633"/>
        <v>3.2750465816253405E-2</v>
      </c>
      <c r="AO538" s="267">
        <f t="shared" si="633"/>
        <v>-3.8442856151550853E-2</v>
      </c>
      <c r="AP538" s="267">
        <f t="shared" si="633"/>
        <v>0.1606047485025619</v>
      </c>
      <c r="AQ538" s="267">
        <f t="shared" si="633"/>
        <v>-0.10943572205813767</v>
      </c>
      <c r="AR538" s="267">
        <f t="shared" si="633"/>
        <v>0.1170884971199162</v>
      </c>
      <c r="AS538" s="267">
        <f t="shared" si="633"/>
        <v>6.7095846745210741E-2</v>
      </c>
      <c r="AT538" s="267">
        <f t="shared" si="633"/>
        <v>0.17469103262461205</v>
      </c>
      <c r="AU538" s="267">
        <f t="shared" si="633"/>
        <v>-9.1147066889382011E-2</v>
      </c>
      <c r="AV538" s="267">
        <f t="shared" si="633"/>
        <v>7.1759703744342263E-2</v>
      </c>
      <c r="AW538" s="267">
        <f t="shared" si="633"/>
        <v>3.8852345729569304E-2</v>
      </c>
      <c r="AX538" s="267">
        <f t="shared" si="633"/>
        <v>0.19207174357584567</v>
      </c>
      <c r="AY538" s="661">
        <f t="shared" si="633"/>
        <v>-0.12547277048672112</v>
      </c>
      <c r="AZ538" s="267">
        <f t="shared" si="633"/>
        <v>2.7496218745568735E-2</v>
      </c>
      <c r="BA538" s="267">
        <f t="shared" si="633"/>
        <v>5.467861231591753E-2</v>
      </c>
      <c r="BB538" s="267">
        <f t="shared" si="633"/>
        <v>0.22745482295917663</v>
      </c>
      <c r="BC538" s="267">
        <f t="shared" si="633"/>
        <v>-0.14898431455112537</v>
      </c>
      <c r="BD538" s="267">
        <f t="shared" si="633"/>
        <v>5.9183028832263673E-3</v>
      </c>
      <c r="BE538" s="267">
        <f t="shared" si="633"/>
        <v>6.4183450949613086E-2</v>
      </c>
      <c r="BF538" s="267">
        <f t="shared" si="633"/>
        <v>0.25830802532847708</v>
      </c>
      <c r="BG538" s="267"/>
      <c r="BH538" s="987"/>
      <c r="BI538" s="987"/>
      <c r="BJ538" s="987"/>
      <c r="BK538" s="987"/>
      <c r="BL538" s="987"/>
      <c r="BM538" s="987"/>
      <c r="BN538" s="987"/>
      <c r="BO538" s="987"/>
      <c r="BP538" s="987"/>
      <c r="BQ538" s="987"/>
      <c r="BR538" s="987"/>
      <c r="BS538" s="987"/>
      <c r="BT538" s="987"/>
      <c r="BU538" s="987"/>
      <c r="BV538" s="987"/>
      <c r="BW538" s="988"/>
      <c r="BX538" s="987"/>
      <c r="BY538" s="987"/>
      <c r="BZ538" s="987"/>
      <c r="CA538" s="987"/>
      <c r="CB538" s="987"/>
      <c r="CC538" s="24"/>
    </row>
    <row r="539" spans="1:81" s="709" customFormat="1" outlineLevel="1" x14ac:dyDescent="0.55000000000000004">
      <c r="A539" s="79" t="s">
        <v>746</v>
      </c>
      <c r="B539" s="75"/>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f>IF(AE531="","",AE531/AA532-1)</f>
        <v>0.20999999999999996</v>
      </c>
      <c r="AF539" s="54"/>
      <c r="AG539" s="54"/>
      <c r="AH539" s="54"/>
      <c r="AI539" s="54"/>
      <c r="AJ539" s="54"/>
      <c r="AK539" s="54"/>
      <c r="AL539" s="54">
        <f t="shared" ref="AL539:AY539" si="634">IF(AL531="","",AL531/AH532-1)</f>
        <v>0.1666429182103164</v>
      </c>
      <c r="AM539" s="54">
        <f t="shared" si="634"/>
        <v>6.9886515608880151E-2</v>
      </c>
      <c r="AN539" s="54">
        <f t="shared" si="634"/>
        <v>-2.6481411424837953E-3</v>
      </c>
      <c r="AO539" s="54">
        <f t="shared" si="634"/>
        <v>-6.0668734918993494E-2</v>
      </c>
      <c r="AP539" s="54">
        <f t="shared" si="634"/>
        <v>-7.1901636423034709E-2</v>
      </c>
      <c r="AQ539" s="54">
        <f t="shared" si="634"/>
        <v>-2.3577468826143089E-2</v>
      </c>
      <c r="AR539" s="54">
        <f t="shared" si="634"/>
        <v>6.689334536118241E-2</v>
      </c>
      <c r="AS539" s="54">
        <f t="shared" si="634"/>
        <v>0.19975463664573856</v>
      </c>
      <c r="AT539" s="54">
        <f t="shared" si="634"/>
        <v>0.1891807865692523</v>
      </c>
      <c r="AU539" s="54">
        <f t="shared" si="634"/>
        <v>0.24803630651073494</v>
      </c>
      <c r="AV539" s="54">
        <f t="shared" si="634"/>
        <v>0.17972436638644962</v>
      </c>
      <c r="AW539" s="54">
        <f t="shared" si="634"/>
        <v>0.16411878404498337</v>
      </c>
      <c r="AX539" s="54">
        <f t="shared" si="634"/>
        <v>0.15928298970357258</v>
      </c>
      <c r="AY539" s="623">
        <f t="shared" si="634"/>
        <v>0.11507337813742979</v>
      </c>
      <c r="AZ539" s="54"/>
      <c r="BA539" s="54"/>
      <c r="BB539" s="54"/>
      <c r="BC539" s="54"/>
      <c r="BD539" s="54"/>
      <c r="BE539" s="54"/>
      <c r="BF539" s="54"/>
      <c r="BG539" s="54"/>
      <c r="BH539" s="815"/>
      <c r="BI539" s="815"/>
      <c r="BJ539" s="815"/>
      <c r="BK539" s="815"/>
      <c r="BL539" s="815"/>
      <c r="BM539" s="815"/>
      <c r="BN539" s="815"/>
      <c r="BO539" s="815"/>
      <c r="BP539" s="815"/>
      <c r="BQ539" s="815"/>
      <c r="BR539" s="815"/>
      <c r="BS539" s="815"/>
      <c r="BT539" s="815">
        <f>IF(BT531="","",BT531/BS532-1)</f>
        <v>0.36111208049787713</v>
      </c>
      <c r="BU539" s="815">
        <f>IF(BU531="","",BU531/BT532-1)</f>
        <v>-1.895208133707571E-2</v>
      </c>
      <c r="BV539" s="815">
        <f>IF(BV531="","",BV531/BU532-1)</f>
        <v>0.14090679107101511</v>
      </c>
      <c r="BW539" s="816">
        <f>IF(BW531="","",BW531/BV532-1)</f>
        <v>0.20543060888645082</v>
      </c>
      <c r="BX539" s="815"/>
      <c r="BY539" s="815"/>
      <c r="BZ539" s="815"/>
      <c r="CA539" s="815"/>
      <c r="CB539" s="815"/>
      <c r="CC539" s="24"/>
    </row>
    <row r="540" spans="1:81" s="709" customFormat="1" outlineLevel="1" x14ac:dyDescent="0.55000000000000004">
      <c r="A540" s="344" t="s">
        <v>747</v>
      </c>
      <c r="B540" s="43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f>IF(AE531="","",AE533/AA532)</f>
        <v>-3.3572328712608492E-2</v>
      </c>
      <c r="AF540" s="404"/>
      <c r="AG540" s="404"/>
      <c r="AH540" s="404"/>
      <c r="AI540" s="404"/>
      <c r="AJ540" s="404"/>
      <c r="AK540" s="404"/>
      <c r="AL540" s="404">
        <f t="shared" ref="AL540:AY540" si="635">IF(AL531="","",AL533/AH532)</f>
        <v>3.2808492447990882E-2</v>
      </c>
      <c r="AM540" s="404">
        <f t="shared" si="635"/>
        <v>-3.5153414084291771E-3</v>
      </c>
      <c r="AN540" s="404">
        <f t="shared" si="635"/>
        <v>-6.121676926780617E-3</v>
      </c>
      <c r="AO540" s="404">
        <f t="shared" si="635"/>
        <v>1.5994484660461911E-2</v>
      </c>
      <c r="AP540" s="404">
        <f t="shared" si="635"/>
        <v>2.7174720085533545E-2</v>
      </c>
      <c r="AQ540" s="404">
        <f t="shared" si="635"/>
        <v>4.9985667192202952E-2</v>
      </c>
      <c r="AR540" s="404">
        <f t="shared" si="635"/>
        <v>4.3334952466865591E-2</v>
      </c>
      <c r="AS540" s="404">
        <f t="shared" si="635"/>
        <v>3.2330230208558852E-2</v>
      </c>
      <c r="AT540" s="404">
        <f t="shared" si="635"/>
        <v>5.7857920099487023E-2</v>
      </c>
      <c r="AU540" s="404">
        <f t="shared" si="635"/>
        <v>2.4611625065456451E-2</v>
      </c>
      <c r="AV540" s="404">
        <f t="shared" si="635"/>
        <v>4.1282540079377483E-2</v>
      </c>
      <c r="AW540" s="404">
        <f t="shared" si="635"/>
        <v>2.4570959995314237E-2</v>
      </c>
      <c r="AX540" s="404">
        <f t="shared" si="635"/>
        <v>4.6994590012714714E-2</v>
      </c>
      <c r="AY540" s="651">
        <f t="shared" si="635"/>
        <v>4.5645316143190236E-2</v>
      </c>
      <c r="AZ540" s="404"/>
      <c r="BA540" s="404"/>
      <c r="BB540" s="404"/>
      <c r="BC540" s="404"/>
      <c r="BD540" s="404"/>
      <c r="BE540" s="404"/>
      <c r="BF540" s="404"/>
      <c r="BG540" s="404"/>
      <c r="BH540" s="946"/>
      <c r="BI540" s="946"/>
      <c r="BJ540" s="946"/>
      <c r="BK540" s="946"/>
      <c r="BL540" s="946"/>
      <c r="BM540" s="946"/>
      <c r="BN540" s="946"/>
      <c r="BO540" s="946"/>
      <c r="BP540" s="946"/>
      <c r="BQ540" s="946"/>
      <c r="BR540" s="946"/>
      <c r="BS540" s="946"/>
      <c r="BT540" s="946">
        <f>IF(BT531="","",BT533/BS532)</f>
        <v>1.0713662537079043E-2</v>
      </c>
      <c r="BU540" s="946">
        <f>IF(BU531="","",BU533/BT532)</f>
        <v>7.7589057822927358E-3</v>
      </c>
      <c r="BV540" s="946">
        <f>IF(BV531="","",BV533/BU532)</f>
        <v>1.5967892701249476E-2</v>
      </c>
      <c r="BW540" s="947">
        <f>IF(BW531="","",BW533/BV532)</f>
        <v>1.3980519191709537E-2</v>
      </c>
      <c r="BX540" s="946"/>
      <c r="BY540" s="946"/>
      <c r="BZ540" s="946"/>
      <c r="CA540" s="946"/>
      <c r="CB540" s="946"/>
      <c r="CC540" s="24"/>
    </row>
    <row r="541" spans="1:81" s="709" customFormat="1" outlineLevel="1" x14ac:dyDescent="0.55000000000000004">
      <c r="A541" s="267" t="s">
        <v>748</v>
      </c>
      <c r="B541" s="266"/>
      <c r="C541" s="267"/>
      <c r="D541" s="267"/>
      <c r="E541" s="267"/>
      <c r="F541" s="267"/>
      <c r="G541" s="267"/>
      <c r="H541" s="267"/>
      <c r="I541" s="267"/>
      <c r="J541" s="267"/>
      <c r="K541" s="267"/>
      <c r="L541" s="267"/>
      <c r="M541" s="267"/>
      <c r="N541" s="267"/>
      <c r="O541" s="267"/>
      <c r="P541" s="267"/>
      <c r="Q541" s="267"/>
      <c r="R541" s="267"/>
      <c r="S541" s="267"/>
      <c r="T541" s="267"/>
      <c r="U541" s="267"/>
      <c r="V541" s="267"/>
      <c r="W541" s="267"/>
      <c r="X541" s="267"/>
      <c r="Y541" s="267"/>
      <c r="Z541" s="267"/>
      <c r="AA541" s="267"/>
      <c r="AB541" s="267"/>
      <c r="AC541" s="267"/>
      <c r="AD541" s="267"/>
      <c r="AE541" s="267">
        <f t="shared" ref="AE541:BF541" si="636">AE532/AA532-1</f>
        <v>0.17642767128739134</v>
      </c>
      <c r="AF541" s="267">
        <f t="shared" si="636"/>
        <v>0.10665640175293145</v>
      </c>
      <c r="AG541" s="267">
        <f t="shared" si="636"/>
        <v>0.21629277135735325</v>
      </c>
      <c r="AH541" s="267">
        <f t="shared" si="636"/>
        <v>0.33156247035385644</v>
      </c>
      <c r="AI541" s="267">
        <f t="shared" si="636"/>
        <v>0.47550318543158365</v>
      </c>
      <c r="AJ541" s="267">
        <f t="shared" si="636"/>
        <v>0.5560014983678494</v>
      </c>
      <c r="AK541" s="267">
        <f t="shared" si="636"/>
        <v>0.35118770377270603</v>
      </c>
      <c r="AL541" s="267">
        <f t="shared" si="636"/>
        <v>0.19945141065830718</v>
      </c>
      <c r="AM541" s="267">
        <f t="shared" si="636"/>
        <v>6.6371174200450911E-2</v>
      </c>
      <c r="AN541" s="267">
        <f t="shared" si="636"/>
        <v>-8.7698180692643568E-3</v>
      </c>
      <c r="AO541" s="267">
        <f t="shared" si="636"/>
        <v>-4.4674250258531556E-2</v>
      </c>
      <c r="AP541" s="267">
        <f t="shared" si="636"/>
        <v>-4.4726916337501144E-2</v>
      </c>
      <c r="AQ541" s="267">
        <f t="shared" si="636"/>
        <v>2.6408198366060009E-2</v>
      </c>
      <c r="AR541" s="267">
        <f t="shared" si="636"/>
        <v>0.11022829782804799</v>
      </c>
      <c r="AS541" s="267">
        <f t="shared" si="636"/>
        <v>0.23208486685429741</v>
      </c>
      <c r="AT541" s="267">
        <f t="shared" si="636"/>
        <v>0.24703870666873939</v>
      </c>
      <c r="AU541" s="267">
        <f t="shared" si="636"/>
        <v>0.27264793157619138</v>
      </c>
      <c r="AV541" s="267">
        <f t="shared" si="636"/>
        <v>0.2210069064658271</v>
      </c>
      <c r="AW541" s="267">
        <f t="shared" si="636"/>
        <v>0.18868974404029748</v>
      </c>
      <c r="AX541" s="267">
        <f t="shared" si="636"/>
        <v>0.20627757971628724</v>
      </c>
      <c r="AY541" s="661">
        <f t="shared" si="636"/>
        <v>0.16071869428062002</v>
      </c>
      <c r="AZ541" s="267">
        <f t="shared" si="636"/>
        <v>0.1127812188067876</v>
      </c>
      <c r="BA541" s="267">
        <f t="shared" si="636"/>
        <v>0.12973374559609741</v>
      </c>
      <c r="BB541" s="267">
        <f t="shared" si="636"/>
        <v>0.16326650821535593</v>
      </c>
      <c r="BC541" s="267">
        <f t="shared" si="636"/>
        <v>0.13199224842841617</v>
      </c>
      <c r="BD541" s="267">
        <f t="shared" si="636"/>
        <v>0.10821986557407048</v>
      </c>
      <c r="BE541" s="267">
        <f t="shared" si="636"/>
        <v>0.11820722178849796</v>
      </c>
      <c r="BF541" s="267">
        <f t="shared" si="636"/>
        <v>0.14631438553850851</v>
      </c>
      <c r="BG541" s="267"/>
      <c r="BH541" s="987"/>
      <c r="BI541" s="987"/>
      <c r="BJ541" s="987"/>
      <c r="BK541" s="987"/>
      <c r="BL541" s="987"/>
      <c r="BM541" s="987"/>
      <c r="BN541" s="987"/>
      <c r="BO541" s="987"/>
      <c r="BP541" s="987"/>
      <c r="BQ541" s="987"/>
      <c r="BR541" s="987"/>
      <c r="BS541" s="987">
        <f t="shared" ref="BS541:CB541" si="637">BS532/BR532-1</f>
        <v>0.21596390228722573</v>
      </c>
      <c r="BT541" s="987">
        <f t="shared" si="637"/>
        <v>0.37182574303495608</v>
      </c>
      <c r="BU541" s="987">
        <f t="shared" si="637"/>
        <v>-1.1193175554782941E-2</v>
      </c>
      <c r="BV541" s="987">
        <f t="shared" si="637"/>
        <v>0.15687468377226454</v>
      </c>
      <c r="BW541" s="988">
        <f t="shared" si="637"/>
        <v>0.21941112807816054</v>
      </c>
      <c r="BX541" s="987">
        <f t="shared" si="637"/>
        <v>0.14243006425492855</v>
      </c>
      <c r="BY541" s="987">
        <f t="shared" si="637"/>
        <v>0.12741846151442648</v>
      </c>
      <c r="BZ541" s="987">
        <f t="shared" si="637"/>
        <v>0.11286794825213087</v>
      </c>
      <c r="CA541" s="987">
        <f t="shared" si="637"/>
        <v>5.3148994980957154E-2</v>
      </c>
      <c r="CB541" s="987">
        <f t="shared" si="637"/>
        <v>4.9763601809823532E-2</v>
      </c>
      <c r="CC541" s="24"/>
    </row>
    <row r="542" spans="1:81" outlineLevel="2" x14ac:dyDescent="0.55000000000000004">
      <c r="A542" s="37"/>
      <c r="B542" s="241"/>
      <c r="C542" s="600"/>
      <c r="D542" s="600"/>
      <c r="E542" s="600"/>
      <c r="F542" s="600"/>
      <c r="G542" s="600"/>
      <c r="H542" s="600"/>
      <c r="I542" s="600"/>
      <c r="J542" s="600"/>
      <c r="K542" s="600"/>
      <c r="L542" s="600"/>
      <c r="M542" s="600"/>
      <c r="N542" s="600"/>
      <c r="O542" s="600"/>
      <c r="P542" s="600"/>
      <c r="Q542" s="600"/>
      <c r="R542" s="600"/>
      <c r="S542" s="600"/>
      <c r="T542" s="600"/>
      <c r="U542" s="600"/>
      <c r="V542" s="600"/>
      <c r="W542" s="600"/>
      <c r="X542" s="600"/>
      <c r="Y542" s="600"/>
      <c r="Z542" s="600"/>
      <c r="AA542" s="600"/>
      <c r="AB542" s="600"/>
      <c r="AC542" s="600"/>
      <c r="AD542" s="600"/>
      <c r="AE542" s="600"/>
      <c r="AF542" s="600"/>
      <c r="AG542" s="600"/>
      <c r="AH542" s="600"/>
      <c r="AI542" s="600"/>
      <c r="AJ542" s="600"/>
      <c r="AK542" s="600"/>
      <c r="AL542" s="600"/>
      <c r="AM542" s="600"/>
      <c r="AN542" s="600"/>
      <c r="AO542" s="600"/>
      <c r="AP542" s="600"/>
      <c r="AQ542" s="600"/>
      <c r="AR542" s="600"/>
      <c r="AS542" s="600"/>
      <c r="AT542" s="600"/>
      <c r="AU542" s="600"/>
      <c r="AV542" s="600"/>
      <c r="AW542" s="600"/>
      <c r="AX542" s="600"/>
      <c r="AY542" s="604"/>
      <c r="AZ542" s="600"/>
      <c r="BA542" s="600"/>
      <c r="BB542" s="600"/>
      <c r="BC542" s="600"/>
      <c r="BD542" s="600"/>
      <c r="BE542" s="600"/>
      <c r="BF542" s="600"/>
      <c r="BG542" s="600"/>
      <c r="BH542" s="186"/>
      <c r="BI542" s="186"/>
      <c r="BJ542" s="186"/>
      <c r="BK542" s="186"/>
      <c r="BL542" s="186"/>
      <c r="BM542" s="186"/>
      <c r="BN542" s="186"/>
      <c r="BO542" s="186"/>
      <c r="BP542" s="186"/>
      <c r="BQ542" s="186"/>
      <c r="BR542" s="186"/>
      <c r="BS542" s="186"/>
      <c r="BT542" s="186"/>
      <c r="BU542" s="186"/>
      <c r="BV542" s="186"/>
      <c r="BW542" s="909"/>
      <c r="BX542" s="186"/>
      <c r="BY542" s="186"/>
      <c r="BZ542" s="186"/>
      <c r="CA542" s="186"/>
      <c r="CB542" s="186"/>
      <c r="CC542" s="358"/>
    </row>
    <row r="543" spans="1:81" outlineLevel="2" x14ac:dyDescent="0.55000000000000004">
      <c r="A543" s="37" t="s">
        <v>749</v>
      </c>
      <c r="B543" s="241"/>
      <c r="C543" s="438"/>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c r="AA543" s="438"/>
      <c r="AB543" s="438">
        <f t="shared" ref="AB543:AY543" si="638">AB$1025</f>
        <v>43699</v>
      </c>
      <c r="AC543" s="438">
        <f t="shared" si="638"/>
        <v>43768</v>
      </c>
      <c r="AD543" s="438">
        <f t="shared" si="638"/>
        <v>43859</v>
      </c>
      <c r="AE543" s="438">
        <f t="shared" si="638"/>
        <v>43950</v>
      </c>
      <c r="AF543" s="438">
        <f t="shared" si="638"/>
        <v>44042</v>
      </c>
      <c r="AG543" s="438">
        <f t="shared" si="638"/>
        <v>44133</v>
      </c>
      <c r="AH543" s="438">
        <f t="shared" si="638"/>
        <v>44223</v>
      </c>
      <c r="AI543" s="438">
        <f t="shared" si="638"/>
        <v>44314</v>
      </c>
      <c r="AJ543" s="438">
        <f t="shared" si="638"/>
        <v>44405</v>
      </c>
      <c r="AK543" s="438">
        <f t="shared" si="638"/>
        <v>44494</v>
      </c>
      <c r="AL543" s="438">
        <f t="shared" si="638"/>
        <v>44594</v>
      </c>
      <c r="AM543" s="438">
        <f t="shared" si="638"/>
        <v>44678</v>
      </c>
      <c r="AN543" s="438">
        <f t="shared" si="638"/>
        <v>44769</v>
      </c>
      <c r="AO543" s="438">
        <f t="shared" si="638"/>
        <v>44860</v>
      </c>
      <c r="AP543" s="438">
        <f t="shared" si="638"/>
        <v>44928</v>
      </c>
      <c r="AQ543" s="438">
        <f t="shared" si="638"/>
        <v>45042</v>
      </c>
      <c r="AR543" s="438">
        <f t="shared" si="638"/>
        <v>45133</v>
      </c>
      <c r="AS543" s="438">
        <f t="shared" si="638"/>
        <v>45224</v>
      </c>
      <c r="AT543" s="438">
        <f t="shared" si="638"/>
        <v>45323</v>
      </c>
      <c r="AU543" s="438">
        <f t="shared" si="638"/>
        <v>45406</v>
      </c>
      <c r="AV543" s="438">
        <f t="shared" si="638"/>
        <v>45504</v>
      </c>
      <c r="AW543" s="438">
        <f t="shared" si="638"/>
        <v>45595</v>
      </c>
      <c r="AX543" s="438">
        <f t="shared" si="638"/>
        <v>45686</v>
      </c>
      <c r="AY543" s="662">
        <f t="shared" si="638"/>
        <v>45777</v>
      </c>
      <c r="AZ543" s="438"/>
      <c r="BA543" s="438"/>
      <c r="BB543" s="438"/>
      <c r="BC543" s="438"/>
      <c r="BD543" s="438"/>
      <c r="BE543" s="438"/>
      <c r="BF543" s="438"/>
      <c r="BG543" s="438"/>
      <c r="BH543" s="989"/>
      <c r="BI543" s="989"/>
      <c r="BJ543" s="989"/>
      <c r="BK543" s="989"/>
      <c r="BL543" s="989"/>
      <c r="BM543" s="989"/>
      <c r="BN543" s="989"/>
      <c r="BO543" s="989"/>
      <c r="BP543" s="989"/>
      <c r="BQ543" s="989"/>
      <c r="BR543" s="989">
        <f t="shared" ref="BR543:BW543" si="639">BR$1025</f>
        <v>43859</v>
      </c>
      <c r="BS543" s="989">
        <f t="shared" si="639"/>
        <v>44223</v>
      </c>
      <c r="BT543" s="989">
        <f t="shared" si="639"/>
        <v>44594</v>
      </c>
      <c r="BU543" s="989">
        <f t="shared" si="639"/>
        <v>44928</v>
      </c>
      <c r="BV543" s="989">
        <f t="shared" si="639"/>
        <v>45323</v>
      </c>
      <c r="BW543" s="990">
        <f t="shared" si="639"/>
        <v>45686</v>
      </c>
      <c r="BX543" s="989"/>
      <c r="BY543" s="989"/>
      <c r="BZ543" s="989"/>
      <c r="CA543" s="989"/>
      <c r="CB543" s="989"/>
      <c r="CC543" s="358"/>
    </row>
    <row r="544" spans="1:81" ht="16.2" outlineLevel="2" x14ac:dyDescent="0.85">
      <c r="A544" s="435" t="s">
        <v>750</v>
      </c>
      <c r="B544" s="436"/>
      <c r="C544" s="613"/>
      <c r="D544" s="613"/>
      <c r="E544" s="613"/>
      <c r="F544" s="613"/>
      <c r="G544" s="613"/>
      <c r="H544" s="613"/>
      <c r="I544" s="613"/>
      <c r="J544" s="613"/>
      <c r="K544" s="613"/>
      <c r="L544" s="613"/>
      <c r="M544" s="613"/>
      <c r="N544" s="613"/>
      <c r="O544" s="613"/>
      <c r="P544" s="613"/>
      <c r="Q544" s="613"/>
      <c r="R544" s="613"/>
      <c r="S544" s="613"/>
      <c r="T544" s="613"/>
      <c r="U544" s="613"/>
      <c r="V544" s="613"/>
      <c r="W544" s="613"/>
      <c r="X544" s="613"/>
      <c r="Y544" s="613"/>
      <c r="Z544" s="613"/>
      <c r="AA544" s="613"/>
      <c r="AB544" s="613" t="str">
        <f t="shared" ref="AB544:AY544" si="640">AC$5</f>
        <v>Q3-2019</v>
      </c>
      <c r="AC544" s="613" t="str">
        <f t="shared" si="640"/>
        <v>Q4-2019</v>
      </c>
      <c r="AD544" s="613" t="str">
        <f t="shared" si="640"/>
        <v>Q1-2020</v>
      </c>
      <c r="AE544" s="613" t="str">
        <f t="shared" si="640"/>
        <v>Q2-2020</v>
      </c>
      <c r="AF544" s="613" t="str">
        <f t="shared" si="640"/>
        <v>Q3-2020</v>
      </c>
      <c r="AG544" s="613" t="str">
        <f t="shared" si="640"/>
        <v>Q4-2020</v>
      </c>
      <c r="AH544" s="613" t="str">
        <f t="shared" si="640"/>
        <v>Q1-2021</v>
      </c>
      <c r="AI544" s="613" t="str">
        <f t="shared" si="640"/>
        <v>Q2-2021</v>
      </c>
      <c r="AJ544" s="613" t="str">
        <f t="shared" si="640"/>
        <v>Q3-2021</v>
      </c>
      <c r="AK544" s="613" t="str">
        <f t="shared" si="640"/>
        <v>Q4-2021</v>
      </c>
      <c r="AL544" s="613" t="str">
        <f t="shared" si="640"/>
        <v>Q1-2022</v>
      </c>
      <c r="AM544" s="613" t="str">
        <f t="shared" si="640"/>
        <v>Q2-2022</v>
      </c>
      <c r="AN544" s="613" t="str">
        <f t="shared" si="640"/>
        <v>Q3-2022</v>
      </c>
      <c r="AO544" s="613" t="str">
        <f t="shared" si="640"/>
        <v>Q4-2022</v>
      </c>
      <c r="AP544" s="613" t="str">
        <f t="shared" si="640"/>
        <v>Q1-2023</v>
      </c>
      <c r="AQ544" s="613" t="str">
        <f t="shared" si="640"/>
        <v>Q2-2023</v>
      </c>
      <c r="AR544" s="613" t="str">
        <f t="shared" si="640"/>
        <v>Q3-2023</v>
      </c>
      <c r="AS544" s="613" t="str">
        <f t="shared" si="640"/>
        <v>Q4-2023</v>
      </c>
      <c r="AT544" s="613" t="str">
        <f t="shared" si="640"/>
        <v>Q1-2024</v>
      </c>
      <c r="AU544" s="613" t="str">
        <f t="shared" si="640"/>
        <v>Q2-2024</v>
      </c>
      <c r="AV544" s="613" t="str">
        <f t="shared" si="640"/>
        <v>Q3-2024</v>
      </c>
      <c r="AW544" s="613" t="str">
        <f t="shared" si="640"/>
        <v>Q4-2024</v>
      </c>
      <c r="AX544" s="613" t="str">
        <f t="shared" si="640"/>
        <v>Q1-2025</v>
      </c>
      <c r="AY544" s="663" t="str">
        <f t="shared" si="640"/>
        <v>Q2-2025</v>
      </c>
      <c r="AZ544" s="613"/>
      <c r="BA544" s="613"/>
      <c r="BB544" s="613"/>
      <c r="BC544" s="613"/>
      <c r="BD544" s="613"/>
      <c r="BE544" s="613"/>
      <c r="BF544" s="613"/>
      <c r="BG544" s="613"/>
      <c r="BH544" s="991"/>
      <c r="BI544" s="991"/>
      <c r="BJ544" s="991"/>
      <c r="BK544" s="991"/>
      <c r="BL544" s="991"/>
      <c r="BM544" s="991"/>
      <c r="BN544" s="991"/>
      <c r="BO544" s="991"/>
      <c r="BP544" s="991"/>
      <c r="BQ544" s="991"/>
      <c r="BR544" s="991" t="str">
        <f>AE$5</f>
        <v>Q1-2020</v>
      </c>
      <c r="BS544" s="991" t="str">
        <f>AI$5</f>
        <v>Q1-2021</v>
      </c>
      <c r="BT544" s="991" t="str">
        <f>AM$5</f>
        <v>Q1-2022</v>
      </c>
      <c r="BU544" s="991" t="str">
        <f>AQ$5</f>
        <v>Q1-2023</v>
      </c>
      <c r="BV544" s="991" t="str">
        <f>AU$5</f>
        <v>Q1-2024</v>
      </c>
      <c r="BW544" s="992" t="str">
        <f>AY$5</f>
        <v>Q1-2025</v>
      </c>
      <c r="BX544" s="991"/>
      <c r="BY544" s="991"/>
      <c r="BZ544" s="991"/>
      <c r="CA544" s="991"/>
      <c r="CB544" s="991"/>
      <c r="CC544" s="358"/>
    </row>
    <row r="545" spans="1:81" s="706" customFormat="1" outlineLevel="3" x14ac:dyDescent="0.55000000000000004">
      <c r="A545" s="86" t="s">
        <v>751</v>
      </c>
      <c r="B545" s="8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200">
        <f>Y532*(1+AB1030)</f>
        <v>16472.399999999998</v>
      </c>
      <c r="AC545" s="200">
        <f>Z532*(1+AC1030)</f>
        <v>21142.5</v>
      </c>
      <c r="AD545" s="200">
        <f>AA532*(1+AD1030)</f>
        <v>17941.629999999997</v>
      </c>
      <c r="AE545" s="200"/>
      <c r="AF545" s="200"/>
      <c r="AG545" s="200"/>
      <c r="AH545" s="200"/>
      <c r="AI545" s="200"/>
      <c r="AJ545" s="200"/>
      <c r="AK545" s="200">
        <f t="shared" ref="AK545:AY545" si="641">AK1027</f>
        <v>31500</v>
      </c>
      <c r="AL545" s="200">
        <f t="shared" si="641"/>
        <v>27000</v>
      </c>
      <c r="AM545" s="200">
        <f t="shared" si="641"/>
        <v>28000</v>
      </c>
      <c r="AN545" s="200">
        <f t="shared" si="641"/>
        <v>26000</v>
      </c>
      <c r="AO545" s="200">
        <f t="shared" si="641"/>
        <v>30000</v>
      </c>
      <c r="AP545" s="200">
        <f t="shared" si="641"/>
        <v>26000</v>
      </c>
      <c r="AQ545" s="200">
        <f t="shared" si="641"/>
        <v>29500</v>
      </c>
      <c r="AR545" s="200">
        <f t="shared" si="641"/>
        <v>32000</v>
      </c>
      <c r="AS545" s="200">
        <f t="shared" si="641"/>
        <v>36500</v>
      </c>
      <c r="AT545" s="200">
        <f t="shared" si="641"/>
        <v>34500</v>
      </c>
      <c r="AU545" s="200">
        <f t="shared" si="641"/>
        <v>36500</v>
      </c>
      <c r="AV545" s="200">
        <f t="shared" si="641"/>
        <v>38500</v>
      </c>
      <c r="AW545" s="200">
        <f t="shared" si="641"/>
        <v>45000</v>
      </c>
      <c r="AX545" s="200">
        <f t="shared" si="641"/>
        <v>39500</v>
      </c>
      <c r="AY545" s="407">
        <f t="shared" si="641"/>
        <v>42500</v>
      </c>
      <c r="AZ545" s="37"/>
      <c r="BA545" s="37"/>
      <c r="BB545" s="37"/>
      <c r="BC545" s="37"/>
      <c r="BD545" s="37"/>
      <c r="BE545" s="37"/>
      <c r="BF545" s="37"/>
      <c r="BG545" s="37"/>
      <c r="BH545" s="158"/>
      <c r="BI545" s="158"/>
      <c r="BJ545" s="158"/>
      <c r="BK545" s="158"/>
      <c r="BL545" s="158"/>
      <c r="BM545" s="158"/>
      <c r="BN545" s="158"/>
      <c r="BO545" s="158"/>
      <c r="BP545" s="158"/>
      <c r="BQ545" s="158"/>
      <c r="BR545" s="841">
        <f>AD545</f>
        <v>17941.629999999997</v>
      </c>
      <c r="BS545" s="841"/>
      <c r="BT545" s="841">
        <f t="shared" ref="BT545:BW546" si="642">BT1027</f>
        <v>27000</v>
      </c>
      <c r="BU545" s="841">
        <f t="shared" si="642"/>
        <v>26000</v>
      </c>
      <c r="BV545" s="841">
        <f t="shared" si="642"/>
        <v>34500</v>
      </c>
      <c r="BW545" s="842">
        <f t="shared" si="642"/>
        <v>39500</v>
      </c>
      <c r="BX545" s="158"/>
      <c r="BY545" s="158"/>
      <c r="BZ545" s="158"/>
      <c r="CA545" s="158"/>
      <c r="CB545" s="158"/>
      <c r="CC545" s="117"/>
    </row>
    <row r="546" spans="1:81" s="706" customFormat="1" outlineLevel="3" x14ac:dyDescent="0.55000000000000004">
      <c r="A546" s="315" t="s">
        <v>752</v>
      </c>
      <c r="B546" s="244"/>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320">
        <f>Y532*(1+AB1031)</f>
        <v>16472.399999999998</v>
      </c>
      <c r="AC546" s="320">
        <f>Z532*(1+AC1031)</f>
        <v>21649.920000000002</v>
      </c>
      <c r="AD546" s="320">
        <f>AA532*(1+AD1031)</f>
        <v>18544.71</v>
      </c>
      <c r="AE546" s="320"/>
      <c r="AF546" s="320"/>
      <c r="AG546" s="320"/>
      <c r="AH546" s="320"/>
      <c r="AI546" s="320"/>
      <c r="AJ546" s="320"/>
      <c r="AK546" s="320">
        <f t="shared" ref="AK546:AY546" si="643">AK1028</f>
        <v>34000</v>
      </c>
      <c r="AL546" s="320">
        <f t="shared" si="643"/>
        <v>29000</v>
      </c>
      <c r="AM546" s="320">
        <f t="shared" si="643"/>
        <v>30000</v>
      </c>
      <c r="AN546" s="320">
        <f t="shared" si="643"/>
        <v>28500</v>
      </c>
      <c r="AO546" s="320">
        <f t="shared" si="643"/>
        <v>32500</v>
      </c>
      <c r="AP546" s="320">
        <f t="shared" si="643"/>
        <v>28500</v>
      </c>
      <c r="AQ546" s="320">
        <f t="shared" si="643"/>
        <v>32000</v>
      </c>
      <c r="AR546" s="320">
        <f t="shared" si="643"/>
        <v>34500</v>
      </c>
      <c r="AS546" s="320">
        <f t="shared" si="643"/>
        <v>40000</v>
      </c>
      <c r="AT546" s="320">
        <f t="shared" si="643"/>
        <v>37000</v>
      </c>
      <c r="AU546" s="320">
        <f t="shared" si="643"/>
        <v>39000</v>
      </c>
      <c r="AV546" s="320">
        <f t="shared" si="643"/>
        <v>41000</v>
      </c>
      <c r="AW546" s="320">
        <f t="shared" si="643"/>
        <v>48000</v>
      </c>
      <c r="AX546" s="320">
        <f t="shared" si="643"/>
        <v>41800</v>
      </c>
      <c r="AY546" s="628">
        <f t="shared" si="643"/>
        <v>45500</v>
      </c>
      <c r="AZ546" s="82"/>
      <c r="BA546" s="82"/>
      <c r="BB546" s="82"/>
      <c r="BC546" s="82"/>
      <c r="BD546" s="82"/>
      <c r="BE546" s="82"/>
      <c r="BF546" s="82"/>
      <c r="BG546" s="82"/>
      <c r="BH546" s="854"/>
      <c r="BI546" s="854"/>
      <c r="BJ546" s="854"/>
      <c r="BK546" s="854"/>
      <c r="BL546" s="854"/>
      <c r="BM546" s="854"/>
      <c r="BN546" s="854"/>
      <c r="BO546" s="854"/>
      <c r="BP546" s="854"/>
      <c r="BQ546" s="854"/>
      <c r="BR546" s="843">
        <f>AD546</f>
        <v>18544.71</v>
      </c>
      <c r="BS546" s="843"/>
      <c r="BT546" s="843">
        <f t="shared" si="642"/>
        <v>29000</v>
      </c>
      <c r="BU546" s="843">
        <f t="shared" si="642"/>
        <v>28500</v>
      </c>
      <c r="BV546" s="843">
        <f t="shared" si="642"/>
        <v>37000</v>
      </c>
      <c r="BW546" s="844">
        <f t="shared" si="642"/>
        <v>41800</v>
      </c>
      <c r="BX546" s="854"/>
      <c r="BY546" s="854"/>
      <c r="BZ546" s="854"/>
      <c r="CA546" s="854"/>
      <c r="CB546" s="854"/>
      <c r="CC546" s="117"/>
    </row>
    <row r="547" spans="1:81" s="706" customFormat="1" outlineLevel="2" x14ac:dyDescent="0.55000000000000004">
      <c r="A547" s="35" t="s">
        <v>753</v>
      </c>
      <c r="B547" s="193"/>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212">
        <f t="shared" ref="AB547:AY547" si="644">IFERROR(AVERAGE(AB546,AB545),"NR")</f>
        <v>16472.399999999998</v>
      </c>
      <c r="AC547" s="212">
        <f t="shared" si="644"/>
        <v>21396.21</v>
      </c>
      <c r="AD547" s="212">
        <f t="shared" si="644"/>
        <v>18243.169999999998</v>
      </c>
      <c r="AE547" s="212" t="str">
        <f t="shared" si="644"/>
        <v>NR</v>
      </c>
      <c r="AF547" s="212" t="str">
        <f t="shared" si="644"/>
        <v>NR</v>
      </c>
      <c r="AG547" s="212" t="str">
        <f t="shared" si="644"/>
        <v>NR</v>
      </c>
      <c r="AH547" s="212" t="str">
        <f t="shared" si="644"/>
        <v>NR</v>
      </c>
      <c r="AI547" s="212" t="str">
        <f t="shared" si="644"/>
        <v>NR</v>
      </c>
      <c r="AJ547" s="212" t="str">
        <f t="shared" si="644"/>
        <v>NR</v>
      </c>
      <c r="AK547" s="212">
        <f t="shared" si="644"/>
        <v>32750</v>
      </c>
      <c r="AL547" s="212">
        <f t="shared" si="644"/>
        <v>28000</v>
      </c>
      <c r="AM547" s="212">
        <f t="shared" si="644"/>
        <v>29000</v>
      </c>
      <c r="AN547" s="212">
        <f t="shared" si="644"/>
        <v>27250</v>
      </c>
      <c r="AO547" s="212">
        <f t="shared" si="644"/>
        <v>31250</v>
      </c>
      <c r="AP547" s="212">
        <f t="shared" si="644"/>
        <v>27250</v>
      </c>
      <c r="AQ547" s="212">
        <f t="shared" si="644"/>
        <v>30750</v>
      </c>
      <c r="AR547" s="212">
        <f t="shared" si="644"/>
        <v>33250</v>
      </c>
      <c r="AS547" s="212">
        <f t="shared" si="644"/>
        <v>38250</v>
      </c>
      <c r="AT547" s="212">
        <f t="shared" si="644"/>
        <v>35750</v>
      </c>
      <c r="AU547" s="212">
        <f t="shared" si="644"/>
        <v>37750</v>
      </c>
      <c r="AV547" s="212">
        <f t="shared" si="644"/>
        <v>39750</v>
      </c>
      <c r="AW547" s="212">
        <f t="shared" si="644"/>
        <v>46500</v>
      </c>
      <c r="AX547" s="212">
        <f t="shared" si="644"/>
        <v>40650</v>
      </c>
      <c r="AY547" s="629">
        <f t="shared" si="644"/>
        <v>44000</v>
      </c>
      <c r="AZ547" s="35"/>
      <c r="BA547" s="35"/>
      <c r="BB547" s="35"/>
      <c r="BC547" s="35"/>
      <c r="BD547" s="35"/>
      <c r="BE547" s="35"/>
      <c r="BF547" s="35"/>
      <c r="BG547" s="35"/>
      <c r="BH547" s="812"/>
      <c r="BI547" s="812"/>
      <c r="BJ547" s="812"/>
      <c r="BK547" s="812"/>
      <c r="BL547" s="812"/>
      <c r="BM547" s="812"/>
      <c r="BN547" s="812"/>
      <c r="BO547" s="812"/>
      <c r="BP547" s="812"/>
      <c r="BQ547" s="812"/>
      <c r="BR547" s="827">
        <f t="shared" ref="BR547:BW547" si="645">IFERROR(AVERAGE(BR546,BR545),"NR")</f>
        <v>18243.169999999998</v>
      </c>
      <c r="BS547" s="827" t="str">
        <f t="shared" si="645"/>
        <v>NR</v>
      </c>
      <c r="BT547" s="827">
        <f t="shared" si="645"/>
        <v>28000</v>
      </c>
      <c r="BU547" s="827">
        <f t="shared" si="645"/>
        <v>27250</v>
      </c>
      <c r="BV547" s="827">
        <f t="shared" si="645"/>
        <v>35750</v>
      </c>
      <c r="BW547" s="845">
        <f t="shared" si="645"/>
        <v>40650</v>
      </c>
      <c r="BX547" s="812"/>
      <c r="BY547" s="812"/>
      <c r="BZ547" s="812"/>
      <c r="CA547" s="812"/>
      <c r="CB547" s="812"/>
      <c r="CC547" s="117"/>
    </row>
    <row r="548" spans="1:81" s="706" customFormat="1" outlineLevel="2" x14ac:dyDescent="0.55000000000000004">
      <c r="A548" s="86" t="s">
        <v>754</v>
      </c>
      <c r="B548" s="8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f>IF(OR(ISBLANK(AB545),ISBLANK(AB546)),"",ABS(AB546-AB545))</f>
        <v>0</v>
      </c>
      <c r="AC548" s="37">
        <f>IF(OR(ISBLANK(AC545),ISBLANK(AC546)),"",ABS(AC546-AC545))</f>
        <v>507.42000000000189</v>
      </c>
      <c r="AD548" s="37">
        <f>IF(OR(ISBLANK(AD545),ISBLANK(AD546)),"",ABS(AD546-AD545))</f>
        <v>603.08000000000175</v>
      </c>
      <c r="AE548" s="37"/>
      <c r="AF548" s="37"/>
      <c r="AG548" s="37"/>
      <c r="AH548" s="37"/>
      <c r="AI548" s="37"/>
      <c r="AJ548" s="37"/>
      <c r="AK548" s="37">
        <f t="shared" ref="AK548:AY548" si="646">IF(OR(ISBLANK(AK545),ISBLANK(AK546)),"",ABS(AK546-AK545))</f>
        <v>2500</v>
      </c>
      <c r="AL548" s="37">
        <f t="shared" si="646"/>
        <v>2000</v>
      </c>
      <c r="AM548" s="37">
        <f t="shared" si="646"/>
        <v>2000</v>
      </c>
      <c r="AN548" s="37">
        <f t="shared" si="646"/>
        <v>2500</v>
      </c>
      <c r="AO548" s="37">
        <f t="shared" si="646"/>
        <v>2500</v>
      </c>
      <c r="AP548" s="37">
        <f t="shared" si="646"/>
        <v>2500</v>
      </c>
      <c r="AQ548" s="37">
        <f t="shared" si="646"/>
        <v>2500</v>
      </c>
      <c r="AR548" s="37">
        <f t="shared" si="646"/>
        <v>2500</v>
      </c>
      <c r="AS548" s="37">
        <f t="shared" si="646"/>
        <v>3500</v>
      </c>
      <c r="AT548" s="37">
        <f t="shared" si="646"/>
        <v>2500</v>
      </c>
      <c r="AU548" s="37">
        <f t="shared" si="646"/>
        <v>2500</v>
      </c>
      <c r="AV548" s="37">
        <f t="shared" si="646"/>
        <v>2500</v>
      </c>
      <c r="AW548" s="37">
        <f t="shared" si="646"/>
        <v>3000</v>
      </c>
      <c r="AX548" s="37">
        <f t="shared" si="646"/>
        <v>2300</v>
      </c>
      <c r="AY548" s="273">
        <f t="shared" si="646"/>
        <v>3000</v>
      </c>
      <c r="AZ548" s="37"/>
      <c r="BA548" s="37"/>
      <c r="BB548" s="37"/>
      <c r="BC548" s="37"/>
      <c r="BD548" s="37"/>
      <c r="BE548" s="37"/>
      <c r="BF548" s="37"/>
      <c r="BG548" s="37"/>
      <c r="BH548" s="158"/>
      <c r="BI548" s="158"/>
      <c r="BJ548" s="158"/>
      <c r="BK548" s="158"/>
      <c r="BL548" s="158"/>
      <c r="BM548" s="158"/>
      <c r="BN548" s="158"/>
      <c r="BO548" s="158"/>
      <c r="BP548" s="158"/>
      <c r="BQ548" s="158"/>
      <c r="BR548" s="158">
        <f>IF(OR(ISBLANK(BR545),ISBLANK(BR546)),"",ABS(BR546-BR545))</f>
        <v>603.08000000000175</v>
      </c>
      <c r="BS548" s="158"/>
      <c r="BT548" s="158">
        <f>IF(OR(ISBLANK(BT545),ISBLANK(BT546)),"",ABS(BT546-BT545))</f>
        <v>2000</v>
      </c>
      <c r="BU548" s="158">
        <f>IF(OR(ISBLANK(BU545),ISBLANK(BU546)),"",ABS(BU546-BU545))</f>
        <v>2500</v>
      </c>
      <c r="BV548" s="158">
        <f>IF(OR(ISBLANK(BV545),ISBLANK(BV546)),"",ABS(BV546-BV545))</f>
        <v>2500</v>
      </c>
      <c r="BW548" s="846">
        <f>IF(OR(ISBLANK(BW545),ISBLANK(BW546)),"",ABS(BW546-BW545))</f>
        <v>2300</v>
      </c>
      <c r="BX548" s="158"/>
      <c r="BY548" s="158"/>
      <c r="BZ548" s="158"/>
      <c r="CA548" s="158"/>
      <c r="CB548" s="158"/>
      <c r="CC548" s="117"/>
    </row>
    <row r="549" spans="1:81" s="709" customFormat="1" outlineLevel="2" x14ac:dyDescent="0.55000000000000004">
      <c r="A549" s="321" t="s">
        <v>755</v>
      </c>
      <c r="B549" s="439"/>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f>ABS(AB546-AB547)/AB547</f>
        <v>0</v>
      </c>
      <c r="AC549" s="55">
        <f>ABS(AC546-AC547)/AC547</f>
        <v>1.1857707509881552E-2</v>
      </c>
      <c r="AD549" s="55">
        <f>ABS(AD546-AD547)/AD547</f>
        <v>1.652892561983476E-2</v>
      </c>
      <c r="AE549" s="55"/>
      <c r="AF549" s="55"/>
      <c r="AG549" s="55"/>
      <c r="AH549" s="55"/>
      <c r="AI549" s="55"/>
      <c r="AJ549" s="55"/>
      <c r="AK549" s="55">
        <f t="shared" ref="AK549:AY549" si="647">ABS(AK546-AK547)/AK547</f>
        <v>3.8167938931297711E-2</v>
      </c>
      <c r="AL549" s="55">
        <f t="shared" si="647"/>
        <v>3.5714285714285712E-2</v>
      </c>
      <c r="AM549" s="55">
        <f t="shared" si="647"/>
        <v>3.4482758620689655E-2</v>
      </c>
      <c r="AN549" s="55">
        <f t="shared" si="647"/>
        <v>4.5871559633027525E-2</v>
      </c>
      <c r="AO549" s="55">
        <f t="shared" si="647"/>
        <v>0.04</v>
      </c>
      <c r="AP549" s="55">
        <f t="shared" si="647"/>
        <v>4.5871559633027525E-2</v>
      </c>
      <c r="AQ549" s="55">
        <f t="shared" si="647"/>
        <v>4.065040650406504E-2</v>
      </c>
      <c r="AR549" s="55">
        <f t="shared" si="647"/>
        <v>3.7593984962406013E-2</v>
      </c>
      <c r="AS549" s="55">
        <f t="shared" si="647"/>
        <v>4.5751633986928102E-2</v>
      </c>
      <c r="AT549" s="55">
        <f t="shared" si="647"/>
        <v>3.4965034965034968E-2</v>
      </c>
      <c r="AU549" s="55">
        <f t="shared" si="647"/>
        <v>3.3112582781456956E-2</v>
      </c>
      <c r="AV549" s="55">
        <f t="shared" si="647"/>
        <v>3.1446540880503145E-2</v>
      </c>
      <c r="AW549" s="55">
        <f t="shared" si="647"/>
        <v>3.2258064516129031E-2</v>
      </c>
      <c r="AX549" s="55">
        <f t="shared" si="647"/>
        <v>2.8290282902829027E-2</v>
      </c>
      <c r="AY549" s="275">
        <f t="shared" si="647"/>
        <v>3.4090909090909088E-2</v>
      </c>
      <c r="AZ549" s="55"/>
      <c r="BA549" s="55"/>
      <c r="BB549" s="55"/>
      <c r="BC549" s="55"/>
      <c r="BD549" s="55"/>
      <c r="BE549" s="55"/>
      <c r="BF549" s="55"/>
      <c r="BG549" s="55"/>
      <c r="BH549" s="156"/>
      <c r="BI549" s="156"/>
      <c r="BJ549" s="156"/>
      <c r="BK549" s="156"/>
      <c r="BL549" s="156"/>
      <c r="BM549" s="156"/>
      <c r="BN549" s="156"/>
      <c r="BO549" s="156"/>
      <c r="BP549" s="156"/>
      <c r="BQ549" s="156"/>
      <c r="BR549" s="156">
        <f>ABS(BR546-BR547)/BR547</f>
        <v>1.652892561983476E-2</v>
      </c>
      <c r="BS549" s="156"/>
      <c r="BT549" s="156">
        <f>ABS(BT546-BT547)/BT547</f>
        <v>3.5714285714285712E-2</v>
      </c>
      <c r="BU549" s="156">
        <f>ABS(BU546-BU547)/BU547</f>
        <v>4.5871559633027525E-2</v>
      </c>
      <c r="BV549" s="156">
        <f>ABS(BV546-BV547)/BV547</f>
        <v>3.4965034965034968E-2</v>
      </c>
      <c r="BW549" s="856">
        <f>ABS(BW546-BW547)/BW547</f>
        <v>2.8290282902829027E-2</v>
      </c>
      <c r="BX549" s="156"/>
      <c r="BY549" s="156"/>
      <c r="BZ549" s="156"/>
      <c r="CA549" s="156"/>
      <c r="CB549" s="156"/>
      <c r="CC549" s="24"/>
    </row>
    <row r="550" spans="1:81" s="709" customFormat="1" outlineLevel="3" x14ac:dyDescent="0.55000000000000004">
      <c r="A550" s="327" t="s">
        <v>756</v>
      </c>
      <c r="B550" s="75"/>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f t="shared" ref="AB550:AD552" si="648">AB545/AB$532-1</f>
        <v>-2.4493663389790532E-2</v>
      </c>
      <c r="AC550" s="54">
        <f t="shared" si="648"/>
        <v>0.19773963290278718</v>
      </c>
      <c r="AD550" s="54">
        <f t="shared" si="648"/>
        <v>-0.14895977611232347</v>
      </c>
      <c r="AE550" s="54"/>
      <c r="AF550" s="54"/>
      <c r="AG550" s="54"/>
      <c r="AH550" s="54"/>
      <c r="AI550" s="54"/>
      <c r="AJ550" s="54"/>
      <c r="AK550" s="54">
        <f t="shared" ref="AK550:AY550" si="649">AK545/AK$532-1</f>
        <v>8.5832471561530399E-2</v>
      </c>
      <c r="AL550" s="54">
        <f t="shared" si="649"/>
        <v>-0.19812301386950193</v>
      </c>
      <c r="AM550" s="54">
        <f t="shared" si="649"/>
        <v>3.2965457933209485E-3</v>
      </c>
      <c r="AN550" s="54">
        <f t="shared" si="649"/>
        <v>-9.7911317743390458E-2</v>
      </c>
      <c r="AO550" s="54">
        <f t="shared" si="649"/>
        <v>8.2485386447282982E-2</v>
      </c>
      <c r="AP550" s="54">
        <f t="shared" si="649"/>
        <v>-0.19166796207057357</v>
      </c>
      <c r="AQ550" s="54">
        <f t="shared" si="649"/>
        <v>2.9848141036830089E-2</v>
      </c>
      <c r="AR550" s="54">
        <f t="shared" si="649"/>
        <v>3.1250976592955837E-5</v>
      </c>
      <c r="AS550" s="54">
        <f t="shared" si="649"/>
        <v>6.8939260821179627E-2</v>
      </c>
      <c r="AT550" s="54">
        <f t="shared" si="649"/>
        <v>-0.13988681409089776</v>
      </c>
      <c r="AU550" s="54">
        <f t="shared" si="649"/>
        <v>1.2343985735838725E-3</v>
      </c>
      <c r="AV550" s="54">
        <f t="shared" si="649"/>
        <v>-1.4614419902229225E-2</v>
      </c>
      <c r="AW550" s="54">
        <f t="shared" si="649"/>
        <v>0.1086747640986474</v>
      </c>
      <c r="AX550" s="54">
        <f t="shared" si="649"/>
        <v>-0.1836312906892632</v>
      </c>
      <c r="AY550" s="623">
        <f t="shared" si="649"/>
        <v>4.3957082762207111E-3</v>
      </c>
      <c r="AZ550" s="54"/>
      <c r="BA550" s="54"/>
      <c r="BB550" s="54"/>
      <c r="BC550" s="54"/>
      <c r="BD550" s="54"/>
      <c r="BE550" s="54"/>
      <c r="BF550" s="54"/>
      <c r="BG550" s="54"/>
      <c r="BH550" s="815"/>
      <c r="BI550" s="815"/>
      <c r="BJ550" s="815"/>
      <c r="BK550" s="815"/>
      <c r="BL550" s="815"/>
      <c r="BM550" s="815"/>
      <c r="BN550" s="815"/>
      <c r="BO550" s="815"/>
      <c r="BP550" s="815"/>
      <c r="BQ550" s="815"/>
      <c r="BR550" s="815">
        <f>AD550</f>
        <v>-0.14895977611232347</v>
      </c>
      <c r="BS550" s="815"/>
      <c r="BT550" s="815">
        <f>AL550</f>
        <v>-0.19812301386950193</v>
      </c>
      <c r="BU550" s="815">
        <f>AP550</f>
        <v>-0.19166796207057357</v>
      </c>
      <c r="BV550" s="815">
        <f>AT550</f>
        <v>-0.13988681409089776</v>
      </c>
      <c r="BW550" s="816">
        <f>AX550</f>
        <v>-0.1836312906892632</v>
      </c>
      <c r="BX550" s="815"/>
      <c r="BY550" s="815"/>
      <c r="BZ550" s="815"/>
      <c r="CA550" s="815"/>
      <c r="CB550" s="815"/>
      <c r="CC550" s="24"/>
    </row>
    <row r="551" spans="1:81" s="709" customFormat="1" outlineLevel="3" x14ac:dyDescent="0.55000000000000004">
      <c r="A551" s="333" t="s">
        <v>757</v>
      </c>
      <c r="B551" s="43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f t="shared" si="648"/>
        <v>-2.4493663389790532E-2</v>
      </c>
      <c r="AC551" s="404">
        <f t="shared" si="648"/>
        <v>0.22648538409245411</v>
      </c>
      <c r="AD551" s="404">
        <f t="shared" si="648"/>
        <v>-0.12035338203206536</v>
      </c>
      <c r="AE551" s="404"/>
      <c r="AF551" s="404"/>
      <c r="AG551" s="404"/>
      <c r="AH551" s="404"/>
      <c r="AI551" s="404"/>
      <c r="AJ551" s="404"/>
      <c r="AK551" s="404">
        <f t="shared" ref="AK551:AY551" si="650">AK546/AK$532-1</f>
        <v>0.17200965184419159</v>
      </c>
      <c r="AL551" s="404">
        <f t="shared" si="650"/>
        <v>-0.13872471860057611</v>
      </c>
      <c r="AM551" s="404">
        <f t="shared" si="650"/>
        <v>7.4960584778558159E-2</v>
      </c>
      <c r="AN551" s="404">
        <f t="shared" si="650"/>
        <v>-1.1172021372562679E-2</v>
      </c>
      <c r="AO551" s="404">
        <f t="shared" si="650"/>
        <v>0.17269250198455643</v>
      </c>
      <c r="AP551" s="404">
        <f t="shared" si="650"/>
        <v>-0.11394372765428262</v>
      </c>
      <c r="AQ551" s="404">
        <f t="shared" si="650"/>
        <v>0.11712340722639203</v>
      </c>
      <c r="AR551" s="404">
        <f t="shared" si="650"/>
        <v>7.8158692459139312E-2</v>
      </c>
      <c r="AS551" s="404">
        <f t="shared" si="650"/>
        <v>0.17144028583142967</v>
      </c>
      <c r="AT551" s="404">
        <f t="shared" si="650"/>
        <v>-7.7559771633716412E-2</v>
      </c>
      <c r="AU551" s="404">
        <f t="shared" si="650"/>
        <v>6.9812097106021209E-2</v>
      </c>
      <c r="AV551" s="404">
        <f t="shared" si="650"/>
        <v>4.9371656727495994E-2</v>
      </c>
      <c r="AW551" s="404">
        <f t="shared" si="650"/>
        <v>0.18258641503855721</v>
      </c>
      <c r="AX551" s="404">
        <f t="shared" si="650"/>
        <v>-0.13609589748889117</v>
      </c>
      <c r="AY551" s="651">
        <f t="shared" si="650"/>
        <v>7.5294228860424361E-2</v>
      </c>
      <c r="AZ551" s="404"/>
      <c r="BA551" s="404"/>
      <c r="BB551" s="404"/>
      <c r="BC551" s="404"/>
      <c r="BD551" s="404"/>
      <c r="BE551" s="404"/>
      <c r="BF551" s="404"/>
      <c r="BG551" s="404"/>
      <c r="BH551" s="946"/>
      <c r="BI551" s="946"/>
      <c r="BJ551" s="946"/>
      <c r="BK551" s="946"/>
      <c r="BL551" s="946"/>
      <c r="BM551" s="946"/>
      <c r="BN551" s="946"/>
      <c r="BO551" s="946"/>
      <c r="BP551" s="946"/>
      <c r="BQ551" s="946"/>
      <c r="BR551" s="946">
        <f>AD551</f>
        <v>-0.12035338203206536</v>
      </c>
      <c r="BS551" s="946"/>
      <c r="BT551" s="946">
        <f>AL551</f>
        <v>-0.13872471860057611</v>
      </c>
      <c r="BU551" s="946">
        <f>AP551</f>
        <v>-0.11394372765428262</v>
      </c>
      <c r="BV551" s="946">
        <f>AT551</f>
        <v>-7.7559771633716412E-2</v>
      </c>
      <c r="BW551" s="947">
        <f>AX551</f>
        <v>-0.13609589748889117</v>
      </c>
      <c r="BX551" s="946"/>
      <c r="BY551" s="946"/>
      <c r="BZ551" s="946"/>
      <c r="CA551" s="946"/>
      <c r="CB551" s="946"/>
      <c r="CC551" s="24"/>
    </row>
    <row r="552" spans="1:81" s="709" customFormat="1" outlineLevel="3" x14ac:dyDescent="0.55000000000000004">
      <c r="A552" s="79" t="s">
        <v>758</v>
      </c>
      <c r="B552" s="75"/>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f t="shared" si="648"/>
        <v>-2.4493663389790532E-2</v>
      </c>
      <c r="AC552" s="54">
        <f t="shared" si="648"/>
        <v>0.21211250849762053</v>
      </c>
      <c r="AD552" s="54">
        <f t="shared" si="648"/>
        <v>-0.13465657907219442</v>
      </c>
      <c r="AE552" s="54"/>
      <c r="AF552" s="54"/>
      <c r="AG552" s="54"/>
      <c r="AH552" s="54"/>
      <c r="AI552" s="54"/>
      <c r="AJ552" s="54"/>
      <c r="AK552" s="54">
        <f t="shared" ref="AK552:AY552" si="651">AK547/AK$532-1</f>
        <v>0.12892106170286111</v>
      </c>
      <c r="AL552" s="54">
        <f t="shared" si="651"/>
        <v>-0.16842386623503902</v>
      </c>
      <c r="AM552" s="54">
        <f t="shared" si="651"/>
        <v>3.9128565285939443E-2</v>
      </c>
      <c r="AN552" s="54">
        <f t="shared" si="651"/>
        <v>-5.4541669557976569E-2</v>
      </c>
      <c r="AO552" s="54">
        <f t="shared" si="651"/>
        <v>0.12758894421591971</v>
      </c>
      <c r="AP552" s="54">
        <f t="shared" si="651"/>
        <v>-0.1528058448624281</v>
      </c>
      <c r="AQ552" s="54">
        <f t="shared" si="651"/>
        <v>7.3485774131611059E-2</v>
      </c>
      <c r="AR552" s="54">
        <f t="shared" si="651"/>
        <v>3.9094971717866134E-2</v>
      </c>
      <c r="AS552" s="54">
        <f t="shared" si="651"/>
        <v>0.12018977332630465</v>
      </c>
      <c r="AT552" s="54">
        <f t="shared" si="651"/>
        <v>-0.10872329286230709</v>
      </c>
      <c r="AU552" s="54">
        <f t="shared" si="651"/>
        <v>3.552324783980243E-2</v>
      </c>
      <c r="AV552" s="54">
        <f t="shared" si="651"/>
        <v>1.737861841263344E-2</v>
      </c>
      <c r="AW552" s="54">
        <f t="shared" si="651"/>
        <v>0.14563058956860231</v>
      </c>
      <c r="AX552" s="54">
        <f t="shared" si="651"/>
        <v>-0.15986359408907724</v>
      </c>
      <c r="AY552" s="623">
        <f t="shared" si="651"/>
        <v>3.9844968568322647E-2</v>
      </c>
      <c r="AZ552" s="54"/>
      <c r="BA552" s="54"/>
      <c r="BB552" s="54"/>
      <c r="BC552" s="54"/>
      <c r="BD552" s="54"/>
      <c r="BE552" s="54"/>
      <c r="BF552" s="54"/>
      <c r="BG552" s="54"/>
      <c r="BH552" s="815"/>
      <c r="BI552" s="815"/>
      <c r="BJ552" s="815"/>
      <c r="BK552" s="815"/>
      <c r="BL552" s="815"/>
      <c r="BM552" s="815"/>
      <c r="BN552" s="815"/>
      <c r="BO552" s="815"/>
      <c r="BP552" s="815"/>
      <c r="BQ552" s="815"/>
      <c r="BR552" s="815">
        <f>AVERAGE(BR551,BR550)</f>
        <v>-0.13465657907219442</v>
      </c>
      <c r="BS552" s="815"/>
      <c r="BT552" s="815">
        <f>AVERAGE(BT551,BT550)</f>
        <v>-0.16842386623503902</v>
      </c>
      <c r="BU552" s="815">
        <f>AVERAGE(BU551,BU550)</f>
        <v>-0.1528058448624281</v>
      </c>
      <c r="BV552" s="815">
        <f>AVERAGE(BV551,BV550)</f>
        <v>-0.10872329286230709</v>
      </c>
      <c r="BW552" s="816">
        <f>AVERAGE(BW551,BW550)</f>
        <v>-0.15986359408907719</v>
      </c>
      <c r="BX552" s="815"/>
      <c r="BY552" s="815"/>
      <c r="BZ552" s="815"/>
      <c r="CA552" s="815"/>
      <c r="CB552" s="815"/>
      <c r="CC552" s="24"/>
    </row>
    <row r="553" spans="1:81" s="709" customFormat="1" outlineLevel="2" x14ac:dyDescent="0.55000000000000004">
      <c r="A553" s="79" t="s">
        <v>759</v>
      </c>
      <c r="B553" s="75"/>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f>AB547/Y532-1</f>
        <v>0.19999999999999973</v>
      </c>
      <c r="AC553" s="54">
        <f>AC547/Z532-1</f>
        <v>0.2649999999999999</v>
      </c>
      <c r="AD553" s="54">
        <f>AD547/AA532-1</f>
        <v>0.20999999999999996</v>
      </c>
      <c r="AE553" s="54"/>
      <c r="AF553" s="54"/>
      <c r="AG553" s="54"/>
      <c r="AH553" s="54"/>
      <c r="AI553" s="54"/>
      <c r="AJ553" s="54"/>
      <c r="AK553" s="54">
        <f t="shared" ref="AK553:AY553" si="652">AK547/AH532-1</f>
        <v>0.1666429182103164</v>
      </c>
      <c r="AL553" s="54">
        <f t="shared" si="652"/>
        <v>6.9886515608880151E-2</v>
      </c>
      <c r="AM553" s="54">
        <f t="shared" si="652"/>
        <v>-2.6481411424837953E-3</v>
      </c>
      <c r="AN553" s="54">
        <f t="shared" si="652"/>
        <v>-6.0668734918993494E-2</v>
      </c>
      <c r="AO553" s="54">
        <f t="shared" si="652"/>
        <v>-7.1901636423034709E-2</v>
      </c>
      <c r="AP553" s="54">
        <f t="shared" si="652"/>
        <v>-2.3577468826143089E-2</v>
      </c>
      <c r="AQ553" s="54">
        <f t="shared" si="652"/>
        <v>6.689334536118241E-2</v>
      </c>
      <c r="AR553" s="54">
        <f t="shared" si="652"/>
        <v>0.19975463664573856</v>
      </c>
      <c r="AS553" s="54">
        <f t="shared" si="652"/>
        <v>0.1891807865692523</v>
      </c>
      <c r="AT553" s="54">
        <f t="shared" si="652"/>
        <v>0.24803630651073494</v>
      </c>
      <c r="AU553" s="54">
        <f t="shared" si="652"/>
        <v>0.17972436638644962</v>
      </c>
      <c r="AV553" s="54">
        <f t="shared" si="652"/>
        <v>0.16411878404498337</v>
      </c>
      <c r="AW553" s="54">
        <f t="shared" si="652"/>
        <v>0.15928298970357258</v>
      </c>
      <c r="AX553" s="54">
        <f t="shared" si="652"/>
        <v>0.11507337813742979</v>
      </c>
      <c r="AY553" s="623">
        <f t="shared" si="652"/>
        <v>0.12615494868316657</v>
      </c>
      <c r="AZ553" s="54"/>
      <c r="BA553" s="54"/>
      <c r="BB553" s="54"/>
      <c r="BC553" s="54"/>
      <c r="BD553" s="54"/>
      <c r="BE553" s="54"/>
      <c r="BF553" s="54"/>
      <c r="BG553" s="54"/>
      <c r="BH553" s="815"/>
      <c r="BI553" s="815"/>
      <c r="BJ553" s="815"/>
      <c r="BK553" s="815"/>
      <c r="BL553" s="815"/>
      <c r="BM553" s="815"/>
      <c r="BN553" s="815"/>
      <c r="BO553" s="815"/>
      <c r="BP553" s="815"/>
      <c r="BQ553" s="815"/>
      <c r="BR553" s="815">
        <f>BR547/AA532-1</f>
        <v>0.20999999999999996</v>
      </c>
      <c r="BS553" s="815"/>
      <c r="BT553" s="815">
        <f>BT547/AI532-1</f>
        <v>6.9886515608880151E-2</v>
      </c>
      <c r="BU553" s="815">
        <f>BU547/AM532-1</f>
        <v>-2.3577468826143089E-2</v>
      </c>
      <c r="BV553" s="815">
        <f>BV547/AQ532-1</f>
        <v>0.24803630651073494</v>
      </c>
      <c r="BW553" s="816">
        <f>BW547/AU532-1</f>
        <v>0.11507337813742979</v>
      </c>
      <c r="BX553" s="815"/>
      <c r="BY553" s="815"/>
      <c r="BZ553" s="815"/>
      <c r="CA553" s="815"/>
      <c r="CB553" s="815"/>
      <c r="CC553" s="24"/>
    </row>
    <row r="554" spans="1:81" outlineLevel="2" x14ac:dyDescent="0.55000000000000004">
      <c r="A554" s="37"/>
      <c r="B554" s="241"/>
      <c r="C554" s="600"/>
      <c r="D554" s="600"/>
      <c r="E554" s="600"/>
      <c r="F554" s="600"/>
      <c r="G554" s="600"/>
      <c r="H554" s="600"/>
      <c r="I554" s="600"/>
      <c r="J554" s="600"/>
      <c r="K554" s="600"/>
      <c r="L554" s="600"/>
      <c r="M554" s="600"/>
      <c r="N554" s="600"/>
      <c r="O554" s="600"/>
      <c r="P554" s="600"/>
      <c r="Q554" s="600"/>
      <c r="R554" s="600"/>
      <c r="S554" s="600"/>
      <c r="T554" s="600"/>
      <c r="U554" s="600"/>
      <c r="V554" s="600"/>
      <c r="W554" s="600"/>
      <c r="X554" s="600"/>
      <c r="Y554" s="600"/>
      <c r="Z554" s="600"/>
      <c r="AA554" s="600"/>
      <c r="AB554" s="600"/>
      <c r="AC554" s="600"/>
      <c r="AD554" s="600"/>
      <c r="AE554" s="600"/>
      <c r="AF554" s="600"/>
      <c r="AG554" s="600"/>
      <c r="AH554" s="600"/>
      <c r="AI554" s="600"/>
      <c r="AJ554" s="600"/>
      <c r="AK554" s="600"/>
      <c r="AL554" s="600"/>
      <c r="AM554" s="600"/>
      <c r="AN554" s="600"/>
      <c r="AO554" s="600"/>
      <c r="AP554" s="600"/>
      <c r="AQ554" s="600"/>
      <c r="AR554" s="600"/>
      <c r="AS554" s="600"/>
      <c r="AT554" s="600"/>
      <c r="AU554" s="600"/>
      <c r="AV554" s="600"/>
      <c r="AW554" s="600"/>
      <c r="AX554" s="600"/>
      <c r="AY554" s="604"/>
      <c r="AZ554" s="600"/>
      <c r="BA554" s="600"/>
      <c r="BB554" s="600"/>
      <c r="BC554" s="600"/>
      <c r="BD554" s="600"/>
      <c r="BE554" s="600"/>
      <c r="BF554" s="600"/>
      <c r="BG554" s="600"/>
      <c r="BH554" s="186"/>
      <c r="BI554" s="186"/>
      <c r="BJ554" s="186"/>
      <c r="BK554" s="186"/>
      <c r="BL554" s="186"/>
      <c r="BM554" s="186"/>
      <c r="BN554" s="186"/>
      <c r="BO554" s="186"/>
      <c r="BP554" s="186"/>
      <c r="BQ554" s="186"/>
      <c r="BR554" s="186"/>
      <c r="BS554" s="186"/>
      <c r="BT554" s="186"/>
      <c r="BU554" s="186"/>
      <c r="BV554" s="186"/>
      <c r="BW554" s="909"/>
      <c r="BX554" s="186"/>
      <c r="BY554" s="186"/>
      <c r="BZ554" s="186"/>
      <c r="CA554" s="186"/>
      <c r="CB554" s="186"/>
      <c r="CC554" s="358"/>
    </row>
    <row r="555" spans="1:81" s="709" customFormat="1" outlineLevel="2" x14ac:dyDescent="0.55000000000000004">
      <c r="A555" s="79" t="s">
        <v>760</v>
      </c>
      <c r="B555" s="75"/>
      <c r="C555" s="224"/>
      <c r="D555" s="224"/>
      <c r="E555" s="224"/>
      <c r="F555" s="224"/>
      <c r="G555" s="224"/>
      <c r="H555" s="224"/>
      <c r="I555" s="224"/>
      <c r="J555" s="224"/>
      <c r="K555" s="224"/>
      <c r="L555" s="224"/>
      <c r="M555" s="224"/>
      <c r="N555" s="224"/>
      <c r="O555" s="224"/>
      <c r="P555" s="224"/>
      <c r="Q555" s="224"/>
      <c r="R555" s="224"/>
      <c r="S555" s="224"/>
      <c r="T555" s="224"/>
      <c r="U555" s="224"/>
      <c r="V555" s="224"/>
      <c r="W555" s="224"/>
      <c r="X555" s="224"/>
      <c r="Y555" s="224"/>
      <c r="Z555" s="224"/>
      <c r="AA555" s="224"/>
      <c r="AB555" s="224"/>
      <c r="AC555" s="224"/>
      <c r="AD555" s="224">
        <f>IFERROR(IF(BR531="","",BR531/BQ532-1),"")</f>
        <v>0.27173627278913992</v>
      </c>
      <c r="AE555" s="224"/>
      <c r="AF555" s="224"/>
      <c r="AG555" s="224"/>
      <c r="AH555" s="224" t="str">
        <f>IFERROR(IF(BS531="","",BS531/BR532-1),"")</f>
        <v/>
      </c>
      <c r="AI555" s="224"/>
      <c r="AJ555" s="224"/>
      <c r="AK555" s="224" t="str">
        <f>IFERROR(IF(BT529="","",BT529/BS532-1),"")</f>
        <v/>
      </c>
      <c r="AL555" s="224">
        <f>IFERROR(IF(BT531="","",BT531/BS532-1),"")</f>
        <v>0.36111208049787713</v>
      </c>
      <c r="AM555" s="224"/>
      <c r="AN555" s="224"/>
      <c r="AO555" s="224"/>
      <c r="AP555" s="224">
        <f>IFERROR(IF(BU531="","",BU531/BT532-1),"")</f>
        <v>-1.895208133707571E-2</v>
      </c>
      <c r="AQ555" s="224"/>
      <c r="AR555" s="224"/>
      <c r="AS555" s="224"/>
      <c r="AT555" s="224">
        <f>IFERROR(IF(BV531="","",BV531/BU532-1),"")</f>
        <v>0.14090679107101511</v>
      </c>
      <c r="AU555" s="224"/>
      <c r="AV555" s="224"/>
      <c r="AW555" s="224"/>
      <c r="AX555" s="224">
        <f>IFERROR(IF(BW531="","",BW531/BV532-1),"")</f>
        <v>0.20543060888645082</v>
      </c>
      <c r="AY555" s="624"/>
      <c r="AZ555" s="224"/>
      <c r="BA555" s="224"/>
      <c r="BB555" s="224"/>
      <c r="BC555" s="224"/>
      <c r="BD555" s="224"/>
      <c r="BE555" s="224"/>
      <c r="BF555" s="224"/>
      <c r="BG555" s="224"/>
      <c r="BH555" s="817"/>
      <c r="BI555" s="817"/>
      <c r="BJ555" s="817"/>
      <c r="BK555" s="817"/>
      <c r="BL555" s="817"/>
      <c r="BM555" s="817"/>
      <c r="BN555" s="817"/>
      <c r="BO555" s="817"/>
      <c r="BP555" s="817"/>
      <c r="BQ555" s="817"/>
      <c r="BR555" s="817">
        <f t="shared" ref="BR555:BW555" si="653">IFERROR(IF(BR531="","",BR531/BQ532-1),"")</f>
        <v>0.27173627278913992</v>
      </c>
      <c r="BS555" s="817" t="str">
        <f t="shared" si="653"/>
        <v/>
      </c>
      <c r="BT555" s="817">
        <f t="shared" si="653"/>
        <v>0.36111208049787713</v>
      </c>
      <c r="BU555" s="817">
        <f t="shared" si="653"/>
        <v>-1.895208133707571E-2</v>
      </c>
      <c r="BV555" s="817">
        <f t="shared" si="653"/>
        <v>0.14090679107101511</v>
      </c>
      <c r="BW555" s="819">
        <f t="shared" si="653"/>
        <v>0.20543060888645082</v>
      </c>
      <c r="BX555" s="817"/>
      <c r="BY555" s="817"/>
      <c r="BZ555" s="817"/>
      <c r="CA555" s="817"/>
      <c r="CB555" s="817"/>
      <c r="CC555" s="24"/>
    </row>
    <row r="556" spans="1:81" s="709" customFormat="1" outlineLevel="2" x14ac:dyDescent="0.55000000000000004">
      <c r="A556" s="344" t="s">
        <v>761</v>
      </c>
      <c r="B556" s="434"/>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c r="AD556" s="332">
        <f>IFERROR(IF(BR531="","",(BR532-BR531)/BQ532),"")</f>
        <v>-5.6271714602957098E-3</v>
      </c>
      <c r="AE556" s="332"/>
      <c r="AF556" s="332"/>
      <c r="AG556" s="332"/>
      <c r="AH556" s="332" t="str">
        <f>IFERROR(IF(BS531="","",(BS532-BS531)/BR532),"")</f>
        <v/>
      </c>
      <c r="AI556" s="332"/>
      <c r="AJ556" s="332"/>
      <c r="AK556" s="332" t="str">
        <f>IFERROR(IF(BT529="","",(BT532-BT529)/BS532),"")</f>
        <v/>
      </c>
      <c r="AL556" s="332">
        <f>IFERROR(IF(BT531="","",(BT532-BT531)/BS532),"")</f>
        <v>1.0713662537079043E-2</v>
      </c>
      <c r="AM556" s="332"/>
      <c r="AN556" s="332"/>
      <c r="AO556" s="332"/>
      <c r="AP556" s="332">
        <f>IFERROR(IF(BU531="","",(BU532-BU531)/BT532),"")</f>
        <v>7.7589057822927358E-3</v>
      </c>
      <c r="AQ556" s="332"/>
      <c r="AR556" s="332"/>
      <c r="AS556" s="332"/>
      <c r="AT556" s="332">
        <f>IFERROR(IF(BV531="","",(BV532-BV531)/BU532),"")</f>
        <v>1.5967892701249476E-2</v>
      </c>
      <c r="AU556" s="332"/>
      <c r="AV556" s="332"/>
      <c r="AW556" s="332"/>
      <c r="AX556" s="332">
        <f>IFERROR(IF(BW531="","",(BW532-BW531)/BV532),"")</f>
        <v>1.3980519191709537E-2</v>
      </c>
      <c r="AY556" s="664"/>
      <c r="AZ556" s="332"/>
      <c r="BA556" s="332"/>
      <c r="BB556" s="332"/>
      <c r="BC556" s="332"/>
      <c r="BD556" s="332"/>
      <c r="BE556" s="332"/>
      <c r="BF556" s="332"/>
      <c r="BG556" s="332"/>
      <c r="BH556" s="993"/>
      <c r="BI556" s="993"/>
      <c r="BJ556" s="993"/>
      <c r="BK556" s="993"/>
      <c r="BL556" s="993"/>
      <c r="BM556" s="993"/>
      <c r="BN556" s="993"/>
      <c r="BO556" s="993"/>
      <c r="BP556" s="993"/>
      <c r="BQ556" s="993"/>
      <c r="BR556" s="993">
        <f t="shared" ref="BR556:BW556" si="654">IFERROR(IF(BR531="","",(BR532-BR531)/BQ532),"")</f>
        <v>-5.6271714602957098E-3</v>
      </c>
      <c r="BS556" s="993" t="str">
        <f t="shared" si="654"/>
        <v/>
      </c>
      <c r="BT556" s="993">
        <f t="shared" si="654"/>
        <v>1.0713662537079043E-2</v>
      </c>
      <c r="BU556" s="993">
        <f t="shared" si="654"/>
        <v>7.7589057822927358E-3</v>
      </c>
      <c r="BV556" s="993">
        <f t="shared" si="654"/>
        <v>1.5967892701249476E-2</v>
      </c>
      <c r="BW556" s="994">
        <f t="shared" si="654"/>
        <v>1.3980519191709537E-2</v>
      </c>
      <c r="BX556" s="993"/>
      <c r="BY556" s="993"/>
      <c r="BZ556" s="993"/>
      <c r="CA556" s="993"/>
      <c r="CB556" s="993"/>
      <c r="CC556" s="24"/>
    </row>
    <row r="557" spans="1:81" s="709" customFormat="1" outlineLevel="2" x14ac:dyDescent="0.55000000000000004">
      <c r="A557" s="267" t="s">
        <v>762</v>
      </c>
      <c r="B557" s="266"/>
      <c r="C557" s="441"/>
      <c r="D557" s="441"/>
      <c r="E557" s="441"/>
      <c r="F557" s="441"/>
      <c r="G557" s="441"/>
      <c r="H557" s="441"/>
      <c r="I557" s="441"/>
      <c r="J557" s="441"/>
      <c r="K557" s="441"/>
      <c r="L557" s="441"/>
      <c r="M557" s="441"/>
      <c r="N557" s="441"/>
      <c r="O557" s="441"/>
      <c r="P557" s="441"/>
      <c r="Q557" s="441"/>
      <c r="R557" s="441"/>
      <c r="S557" s="441"/>
      <c r="T557" s="441"/>
      <c r="U557" s="441"/>
      <c r="V557" s="441"/>
      <c r="W557" s="441"/>
      <c r="X557" s="441"/>
      <c r="Y557" s="441"/>
      <c r="Z557" s="441"/>
      <c r="AA557" s="441">
        <f>IF(ISBLANK(BR532),"N/A",BR532/BQ532-1)</f>
        <v>0.26610910132884413</v>
      </c>
      <c r="AB557" s="441">
        <f>IF(ISBLANK(BR532),"N/A",BR532/BQ532-1)</f>
        <v>0.26610910132884413</v>
      </c>
      <c r="AC557" s="441">
        <f>IF(ISBLANK(BR532),"N/A",BR532/BQ532-1)</f>
        <v>0.26610910132884413</v>
      </c>
      <c r="AD557" s="441">
        <f>IF(ISBLANK(BR532),"N/A",BR532/BQ532-1)</f>
        <v>0.26610910132884413</v>
      </c>
      <c r="AE557" s="441">
        <f>IF(ISBLANK(BS532),"N/A",BS532/BR532-1)</f>
        <v>0.21596390228722573</v>
      </c>
      <c r="AF557" s="441">
        <f>IF(ISBLANK(BS532),"N/A",BS532/BR532-1)</f>
        <v>0.21596390228722573</v>
      </c>
      <c r="AG557" s="441">
        <f>IF(ISBLANK(BS532),"N/A",BS532/BR532-1)</f>
        <v>0.21596390228722573</v>
      </c>
      <c r="AH557" s="441">
        <f>IF(ISBLANK(BS532),"N/A",BS532/BR532-1)</f>
        <v>0.21596390228722573</v>
      </c>
      <c r="AI557" s="441">
        <f>IF(ISBLANK(BT532),"N/A",BT532/BS532-1)</f>
        <v>0.37182574303495608</v>
      </c>
      <c r="AJ557" s="441">
        <f>IF(ISBLANK(BT532),"N/A",BT532/BS532-1)</f>
        <v>0.37182574303495608</v>
      </c>
      <c r="AK557" s="441">
        <f>IF(ISBLANK(BT532),"N/A",BT532/BS532-1)</f>
        <v>0.37182574303495608</v>
      </c>
      <c r="AL557" s="441">
        <f>IF(ISBLANK(BT532),"N/A",BT532/BS532-1)</f>
        <v>0.37182574303495608</v>
      </c>
      <c r="AM557" s="441">
        <f>IF(ISBLANK(BU532),"N/A",BU532/BT532-1)</f>
        <v>-1.1193175554782941E-2</v>
      </c>
      <c r="AN557" s="441">
        <f>IF(ISBLANK(BU532),"N/A",BU532/BT532-1)</f>
        <v>-1.1193175554782941E-2</v>
      </c>
      <c r="AO557" s="441">
        <f>IF(ISBLANK(BU532),"N/A",BU532/BT532-1)</f>
        <v>-1.1193175554782941E-2</v>
      </c>
      <c r="AP557" s="441">
        <f>IF(ISBLANK(BU532),"N/A",BU532/BT532-1)</f>
        <v>-1.1193175554782941E-2</v>
      </c>
      <c r="AQ557" s="441">
        <f>IF(ISBLANK(BV532),"N/A",BV532/BU532-1)</f>
        <v>0.15687468377226454</v>
      </c>
      <c r="AR557" s="441">
        <f>IF(ISBLANK(BV532),"N/A",BV532/BU532-1)</f>
        <v>0.15687468377226454</v>
      </c>
      <c r="AS557" s="441">
        <f>IF(ISBLANK(BV532),"N/A",BV532/BU532-1)</f>
        <v>0.15687468377226454</v>
      </c>
      <c r="AT557" s="441">
        <f>IF(ISBLANK(BV532),"N/A",BV532/BU532-1)</f>
        <v>0.15687468377226454</v>
      </c>
      <c r="AU557" s="441">
        <f>IF(ISBLANK(BW532),"N/A",BW532/BV532-1)</f>
        <v>0.21941112807816054</v>
      </c>
      <c r="AV557" s="441">
        <f>IF(ISBLANK(BW532),"N/A",BW532/BV532-1)</f>
        <v>0.21941112807816054</v>
      </c>
      <c r="AW557" s="441">
        <f>IF(ISBLANK(BW532),"N/A",BW532/BV532-1)</f>
        <v>0.21941112807816054</v>
      </c>
      <c r="AX557" s="441">
        <f>IF(ISBLANK(BW532),"N/A",BW532/BV532-1)</f>
        <v>0.21941112807816054</v>
      </c>
      <c r="AY557" s="660">
        <f>IF(ISBLANK(BX532),"N/A",BX532/BW532-1)</f>
        <v>0.14243006425492855</v>
      </c>
      <c r="AZ557" s="441"/>
      <c r="BA557" s="441"/>
      <c r="BB557" s="441"/>
      <c r="BC557" s="441"/>
      <c r="BD557" s="441"/>
      <c r="BE557" s="441"/>
      <c r="BF557" s="441"/>
      <c r="BG557" s="441"/>
      <c r="BH557" s="985"/>
      <c r="BI557" s="985"/>
      <c r="BJ557" s="985"/>
      <c r="BK557" s="985"/>
      <c r="BL557" s="985"/>
      <c r="BM557" s="985"/>
      <c r="BN557" s="985"/>
      <c r="BO557" s="985"/>
      <c r="BP557" s="985"/>
      <c r="BQ557" s="985"/>
      <c r="BR557" s="985">
        <f t="shared" ref="BR557:BW557" si="655">IF(ISBLANK(BR532),"N/A",BR532/BQ532-1)</f>
        <v>0.26610910132884413</v>
      </c>
      <c r="BS557" s="985">
        <f t="shared" si="655"/>
        <v>0.21596390228722573</v>
      </c>
      <c r="BT557" s="985">
        <f t="shared" si="655"/>
        <v>0.37182574303495608</v>
      </c>
      <c r="BU557" s="985">
        <f t="shared" si="655"/>
        <v>-1.1193175554782941E-2</v>
      </c>
      <c r="BV557" s="985">
        <f t="shared" si="655"/>
        <v>0.15687468377226454</v>
      </c>
      <c r="BW557" s="986">
        <f t="shared" si="655"/>
        <v>0.21941112807816054</v>
      </c>
      <c r="BX557" s="985"/>
      <c r="BY557" s="985"/>
      <c r="BZ557" s="985"/>
      <c r="CA557" s="985"/>
      <c r="CB557" s="985"/>
      <c r="CC557" s="24"/>
    </row>
    <row r="558" spans="1:81" outlineLevel="2" x14ac:dyDescent="0.55000000000000004">
      <c r="A558" s="37"/>
      <c r="B558" s="241"/>
      <c r="C558" s="600"/>
      <c r="D558" s="600"/>
      <c r="E558" s="600"/>
      <c r="F558" s="600"/>
      <c r="G558" s="600"/>
      <c r="H558" s="600"/>
      <c r="I558" s="600"/>
      <c r="J558" s="600"/>
      <c r="K558" s="600"/>
      <c r="L558" s="600"/>
      <c r="M558" s="600"/>
      <c r="N558" s="600"/>
      <c r="O558" s="600"/>
      <c r="P558" s="600"/>
      <c r="Q558" s="600"/>
      <c r="R558" s="600"/>
      <c r="S558" s="600"/>
      <c r="T558" s="600"/>
      <c r="U558" s="600"/>
      <c r="V558" s="600"/>
      <c r="W558" s="600"/>
      <c r="X558" s="600"/>
      <c r="Y558" s="600"/>
      <c r="Z558" s="600"/>
      <c r="AA558" s="600"/>
      <c r="AB558" s="600"/>
      <c r="AC558" s="600"/>
      <c r="AD558" s="600"/>
      <c r="AE558" s="600"/>
      <c r="AF558" s="600"/>
      <c r="AG558" s="600"/>
      <c r="AH558" s="600"/>
      <c r="AI558" s="600"/>
      <c r="AJ558" s="600"/>
      <c r="AK558" s="600"/>
      <c r="AL558" s="600"/>
      <c r="AM558" s="600"/>
      <c r="AN558" s="600"/>
      <c r="AO558" s="600"/>
      <c r="AP558" s="600"/>
      <c r="AQ558" s="600"/>
      <c r="AR558" s="600"/>
      <c r="AS558" s="600"/>
      <c r="AT558" s="600"/>
      <c r="AU558" s="600"/>
      <c r="AV558" s="600"/>
      <c r="AW558" s="600"/>
      <c r="AX558" s="600"/>
      <c r="AY558" s="604"/>
      <c r="AZ558" s="600"/>
      <c r="BA558" s="600"/>
      <c r="BB558" s="600"/>
      <c r="BC558" s="600"/>
      <c r="BD558" s="600"/>
      <c r="BE558" s="600"/>
      <c r="BF558" s="600"/>
      <c r="BG558" s="600"/>
      <c r="BH558" s="186"/>
      <c r="BI558" s="186"/>
      <c r="BJ558" s="186"/>
      <c r="BK558" s="186"/>
      <c r="BL558" s="186"/>
      <c r="BM558" s="186"/>
      <c r="BN558" s="186"/>
      <c r="BO558" s="186"/>
      <c r="BP558" s="186"/>
      <c r="BQ558" s="186"/>
      <c r="BR558" s="186"/>
      <c r="BS558" s="186"/>
      <c r="BT558" s="186"/>
      <c r="BU558" s="186"/>
      <c r="BV558" s="186"/>
      <c r="BW558" s="909"/>
      <c r="BX558" s="186"/>
      <c r="BY558" s="186"/>
      <c r="BZ558" s="186"/>
      <c r="CA558" s="186"/>
      <c r="CB558" s="186"/>
      <c r="CC558" s="358"/>
    </row>
    <row r="559" spans="1:81" ht="16.2" outlineLevel="2" x14ac:dyDescent="0.85">
      <c r="A559" s="435" t="s">
        <v>763</v>
      </c>
      <c r="B559" s="436"/>
      <c r="C559" s="613"/>
      <c r="D559" s="613"/>
      <c r="E559" s="613"/>
      <c r="F559" s="613"/>
      <c r="G559" s="613"/>
      <c r="H559" s="613"/>
      <c r="I559" s="613"/>
      <c r="J559" s="613"/>
      <c r="K559" s="613"/>
      <c r="L559" s="613"/>
      <c r="M559" s="613"/>
      <c r="N559" s="613"/>
      <c r="O559" s="613"/>
      <c r="P559" s="613"/>
      <c r="Q559" s="613"/>
      <c r="R559" s="613"/>
      <c r="S559" s="613"/>
      <c r="T559" s="613"/>
      <c r="U559" s="613"/>
      <c r="V559" s="613"/>
      <c r="W559" s="613"/>
      <c r="X559" s="613"/>
      <c r="Y559" s="613"/>
      <c r="Z559" s="613"/>
      <c r="AA559" s="613"/>
      <c r="AB559" s="613"/>
      <c r="AC559" s="613" t="str">
        <f>BR$5</f>
        <v>FY2019</v>
      </c>
      <c r="AD559" s="613" t="str">
        <f>BS$5</f>
        <v>FY2020</v>
      </c>
      <c r="AE559" s="613" t="str">
        <f>BS$5</f>
        <v>FY2020</v>
      </c>
      <c r="AF559" s="613" t="str">
        <f>BS$5</f>
        <v>FY2020</v>
      </c>
      <c r="AG559" s="613" t="str">
        <f>BS$5</f>
        <v>FY2020</v>
      </c>
      <c r="AH559" s="613" t="str">
        <f>BT$5</f>
        <v>FY2021</v>
      </c>
      <c r="AI559" s="613" t="str">
        <f>BT$5</f>
        <v>FY2021</v>
      </c>
      <c r="AJ559" s="613" t="str">
        <f>BT$5</f>
        <v>FY2021</v>
      </c>
      <c r="AK559" s="613" t="str">
        <f>BT$5</f>
        <v>FY2021</v>
      </c>
      <c r="AL559" s="613" t="str">
        <f>BU$5</f>
        <v>FY2022</v>
      </c>
      <c r="AM559" s="613" t="str">
        <f>BU$5</f>
        <v>FY2022</v>
      </c>
      <c r="AN559" s="613" t="str">
        <f>BU$5</f>
        <v>FY2022</v>
      </c>
      <c r="AO559" s="613" t="str">
        <f>BU$5</f>
        <v>FY2022</v>
      </c>
      <c r="AP559" s="613" t="str">
        <f>BV$5</f>
        <v>FY2023</v>
      </c>
      <c r="AQ559" s="613" t="str">
        <f>BV$5</f>
        <v>FY2023</v>
      </c>
      <c r="AR559" s="613" t="str">
        <f>BV$5</f>
        <v>FY2023</v>
      </c>
      <c r="AS559" s="613" t="str">
        <f>BV$5</f>
        <v>FY2023</v>
      </c>
      <c r="AT559" s="613" t="str">
        <f>BW$5</f>
        <v>FY2024</v>
      </c>
      <c r="AU559" s="613" t="str">
        <f>BW$5</f>
        <v>FY2024</v>
      </c>
      <c r="AV559" s="613" t="str">
        <f>BW$5</f>
        <v>FY2024</v>
      </c>
      <c r="AW559" s="613" t="str">
        <f>BW$5</f>
        <v>FY2024</v>
      </c>
      <c r="AX559" s="613" t="str">
        <f>BX$5</f>
        <v>FY2025</v>
      </c>
      <c r="AY559" s="663" t="str">
        <f>BX$5</f>
        <v>FY2025</v>
      </c>
      <c r="AZ559" s="613"/>
      <c r="BA559" s="613"/>
      <c r="BB559" s="613"/>
      <c r="BC559" s="613"/>
      <c r="BD559" s="613"/>
      <c r="BE559" s="613"/>
      <c r="BF559" s="613"/>
      <c r="BG559" s="613"/>
      <c r="BH559" s="991"/>
      <c r="BI559" s="991"/>
      <c r="BJ559" s="991"/>
      <c r="BK559" s="991"/>
      <c r="BL559" s="991"/>
      <c r="BM559" s="991"/>
      <c r="BN559" s="991"/>
      <c r="BO559" s="991"/>
      <c r="BP559" s="991"/>
      <c r="BQ559" s="991"/>
      <c r="BR559" s="991" t="str">
        <f t="shared" ref="BR559:BW559" si="656">BS$5</f>
        <v>FY2020</v>
      </c>
      <c r="BS559" s="991" t="str">
        <f t="shared" si="656"/>
        <v>FY2021</v>
      </c>
      <c r="BT559" s="991" t="str">
        <f t="shared" si="656"/>
        <v>FY2022</v>
      </c>
      <c r="BU559" s="991" t="str">
        <f t="shared" si="656"/>
        <v>FY2023</v>
      </c>
      <c r="BV559" s="991" t="str">
        <f t="shared" si="656"/>
        <v>FY2024</v>
      </c>
      <c r="BW559" s="992" t="str">
        <f t="shared" si="656"/>
        <v>FY2025</v>
      </c>
      <c r="BX559" s="991"/>
      <c r="BY559" s="991"/>
      <c r="BZ559" s="991"/>
      <c r="CA559" s="991"/>
      <c r="CB559" s="991"/>
      <c r="CC559" s="358"/>
    </row>
    <row r="560" spans="1:81" s="706" customFormat="1" outlineLevel="3" x14ac:dyDescent="0.55000000000000004">
      <c r="A560" s="86" t="s">
        <v>764</v>
      </c>
      <c r="B560" s="8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f>SUM(AA$532,AB$532,AC$532,AC545)</f>
        <v>70757.5</v>
      </c>
      <c r="AD560" s="37"/>
      <c r="AE560" s="37"/>
      <c r="AF560" s="37"/>
      <c r="AG560" s="37"/>
      <c r="AH560" s="37"/>
      <c r="AI560" s="37"/>
      <c r="AJ560" s="37"/>
      <c r="AK560" s="37">
        <f>SUM(AI$532,AJ$532,AK$532,AK545)</f>
        <v>115758</v>
      </c>
      <c r="AL560" s="37"/>
      <c r="AM560" s="37"/>
      <c r="AN560" s="37"/>
      <c r="AO560" s="200">
        <f>SUM(AM$532,AN$532,AO$532,AO545)</f>
        <v>114444</v>
      </c>
      <c r="AP560" s="37"/>
      <c r="AQ560" s="37"/>
      <c r="AR560" s="37"/>
      <c r="AS560" s="200">
        <f>SUM(AQ$532,AR$532,AS$532,AS545)</f>
        <v>131290</v>
      </c>
      <c r="AT560" s="37"/>
      <c r="AU560" s="37"/>
      <c r="AV560" s="37"/>
      <c r="AW560" s="200">
        <f>SUM(AU$532,AV$532,AW$532,AW545)</f>
        <v>161115</v>
      </c>
      <c r="AX560" s="37"/>
      <c r="AY560" s="273"/>
      <c r="AZ560" s="37"/>
      <c r="BA560" s="37"/>
      <c r="BB560" s="37"/>
      <c r="BC560" s="37"/>
      <c r="BD560" s="37"/>
      <c r="BE560" s="37"/>
      <c r="BF560" s="37"/>
      <c r="BG560" s="37"/>
      <c r="BH560" s="158"/>
      <c r="BI560" s="158"/>
      <c r="BJ560" s="158"/>
      <c r="BK560" s="158"/>
      <c r="BL560" s="158"/>
      <c r="BM560" s="158"/>
      <c r="BN560" s="158"/>
      <c r="BO560" s="158"/>
      <c r="BP560" s="158"/>
      <c r="BQ560" s="158"/>
      <c r="BR560" s="158"/>
      <c r="BS560" s="158"/>
      <c r="BT560" s="158"/>
      <c r="BU560" s="158"/>
      <c r="BV560" s="158"/>
      <c r="BW560" s="846"/>
      <c r="BX560" s="158"/>
      <c r="BY560" s="158"/>
      <c r="BZ560" s="158"/>
      <c r="CA560" s="158"/>
      <c r="CB560" s="158"/>
      <c r="CC560" s="117"/>
    </row>
    <row r="561" spans="1:81" s="706" customFormat="1" outlineLevel="3" x14ac:dyDescent="0.55000000000000004">
      <c r="A561" s="315" t="s">
        <v>765</v>
      </c>
      <c r="B561" s="244"/>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f>SUM(AA$532,AB$532,AC$532,AC546)</f>
        <v>71264.92</v>
      </c>
      <c r="AD561" s="82"/>
      <c r="AE561" s="82"/>
      <c r="AF561" s="82"/>
      <c r="AG561" s="82"/>
      <c r="AH561" s="82"/>
      <c r="AI561" s="82"/>
      <c r="AJ561" s="82"/>
      <c r="AK561" s="82">
        <f>SUM(AI$532,AJ$532,AK$532,AK546)</f>
        <v>118258</v>
      </c>
      <c r="AL561" s="82"/>
      <c r="AM561" s="82"/>
      <c r="AN561" s="82"/>
      <c r="AO561" s="320">
        <f>SUM(AM$532,AN$532,AO$532,AO546)</f>
        <v>116944</v>
      </c>
      <c r="AP561" s="82"/>
      <c r="AQ561" s="82"/>
      <c r="AR561" s="82"/>
      <c r="AS561" s="320">
        <f>SUM(AQ$532,AR$532,AS$532,AS546)</f>
        <v>134790</v>
      </c>
      <c r="AT561" s="82"/>
      <c r="AU561" s="82"/>
      <c r="AV561" s="82"/>
      <c r="AW561" s="320">
        <f>SUM(AU$532,AV$532,AW$532,AW546)</f>
        <v>164115</v>
      </c>
      <c r="AX561" s="82"/>
      <c r="AY561" s="406"/>
      <c r="AZ561" s="82"/>
      <c r="BA561" s="82"/>
      <c r="BB561" s="82"/>
      <c r="BC561" s="82"/>
      <c r="BD561" s="82"/>
      <c r="BE561" s="82"/>
      <c r="BF561" s="82"/>
      <c r="BG561" s="82"/>
      <c r="BH561" s="854"/>
      <c r="BI561" s="854"/>
      <c r="BJ561" s="854"/>
      <c r="BK561" s="854"/>
      <c r="BL561" s="854"/>
      <c r="BM561" s="854"/>
      <c r="BN561" s="854"/>
      <c r="BO561" s="854"/>
      <c r="BP561" s="854"/>
      <c r="BQ561" s="854"/>
      <c r="BR561" s="854"/>
      <c r="BS561" s="854"/>
      <c r="BT561" s="854"/>
      <c r="BU561" s="854"/>
      <c r="BV561" s="854"/>
      <c r="BW561" s="855"/>
      <c r="BX561" s="854"/>
      <c r="BY561" s="854"/>
      <c r="BZ561" s="854"/>
      <c r="CA561" s="854"/>
      <c r="CB561" s="854"/>
      <c r="CC561" s="117"/>
    </row>
    <row r="562" spans="1:81" s="706" customFormat="1" outlineLevel="2" x14ac:dyDescent="0.55000000000000004">
      <c r="A562" s="35" t="s">
        <v>766</v>
      </c>
      <c r="B562" s="193"/>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c r="AA562" s="212"/>
      <c r="AB562" s="212"/>
      <c r="AC562" s="212">
        <f t="shared" ref="AC562:AK562" si="657">IFERROR(AVERAGE(AC561,AC560),"NR")</f>
        <v>71011.209999999992</v>
      </c>
      <c r="AD562" s="212" t="str">
        <f t="shared" si="657"/>
        <v>NR</v>
      </c>
      <c r="AE562" s="212" t="str">
        <f t="shared" si="657"/>
        <v>NR</v>
      </c>
      <c r="AF562" s="212" t="str">
        <f t="shared" si="657"/>
        <v>NR</v>
      </c>
      <c r="AG562" s="212" t="str">
        <f t="shared" si="657"/>
        <v>NR</v>
      </c>
      <c r="AH562" s="212" t="str">
        <f t="shared" si="657"/>
        <v>NR</v>
      </c>
      <c r="AI562" s="212" t="str">
        <f t="shared" si="657"/>
        <v>NR</v>
      </c>
      <c r="AJ562" s="212" t="str">
        <f t="shared" si="657"/>
        <v>NR</v>
      </c>
      <c r="AK562" s="212">
        <f t="shared" si="657"/>
        <v>117008</v>
      </c>
      <c r="AL562" s="212"/>
      <c r="AM562" s="212"/>
      <c r="AN562" s="212"/>
      <c r="AO562" s="212">
        <f>IFERROR(AVERAGE(AO561,AO560),"NR")</f>
        <v>115694</v>
      </c>
      <c r="AP562" s="212"/>
      <c r="AQ562" s="212"/>
      <c r="AR562" s="212"/>
      <c r="AS562" s="212">
        <f>IFERROR(AVERAGE(AS561,AS560),"NR")</f>
        <v>133040</v>
      </c>
      <c r="AT562" s="212"/>
      <c r="AU562" s="212"/>
      <c r="AV562" s="212"/>
      <c r="AW562" s="212">
        <f>IFERROR(AVERAGE(AW561,AW560),"NR")</f>
        <v>162615</v>
      </c>
      <c r="AX562" s="212"/>
      <c r="AY562" s="629"/>
      <c r="AZ562" s="212"/>
      <c r="BA562" s="212"/>
      <c r="BB562" s="212"/>
      <c r="BC562" s="212"/>
      <c r="BD562" s="212"/>
      <c r="BE562" s="212"/>
      <c r="BF562" s="212"/>
      <c r="BG562" s="212"/>
      <c r="BH562" s="827"/>
      <c r="BI562" s="827"/>
      <c r="BJ562" s="827"/>
      <c r="BK562" s="827"/>
      <c r="BL562" s="827"/>
      <c r="BM562" s="827"/>
      <c r="BN562" s="827"/>
      <c r="BO562" s="827"/>
      <c r="BP562" s="827"/>
      <c r="BQ562" s="827"/>
      <c r="BR562" s="827" t="str">
        <f>IFERROR(AVERAGE(BR561,BR560),"NR")</f>
        <v>NR</v>
      </c>
      <c r="BS562" s="827" t="str">
        <f>IFERROR(AVERAGE(BS561,BS560),"NR")</f>
        <v>NR</v>
      </c>
      <c r="BT562" s="827"/>
      <c r="BU562" s="827"/>
      <c r="BV562" s="827"/>
      <c r="BW562" s="845"/>
      <c r="BX562" s="827"/>
      <c r="BY562" s="827"/>
      <c r="BZ562" s="827"/>
      <c r="CA562" s="827"/>
      <c r="CB562" s="827"/>
      <c r="CC562" s="117"/>
    </row>
    <row r="563" spans="1:81" s="706" customFormat="1" outlineLevel="2" x14ac:dyDescent="0.55000000000000004">
      <c r="A563" s="86" t="s">
        <v>767</v>
      </c>
      <c r="B563" s="8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f>IF(OR(ISBLANK(AC560),ISBLANK(AC561)),"",ABS(AC561-AC560))</f>
        <v>507.41999999999825</v>
      </c>
      <c r="AD563" s="37"/>
      <c r="AE563" s="37"/>
      <c r="AF563" s="37"/>
      <c r="AG563" s="37"/>
      <c r="AH563" s="37"/>
      <c r="AI563" s="37"/>
      <c r="AJ563" s="37"/>
      <c r="AK563" s="37">
        <f>IF(OR(ISBLANK(AK560),ISBLANK(AK561)),"",ABS(AK561-AK560))</f>
        <v>2500</v>
      </c>
      <c r="AL563" s="37"/>
      <c r="AM563" s="37"/>
      <c r="AN563" s="37"/>
      <c r="AO563" s="37">
        <f>IF(OR(ISBLANK(AO560),ISBLANK(AO561)),"",ABS(AO561-AO560))</f>
        <v>2500</v>
      </c>
      <c r="AP563" s="37"/>
      <c r="AQ563" s="37"/>
      <c r="AR563" s="37"/>
      <c r="AS563" s="37">
        <f>IF(OR(ISBLANK(AS560),ISBLANK(AS561)),"",ABS(AS561-AS560))</f>
        <v>3500</v>
      </c>
      <c r="AT563" s="37"/>
      <c r="AU563" s="37"/>
      <c r="AV563" s="37"/>
      <c r="AW563" s="37">
        <f>IF(OR(ISBLANK(AW560),ISBLANK(AW561)),"",ABS(AW561-AW560))</f>
        <v>3000</v>
      </c>
      <c r="AX563" s="37"/>
      <c r="AY563" s="273"/>
      <c r="AZ563" s="37"/>
      <c r="BA563" s="37"/>
      <c r="BB563" s="37"/>
      <c r="BC563" s="37"/>
      <c r="BD563" s="37"/>
      <c r="BE563" s="37"/>
      <c r="BF563" s="37"/>
      <c r="BG563" s="37"/>
      <c r="BH563" s="158"/>
      <c r="BI563" s="158"/>
      <c r="BJ563" s="158"/>
      <c r="BK563" s="158"/>
      <c r="BL563" s="158"/>
      <c r="BM563" s="158"/>
      <c r="BN563" s="158"/>
      <c r="BO563" s="158"/>
      <c r="BP563" s="158"/>
      <c r="BQ563" s="158"/>
      <c r="BR563" s="158"/>
      <c r="BS563" s="158"/>
      <c r="BT563" s="158"/>
      <c r="BU563" s="158"/>
      <c r="BV563" s="158"/>
      <c r="BW563" s="846"/>
      <c r="BX563" s="158"/>
      <c r="BY563" s="158"/>
      <c r="BZ563" s="158"/>
      <c r="CA563" s="158"/>
      <c r="CB563" s="158"/>
      <c r="CC563" s="117"/>
    </row>
    <row r="564" spans="1:81" s="709" customFormat="1" outlineLevel="2" x14ac:dyDescent="0.55000000000000004">
      <c r="A564" s="321" t="s">
        <v>768</v>
      </c>
      <c r="B564" s="439"/>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f>IFERROR(ABS(AC561-AC562)/AC562,"")</f>
        <v>3.5728161793047385E-3</v>
      </c>
      <c r="AD564" s="55"/>
      <c r="AE564" s="55"/>
      <c r="AF564" s="55"/>
      <c r="AG564" s="55"/>
      <c r="AH564" s="55"/>
      <c r="AI564" s="55"/>
      <c r="AJ564" s="55"/>
      <c r="AK564" s="55">
        <f>IFERROR(ABS(AK561-AK562)/AK562,"")</f>
        <v>1.0683030220155886E-2</v>
      </c>
      <c r="AL564" s="55"/>
      <c r="AM564" s="55"/>
      <c r="AN564" s="55"/>
      <c r="AO564" s="55">
        <f>IFERROR(ABS(AO561-AO562)/AO562,"")</f>
        <v>1.0804363234048438E-2</v>
      </c>
      <c r="AP564" s="55"/>
      <c r="AQ564" s="55"/>
      <c r="AR564" s="55"/>
      <c r="AS564" s="55">
        <f>IFERROR(ABS(AS561-AS562)/AS562,"")</f>
        <v>1.3153938665063139E-2</v>
      </c>
      <c r="AT564" s="55"/>
      <c r="AU564" s="55"/>
      <c r="AV564" s="55"/>
      <c r="AW564" s="55">
        <f>IFERROR(ABS(AW561-AW562)/AW562,"")</f>
        <v>9.2242413061525697E-3</v>
      </c>
      <c r="AX564" s="55"/>
      <c r="AY564" s="275"/>
      <c r="AZ564" s="55"/>
      <c r="BA564" s="55"/>
      <c r="BB564" s="55"/>
      <c r="BC564" s="55"/>
      <c r="BD564" s="55"/>
      <c r="BE564" s="55"/>
      <c r="BF564" s="55"/>
      <c r="BG564" s="55"/>
      <c r="BH564" s="156"/>
      <c r="BI564" s="156"/>
      <c r="BJ564" s="156"/>
      <c r="BK564" s="156"/>
      <c r="BL564" s="156"/>
      <c r="BM564" s="156"/>
      <c r="BN564" s="156"/>
      <c r="BO564" s="156"/>
      <c r="BP564" s="156"/>
      <c r="BQ564" s="156"/>
      <c r="BR564" s="156"/>
      <c r="BS564" s="156"/>
      <c r="BT564" s="156"/>
      <c r="BU564" s="156"/>
      <c r="BV564" s="156"/>
      <c r="BW564" s="856"/>
      <c r="BX564" s="156"/>
      <c r="BY564" s="156"/>
      <c r="BZ564" s="156"/>
      <c r="CA564" s="156"/>
      <c r="CB564" s="156"/>
      <c r="CC564" s="24"/>
    </row>
    <row r="565" spans="1:81" s="709" customFormat="1" outlineLevel="3" x14ac:dyDescent="0.55000000000000004">
      <c r="A565" s="327" t="s">
        <v>769</v>
      </c>
      <c r="B565" s="75"/>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f>AC560/BQ$532-1</f>
        <v>0.26719259285791042</v>
      </c>
      <c r="AD565" s="54"/>
      <c r="AE565" s="54"/>
      <c r="AF565" s="54"/>
      <c r="AG565" s="54"/>
      <c r="AH565" s="54"/>
      <c r="AI565" s="54"/>
      <c r="AJ565" s="54"/>
      <c r="AK565" s="54">
        <f>AK560/BS$532-1</f>
        <v>0.34657127900889906</v>
      </c>
      <c r="AL565" s="54"/>
      <c r="AM565" s="54"/>
      <c r="AN565" s="54"/>
      <c r="AO565" s="54">
        <f>AO560/BT$532-1</f>
        <v>-2.955167940031711E-2</v>
      </c>
      <c r="AP565" s="54"/>
      <c r="AQ565" s="54"/>
      <c r="AR565" s="54"/>
      <c r="AS565" s="54">
        <f>AS560/BU$532-1</f>
        <v>0.12589937311871302</v>
      </c>
      <c r="AT565" s="54"/>
      <c r="AU565" s="54"/>
      <c r="AV565" s="54"/>
      <c r="AW565" s="54">
        <f>AW560/BV$532-1</f>
        <v>0.19431142607225982</v>
      </c>
      <c r="AX565" s="54"/>
      <c r="AY565" s="623"/>
      <c r="AZ565" s="54"/>
      <c r="BA565" s="54"/>
      <c r="BB565" s="54"/>
      <c r="BC565" s="54"/>
      <c r="BD565" s="54"/>
      <c r="BE565" s="54"/>
      <c r="BF565" s="54"/>
      <c r="BG565" s="54"/>
      <c r="BH565" s="815"/>
      <c r="BI565" s="815"/>
      <c r="BJ565" s="815"/>
      <c r="BK565" s="815"/>
      <c r="BL565" s="815"/>
      <c r="BM565" s="815"/>
      <c r="BN565" s="815"/>
      <c r="BO565" s="815"/>
      <c r="BP565" s="815"/>
      <c r="BQ565" s="815"/>
      <c r="BR565" s="815"/>
      <c r="BS565" s="815"/>
      <c r="BT565" s="815"/>
      <c r="BU565" s="815"/>
      <c r="BV565" s="815"/>
      <c r="BW565" s="816"/>
      <c r="BX565" s="815"/>
      <c r="BY565" s="815"/>
      <c r="BZ565" s="815"/>
      <c r="CA565" s="815"/>
      <c r="CB565" s="815"/>
      <c r="CC565" s="24"/>
    </row>
    <row r="566" spans="1:81" s="709" customFormat="1" outlineLevel="3" x14ac:dyDescent="0.55000000000000004">
      <c r="A566" s="333" t="s">
        <v>770</v>
      </c>
      <c r="B566" s="43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f>AC561/BQ$532-1</f>
        <v>0.27627995272036965</v>
      </c>
      <c r="AD566" s="404"/>
      <c r="AE566" s="404"/>
      <c r="AF566" s="404"/>
      <c r="AG566" s="404"/>
      <c r="AH566" s="404"/>
      <c r="AI566" s="404"/>
      <c r="AJ566" s="404"/>
      <c r="AK566" s="404">
        <f>AK561/BS$532-1</f>
        <v>0.3756528819868552</v>
      </c>
      <c r="AL566" s="404"/>
      <c r="AM566" s="404"/>
      <c r="AN566" s="404"/>
      <c r="AO566" s="404">
        <f>AO561/BT$532-1</f>
        <v>-8.3524832738343102E-3</v>
      </c>
      <c r="AP566" s="404"/>
      <c r="AQ566" s="404"/>
      <c r="AR566" s="404"/>
      <c r="AS566" s="404">
        <f>AS561/BU$532-1</f>
        <v>0.15591420902331721</v>
      </c>
      <c r="AT566" s="404"/>
      <c r="AU566" s="404"/>
      <c r="AV566" s="404"/>
      <c r="AW566" s="404">
        <f>AW561/BV$532-1</f>
        <v>0.21654979170064204</v>
      </c>
      <c r="AX566" s="404"/>
      <c r="AY566" s="651"/>
      <c r="AZ566" s="404"/>
      <c r="BA566" s="404"/>
      <c r="BB566" s="404"/>
      <c r="BC566" s="404"/>
      <c r="BD566" s="404"/>
      <c r="BE566" s="404"/>
      <c r="BF566" s="404"/>
      <c r="BG566" s="404"/>
      <c r="BH566" s="946"/>
      <c r="BI566" s="946"/>
      <c r="BJ566" s="946"/>
      <c r="BK566" s="946"/>
      <c r="BL566" s="946"/>
      <c r="BM566" s="946"/>
      <c r="BN566" s="946"/>
      <c r="BO566" s="946"/>
      <c r="BP566" s="946"/>
      <c r="BQ566" s="946"/>
      <c r="BR566" s="946"/>
      <c r="BS566" s="946"/>
      <c r="BT566" s="946"/>
      <c r="BU566" s="946"/>
      <c r="BV566" s="946"/>
      <c r="BW566" s="947"/>
      <c r="BX566" s="946"/>
      <c r="BY566" s="946"/>
      <c r="BZ566" s="946"/>
      <c r="CA566" s="946"/>
      <c r="CB566" s="946"/>
      <c r="CC566" s="24"/>
    </row>
    <row r="567" spans="1:81" s="709" customFormat="1" outlineLevel="2" x14ac:dyDescent="0.55000000000000004">
      <c r="A567" s="79" t="s">
        <v>771</v>
      </c>
      <c r="B567" s="75"/>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f>AC562/BQ$532-1</f>
        <v>0.27173627278913992</v>
      </c>
      <c r="AD567" s="54"/>
      <c r="AE567" s="54"/>
      <c r="AF567" s="54"/>
      <c r="AG567" s="54"/>
      <c r="AH567" s="54"/>
      <c r="AI567" s="54"/>
      <c r="AJ567" s="54"/>
      <c r="AK567" s="54">
        <f>AK562/BS$532-1</f>
        <v>0.36111208049787713</v>
      </c>
      <c r="AL567" s="54"/>
      <c r="AM567" s="54"/>
      <c r="AN567" s="54"/>
      <c r="AO567" s="54">
        <f>AO562/BT$532-1</f>
        <v>-1.895208133707571E-2</v>
      </c>
      <c r="AP567" s="54"/>
      <c r="AQ567" s="54"/>
      <c r="AR567" s="54"/>
      <c r="AS567" s="54">
        <f>AS562/BU$532-1</f>
        <v>0.14090679107101511</v>
      </c>
      <c r="AT567" s="54"/>
      <c r="AU567" s="54"/>
      <c r="AV567" s="54"/>
      <c r="AW567" s="54">
        <f>AW562/BV$532-1</f>
        <v>0.20543060888645082</v>
      </c>
      <c r="AX567" s="54"/>
      <c r="AY567" s="623"/>
      <c r="AZ567" s="54"/>
      <c r="BA567" s="54"/>
      <c r="BB567" s="54"/>
      <c r="BC567" s="54"/>
      <c r="BD567" s="54"/>
      <c r="BE567" s="54"/>
      <c r="BF567" s="54"/>
      <c r="BG567" s="54"/>
      <c r="BH567" s="815"/>
      <c r="BI567" s="815"/>
      <c r="BJ567" s="815"/>
      <c r="BK567" s="815"/>
      <c r="BL567" s="815"/>
      <c r="BM567" s="815"/>
      <c r="BN567" s="815"/>
      <c r="BO567" s="815"/>
      <c r="BP567" s="815"/>
      <c r="BQ567" s="815"/>
      <c r="BR567" s="815"/>
      <c r="BS567" s="815"/>
      <c r="BT567" s="815"/>
      <c r="BU567" s="815"/>
      <c r="BV567" s="815"/>
      <c r="BW567" s="816"/>
      <c r="BX567" s="815"/>
      <c r="BY567" s="815"/>
      <c r="BZ567" s="815"/>
      <c r="CA567" s="815"/>
      <c r="CB567" s="815"/>
      <c r="CC567" s="24"/>
    </row>
    <row r="568" spans="1:81" outlineLevel="1" x14ac:dyDescent="0.55000000000000004">
      <c r="A568" s="37"/>
      <c r="B568" s="241"/>
      <c r="C568" s="600"/>
      <c r="D568" s="600"/>
      <c r="E568" s="600"/>
      <c r="F568" s="600"/>
      <c r="G568" s="600"/>
      <c r="H568" s="600"/>
      <c r="I568" s="600"/>
      <c r="J568" s="600"/>
      <c r="K568" s="600"/>
      <c r="L568" s="600"/>
      <c r="M568" s="600"/>
      <c r="N568" s="600"/>
      <c r="O568" s="600"/>
      <c r="P568" s="600"/>
      <c r="Q568" s="600"/>
      <c r="R568" s="600"/>
      <c r="S568" s="600"/>
      <c r="T568" s="600"/>
      <c r="U568" s="600"/>
      <c r="V568" s="600"/>
      <c r="W568" s="600"/>
      <c r="X568" s="600"/>
      <c r="Y568" s="600"/>
      <c r="Z568" s="600"/>
      <c r="AA568" s="600"/>
      <c r="AB568" s="600"/>
      <c r="AC568" s="600"/>
      <c r="AD568" s="600"/>
      <c r="AE568" s="600"/>
      <c r="AF568" s="600"/>
      <c r="AG568" s="600"/>
      <c r="AH568" s="600"/>
      <c r="AI568" s="600"/>
      <c r="AJ568" s="600"/>
      <c r="AK568" s="600"/>
      <c r="AL568" s="600"/>
      <c r="AM568" s="600"/>
      <c r="AN568" s="600"/>
      <c r="AO568" s="600"/>
      <c r="AP568" s="600"/>
      <c r="AQ568" s="600"/>
      <c r="AR568" s="600"/>
      <c r="AS568" s="600"/>
      <c r="AT568" s="600"/>
      <c r="AU568" s="600"/>
      <c r="AV568" s="600"/>
      <c r="AW568" s="600"/>
      <c r="AX568" s="600"/>
      <c r="AY568" s="604"/>
      <c r="AZ568" s="600"/>
      <c r="BA568" s="600"/>
      <c r="BB568" s="600"/>
      <c r="BC568" s="600"/>
      <c r="BD568" s="600"/>
      <c r="BE568" s="600"/>
      <c r="BF568" s="600"/>
      <c r="BG568" s="600"/>
      <c r="BH568" s="186"/>
      <c r="BI568" s="186"/>
      <c r="BJ568" s="186"/>
      <c r="BK568" s="186"/>
      <c r="BL568" s="186"/>
      <c r="BM568" s="186"/>
      <c r="BN568" s="186"/>
      <c r="BO568" s="186"/>
      <c r="BP568" s="186"/>
      <c r="BQ568" s="186"/>
      <c r="BR568" s="186"/>
      <c r="BS568" s="186"/>
      <c r="BT568" s="186"/>
      <c r="BU568" s="186"/>
      <c r="BV568" s="186"/>
      <c r="BW568" s="909"/>
      <c r="BX568" s="186"/>
      <c r="BY568" s="186"/>
      <c r="BZ568" s="186"/>
      <c r="CA568" s="186"/>
      <c r="CB568" s="186"/>
      <c r="CC568" s="358"/>
    </row>
    <row r="569" spans="1:81" outlineLevel="1" x14ac:dyDescent="0.55000000000000004">
      <c r="A569" s="598" t="s">
        <v>734</v>
      </c>
      <c r="B569" s="598"/>
      <c r="C569" s="598"/>
      <c r="D569" s="598"/>
      <c r="E569" s="598"/>
      <c r="F569" s="598"/>
      <c r="G569" s="598"/>
      <c r="H569" s="598"/>
      <c r="I569" s="598"/>
      <c r="J569" s="598"/>
      <c r="K569" s="598"/>
      <c r="L569" s="598"/>
      <c r="M569" s="598"/>
      <c r="N569" s="598"/>
      <c r="O569" s="598"/>
      <c r="P569" s="598"/>
      <c r="Q569" s="598"/>
      <c r="R569" s="598"/>
      <c r="S569" s="598"/>
      <c r="T569" s="598"/>
      <c r="U569" s="598"/>
      <c r="V569" s="598"/>
      <c r="W569" s="598"/>
      <c r="X569" s="598"/>
      <c r="Y569" s="598"/>
      <c r="Z569" s="598"/>
      <c r="AA569" s="598"/>
      <c r="AB569" s="598"/>
      <c r="AC569" s="598"/>
      <c r="AD569" s="598"/>
      <c r="AE569" s="598"/>
      <c r="AF569" s="598"/>
      <c r="AG569" s="598"/>
      <c r="AH569" s="598"/>
      <c r="AI569" s="598"/>
      <c r="AJ569" s="598"/>
      <c r="AK569" s="598"/>
      <c r="AL569" s="598"/>
      <c r="AM569" s="598"/>
      <c r="AN569" s="598"/>
      <c r="AO569" s="598"/>
      <c r="AP569" s="598"/>
      <c r="AQ569" s="598"/>
      <c r="AR569" s="598"/>
      <c r="AS569" s="598"/>
      <c r="AT569" s="598"/>
      <c r="AU569" s="598"/>
      <c r="AV569" s="598"/>
      <c r="AW569" s="598"/>
      <c r="AX569" s="598"/>
      <c r="AY569" s="599"/>
      <c r="AZ569" s="598"/>
      <c r="BA569" s="598"/>
      <c r="BB569" s="598"/>
      <c r="BC569" s="598"/>
      <c r="BD569" s="598"/>
      <c r="BE569" s="598"/>
      <c r="BF569" s="598"/>
      <c r="BG569" s="598"/>
      <c r="BH569" s="598"/>
      <c r="BI569" s="598"/>
      <c r="BJ569" s="598"/>
      <c r="BK569" s="598"/>
      <c r="BL569" s="598"/>
      <c r="BM569" s="598"/>
      <c r="BN569" s="598"/>
      <c r="BO569" s="598"/>
      <c r="BP569" s="598"/>
      <c r="BQ569" s="598"/>
      <c r="BR569" s="598"/>
      <c r="BS569" s="598"/>
      <c r="BT569" s="598"/>
      <c r="BU569" s="598"/>
      <c r="BV569" s="598"/>
      <c r="BW569" s="599"/>
      <c r="BX569" s="598"/>
      <c r="BY569" s="598"/>
      <c r="BZ569" s="598"/>
      <c r="CA569" s="598"/>
      <c r="CB569" s="598"/>
      <c r="CC569" s="217"/>
    </row>
    <row r="570" spans="1:81" s="706" customFormat="1" outlineLevel="2" x14ac:dyDescent="0.55000000000000004">
      <c r="A570" s="86" t="s">
        <v>777</v>
      </c>
      <c r="B570" s="87"/>
      <c r="C570" s="200"/>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200"/>
      <c r="AD570" s="200">
        <f>AC587</f>
        <v>12513</v>
      </c>
      <c r="AE570" s="200"/>
      <c r="AF570" s="200"/>
      <c r="AG570" s="200"/>
      <c r="AH570" s="200">
        <f>AG587</f>
        <v>15502</v>
      </c>
      <c r="AI570" s="200"/>
      <c r="AJ570" s="200"/>
      <c r="AK570" s="200"/>
      <c r="AL570" s="200">
        <f>AK587</f>
        <v>20410</v>
      </c>
      <c r="AM570" s="200"/>
      <c r="AN570" s="200"/>
      <c r="AO570" s="200"/>
      <c r="AP570" s="200">
        <f>AO587</f>
        <v>24102</v>
      </c>
      <c r="AQ570" s="200"/>
      <c r="AR570" s="200"/>
      <c r="AS570" s="200"/>
      <c r="AT570" s="200">
        <f>AS587</f>
        <v>23577</v>
      </c>
      <c r="AU570" s="200"/>
      <c r="AV570" s="200"/>
      <c r="AW570" s="200"/>
      <c r="AX570" s="200">
        <f>AW587</f>
        <v>26900</v>
      </c>
      <c r="AY570" s="407"/>
      <c r="AZ570" s="200"/>
      <c r="BA570" s="200"/>
      <c r="BB570" s="200"/>
      <c r="BC570" s="200"/>
      <c r="BD570" s="200"/>
      <c r="BE570" s="200"/>
      <c r="BF570" s="200"/>
      <c r="BG570" s="200"/>
      <c r="BH570" s="841"/>
      <c r="BI570" s="841"/>
      <c r="BJ570" s="841"/>
      <c r="BK570" s="841"/>
      <c r="BL570" s="841"/>
      <c r="BM570" s="841"/>
      <c r="BN570" s="841"/>
      <c r="BO570" s="841"/>
      <c r="BP570" s="841"/>
      <c r="BQ570" s="841"/>
      <c r="BR570" s="841">
        <f>Z601</f>
        <v>0</v>
      </c>
      <c r="BS570" s="841">
        <f>AD601</f>
        <v>56500</v>
      </c>
      <c r="BT570" s="841">
        <f>AH601</f>
        <v>70500</v>
      </c>
      <c r="BU570" s="841">
        <f>AL601</f>
        <v>92500</v>
      </c>
      <c r="BV570" s="841">
        <f>AP601</f>
        <v>92000</v>
      </c>
      <c r="BW570" s="842">
        <f>AT601</f>
        <v>96500</v>
      </c>
      <c r="BX570" s="841"/>
      <c r="BY570" s="841"/>
      <c r="BZ570" s="841"/>
      <c r="CA570" s="841"/>
      <c r="CB570" s="841"/>
      <c r="CC570" s="117"/>
    </row>
    <row r="571" spans="1:81" s="706" customFormat="1" outlineLevel="2" x14ac:dyDescent="0.55000000000000004">
      <c r="A571" s="86" t="s">
        <v>773</v>
      </c>
      <c r="B571" s="87"/>
      <c r="C571" s="200"/>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200"/>
      <c r="AD571" s="200"/>
      <c r="AE571" s="200"/>
      <c r="AF571" s="200"/>
      <c r="AG571" s="200"/>
      <c r="AH571" s="200"/>
      <c r="AI571" s="200"/>
      <c r="AJ571" s="200"/>
      <c r="AK571" s="200"/>
      <c r="AL571" s="200"/>
      <c r="AM571" s="200"/>
      <c r="AN571" s="200"/>
      <c r="AO571" s="200"/>
      <c r="AP571" s="200"/>
      <c r="AQ571" s="200"/>
      <c r="AR571" s="200"/>
      <c r="AS571" s="200"/>
      <c r="AT571" s="200"/>
      <c r="AU571" s="200"/>
      <c r="AV571" s="200"/>
      <c r="AW571" s="200"/>
      <c r="AX571" s="200"/>
      <c r="AY571" s="407"/>
      <c r="AZ571" s="200"/>
      <c r="BA571" s="200"/>
      <c r="BB571" s="200"/>
      <c r="BC571" s="200"/>
      <c r="BD571" s="200"/>
      <c r="BE571" s="200"/>
      <c r="BF571" s="200"/>
      <c r="BG571" s="200"/>
      <c r="BH571" s="841"/>
      <c r="BI571" s="841"/>
      <c r="BJ571" s="841"/>
      <c r="BK571" s="841"/>
      <c r="BL571" s="841"/>
      <c r="BM571" s="841"/>
      <c r="BN571" s="841"/>
      <c r="BO571" s="841"/>
      <c r="BP571" s="841"/>
      <c r="BQ571" s="841"/>
      <c r="BR571" s="841">
        <f>AA601</f>
        <v>0</v>
      </c>
      <c r="BS571" s="841">
        <f>AE601</f>
        <v>54000</v>
      </c>
      <c r="BT571" s="841">
        <f>AI601</f>
        <v>71500</v>
      </c>
      <c r="BU571" s="841">
        <f>AM601</f>
        <v>89500</v>
      </c>
      <c r="BV571" s="841">
        <f>AQ601</f>
        <v>88000</v>
      </c>
      <c r="BW571" s="842">
        <f>AU601</f>
        <v>97500</v>
      </c>
      <c r="BX571" s="841"/>
      <c r="BY571" s="841"/>
      <c r="BZ571" s="841"/>
      <c r="CA571" s="841"/>
      <c r="CB571" s="841"/>
      <c r="CC571" s="117"/>
    </row>
    <row r="572" spans="1:81" s="706" customFormat="1" outlineLevel="2" x14ac:dyDescent="0.55000000000000004">
      <c r="A572" s="86" t="s">
        <v>774</v>
      </c>
      <c r="B572" s="87"/>
      <c r="C572" s="200"/>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200"/>
      <c r="AD572" s="200"/>
      <c r="AE572" s="200"/>
      <c r="AF572" s="200"/>
      <c r="AG572" s="200"/>
      <c r="AH572" s="200"/>
      <c r="AI572" s="200"/>
      <c r="AJ572" s="200"/>
      <c r="AK572" s="200"/>
      <c r="AL572" s="200"/>
      <c r="AM572" s="200"/>
      <c r="AN572" s="200"/>
      <c r="AO572" s="200"/>
      <c r="AP572" s="200"/>
      <c r="AQ572" s="200"/>
      <c r="AR572" s="200"/>
      <c r="AS572" s="200"/>
      <c r="AT572" s="200"/>
      <c r="AU572" s="200"/>
      <c r="AV572" s="200"/>
      <c r="AW572" s="200"/>
      <c r="AX572" s="200"/>
      <c r="AY572" s="407"/>
      <c r="AZ572" s="200"/>
      <c r="BA572" s="200"/>
      <c r="BB572" s="200"/>
      <c r="BC572" s="200"/>
      <c r="BD572" s="200"/>
      <c r="BE572" s="200"/>
      <c r="BF572" s="200"/>
      <c r="BG572" s="200"/>
      <c r="BH572" s="841"/>
      <c r="BI572" s="841"/>
      <c r="BJ572" s="841"/>
      <c r="BK572" s="841"/>
      <c r="BL572" s="841"/>
      <c r="BM572" s="841"/>
      <c r="BN572" s="841"/>
      <c r="BO572" s="841"/>
      <c r="BP572" s="841"/>
      <c r="BQ572" s="841"/>
      <c r="BR572" s="841">
        <f>AB601</f>
        <v>0</v>
      </c>
      <c r="BS572" s="841">
        <f>AF601</f>
        <v>53500</v>
      </c>
      <c r="BT572" s="841">
        <f>AJ601</f>
        <v>71500</v>
      </c>
      <c r="BU572" s="841">
        <f>AN601</f>
        <v>86500</v>
      </c>
      <c r="BV572" s="841">
        <f>AR601</f>
        <v>89500</v>
      </c>
      <c r="BW572" s="842">
        <f>AV601</f>
        <v>97500</v>
      </c>
      <c r="BX572" s="841"/>
      <c r="BY572" s="841"/>
      <c r="BZ572" s="841"/>
      <c r="CA572" s="841"/>
      <c r="CB572" s="841"/>
      <c r="CC572" s="117"/>
    </row>
    <row r="573" spans="1:81" s="706" customFormat="1" outlineLevel="2" x14ac:dyDescent="0.55000000000000004">
      <c r="A573" s="315" t="s">
        <v>775</v>
      </c>
      <c r="B573" s="244"/>
      <c r="C573" s="320"/>
      <c r="D573" s="320"/>
      <c r="E573" s="320"/>
      <c r="F573" s="320"/>
      <c r="G573" s="320"/>
      <c r="H573" s="320"/>
      <c r="I573" s="320"/>
      <c r="J573" s="320"/>
      <c r="K573" s="320"/>
      <c r="L573" s="320"/>
      <c r="M573" s="320"/>
      <c r="N573" s="320"/>
      <c r="O573" s="320"/>
      <c r="P573" s="320"/>
      <c r="Q573" s="320"/>
      <c r="R573" s="320"/>
      <c r="S573" s="320"/>
      <c r="T573" s="320"/>
      <c r="U573" s="320"/>
      <c r="V573" s="320"/>
      <c r="W573" s="320"/>
      <c r="X573" s="320"/>
      <c r="Y573" s="320"/>
      <c r="Z573" s="320"/>
      <c r="AA573" s="320"/>
      <c r="AB573" s="320"/>
      <c r="AC573" s="320"/>
      <c r="AD573" s="320"/>
      <c r="AE573" s="320"/>
      <c r="AF573" s="320"/>
      <c r="AG573" s="320"/>
      <c r="AH573" s="320"/>
      <c r="AI573" s="320"/>
      <c r="AJ573" s="320"/>
      <c r="AK573" s="320"/>
      <c r="AL573" s="320"/>
      <c r="AM573" s="320"/>
      <c r="AN573" s="320"/>
      <c r="AO573" s="320"/>
      <c r="AP573" s="320"/>
      <c r="AQ573" s="320"/>
      <c r="AR573" s="320"/>
      <c r="AS573" s="320"/>
      <c r="AT573" s="320"/>
      <c r="AU573" s="320"/>
      <c r="AV573" s="320"/>
      <c r="AW573" s="320"/>
      <c r="AX573" s="320"/>
      <c r="AY573" s="628"/>
      <c r="AZ573" s="320"/>
      <c r="BA573" s="320"/>
      <c r="BB573" s="320"/>
      <c r="BC573" s="320"/>
      <c r="BD573" s="320"/>
      <c r="BE573" s="320"/>
      <c r="BF573" s="320"/>
      <c r="BG573" s="320"/>
      <c r="BH573" s="843"/>
      <c r="BI573" s="843"/>
      <c r="BJ573" s="843"/>
      <c r="BK573" s="843"/>
      <c r="BL573" s="843"/>
      <c r="BM573" s="843"/>
      <c r="BN573" s="843"/>
      <c r="BO573" s="843"/>
      <c r="BP573" s="843"/>
      <c r="BQ573" s="843"/>
      <c r="BR573" s="843">
        <f>AC601</f>
        <v>47000</v>
      </c>
      <c r="BS573" s="843">
        <f>AG601</f>
        <v>53500</v>
      </c>
      <c r="BT573" s="843">
        <f>AK601</f>
        <v>70500</v>
      </c>
      <c r="BU573" s="843">
        <f>AO601</f>
        <v>86000</v>
      </c>
      <c r="BV573" s="843">
        <f>AS601</f>
        <v>88000</v>
      </c>
      <c r="BW573" s="844">
        <f>AW601</f>
        <v>97000</v>
      </c>
      <c r="BX573" s="843"/>
      <c r="BY573" s="843"/>
      <c r="BZ573" s="843"/>
      <c r="CA573" s="843"/>
      <c r="CB573" s="843"/>
      <c r="CC573" s="117"/>
    </row>
    <row r="574" spans="1:81" s="706" customFormat="1" outlineLevel="1" x14ac:dyDescent="0.55000000000000004">
      <c r="A574" s="37" t="s">
        <v>776</v>
      </c>
      <c r="B574" s="87"/>
      <c r="C574" s="200"/>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200"/>
      <c r="AD574" s="200">
        <f>IF(ISBLANK(AD573),IF(ISBLANK(AD572),IF(ISBLANK(AD571),IF(ISBLANK(AD570),"n/a",AD570),AD571),AD572),AD573)</f>
        <v>12513</v>
      </c>
      <c r="AE574" s="200"/>
      <c r="AF574" s="200"/>
      <c r="AG574" s="200"/>
      <c r="AH574" s="200">
        <f>IF(ISBLANK(AH573),IF(ISBLANK(AH572),IF(ISBLANK(AH571),IF(ISBLANK(AH570),"n/a",AH570),AH571),AH572),AH573)</f>
        <v>15502</v>
      </c>
      <c r="AI574" s="200"/>
      <c r="AJ574" s="200"/>
      <c r="AK574" s="200"/>
      <c r="AL574" s="200">
        <f>IF(ISBLANK(AL573),IF(ISBLANK(AL572),IF(ISBLANK(AL571),IF(ISBLANK(AL570),"n/a",AL570),AL571),AL572),AL573)</f>
        <v>20410</v>
      </c>
      <c r="AM574" s="200"/>
      <c r="AN574" s="200"/>
      <c r="AO574" s="200"/>
      <c r="AP574" s="200">
        <f>IF(ISBLANK(AP573),IF(ISBLANK(AP572),IF(ISBLANK(AP571),IF(ISBLANK(AP570),"n/a",AP570),AP571),AP572),AP573)</f>
        <v>24102</v>
      </c>
      <c r="AQ574" s="200"/>
      <c r="AR574" s="200"/>
      <c r="AS574" s="200"/>
      <c r="AT574" s="200">
        <f>IF(ISBLANK(AT573),IF(ISBLANK(AT572),IF(ISBLANK(AT571),IF(ISBLANK(AT570),"n/a",AT570),AT571),AT572),AT573)</f>
        <v>23577</v>
      </c>
      <c r="AU574" s="200"/>
      <c r="AV574" s="200"/>
      <c r="AW574" s="200"/>
      <c r="AX574" s="200">
        <f>IF(ISBLANK(AX573),IF(ISBLANK(AX572),IF(ISBLANK(AX571),IF(ISBLANK(AX570),"n/a",AX570),AX571),AX572),AX573)</f>
        <v>26900</v>
      </c>
      <c r="AY574" s="407"/>
      <c r="AZ574" s="200" t="str">
        <f t="shared" ref="AZ574:BF574" si="658">IF(AZ182=0,"",AZ182)</f>
        <v/>
      </c>
      <c r="BA574" s="200" t="str">
        <f t="shared" si="658"/>
        <v/>
      </c>
      <c r="BB574" s="200" t="str">
        <f t="shared" si="658"/>
        <v/>
      </c>
      <c r="BC574" s="200" t="str">
        <f t="shared" si="658"/>
        <v/>
      </c>
      <c r="BD574" s="200" t="str">
        <f t="shared" si="658"/>
        <v/>
      </c>
      <c r="BE574" s="200" t="str">
        <f t="shared" si="658"/>
        <v/>
      </c>
      <c r="BF574" s="200" t="str">
        <f t="shared" si="658"/>
        <v/>
      </c>
      <c r="BG574" s="200"/>
      <c r="BH574" s="841"/>
      <c r="BI574" s="841"/>
      <c r="BJ574" s="841"/>
      <c r="BK574" s="841"/>
      <c r="BL574" s="841"/>
      <c r="BM574" s="841"/>
      <c r="BN574" s="841"/>
      <c r="BO574" s="841"/>
      <c r="BP574" s="841"/>
      <c r="BQ574" s="841"/>
      <c r="BR574" s="841">
        <f t="shared" ref="BR574:BW574" si="659">IF(ISBLANK(BR573),IF(ISBLANK(BR572),IF(ISBLANK(BR571),IF(ISBLANK(BR570),"n/a",BR570),BR571),BR572),BR573)</f>
        <v>47000</v>
      </c>
      <c r="BS574" s="841">
        <f t="shared" si="659"/>
        <v>53500</v>
      </c>
      <c r="BT574" s="841">
        <f t="shared" si="659"/>
        <v>70500</v>
      </c>
      <c r="BU574" s="841">
        <f t="shared" si="659"/>
        <v>86000</v>
      </c>
      <c r="BV574" s="841">
        <f t="shared" si="659"/>
        <v>88000</v>
      </c>
      <c r="BW574" s="842">
        <f t="shared" si="659"/>
        <v>97000</v>
      </c>
      <c r="BX574" s="841">
        <f>IF(BX182=0,"",BX182)</f>
        <v>115500</v>
      </c>
      <c r="BY574" s="841" t="str">
        <f>IF(BY182=0,"",BY182)</f>
        <v/>
      </c>
      <c r="BZ574" s="841" t="str">
        <f>IF(BZ182=0,"",BZ182)</f>
        <v/>
      </c>
      <c r="CA574" s="841" t="str">
        <f>IF(CA182=0,"",CA182)</f>
        <v/>
      </c>
      <c r="CB574" s="841" t="str">
        <f>IF(CB182=0,"",CB182)</f>
        <v/>
      </c>
      <c r="CC574" s="117"/>
    </row>
    <row r="575" spans="1:81" s="706" customFormat="1" outlineLevel="1" x14ac:dyDescent="0.55000000000000004">
      <c r="A575" s="37" t="s">
        <v>860</v>
      </c>
      <c r="B575" s="87"/>
      <c r="C575" s="200">
        <f t="shared" ref="C575:AH575" si="660">C181</f>
        <v>1085</v>
      </c>
      <c r="D575" s="200">
        <f t="shared" si="660"/>
        <v>1251</v>
      </c>
      <c r="E575" s="200">
        <f t="shared" si="660"/>
        <v>1280</v>
      </c>
      <c r="F575" s="200">
        <f t="shared" si="660"/>
        <v>1452</v>
      </c>
      <c r="G575" s="200">
        <f t="shared" si="660"/>
        <v>1427</v>
      </c>
      <c r="H575" s="200">
        <f t="shared" si="660"/>
        <v>1520</v>
      </c>
      <c r="I575" s="200">
        <f t="shared" si="660"/>
        <v>1806</v>
      </c>
      <c r="J575" s="200">
        <f t="shared" si="660"/>
        <v>2718</v>
      </c>
      <c r="K575" s="200">
        <f t="shared" si="660"/>
        <v>2610</v>
      </c>
      <c r="L575" s="200">
        <f t="shared" si="660"/>
        <v>2769</v>
      </c>
      <c r="M575" s="200">
        <f t="shared" si="660"/>
        <v>3042</v>
      </c>
      <c r="N575" s="200">
        <f t="shared" si="660"/>
        <v>3281</v>
      </c>
      <c r="O575" s="200">
        <f t="shared" si="660"/>
        <v>3372</v>
      </c>
      <c r="P575" s="200">
        <f t="shared" si="660"/>
        <v>3702</v>
      </c>
      <c r="Q575" s="200">
        <f t="shared" si="660"/>
        <v>3894</v>
      </c>
      <c r="R575" s="200">
        <f t="shared" si="660"/>
        <v>4243</v>
      </c>
      <c r="S575" s="200">
        <f t="shared" si="660"/>
        <v>4705</v>
      </c>
      <c r="T575" s="200">
        <f t="shared" si="660"/>
        <v>4920</v>
      </c>
      <c r="U575" s="200">
        <f t="shared" si="660"/>
        <v>5206</v>
      </c>
      <c r="V575" s="200">
        <f t="shared" si="660"/>
        <v>5620</v>
      </c>
      <c r="W575" s="200">
        <f t="shared" si="660"/>
        <v>6517</v>
      </c>
      <c r="X575" s="200">
        <f t="shared" si="660"/>
        <v>7368</v>
      </c>
      <c r="Y575" s="200">
        <f t="shared" si="660"/>
        <v>7946</v>
      </c>
      <c r="Z575" s="200">
        <f t="shared" si="660"/>
        <v>9094</v>
      </c>
      <c r="AA575" s="200">
        <f t="shared" si="660"/>
        <v>11760</v>
      </c>
      <c r="AB575" s="200">
        <f t="shared" si="660"/>
        <v>12260</v>
      </c>
      <c r="AC575" s="200">
        <f t="shared" si="660"/>
        <v>10467</v>
      </c>
      <c r="AD575" s="200">
        <f t="shared" si="660"/>
        <v>12224</v>
      </c>
      <c r="AE575" s="200">
        <f t="shared" si="660"/>
        <v>11844</v>
      </c>
      <c r="AF575" s="200">
        <f t="shared" si="660"/>
        <v>12724</v>
      </c>
      <c r="AG575" s="200">
        <f t="shared" si="660"/>
        <v>13430</v>
      </c>
      <c r="AH575" s="200">
        <f t="shared" si="660"/>
        <v>15297</v>
      </c>
      <c r="AI575" s="200">
        <f t="shared" ref="AI575:BF575" si="661">AI181</f>
        <v>14793</v>
      </c>
      <c r="AJ575" s="200">
        <f t="shared" si="661"/>
        <v>16710</v>
      </c>
      <c r="AK575" s="200">
        <f t="shared" si="661"/>
        <v>18587</v>
      </c>
      <c r="AL575" s="200">
        <f t="shared" si="661"/>
        <v>21086</v>
      </c>
      <c r="AM575" s="200">
        <f t="shared" si="661"/>
        <v>19384</v>
      </c>
      <c r="AN575" s="200">
        <f t="shared" si="661"/>
        <v>20464</v>
      </c>
      <c r="AO575" s="200">
        <f t="shared" si="661"/>
        <v>22050</v>
      </c>
      <c r="AP575" s="200">
        <f t="shared" si="661"/>
        <v>25766</v>
      </c>
      <c r="AQ575" s="200">
        <f t="shared" si="661"/>
        <v>21418</v>
      </c>
      <c r="AR575" s="200">
        <f t="shared" si="661"/>
        <v>22607</v>
      </c>
      <c r="AS575" s="200">
        <f t="shared" si="661"/>
        <v>20398</v>
      </c>
      <c r="AT575" s="200">
        <f t="shared" si="661"/>
        <v>23727</v>
      </c>
      <c r="AU575" s="200">
        <f t="shared" si="661"/>
        <v>22637</v>
      </c>
      <c r="AV575" s="200">
        <f t="shared" si="661"/>
        <v>24224</v>
      </c>
      <c r="AW575" s="200">
        <f t="shared" si="661"/>
        <v>23239</v>
      </c>
      <c r="AX575" s="200">
        <f t="shared" si="661"/>
        <v>25020</v>
      </c>
      <c r="AY575" s="407">
        <f t="shared" si="661"/>
        <v>24759</v>
      </c>
      <c r="AZ575" s="200">
        <f t="shared" si="661"/>
        <v>28305.313605299852</v>
      </c>
      <c r="BA575" s="200">
        <f t="shared" si="661"/>
        <v>27434.745309226426</v>
      </c>
      <c r="BB575" s="200">
        <f t="shared" si="661"/>
        <v>35049.547656335882</v>
      </c>
      <c r="BC575" s="200">
        <f t="shared" si="661"/>
        <v>22656.085604734857</v>
      </c>
      <c r="BD575" s="200">
        <f t="shared" si="661"/>
        <v>26470.563296436536</v>
      </c>
      <c r="BE575" s="200">
        <f t="shared" si="661"/>
        <v>28397.645699055043</v>
      </c>
      <c r="BF575" s="200">
        <f t="shared" si="661"/>
        <v>37338.507277563236</v>
      </c>
      <c r="BG575" s="200"/>
      <c r="BH575" s="841">
        <f t="shared" ref="BH575:CB575" si="662">BH181</f>
        <v>515</v>
      </c>
      <c r="BI575" s="841">
        <f t="shared" si="662"/>
        <v>942</v>
      </c>
      <c r="BJ575" s="841">
        <f t="shared" si="662"/>
        <v>1955</v>
      </c>
      <c r="BK575" s="841">
        <f t="shared" si="662"/>
        <v>4551</v>
      </c>
      <c r="BL575" s="841">
        <f t="shared" si="662"/>
        <v>5068</v>
      </c>
      <c r="BM575" s="841">
        <f t="shared" si="662"/>
        <v>7472</v>
      </c>
      <c r="BN575" s="841">
        <f t="shared" si="662"/>
        <v>11703</v>
      </c>
      <c r="BO575" s="841">
        <f t="shared" si="662"/>
        <v>15211</v>
      </c>
      <c r="BP575" s="841">
        <f t="shared" si="662"/>
        <v>20450</v>
      </c>
      <c r="BQ575" s="841">
        <f t="shared" si="662"/>
        <v>30925</v>
      </c>
      <c r="BR575" s="841">
        <f t="shared" si="662"/>
        <v>46711</v>
      </c>
      <c r="BS575" s="841">
        <f t="shared" si="662"/>
        <v>53294</v>
      </c>
      <c r="BT575" s="841">
        <f t="shared" si="662"/>
        <v>71176</v>
      </c>
      <c r="BU575" s="841">
        <f t="shared" si="662"/>
        <v>87665</v>
      </c>
      <c r="BV575" s="841">
        <f t="shared" si="662"/>
        <v>88151</v>
      </c>
      <c r="BW575" s="842">
        <f t="shared" si="662"/>
        <v>95121</v>
      </c>
      <c r="BX575" s="841">
        <f t="shared" si="662"/>
        <v>115548.60657086219</v>
      </c>
      <c r="BY575" s="841">
        <f t="shared" si="662"/>
        <v>114862.80187778967</v>
      </c>
      <c r="BZ575" s="841">
        <f t="shared" si="662"/>
        <v>118880.12493298814</v>
      </c>
      <c r="CA575" s="841">
        <f t="shared" si="662"/>
        <v>115848.97544464561</v>
      </c>
      <c r="CB575" s="841">
        <f t="shared" si="662"/>
        <v>111854.2990483437</v>
      </c>
      <c r="CC575" s="117"/>
    </row>
    <row r="576" spans="1:81" s="706" customFormat="1" outlineLevel="1" x14ac:dyDescent="0.55000000000000004">
      <c r="A576" s="173" t="s">
        <v>803</v>
      </c>
      <c r="B576" s="246"/>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c r="Z576" s="442"/>
      <c r="AA576" s="442"/>
      <c r="AB576" s="442"/>
      <c r="AC576" s="442"/>
      <c r="AD576" s="442">
        <f>IFERROR(-(AD575-AD574),"")</f>
        <v>289</v>
      </c>
      <c r="AE576" s="442"/>
      <c r="AF576" s="442"/>
      <c r="AG576" s="442"/>
      <c r="AH576" s="442">
        <f>IFERROR(-(AH575-AH574),"")</f>
        <v>205</v>
      </c>
      <c r="AI576" s="442"/>
      <c r="AJ576" s="442"/>
      <c r="AK576" s="442"/>
      <c r="AL576" s="442">
        <f>IFERROR(-(AL575-AL574),"")</f>
        <v>-676</v>
      </c>
      <c r="AM576" s="442"/>
      <c r="AN576" s="442"/>
      <c r="AO576" s="442"/>
      <c r="AP576" s="442">
        <f>IFERROR(-(AP575-AP574),"")</f>
        <v>-1664</v>
      </c>
      <c r="AQ576" s="442"/>
      <c r="AR576" s="442"/>
      <c r="AS576" s="442"/>
      <c r="AT576" s="442">
        <f>IFERROR(-(AT575-AT574),"")</f>
        <v>-150</v>
      </c>
      <c r="AU576" s="442"/>
      <c r="AV576" s="442"/>
      <c r="AW576" s="442"/>
      <c r="AX576" s="442">
        <f>IFERROR(-(AX575-AX574),"")</f>
        <v>1880</v>
      </c>
      <c r="AY576" s="659"/>
      <c r="AZ576" s="442" t="str">
        <f t="shared" ref="AZ576:BF576" si="663">IFERROR(-(AZ575-AZ574),"")</f>
        <v/>
      </c>
      <c r="BA576" s="442" t="str">
        <f t="shared" si="663"/>
        <v/>
      </c>
      <c r="BB576" s="442" t="str">
        <f t="shared" si="663"/>
        <v/>
      </c>
      <c r="BC576" s="442" t="str">
        <f t="shared" si="663"/>
        <v/>
      </c>
      <c r="BD576" s="442" t="str">
        <f t="shared" si="663"/>
        <v/>
      </c>
      <c r="BE576" s="442" t="str">
        <f t="shared" si="663"/>
        <v/>
      </c>
      <c r="BF576" s="442" t="str">
        <f t="shared" si="663"/>
        <v/>
      </c>
      <c r="BG576" s="442"/>
      <c r="BH576" s="983"/>
      <c r="BI576" s="983"/>
      <c r="BJ576" s="983"/>
      <c r="BK576" s="983"/>
      <c r="BL576" s="983"/>
      <c r="BM576" s="983"/>
      <c r="BN576" s="983"/>
      <c r="BO576" s="983"/>
      <c r="BP576" s="983"/>
      <c r="BQ576" s="983"/>
      <c r="BR576" s="983">
        <f t="shared" ref="BR576:CB576" si="664">IFERROR(-(BR575-BR574),"")</f>
        <v>289</v>
      </c>
      <c r="BS576" s="983">
        <f t="shared" si="664"/>
        <v>206</v>
      </c>
      <c r="BT576" s="983">
        <f t="shared" si="664"/>
        <v>-676</v>
      </c>
      <c r="BU576" s="983">
        <f t="shared" si="664"/>
        <v>-1665</v>
      </c>
      <c r="BV576" s="983">
        <f t="shared" si="664"/>
        <v>-151</v>
      </c>
      <c r="BW576" s="984">
        <f t="shared" si="664"/>
        <v>1879</v>
      </c>
      <c r="BX576" s="983">
        <f t="shared" si="664"/>
        <v>-48.606570862189983</v>
      </c>
      <c r="BY576" s="983" t="str">
        <f t="shared" si="664"/>
        <v/>
      </c>
      <c r="BZ576" s="983" t="str">
        <f t="shared" si="664"/>
        <v/>
      </c>
      <c r="CA576" s="983" t="str">
        <f t="shared" si="664"/>
        <v/>
      </c>
      <c r="CB576" s="983" t="str">
        <f t="shared" si="664"/>
        <v/>
      </c>
      <c r="CC576" s="117"/>
    </row>
    <row r="577" spans="1:81" s="709" customFormat="1" outlineLevel="1" x14ac:dyDescent="0.55000000000000004">
      <c r="A577" s="440" t="s">
        <v>804</v>
      </c>
      <c r="B577" s="266"/>
      <c r="C577" s="441"/>
      <c r="D577" s="441"/>
      <c r="E577" s="441"/>
      <c r="F577" s="441"/>
      <c r="G577" s="441"/>
      <c r="H577" s="441"/>
      <c r="I577" s="441"/>
      <c r="J577" s="441"/>
      <c r="K577" s="441"/>
      <c r="L577" s="441"/>
      <c r="M577" s="441"/>
      <c r="N577" s="441"/>
      <c r="O577" s="441"/>
      <c r="P577" s="441"/>
      <c r="Q577" s="441"/>
      <c r="R577" s="441"/>
      <c r="S577" s="441"/>
      <c r="T577" s="441"/>
      <c r="U577" s="441"/>
      <c r="V577" s="441"/>
      <c r="W577" s="441"/>
      <c r="X577" s="441"/>
      <c r="Y577" s="441"/>
      <c r="Z577" s="441"/>
      <c r="AA577" s="441"/>
      <c r="AB577" s="441"/>
      <c r="AC577" s="441"/>
      <c r="AD577" s="441">
        <f>IFERROR(AD576/AD574,"")</f>
        <v>2.3095980180612163E-2</v>
      </c>
      <c r="AE577" s="441"/>
      <c r="AF577" s="441"/>
      <c r="AG577" s="441"/>
      <c r="AH577" s="441">
        <f>IFERROR(AH576/AH574,"")</f>
        <v>1.322410011611405E-2</v>
      </c>
      <c r="AI577" s="441"/>
      <c r="AJ577" s="441"/>
      <c r="AK577" s="441"/>
      <c r="AL577" s="441">
        <f>IFERROR(AL576/AL574,"")</f>
        <v>-3.3121019108280254E-2</v>
      </c>
      <c r="AM577" s="441"/>
      <c r="AN577" s="441"/>
      <c r="AO577" s="441"/>
      <c r="AP577" s="441">
        <f>IFERROR(AP576/AP574,"")</f>
        <v>-6.9039913700107869E-2</v>
      </c>
      <c r="AQ577" s="441"/>
      <c r="AR577" s="441"/>
      <c r="AS577" s="441"/>
      <c r="AT577" s="441">
        <f>IFERROR(AT576/AT574,"")</f>
        <v>-6.3621325868431101E-3</v>
      </c>
      <c r="AU577" s="441"/>
      <c r="AV577" s="441"/>
      <c r="AW577" s="441"/>
      <c r="AX577" s="441">
        <f>IFERROR(AX576/AX574,"")</f>
        <v>6.9888475836431221E-2</v>
      </c>
      <c r="AY577" s="660"/>
      <c r="AZ577" s="441" t="str">
        <f t="shared" ref="AZ577:BF577" si="665">IFERROR(AZ576/AZ574,"")</f>
        <v/>
      </c>
      <c r="BA577" s="441" t="str">
        <f t="shared" si="665"/>
        <v/>
      </c>
      <c r="BB577" s="441" t="str">
        <f t="shared" si="665"/>
        <v/>
      </c>
      <c r="BC577" s="441" t="str">
        <f t="shared" si="665"/>
        <v/>
      </c>
      <c r="BD577" s="441" t="str">
        <f t="shared" si="665"/>
        <v/>
      </c>
      <c r="BE577" s="441" t="str">
        <f t="shared" si="665"/>
        <v/>
      </c>
      <c r="BF577" s="441" t="str">
        <f t="shared" si="665"/>
        <v/>
      </c>
      <c r="BG577" s="441"/>
      <c r="BH577" s="985"/>
      <c r="BI577" s="985"/>
      <c r="BJ577" s="985"/>
      <c r="BK577" s="985"/>
      <c r="BL577" s="985"/>
      <c r="BM577" s="985"/>
      <c r="BN577" s="985"/>
      <c r="BO577" s="985"/>
      <c r="BP577" s="985"/>
      <c r="BQ577" s="985"/>
      <c r="BR577" s="985">
        <f t="shared" ref="BR577:CB577" si="666">IFERROR(BR576/BR574,"")</f>
        <v>6.1489361702127656E-3</v>
      </c>
      <c r="BS577" s="985">
        <f t="shared" si="666"/>
        <v>3.8504672897196261E-3</v>
      </c>
      <c r="BT577" s="985">
        <f t="shared" si="666"/>
        <v>-9.5886524822695034E-3</v>
      </c>
      <c r="BU577" s="985">
        <f t="shared" si="666"/>
        <v>-1.936046511627907E-2</v>
      </c>
      <c r="BV577" s="985">
        <f t="shared" si="666"/>
        <v>-1.7159090909090909E-3</v>
      </c>
      <c r="BW577" s="986">
        <f t="shared" si="666"/>
        <v>1.9371134020618557E-2</v>
      </c>
      <c r="BX577" s="985">
        <f t="shared" si="666"/>
        <v>-4.2083611136095226E-4</v>
      </c>
      <c r="BY577" s="985" t="str">
        <f t="shared" si="666"/>
        <v/>
      </c>
      <c r="BZ577" s="985" t="str">
        <f t="shared" si="666"/>
        <v/>
      </c>
      <c r="CA577" s="985" t="str">
        <f t="shared" si="666"/>
        <v/>
      </c>
      <c r="CB577" s="985" t="str">
        <f t="shared" si="666"/>
        <v/>
      </c>
      <c r="CC577" s="24"/>
    </row>
    <row r="578" spans="1:81" outlineLevel="1" x14ac:dyDescent="0.55000000000000004">
      <c r="A578" s="37"/>
      <c r="B578" s="241"/>
      <c r="C578" s="600"/>
      <c r="D578" s="600"/>
      <c r="E578" s="600"/>
      <c r="F578" s="600"/>
      <c r="G578" s="600"/>
      <c r="H578" s="600"/>
      <c r="I578" s="600"/>
      <c r="J578" s="600"/>
      <c r="K578" s="600"/>
      <c r="L578" s="600"/>
      <c r="M578" s="600"/>
      <c r="N578" s="600"/>
      <c r="O578" s="600"/>
      <c r="P578" s="600"/>
      <c r="Q578" s="600"/>
      <c r="R578" s="600"/>
      <c r="S578" s="600"/>
      <c r="T578" s="600"/>
      <c r="U578" s="600"/>
      <c r="V578" s="600"/>
      <c r="W578" s="600"/>
      <c r="X578" s="600"/>
      <c r="Y578" s="600"/>
      <c r="Z578" s="600"/>
      <c r="AA578" s="600"/>
      <c r="AB578" s="600"/>
      <c r="AC578" s="600"/>
      <c r="AD578" s="600"/>
      <c r="AE578" s="600"/>
      <c r="AF578" s="600"/>
      <c r="AG578" s="600"/>
      <c r="AH578" s="600"/>
      <c r="AI578" s="600"/>
      <c r="AJ578" s="600"/>
      <c r="AK578" s="600"/>
      <c r="AL578" s="600"/>
      <c r="AM578" s="600"/>
      <c r="AN578" s="600"/>
      <c r="AO578" s="600"/>
      <c r="AP578" s="600"/>
      <c r="AQ578" s="600"/>
      <c r="AR578" s="600"/>
      <c r="AS578" s="600"/>
      <c r="AT578" s="600"/>
      <c r="AU578" s="600"/>
      <c r="AV578" s="600"/>
      <c r="AW578" s="600"/>
      <c r="AX578" s="600"/>
      <c r="AY578" s="604"/>
      <c r="AZ578" s="600"/>
      <c r="BA578" s="600"/>
      <c r="BB578" s="600"/>
      <c r="BC578" s="600"/>
      <c r="BD578" s="600"/>
      <c r="BE578" s="600"/>
      <c r="BF578" s="600"/>
      <c r="BG578" s="600"/>
      <c r="BH578" s="186"/>
      <c r="BI578" s="186"/>
      <c r="BJ578" s="186"/>
      <c r="BK578" s="186"/>
      <c r="BL578" s="186"/>
      <c r="BM578" s="186"/>
      <c r="BN578" s="186"/>
      <c r="BO578" s="186"/>
      <c r="BP578" s="186"/>
      <c r="BQ578" s="186"/>
      <c r="BR578" s="186"/>
      <c r="BS578" s="186"/>
      <c r="BT578" s="186"/>
      <c r="BU578" s="186"/>
      <c r="BV578" s="186"/>
      <c r="BW578" s="909"/>
      <c r="BX578" s="186"/>
      <c r="BY578" s="186"/>
      <c r="BZ578" s="186"/>
      <c r="CA578" s="186"/>
      <c r="CB578" s="186"/>
      <c r="CC578" s="358"/>
    </row>
    <row r="579" spans="1:81" s="709" customFormat="1" outlineLevel="1" x14ac:dyDescent="0.55000000000000004">
      <c r="A579" s="79" t="s">
        <v>778</v>
      </c>
      <c r="B579" s="75"/>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f>AD574/Z575-1</f>
        <v>0.37596217286122724</v>
      </c>
      <c r="AE579" s="54"/>
      <c r="AF579" s="54"/>
      <c r="AG579" s="54"/>
      <c r="AH579" s="54">
        <f>AH574/AD575-1</f>
        <v>0.26816099476439792</v>
      </c>
      <c r="AI579" s="54"/>
      <c r="AJ579" s="54"/>
      <c r="AK579" s="54"/>
      <c r="AL579" s="54">
        <f>AL574/AH575-1</f>
        <v>0.33424854546643123</v>
      </c>
      <c r="AM579" s="54"/>
      <c r="AN579" s="54"/>
      <c r="AO579" s="54"/>
      <c r="AP579" s="54">
        <f>AP574/AL575-1</f>
        <v>0.14303329223181249</v>
      </c>
      <c r="AQ579" s="54"/>
      <c r="AR579" s="54"/>
      <c r="AS579" s="54"/>
      <c r="AT579" s="54">
        <f>AT574/AP575-1</f>
        <v>-8.4956919972056233E-2</v>
      </c>
      <c r="AU579" s="54"/>
      <c r="AV579" s="54"/>
      <c r="AW579" s="54"/>
      <c r="AX579" s="54">
        <f>AX574/AT575-1</f>
        <v>0.13372950646942305</v>
      </c>
      <c r="AY579" s="623"/>
      <c r="AZ579" s="54"/>
      <c r="BA579" s="54"/>
      <c r="BB579" s="54"/>
      <c r="BC579" s="54"/>
      <c r="BD579" s="54"/>
      <c r="BE579" s="54"/>
      <c r="BF579" s="54"/>
      <c r="BG579" s="54"/>
      <c r="BH579" s="815"/>
      <c r="BI579" s="815"/>
      <c r="BJ579" s="815"/>
      <c r="BK579" s="815"/>
      <c r="BL579" s="815"/>
      <c r="BM579" s="815"/>
      <c r="BN579" s="815"/>
      <c r="BO579" s="815"/>
      <c r="BP579" s="815"/>
      <c r="BQ579" s="815"/>
      <c r="BR579" s="815">
        <f t="shared" ref="BR579:BW579" si="667">BR574/BQ575-1</f>
        <v>0.51980598221503649</v>
      </c>
      <c r="BS579" s="815">
        <f t="shared" si="667"/>
        <v>0.14534049795551374</v>
      </c>
      <c r="BT579" s="815">
        <f t="shared" si="667"/>
        <v>0.32285060231921037</v>
      </c>
      <c r="BU579" s="815">
        <f t="shared" si="667"/>
        <v>0.20827245138810846</v>
      </c>
      <c r="BV579" s="815">
        <f t="shared" si="667"/>
        <v>3.8213654251981755E-3</v>
      </c>
      <c r="BW579" s="816">
        <f t="shared" si="667"/>
        <v>0.10038456739004653</v>
      </c>
      <c r="BX579" s="815"/>
      <c r="BY579" s="815"/>
      <c r="BZ579" s="815"/>
      <c r="CA579" s="815"/>
      <c r="CB579" s="815"/>
      <c r="CC579" s="24"/>
    </row>
    <row r="580" spans="1:81" s="709" customFormat="1" outlineLevel="1" x14ac:dyDescent="0.55000000000000004">
      <c r="A580" s="344" t="s">
        <v>779</v>
      </c>
      <c r="B580" s="43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f>IF(AD574="","",-AD576/Z575)</f>
        <v>-3.1779195073674951E-2</v>
      </c>
      <c r="AE580" s="404"/>
      <c r="AF580" s="404"/>
      <c r="AG580" s="404"/>
      <c r="AH580" s="404">
        <f>IF(AH574="","",-AH576/AD575)</f>
        <v>-1.6770287958115183E-2</v>
      </c>
      <c r="AI580" s="404"/>
      <c r="AJ580" s="404"/>
      <c r="AK580" s="404"/>
      <c r="AL580" s="404">
        <f>IF(AL574="","",-AL576/AH575)</f>
        <v>4.4191671569588808E-2</v>
      </c>
      <c r="AM580" s="404"/>
      <c r="AN580" s="404"/>
      <c r="AO580" s="404"/>
      <c r="AP580" s="404">
        <f>IF(AP574="","",-AP576/AL575)</f>
        <v>7.8914919852034526E-2</v>
      </c>
      <c r="AQ580" s="404"/>
      <c r="AR580" s="404"/>
      <c r="AS580" s="404"/>
      <c r="AT580" s="404">
        <f>IF(AT574="","",-AT576/AP575)</f>
        <v>5.8216253978110692E-3</v>
      </c>
      <c r="AU580" s="404"/>
      <c r="AV580" s="404"/>
      <c r="AW580" s="404"/>
      <c r="AX580" s="404">
        <f>IF(AX574="","",-AX576/AT575)</f>
        <v>-7.9234627217937365E-2</v>
      </c>
      <c r="AY580" s="651"/>
      <c r="AZ580" s="404"/>
      <c r="BA580" s="404"/>
      <c r="BB580" s="404"/>
      <c r="BC580" s="404"/>
      <c r="BD580" s="404"/>
      <c r="BE580" s="404"/>
      <c r="BF580" s="404"/>
      <c r="BG580" s="404"/>
      <c r="BH580" s="946"/>
      <c r="BI580" s="946"/>
      <c r="BJ580" s="946"/>
      <c r="BK580" s="946"/>
      <c r="BL580" s="946"/>
      <c r="BM580" s="946"/>
      <c r="BN580" s="946"/>
      <c r="BO580" s="946"/>
      <c r="BP580" s="946"/>
      <c r="BQ580" s="946"/>
      <c r="BR580" s="946">
        <f t="shared" ref="BR580:BW580" si="668">IF(BR574="","",-BR576/BQ575)</f>
        <v>-9.3451899757477763E-3</v>
      </c>
      <c r="BS580" s="946">
        <f t="shared" si="668"/>
        <v>-4.4100961229688942E-3</v>
      </c>
      <c r="BT580" s="946">
        <f t="shared" si="668"/>
        <v>1.2684354711599805E-2</v>
      </c>
      <c r="BU580" s="946">
        <f t="shared" si="668"/>
        <v>2.339271664606047E-2</v>
      </c>
      <c r="BV580" s="946">
        <f t="shared" si="668"/>
        <v>1.7224662065818742E-3</v>
      </c>
      <c r="BW580" s="947">
        <f t="shared" si="668"/>
        <v>-2.1315696929132964E-2</v>
      </c>
      <c r="BX580" s="946"/>
      <c r="BY580" s="946"/>
      <c r="BZ580" s="946"/>
      <c r="CA580" s="946"/>
      <c r="CB580" s="946"/>
      <c r="CC580" s="24"/>
    </row>
    <row r="581" spans="1:81" s="709" customFormat="1" outlineLevel="1" x14ac:dyDescent="0.55000000000000004">
      <c r="A581" s="267" t="s">
        <v>780</v>
      </c>
      <c r="B581" s="266"/>
      <c r="C581" s="267"/>
      <c r="D581" s="267"/>
      <c r="E581" s="267"/>
      <c r="F581" s="267"/>
      <c r="G581" s="267"/>
      <c r="H581" s="267"/>
      <c r="I581" s="267"/>
      <c r="J581" s="267"/>
      <c r="K581" s="267"/>
      <c r="L581" s="267"/>
      <c r="M581" s="267"/>
      <c r="N581" s="267"/>
      <c r="O581" s="267"/>
      <c r="P581" s="267"/>
      <c r="Q581" s="267"/>
      <c r="R581" s="267"/>
      <c r="S581" s="267"/>
      <c r="T581" s="267"/>
      <c r="U581" s="267"/>
      <c r="V581" s="267"/>
      <c r="W581" s="267"/>
      <c r="X581" s="267"/>
      <c r="Y581" s="267"/>
      <c r="Z581" s="267"/>
      <c r="AA581" s="267">
        <f t="shared" ref="AA581:BF581" si="669">AA575/W575-1</f>
        <v>0.80451127819548862</v>
      </c>
      <c r="AB581" s="267">
        <f t="shared" si="669"/>
        <v>0.66395222584147673</v>
      </c>
      <c r="AC581" s="267">
        <f t="shared" si="669"/>
        <v>0.31726654920714825</v>
      </c>
      <c r="AD581" s="267">
        <f t="shared" si="669"/>
        <v>0.34418297778755225</v>
      </c>
      <c r="AE581" s="267">
        <f t="shared" si="669"/>
        <v>7.1428571428571175E-3</v>
      </c>
      <c r="AF581" s="267">
        <f t="shared" si="669"/>
        <v>3.7846655791190953E-2</v>
      </c>
      <c r="AG581" s="267">
        <f t="shared" si="669"/>
        <v>0.2830801566829082</v>
      </c>
      <c r="AH581" s="267">
        <f t="shared" si="669"/>
        <v>0.25139070680628262</v>
      </c>
      <c r="AI581" s="267">
        <f t="shared" si="669"/>
        <v>0.24898682877406286</v>
      </c>
      <c r="AJ581" s="267">
        <f t="shared" si="669"/>
        <v>0.31326626846903483</v>
      </c>
      <c r="AK581" s="267">
        <f t="shared" si="669"/>
        <v>0.38399106478034262</v>
      </c>
      <c r="AL581" s="267">
        <f t="shared" si="669"/>
        <v>0.37844021703602015</v>
      </c>
      <c r="AM581" s="267">
        <f t="shared" si="669"/>
        <v>0.31034948962347064</v>
      </c>
      <c r="AN581" s="267">
        <f t="shared" si="669"/>
        <v>0.22465589467384794</v>
      </c>
      <c r="AO581" s="267">
        <f t="shared" si="669"/>
        <v>0.18631301447248072</v>
      </c>
      <c r="AP581" s="267">
        <f t="shared" si="669"/>
        <v>0.22194821208384719</v>
      </c>
      <c r="AQ581" s="267">
        <f t="shared" si="669"/>
        <v>0.10493190260008256</v>
      </c>
      <c r="AR581" s="267">
        <f t="shared" si="669"/>
        <v>0.10472048475371376</v>
      </c>
      <c r="AS581" s="267">
        <f t="shared" si="669"/>
        <v>-7.4920634920634943E-2</v>
      </c>
      <c r="AT581" s="267">
        <f t="shared" si="669"/>
        <v>-7.9135294574245174E-2</v>
      </c>
      <c r="AU581" s="267">
        <f t="shared" si="669"/>
        <v>5.6914744607339696E-2</v>
      </c>
      <c r="AV581" s="267">
        <f t="shared" si="669"/>
        <v>7.1526518335028877E-2</v>
      </c>
      <c r="AW581" s="267">
        <f t="shared" si="669"/>
        <v>0.13927836062359056</v>
      </c>
      <c r="AX581" s="267">
        <f t="shared" si="669"/>
        <v>5.4494879251485662E-2</v>
      </c>
      <c r="AY581" s="661">
        <f t="shared" si="669"/>
        <v>9.3740336617042841E-2</v>
      </c>
      <c r="AZ581" s="267">
        <f t="shared" si="669"/>
        <v>0.16848223271548268</v>
      </c>
      <c r="BA581" s="267">
        <f t="shared" si="669"/>
        <v>0.18054758420011296</v>
      </c>
      <c r="BB581" s="267">
        <f t="shared" si="669"/>
        <v>0.40086121727961155</v>
      </c>
      <c r="BC581" s="267">
        <f t="shared" si="669"/>
        <v>-8.4935352609763815E-2</v>
      </c>
      <c r="BD581" s="267">
        <f t="shared" si="669"/>
        <v>-6.4819995794704099E-2</v>
      </c>
      <c r="BE581" s="267">
        <f t="shared" si="669"/>
        <v>3.5097843226734371E-2</v>
      </c>
      <c r="BF581" s="267">
        <f t="shared" si="669"/>
        <v>6.5306395496764091E-2</v>
      </c>
      <c r="BG581" s="267"/>
      <c r="BH581" s="987"/>
      <c r="BI581" s="987"/>
      <c r="BJ581" s="987"/>
      <c r="BK581" s="987"/>
      <c r="BL581" s="987"/>
      <c r="BM581" s="987"/>
      <c r="BN581" s="987"/>
      <c r="BO581" s="987"/>
      <c r="BP581" s="987"/>
      <c r="BQ581" s="987"/>
      <c r="BR581" s="987">
        <f t="shared" ref="BR581:CB581" si="670">BR575/BQ575-1</f>
        <v>0.51046079223928853</v>
      </c>
      <c r="BS581" s="987">
        <f t="shared" si="670"/>
        <v>0.14093040183254479</v>
      </c>
      <c r="BT581" s="987">
        <f t="shared" si="670"/>
        <v>0.33553495703081015</v>
      </c>
      <c r="BU581" s="987">
        <f t="shared" si="670"/>
        <v>0.23166516803416881</v>
      </c>
      <c r="BV581" s="987">
        <f t="shared" si="670"/>
        <v>5.5438316317801828E-3</v>
      </c>
      <c r="BW581" s="988">
        <f t="shared" si="670"/>
        <v>7.9068870460913709E-2</v>
      </c>
      <c r="BX581" s="987">
        <f t="shared" si="670"/>
        <v>0.21475390892507629</v>
      </c>
      <c r="BY581" s="987">
        <f t="shared" si="670"/>
        <v>-5.9352052216392615E-3</v>
      </c>
      <c r="BZ581" s="987">
        <f t="shared" si="670"/>
        <v>3.4974970047072063E-2</v>
      </c>
      <c r="CA581" s="987">
        <f t="shared" si="670"/>
        <v>-2.5497529465511315E-2</v>
      </c>
      <c r="CB581" s="987">
        <f t="shared" si="670"/>
        <v>-3.4481758521987316E-2</v>
      </c>
      <c r="CC581" s="24"/>
    </row>
    <row r="582" spans="1:81" outlineLevel="2" x14ac:dyDescent="0.55000000000000004">
      <c r="A582" s="37"/>
      <c r="B582" s="241"/>
      <c r="C582" s="600"/>
      <c r="D582" s="600"/>
      <c r="E582" s="600"/>
      <c r="F582" s="600"/>
      <c r="G582" s="600"/>
      <c r="H582" s="600"/>
      <c r="I582" s="600"/>
      <c r="J582" s="600"/>
      <c r="K582" s="600"/>
      <c r="L582" s="600"/>
      <c r="M582" s="600"/>
      <c r="N582" s="600"/>
      <c r="O582" s="600"/>
      <c r="P582" s="600"/>
      <c r="Q582" s="600"/>
      <c r="R582" s="600"/>
      <c r="S582" s="600"/>
      <c r="T582" s="600"/>
      <c r="U582" s="600"/>
      <c r="V582" s="600"/>
      <c r="W582" s="600"/>
      <c r="X582" s="600"/>
      <c r="Y582" s="600"/>
      <c r="Z582" s="600"/>
      <c r="AA582" s="600"/>
      <c r="AB582" s="600"/>
      <c r="AC582" s="600"/>
      <c r="AD582" s="600"/>
      <c r="AE582" s="600"/>
      <c r="AF582" s="600"/>
      <c r="AG582" s="600"/>
      <c r="AH582" s="600"/>
      <c r="AI582" s="600"/>
      <c r="AJ582" s="600"/>
      <c r="AK582" s="600"/>
      <c r="AL582" s="600"/>
      <c r="AM582" s="600"/>
      <c r="AN582" s="600"/>
      <c r="AO582" s="600"/>
      <c r="AP582" s="600"/>
      <c r="AQ582" s="600"/>
      <c r="AR582" s="600"/>
      <c r="AS582" s="600"/>
      <c r="AT582" s="600"/>
      <c r="AU582" s="600"/>
      <c r="AV582" s="600"/>
      <c r="AW582" s="600"/>
      <c r="AX582" s="600"/>
      <c r="AY582" s="604"/>
      <c r="AZ582" s="600"/>
      <c r="BA582" s="600"/>
      <c r="BB582" s="600"/>
      <c r="BC582" s="600"/>
      <c r="BD582" s="600"/>
      <c r="BE582" s="600"/>
      <c r="BF582" s="600"/>
      <c r="BG582" s="600"/>
      <c r="BH582" s="186"/>
      <c r="BI582" s="186"/>
      <c r="BJ582" s="186"/>
      <c r="BK582" s="186"/>
      <c r="BL582" s="186"/>
      <c r="BM582" s="186"/>
      <c r="BN582" s="186"/>
      <c r="BO582" s="186"/>
      <c r="BP582" s="186"/>
      <c r="BQ582" s="186"/>
      <c r="BR582" s="186"/>
      <c r="BS582" s="186"/>
      <c r="BT582" s="186"/>
      <c r="BU582" s="186"/>
      <c r="BV582" s="186"/>
      <c r="BW582" s="909"/>
      <c r="BX582" s="186"/>
      <c r="BY582" s="186"/>
      <c r="BZ582" s="186"/>
      <c r="CA582" s="186"/>
      <c r="CB582" s="186"/>
      <c r="CC582" s="358"/>
    </row>
    <row r="583" spans="1:81" outlineLevel="2" x14ac:dyDescent="0.55000000000000004">
      <c r="A583" s="37" t="s">
        <v>749</v>
      </c>
      <c r="B583" s="241"/>
      <c r="C583" s="438"/>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c r="AA583" s="438"/>
      <c r="AB583" s="438">
        <f t="shared" ref="AB583:AY583" si="671">AB$1025</f>
        <v>43699</v>
      </c>
      <c r="AC583" s="438">
        <f t="shared" si="671"/>
        <v>43768</v>
      </c>
      <c r="AD583" s="438">
        <f t="shared" si="671"/>
        <v>43859</v>
      </c>
      <c r="AE583" s="438">
        <f t="shared" si="671"/>
        <v>43950</v>
      </c>
      <c r="AF583" s="438">
        <f t="shared" si="671"/>
        <v>44042</v>
      </c>
      <c r="AG583" s="438">
        <f t="shared" si="671"/>
        <v>44133</v>
      </c>
      <c r="AH583" s="438">
        <f t="shared" si="671"/>
        <v>44223</v>
      </c>
      <c r="AI583" s="438">
        <f t="shared" si="671"/>
        <v>44314</v>
      </c>
      <c r="AJ583" s="438">
        <f t="shared" si="671"/>
        <v>44405</v>
      </c>
      <c r="AK583" s="438">
        <f t="shared" si="671"/>
        <v>44494</v>
      </c>
      <c r="AL583" s="438">
        <f t="shared" si="671"/>
        <v>44594</v>
      </c>
      <c r="AM583" s="438">
        <f t="shared" si="671"/>
        <v>44678</v>
      </c>
      <c r="AN583" s="438">
        <f t="shared" si="671"/>
        <v>44769</v>
      </c>
      <c r="AO583" s="438">
        <f t="shared" si="671"/>
        <v>44860</v>
      </c>
      <c r="AP583" s="438">
        <f t="shared" si="671"/>
        <v>44928</v>
      </c>
      <c r="AQ583" s="438">
        <f t="shared" si="671"/>
        <v>45042</v>
      </c>
      <c r="AR583" s="438">
        <f t="shared" si="671"/>
        <v>45133</v>
      </c>
      <c r="AS583" s="438">
        <f t="shared" si="671"/>
        <v>45224</v>
      </c>
      <c r="AT583" s="438">
        <f t="shared" si="671"/>
        <v>45323</v>
      </c>
      <c r="AU583" s="438">
        <f t="shared" si="671"/>
        <v>45406</v>
      </c>
      <c r="AV583" s="438">
        <f t="shared" si="671"/>
        <v>45504</v>
      </c>
      <c r="AW583" s="438">
        <f t="shared" si="671"/>
        <v>45595</v>
      </c>
      <c r="AX583" s="438">
        <f t="shared" si="671"/>
        <v>45686</v>
      </c>
      <c r="AY583" s="662">
        <f t="shared" si="671"/>
        <v>45777</v>
      </c>
      <c r="AZ583" s="438"/>
      <c r="BA583" s="438"/>
      <c r="BB583" s="438"/>
      <c r="BC583" s="438"/>
      <c r="BD583" s="438"/>
      <c r="BE583" s="438"/>
      <c r="BF583" s="438"/>
      <c r="BG583" s="438"/>
      <c r="BH583" s="989"/>
      <c r="BI583" s="989"/>
      <c r="BJ583" s="989"/>
      <c r="BK583" s="989"/>
      <c r="BL583" s="989"/>
      <c r="BM583" s="989"/>
      <c r="BN583" s="989"/>
      <c r="BO583" s="989"/>
      <c r="BP583" s="989"/>
      <c r="BQ583" s="989"/>
      <c r="BR583" s="989">
        <f t="shared" ref="BR583:BW583" si="672">BR$1025</f>
        <v>43859</v>
      </c>
      <c r="BS583" s="989">
        <f t="shared" si="672"/>
        <v>44223</v>
      </c>
      <c r="BT583" s="989">
        <f t="shared" si="672"/>
        <v>44594</v>
      </c>
      <c r="BU583" s="989">
        <f t="shared" si="672"/>
        <v>44928</v>
      </c>
      <c r="BV583" s="989">
        <f t="shared" si="672"/>
        <v>45323</v>
      </c>
      <c r="BW583" s="990">
        <f t="shared" si="672"/>
        <v>45686</v>
      </c>
      <c r="BX583" s="989"/>
      <c r="BY583" s="989"/>
      <c r="BZ583" s="989"/>
      <c r="CA583" s="989"/>
      <c r="CB583" s="989"/>
      <c r="CC583" s="358"/>
    </row>
    <row r="584" spans="1:81" ht="16.2" outlineLevel="2" x14ac:dyDescent="0.85">
      <c r="A584" s="435" t="s">
        <v>750</v>
      </c>
      <c r="B584" s="436"/>
      <c r="C584" s="613"/>
      <c r="D584" s="613"/>
      <c r="E584" s="613"/>
      <c r="F584" s="613"/>
      <c r="G584" s="613"/>
      <c r="H584" s="613"/>
      <c r="I584" s="613"/>
      <c r="J584" s="613"/>
      <c r="K584" s="613"/>
      <c r="L584" s="613"/>
      <c r="M584" s="613"/>
      <c r="N584" s="613"/>
      <c r="O584" s="613"/>
      <c r="P584" s="613"/>
      <c r="Q584" s="613"/>
      <c r="R584" s="613"/>
      <c r="S584" s="613"/>
      <c r="T584" s="613"/>
      <c r="U584" s="613"/>
      <c r="V584" s="613"/>
      <c r="W584" s="613"/>
      <c r="X584" s="613"/>
      <c r="Y584" s="613"/>
      <c r="Z584" s="613"/>
      <c r="AA584" s="613"/>
      <c r="AB584" s="613" t="str">
        <f t="shared" ref="AB584:AY584" si="673">AC$5</f>
        <v>Q3-2019</v>
      </c>
      <c r="AC584" s="613" t="str">
        <f t="shared" si="673"/>
        <v>Q4-2019</v>
      </c>
      <c r="AD584" s="613" t="str">
        <f t="shared" si="673"/>
        <v>Q1-2020</v>
      </c>
      <c r="AE584" s="613" t="str">
        <f t="shared" si="673"/>
        <v>Q2-2020</v>
      </c>
      <c r="AF584" s="613" t="str">
        <f t="shared" si="673"/>
        <v>Q3-2020</v>
      </c>
      <c r="AG584" s="613" t="str">
        <f t="shared" si="673"/>
        <v>Q4-2020</v>
      </c>
      <c r="AH584" s="613" t="str">
        <f t="shared" si="673"/>
        <v>Q1-2021</v>
      </c>
      <c r="AI584" s="613" t="str">
        <f t="shared" si="673"/>
        <v>Q2-2021</v>
      </c>
      <c r="AJ584" s="613" t="str">
        <f t="shared" si="673"/>
        <v>Q3-2021</v>
      </c>
      <c r="AK584" s="613" t="str">
        <f t="shared" si="673"/>
        <v>Q4-2021</v>
      </c>
      <c r="AL584" s="613" t="str">
        <f t="shared" si="673"/>
        <v>Q1-2022</v>
      </c>
      <c r="AM584" s="613" t="str">
        <f t="shared" si="673"/>
        <v>Q2-2022</v>
      </c>
      <c r="AN584" s="613" t="str">
        <f t="shared" si="673"/>
        <v>Q3-2022</v>
      </c>
      <c r="AO584" s="613" t="str">
        <f t="shared" si="673"/>
        <v>Q4-2022</v>
      </c>
      <c r="AP584" s="613" t="str">
        <f t="shared" si="673"/>
        <v>Q1-2023</v>
      </c>
      <c r="AQ584" s="613" t="str">
        <f t="shared" si="673"/>
        <v>Q2-2023</v>
      </c>
      <c r="AR584" s="613" t="str">
        <f t="shared" si="673"/>
        <v>Q3-2023</v>
      </c>
      <c r="AS584" s="613" t="str">
        <f t="shared" si="673"/>
        <v>Q4-2023</v>
      </c>
      <c r="AT584" s="613" t="str">
        <f t="shared" si="673"/>
        <v>Q1-2024</v>
      </c>
      <c r="AU584" s="613" t="str">
        <f t="shared" si="673"/>
        <v>Q2-2024</v>
      </c>
      <c r="AV584" s="613" t="str">
        <f t="shared" si="673"/>
        <v>Q3-2024</v>
      </c>
      <c r="AW584" s="613" t="str">
        <f t="shared" si="673"/>
        <v>Q4-2024</v>
      </c>
      <c r="AX584" s="613" t="str">
        <f t="shared" si="673"/>
        <v>Q1-2025</v>
      </c>
      <c r="AY584" s="663" t="str">
        <f t="shared" si="673"/>
        <v>Q2-2025</v>
      </c>
      <c r="AZ584" s="613"/>
      <c r="BA584" s="613"/>
      <c r="BB584" s="613"/>
      <c r="BC584" s="613"/>
      <c r="BD584" s="613"/>
      <c r="BE584" s="613"/>
      <c r="BF584" s="613"/>
      <c r="BG584" s="613"/>
      <c r="BH584" s="991"/>
      <c r="BI584" s="991"/>
      <c r="BJ584" s="991"/>
      <c r="BK584" s="991"/>
      <c r="BL584" s="991"/>
      <c r="BM584" s="991"/>
      <c r="BN584" s="991"/>
      <c r="BO584" s="991"/>
      <c r="BP584" s="991"/>
      <c r="BQ584" s="991"/>
      <c r="BR584" s="991" t="str">
        <f>AE$5</f>
        <v>Q1-2020</v>
      </c>
      <c r="BS584" s="991" t="str">
        <f>AI$5</f>
        <v>Q1-2021</v>
      </c>
      <c r="BT584" s="991" t="str">
        <f>AM$5</f>
        <v>Q1-2022</v>
      </c>
      <c r="BU584" s="991" t="str">
        <f>AQ$5</f>
        <v>Q1-2023</v>
      </c>
      <c r="BV584" s="991" t="str">
        <f>AU$5</f>
        <v>Q1-2024</v>
      </c>
      <c r="BW584" s="992" t="str">
        <f>AY$5</f>
        <v>Q1-2025</v>
      </c>
      <c r="BX584" s="991"/>
      <c r="BY584" s="991"/>
      <c r="BZ584" s="991"/>
      <c r="CA584" s="991"/>
      <c r="CB584" s="991"/>
      <c r="CC584" s="358"/>
    </row>
    <row r="585" spans="1:81" s="706" customFormat="1" outlineLevel="3" x14ac:dyDescent="0.55000000000000004">
      <c r="A585" s="86" t="s">
        <v>781</v>
      </c>
      <c r="B585" s="8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200"/>
      <c r="AC585" s="200">
        <f>AC599-SUM(AC575,AB575,AA575)</f>
        <v>11513</v>
      </c>
      <c r="AD585" s="200"/>
      <c r="AE585" s="200"/>
      <c r="AF585" s="200"/>
      <c r="AG585" s="200">
        <f>AG599-SUM(AG575,AF575,AE575)</f>
        <v>15002</v>
      </c>
      <c r="AH585" s="200"/>
      <c r="AI585" s="200"/>
      <c r="AJ585" s="200"/>
      <c r="AK585" s="200">
        <f>AK599-SUM(AK575,AJ575,AI575)</f>
        <v>19910</v>
      </c>
      <c r="AL585" s="200"/>
      <c r="AM585" s="200"/>
      <c r="AN585" s="200"/>
      <c r="AO585" s="200">
        <f>AO599-SUM(AO575,AN575,AM575)</f>
        <v>23102</v>
      </c>
      <c r="AP585" s="200"/>
      <c r="AQ585" s="200"/>
      <c r="AR585" s="200"/>
      <c r="AS585" s="200">
        <f>AS599-SUM(AS575,AR575,AQ575)</f>
        <v>22577</v>
      </c>
      <c r="AT585" s="200"/>
      <c r="AU585" s="200"/>
      <c r="AV585" s="200"/>
      <c r="AW585" s="200">
        <f>AW599-SUM(AW575,AV575,AU575)</f>
        <v>25900</v>
      </c>
      <c r="AX585" s="200"/>
      <c r="AY585" s="407"/>
      <c r="AZ585" s="37"/>
      <c r="BA585" s="37"/>
      <c r="BB585" s="37"/>
      <c r="BC585" s="37"/>
      <c r="BD585" s="37"/>
      <c r="BE585" s="37"/>
      <c r="BF585" s="37"/>
      <c r="BG585" s="37"/>
      <c r="BH585" s="158"/>
      <c r="BI585" s="158"/>
      <c r="BJ585" s="158"/>
      <c r="BK585" s="158"/>
      <c r="BL585" s="158"/>
      <c r="BM585" s="158"/>
      <c r="BN585" s="158"/>
      <c r="BO585" s="158"/>
      <c r="BP585" s="158"/>
      <c r="BQ585" s="158"/>
      <c r="BR585" s="841"/>
      <c r="BS585" s="841"/>
      <c r="BT585" s="841"/>
      <c r="BU585" s="841"/>
      <c r="BV585" s="841"/>
      <c r="BW585" s="842"/>
      <c r="BX585" s="158"/>
      <c r="BY585" s="158"/>
      <c r="BZ585" s="158"/>
      <c r="CA585" s="158"/>
      <c r="CB585" s="158"/>
      <c r="CC585" s="117"/>
    </row>
    <row r="586" spans="1:81" s="706" customFormat="1" outlineLevel="3" x14ac:dyDescent="0.55000000000000004">
      <c r="A586" s="315" t="s">
        <v>782</v>
      </c>
      <c r="B586" s="244"/>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320"/>
      <c r="AC586" s="320">
        <f>AC600-SUM(AC575,AB575,AA575)</f>
        <v>13513</v>
      </c>
      <c r="AD586" s="320"/>
      <c r="AE586" s="320"/>
      <c r="AF586" s="320"/>
      <c r="AG586" s="320">
        <f>AG600-SUM(AG575,AF575,AE575)</f>
        <v>16002</v>
      </c>
      <c r="AH586" s="320"/>
      <c r="AI586" s="320"/>
      <c r="AJ586" s="320"/>
      <c r="AK586" s="320">
        <f>AK600-SUM(AK575,AJ575,AI575)</f>
        <v>20910</v>
      </c>
      <c r="AL586" s="320"/>
      <c r="AM586" s="320"/>
      <c r="AN586" s="320"/>
      <c r="AO586" s="320">
        <f>AO600-SUM(AO575,AN575,AM575)</f>
        <v>25102</v>
      </c>
      <c r="AP586" s="320"/>
      <c r="AQ586" s="320"/>
      <c r="AR586" s="320"/>
      <c r="AS586" s="320">
        <f>AS600-SUM(AS575,AR575,AQ575)</f>
        <v>24577</v>
      </c>
      <c r="AT586" s="320"/>
      <c r="AU586" s="320"/>
      <c r="AV586" s="320"/>
      <c r="AW586" s="320">
        <f>AW600-SUM(AW575,AV575,AU575)</f>
        <v>27900</v>
      </c>
      <c r="AX586" s="320"/>
      <c r="AY586" s="628"/>
      <c r="AZ586" s="82"/>
      <c r="BA586" s="82"/>
      <c r="BB586" s="82"/>
      <c r="BC586" s="82"/>
      <c r="BD586" s="82"/>
      <c r="BE586" s="82"/>
      <c r="BF586" s="82"/>
      <c r="BG586" s="82"/>
      <c r="BH586" s="854"/>
      <c r="BI586" s="854"/>
      <c r="BJ586" s="854"/>
      <c r="BK586" s="854"/>
      <c r="BL586" s="854"/>
      <c r="BM586" s="854"/>
      <c r="BN586" s="854"/>
      <c r="BO586" s="854"/>
      <c r="BP586" s="854"/>
      <c r="BQ586" s="854"/>
      <c r="BR586" s="843"/>
      <c r="BS586" s="843"/>
      <c r="BT586" s="843"/>
      <c r="BU586" s="843"/>
      <c r="BV586" s="843"/>
      <c r="BW586" s="844"/>
      <c r="BX586" s="854"/>
      <c r="BY586" s="854"/>
      <c r="BZ586" s="854"/>
      <c r="CA586" s="854"/>
      <c r="CB586" s="854"/>
      <c r="CC586" s="117"/>
    </row>
    <row r="587" spans="1:81" s="706" customFormat="1" outlineLevel="2" x14ac:dyDescent="0.55000000000000004">
      <c r="A587" s="35" t="s">
        <v>783</v>
      </c>
      <c r="B587" s="193"/>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212"/>
      <c r="AC587" s="212">
        <f>IFERROR(AVERAGE(AC586,AC585),"NR")</f>
        <v>12513</v>
      </c>
      <c r="AD587" s="212"/>
      <c r="AE587" s="212"/>
      <c r="AF587" s="212"/>
      <c r="AG587" s="212">
        <f>IFERROR(AVERAGE(AG586,AG585),"NR")</f>
        <v>15502</v>
      </c>
      <c r="AH587" s="212"/>
      <c r="AI587" s="212"/>
      <c r="AJ587" s="212"/>
      <c r="AK587" s="212">
        <f>IFERROR(AVERAGE(AK586,AK585),"NR")</f>
        <v>20410</v>
      </c>
      <c r="AL587" s="212"/>
      <c r="AM587" s="212"/>
      <c r="AN587" s="212"/>
      <c r="AO587" s="212">
        <f>IFERROR(AVERAGE(AO586,AO585),"NR")</f>
        <v>24102</v>
      </c>
      <c r="AP587" s="212"/>
      <c r="AQ587" s="212"/>
      <c r="AR587" s="212"/>
      <c r="AS587" s="212">
        <f>IFERROR(AVERAGE(AS586,AS585),"NR")</f>
        <v>23577</v>
      </c>
      <c r="AT587" s="212"/>
      <c r="AU587" s="212"/>
      <c r="AV587" s="212"/>
      <c r="AW587" s="212">
        <f>IFERROR(AVERAGE(AW586,AW585),"NR")</f>
        <v>26900</v>
      </c>
      <c r="AX587" s="212"/>
      <c r="AY587" s="629"/>
      <c r="AZ587" s="35"/>
      <c r="BA587" s="35"/>
      <c r="BB587" s="35"/>
      <c r="BC587" s="35"/>
      <c r="BD587" s="35"/>
      <c r="BE587" s="35"/>
      <c r="BF587" s="35"/>
      <c r="BG587" s="35"/>
      <c r="BH587" s="812"/>
      <c r="BI587" s="812"/>
      <c r="BJ587" s="812"/>
      <c r="BK587" s="812"/>
      <c r="BL587" s="812"/>
      <c r="BM587" s="812"/>
      <c r="BN587" s="812"/>
      <c r="BO587" s="812"/>
      <c r="BP587" s="812"/>
      <c r="BQ587" s="812"/>
      <c r="BR587" s="827"/>
      <c r="BS587" s="827"/>
      <c r="BT587" s="827"/>
      <c r="BU587" s="827"/>
      <c r="BV587" s="827"/>
      <c r="BW587" s="845"/>
      <c r="BX587" s="812"/>
      <c r="BY587" s="812"/>
      <c r="BZ587" s="812"/>
      <c r="CA587" s="812"/>
      <c r="CB587" s="812"/>
      <c r="CC587" s="117"/>
    </row>
    <row r="588" spans="1:81" s="706" customFormat="1" outlineLevel="2" x14ac:dyDescent="0.55000000000000004">
      <c r="A588" s="86" t="s">
        <v>784</v>
      </c>
      <c r="B588" s="8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f>IF(OR(ISBLANK(AC585),ISBLANK(AC586)),"",ABS(AC586-AC585))</f>
        <v>2000</v>
      </c>
      <c r="AD588" s="37"/>
      <c r="AE588" s="37"/>
      <c r="AF588" s="37"/>
      <c r="AG588" s="37">
        <f>IF(OR(ISBLANK(AG585),ISBLANK(AG586)),"",ABS(AG586-AG585))</f>
        <v>1000</v>
      </c>
      <c r="AH588" s="37"/>
      <c r="AI588" s="37"/>
      <c r="AJ588" s="37"/>
      <c r="AK588" s="37">
        <f>IF(OR(ISBLANK(AK585),ISBLANK(AK586)),"",ABS(AK586-AK585))</f>
        <v>1000</v>
      </c>
      <c r="AL588" s="37"/>
      <c r="AM588" s="37"/>
      <c r="AN588" s="37"/>
      <c r="AO588" s="37">
        <f>IF(OR(ISBLANK(AO585),ISBLANK(AO586)),"",ABS(AO586-AO585))</f>
        <v>2000</v>
      </c>
      <c r="AP588" s="37"/>
      <c r="AQ588" s="37"/>
      <c r="AR588" s="37"/>
      <c r="AS588" s="37">
        <f>IF(OR(ISBLANK(AS585),ISBLANK(AS586)),"",ABS(AS586-AS585))</f>
        <v>2000</v>
      </c>
      <c r="AT588" s="37"/>
      <c r="AU588" s="37"/>
      <c r="AV588" s="37"/>
      <c r="AW588" s="37">
        <f>IF(OR(ISBLANK(AW585),ISBLANK(AW586)),"",ABS(AW586-AW585))</f>
        <v>2000</v>
      </c>
      <c r="AX588" s="37"/>
      <c r="AY588" s="273"/>
      <c r="AZ588" s="37"/>
      <c r="BA588" s="37"/>
      <c r="BB588" s="37"/>
      <c r="BC588" s="37"/>
      <c r="BD588" s="37"/>
      <c r="BE588" s="37"/>
      <c r="BF588" s="37"/>
      <c r="BG588" s="37"/>
      <c r="BH588" s="158"/>
      <c r="BI588" s="158"/>
      <c r="BJ588" s="158"/>
      <c r="BK588" s="158"/>
      <c r="BL588" s="158"/>
      <c r="BM588" s="158"/>
      <c r="BN588" s="158"/>
      <c r="BO588" s="158"/>
      <c r="BP588" s="158"/>
      <c r="BQ588" s="158"/>
      <c r="BR588" s="158"/>
      <c r="BS588" s="158"/>
      <c r="BT588" s="158"/>
      <c r="BU588" s="158"/>
      <c r="BV588" s="158"/>
      <c r="BW588" s="846"/>
      <c r="BX588" s="158"/>
      <c r="BY588" s="158"/>
      <c r="BZ588" s="158"/>
      <c r="CA588" s="158"/>
      <c r="CB588" s="158"/>
      <c r="CC588" s="117"/>
    </row>
    <row r="589" spans="1:81" s="709" customFormat="1" outlineLevel="2" x14ac:dyDescent="0.55000000000000004">
      <c r="A589" s="321" t="s">
        <v>785</v>
      </c>
      <c r="B589" s="439"/>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f>IFERROR(ABS(AC586-AC587)/AC587,"")</f>
        <v>7.9916886438104365E-2</v>
      </c>
      <c r="AD589" s="55"/>
      <c r="AE589" s="55"/>
      <c r="AF589" s="55"/>
      <c r="AG589" s="55">
        <f>IFERROR(ABS(AG586-AG587)/AG587,"")</f>
        <v>3.2253902722229388E-2</v>
      </c>
      <c r="AH589" s="55"/>
      <c r="AI589" s="55"/>
      <c r="AJ589" s="55"/>
      <c r="AK589" s="55">
        <f>IFERROR(ABS(AK586-AK587)/AK587,"")</f>
        <v>2.4497795198432142E-2</v>
      </c>
      <c r="AL589" s="55"/>
      <c r="AM589" s="55"/>
      <c r="AN589" s="55"/>
      <c r="AO589" s="55">
        <f>IFERROR(ABS(AO586-AO587)/AO587,"")</f>
        <v>4.1490332752468675E-2</v>
      </c>
      <c r="AP589" s="55"/>
      <c r="AQ589" s="55"/>
      <c r="AR589" s="55"/>
      <c r="AS589" s="55">
        <f>IFERROR(ABS(AS586-AS587)/AS587,"")</f>
        <v>4.2414217245620729E-2</v>
      </c>
      <c r="AT589" s="55"/>
      <c r="AU589" s="55"/>
      <c r="AV589" s="55"/>
      <c r="AW589" s="55">
        <f>IFERROR(ABS(AW586-AW587)/AW587,"")</f>
        <v>3.717472118959108E-2</v>
      </c>
      <c r="AX589" s="55"/>
      <c r="AY589" s="275"/>
      <c r="AZ589" s="55"/>
      <c r="BA589" s="55"/>
      <c r="BB589" s="55"/>
      <c r="BC589" s="55"/>
      <c r="BD589" s="55"/>
      <c r="BE589" s="55"/>
      <c r="BF589" s="55"/>
      <c r="BG589" s="55"/>
      <c r="BH589" s="156"/>
      <c r="BI589" s="156"/>
      <c r="BJ589" s="156"/>
      <c r="BK589" s="156"/>
      <c r="BL589" s="156"/>
      <c r="BM589" s="156"/>
      <c r="BN589" s="156"/>
      <c r="BO589" s="156"/>
      <c r="BP589" s="156"/>
      <c r="BQ589" s="156"/>
      <c r="BR589" s="156"/>
      <c r="BS589" s="156"/>
      <c r="BT589" s="156"/>
      <c r="BU589" s="156"/>
      <c r="BV589" s="156"/>
      <c r="BW589" s="856"/>
      <c r="BX589" s="156"/>
      <c r="BY589" s="156"/>
      <c r="BZ589" s="156"/>
      <c r="CA589" s="156"/>
      <c r="CB589" s="156"/>
      <c r="CC589" s="24"/>
    </row>
    <row r="590" spans="1:81" s="709" customFormat="1" outlineLevel="3" x14ac:dyDescent="0.55000000000000004">
      <c r="A590" s="327" t="s">
        <v>786</v>
      </c>
      <c r="B590" s="75"/>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f>AC585/Z575-1</f>
        <v>0.26599956014954906</v>
      </c>
      <c r="AD590" s="54"/>
      <c r="AE590" s="54"/>
      <c r="AF590" s="54"/>
      <c r="AG590" s="54">
        <f>AG585/AD575-1</f>
        <v>0.22725785340314131</v>
      </c>
      <c r="AH590" s="54"/>
      <c r="AI590" s="54"/>
      <c r="AJ590" s="54"/>
      <c r="AK590" s="54">
        <f>AK585/AH575-1</f>
        <v>0.30156239785578864</v>
      </c>
      <c r="AL590" s="54"/>
      <c r="AM590" s="54"/>
      <c r="AN590" s="54"/>
      <c r="AO590" s="54">
        <f>AO585/AL575-1</f>
        <v>9.5608460589964972E-2</v>
      </c>
      <c r="AP590" s="54"/>
      <c r="AQ590" s="54"/>
      <c r="AR590" s="54"/>
      <c r="AS590" s="54">
        <f>AS585/AP575-1</f>
        <v>-0.12376775595746337</v>
      </c>
      <c r="AT590" s="54"/>
      <c r="AU590" s="54"/>
      <c r="AV590" s="54"/>
      <c r="AW590" s="54">
        <f>AW585/AT575-1</f>
        <v>9.1583428162009595E-2</v>
      </c>
      <c r="AX590" s="54"/>
      <c r="AY590" s="623"/>
      <c r="AZ590" s="54"/>
      <c r="BA590" s="54"/>
      <c r="BB590" s="54"/>
      <c r="BC590" s="54"/>
      <c r="BD590" s="54"/>
      <c r="BE590" s="54"/>
      <c r="BF590" s="54"/>
      <c r="BG590" s="54"/>
      <c r="BH590" s="815"/>
      <c r="BI590" s="815"/>
      <c r="BJ590" s="815"/>
      <c r="BK590" s="815"/>
      <c r="BL590" s="815"/>
      <c r="BM590" s="815"/>
      <c r="BN590" s="815"/>
      <c r="BO590" s="815"/>
      <c r="BP590" s="815"/>
      <c r="BQ590" s="815"/>
      <c r="BR590" s="815"/>
      <c r="BS590" s="815"/>
      <c r="BT590" s="815"/>
      <c r="BU590" s="815"/>
      <c r="BV590" s="815"/>
      <c r="BW590" s="816"/>
      <c r="BX590" s="815"/>
      <c r="BY590" s="815"/>
      <c r="BZ590" s="815"/>
      <c r="CA590" s="815"/>
      <c r="CB590" s="815"/>
      <c r="CC590" s="24"/>
    </row>
    <row r="591" spans="1:81" s="709" customFormat="1" outlineLevel="3" x14ac:dyDescent="0.55000000000000004">
      <c r="A591" s="333" t="s">
        <v>787</v>
      </c>
      <c r="B591" s="43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f>AC586/Z575-1</f>
        <v>0.48592478557290519</v>
      </c>
      <c r="AD591" s="404"/>
      <c r="AE591" s="404"/>
      <c r="AF591" s="404"/>
      <c r="AG591" s="404">
        <f>AG586/AD575-1</f>
        <v>0.30906413612565453</v>
      </c>
      <c r="AH591" s="404"/>
      <c r="AI591" s="404"/>
      <c r="AJ591" s="404"/>
      <c r="AK591" s="404">
        <f>AK586/AH575-1</f>
        <v>0.36693469307707383</v>
      </c>
      <c r="AL591" s="404"/>
      <c r="AM591" s="404"/>
      <c r="AN591" s="404"/>
      <c r="AO591" s="404">
        <f>AO586/AL575-1</f>
        <v>0.19045812387366023</v>
      </c>
      <c r="AP591" s="404"/>
      <c r="AQ591" s="404"/>
      <c r="AR591" s="404"/>
      <c r="AS591" s="404">
        <f>AS586/AP575-1</f>
        <v>-4.61460839866491E-2</v>
      </c>
      <c r="AT591" s="404"/>
      <c r="AU591" s="404"/>
      <c r="AV591" s="404"/>
      <c r="AW591" s="404">
        <f>AW586/AT575-1</f>
        <v>0.17587558477683651</v>
      </c>
      <c r="AX591" s="404"/>
      <c r="AY591" s="651"/>
      <c r="AZ591" s="404"/>
      <c r="BA591" s="404"/>
      <c r="BB591" s="404"/>
      <c r="BC591" s="404"/>
      <c r="BD591" s="404"/>
      <c r="BE591" s="404"/>
      <c r="BF591" s="404"/>
      <c r="BG591" s="404"/>
      <c r="BH591" s="946"/>
      <c r="BI591" s="946"/>
      <c r="BJ591" s="946"/>
      <c r="BK591" s="946"/>
      <c r="BL591" s="946"/>
      <c r="BM591" s="946"/>
      <c r="BN591" s="946"/>
      <c r="BO591" s="946"/>
      <c r="BP591" s="946"/>
      <c r="BQ591" s="946"/>
      <c r="BR591" s="946"/>
      <c r="BS591" s="946"/>
      <c r="BT591" s="946"/>
      <c r="BU591" s="946"/>
      <c r="BV591" s="946"/>
      <c r="BW591" s="947"/>
      <c r="BX591" s="946"/>
      <c r="BY591" s="946"/>
      <c r="BZ591" s="946"/>
      <c r="CA591" s="946"/>
      <c r="CB591" s="946"/>
      <c r="CC591" s="24"/>
    </row>
    <row r="592" spans="1:81" s="709" customFormat="1" outlineLevel="2" x14ac:dyDescent="0.55000000000000004">
      <c r="A592" s="79" t="s">
        <v>788</v>
      </c>
      <c r="B592" s="75"/>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f>AC587/Z575-1</f>
        <v>0.37596217286122724</v>
      </c>
      <c r="AD592" s="54"/>
      <c r="AE592" s="54"/>
      <c r="AF592" s="54"/>
      <c r="AG592" s="54">
        <f>AG587/AD575-1</f>
        <v>0.26816099476439792</v>
      </c>
      <c r="AH592" s="54"/>
      <c r="AI592" s="54"/>
      <c r="AJ592" s="54"/>
      <c r="AK592" s="54">
        <f>AK587/AH575-1</f>
        <v>0.33424854546643123</v>
      </c>
      <c r="AL592" s="54"/>
      <c r="AM592" s="54"/>
      <c r="AN592" s="54"/>
      <c r="AO592" s="54">
        <f>AO587/AL575-1</f>
        <v>0.14303329223181249</v>
      </c>
      <c r="AP592" s="54"/>
      <c r="AQ592" s="54"/>
      <c r="AR592" s="54"/>
      <c r="AS592" s="54">
        <f>AS587/AP575-1</f>
        <v>-8.4956919972056233E-2</v>
      </c>
      <c r="AT592" s="54"/>
      <c r="AU592" s="54"/>
      <c r="AV592" s="54"/>
      <c r="AW592" s="54">
        <f>AW587/AT575-1</f>
        <v>0.13372950646942305</v>
      </c>
      <c r="AX592" s="54"/>
      <c r="AY592" s="623"/>
      <c r="AZ592" s="54"/>
      <c r="BA592" s="54"/>
      <c r="BB592" s="54"/>
      <c r="BC592" s="54"/>
      <c r="BD592" s="54"/>
      <c r="BE592" s="54"/>
      <c r="BF592" s="54"/>
      <c r="BG592" s="54"/>
      <c r="BH592" s="815"/>
      <c r="BI592" s="815"/>
      <c r="BJ592" s="815"/>
      <c r="BK592" s="815"/>
      <c r="BL592" s="815"/>
      <c r="BM592" s="815"/>
      <c r="BN592" s="815"/>
      <c r="BO592" s="815"/>
      <c r="BP592" s="815"/>
      <c r="BQ592" s="815"/>
      <c r="BR592" s="815"/>
      <c r="BS592" s="815"/>
      <c r="BT592" s="815"/>
      <c r="BU592" s="815"/>
      <c r="BV592" s="815"/>
      <c r="BW592" s="816"/>
      <c r="BX592" s="815"/>
      <c r="BY592" s="815"/>
      <c r="BZ592" s="815"/>
      <c r="CA592" s="815"/>
      <c r="CB592" s="815"/>
      <c r="CC592" s="24"/>
    </row>
    <row r="593" spans="1:81" outlineLevel="2" x14ac:dyDescent="0.55000000000000004">
      <c r="A593" s="37"/>
      <c r="B593" s="241"/>
      <c r="C593" s="600"/>
      <c r="D593" s="600"/>
      <c r="E593" s="600"/>
      <c r="F593" s="600"/>
      <c r="G593" s="600"/>
      <c r="H593" s="600"/>
      <c r="I593" s="600"/>
      <c r="J593" s="600"/>
      <c r="K593" s="600"/>
      <c r="L593" s="600"/>
      <c r="M593" s="600"/>
      <c r="N593" s="600"/>
      <c r="O593" s="600"/>
      <c r="P593" s="600"/>
      <c r="Q593" s="600"/>
      <c r="R593" s="600"/>
      <c r="S593" s="600"/>
      <c r="T593" s="600"/>
      <c r="U593" s="600"/>
      <c r="V593" s="600"/>
      <c r="W593" s="600"/>
      <c r="X593" s="600"/>
      <c r="Y593" s="600"/>
      <c r="Z593" s="600"/>
      <c r="AA593" s="600"/>
      <c r="AB593" s="600"/>
      <c r="AC593" s="600"/>
      <c r="AD593" s="600"/>
      <c r="AE593" s="600"/>
      <c r="AF593" s="600"/>
      <c r="AG593" s="600"/>
      <c r="AH593" s="600"/>
      <c r="AI593" s="600"/>
      <c r="AJ593" s="600"/>
      <c r="AK593" s="600"/>
      <c r="AL593" s="600"/>
      <c r="AM593" s="600"/>
      <c r="AN593" s="600"/>
      <c r="AO593" s="600"/>
      <c r="AP593" s="600"/>
      <c r="AQ593" s="600"/>
      <c r="AR593" s="600"/>
      <c r="AS593" s="600"/>
      <c r="AT593" s="600"/>
      <c r="AU593" s="600"/>
      <c r="AV593" s="600"/>
      <c r="AW593" s="600"/>
      <c r="AX593" s="600"/>
      <c r="AY593" s="604"/>
      <c r="AZ593" s="600"/>
      <c r="BA593" s="600"/>
      <c r="BB593" s="600"/>
      <c r="BC593" s="600"/>
      <c r="BD593" s="600"/>
      <c r="BE593" s="600"/>
      <c r="BF593" s="600"/>
      <c r="BG593" s="600"/>
      <c r="BH593" s="186"/>
      <c r="BI593" s="186"/>
      <c r="BJ593" s="186"/>
      <c r="BK593" s="186"/>
      <c r="BL593" s="186"/>
      <c r="BM593" s="186"/>
      <c r="BN593" s="186"/>
      <c r="BO593" s="186"/>
      <c r="BP593" s="186"/>
      <c r="BQ593" s="186"/>
      <c r="BR593" s="186"/>
      <c r="BS593" s="186"/>
      <c r="BT593" s="186"/>
      <c r="BU593" s="186"/>
      <c r="BV593" s="186"/>
      <c r="BW593" s="909"/>
      <c r="BX593" s="186"/>
      <c r="BY593" s="186"/>
      <c r="BZ593" s="186"/>
      <c r="CA593" s="186"/>
      <c r="CB593" s="186"/>
      <c r="CC593" s="358"/>
    </row>
    <row r="594" spans="1:81" s="709" customFormat="1" outlineLevel="2" x14ac:dyDescent="0.55000000000000004">
      <c r="A594" s="79" t="s">
        <v>789</v>
      </c>
      <c r="B594" s="75"/>
      <c r="C594" s="224"/>
      <c r="D594" s="224"/>
      <c r="E594" s="224"/>
      <c r="F594" s="224"/>
      <c r="G594" s="224"/>
      <c r="H594" s="224"/>
      <c r="I594" s="224"/>
      <c r="J594" s="224"/>
      <c r="K594" s="224"/>
      <c r="L594" s="224"/>
      <c r="M594" s="224"/>
      <c r="N594" s="224"/>
      <c r="O594" s="224"/>
      <c r="P594" s="224"/>
      <c r="Q594" s="224"/>
      <c r="R594" s="224"/>
      <c r="S594" s="224"/>
      <c r="T594" s="224"/>
      <c r="U594" s="224"/>
      <c r="V594" s="224"/>
      <c r="W594" s="224"/>
      <c r="X594" s="224"/>
      <c r="Y594" s="224"/>
      <c r="Z594" s="224"/>
      <c r="AA594" s="224"/>
      <c r="AB594" s="224"/>
      <c r="AC594" s="224"/>
      <c r="AD594" s="224">
        <f>IFERROR(IF(BR573="","",BR573/BQ575-1),"")</f>
        <v>0.51980598221503649</v>
      </c>
      <c r="AE594" s="224">
        <f>IFERROR(IF(BS570="","",BS570/BR575-1),"")</f>
        <v>0.20956519877544899</v>
      </c>
      <c r="AF594" s="224">
        <f>IFERROR(IF(BS571="","",BS571/BR575-1),"")</f>
        <v>0.15604461475883635</v>
      </c>
      <c r="AG594" s="224">
        <f>IFERROR(IF(BS572="","",BS572/BR575-1),"")</f>
        <v>0.14534049795551374</v>
      </c>
      <c r="AH594" s="224">
        <f>IFERROR(IF(BS573="","",BS573/BR575-1),"")</f>
        <v>0.14534049795551374</v>
      </c>
      <c r="AI594" s="224">
        <f>IFERROR(IF(BT570="","",BT570/BS575-1),"")</f>
        <v>0.32285060231921037</v>
      </c>
      <c r="AJ594" s="224">
        <f>IFERROR(IF(BT571="","",BT571/BS575-1),"")</f>
        <v>0.34161444064997926</v>
      </c>
      <c r="AK594" s="224">
        <f>IFERROR(IF(BT572="","",BT572/BS575-1),"")</f>
        <v>0.34161444064997926</v>
      </c>
      <c r="AL594" s="224">
        <f>IFERROR(IF(BT573="","",BT573/BS575-1),"")</f>
        <v>0.32285060231921037</v>
      </c>
      <c r="AM594" s="224">
        <f>IFERROR(IF(BU570="","",BU570/BT575-1),"")</f>
        <v>0.29959536922558172</v>
      </c>
      <c r="AN594" s="224">
        <f>IFERROR(IF(BU571="","",BU571/BT575-1),"")</f>
        <v>0.25744633022367092</v>
      </c>
      <c r="AO594" s="224">
        <f>IFERROR(IF(BU572="","",BU572/BT575-1),"")</f>
        <v>0.21529729122176011</v>
      </c>
      <c r="AP594" s="224">
        <f>IFERROR(IF(BU573="","",BU573/BT575-1),"")</f>
        <v>0.20827245138810846</v>
      </c>
      <c r="AQ594" s="224">
        <f>IFERROR(IF(BV570="","",BV570/BU575-1),"")</f>
        <v>4.9449609308161779E-2</v>
      </c>
      <c r="AR594" s="224">
        <f>IFERROR(IF(BV571="","",BV571/BU575-1),"")</f>
        <v>3.8213654251981755E-3</v>
      </c>
      <c r="AS594" s="224">
        <f>IFERROR(IF(BV572="","",BV572/BU575-1),"")</f>
        <v>2.0931956881309555E-2</v>
      </c>
      <c r="AT594" s="224">
        <f>IFERROR(IF(BV573="","",BV573/BU575-1),"")</f>
        <v>3.8213654251981755E-3</v>
      </c>
      <c r="AU594" s="224">
        <f>IFERROR(IF(BW570="","",BW570/BV575-1),"")</f>
        <v>9.4712481991128916E-2</v>
      </c>
      <c r="AV594" s="224">
        <f>IFERROR(IF(BW571="","",BW571/BV575-1),"")</f>
        <v>0.10605665278896437</v>
      </c>
      <c r="AW594" s="224">
        <f>IFERROR(IF(BW572="","",BW572/BV575-1),"")</f>
        <v>0.10605665278896437</v>
      </c>
      <c r="AX594" s="224">
        <f>IFERROR(IF(BW573="","",BW573/BV575-1),"")</f>
        <v>0.10038456739004653</v>
      </c>
      <c r="AY594" s="624" t="str">
        <f>IFERROR(IF(BX570="","",BX570/BW575-1),"")</f>
        <v/>
      </c>
      <c r="AZ594" s="224"/>
      <c r="BA594" s="224"/>
      <c r="BB594" s="224"/>
      <c r="BC594" s="224"/>
      <c r="BD594" s="224"/>
      <c r="BE594" s="224"/>
      <c r="BF594" s="224"/>
      <c r="BG594" s="224"/>
      <c r="BH594" s="817"/>
      <c r="BI594" s="817"/>
      <c r="BJ594" s="817"/>
      <c r="BK594" s="817"/>
      <c r="BL594" s="817"/>
      <c r="BM594" s="817"/>
      <c r="BN594" s="817"/>
      <c r="BO594" s="817"/>
      <c r="BP594" s="817"/>
      <c r="BQ594" s="817"/>
      <c r="BR594" s="817">
        <f t="shared" ref="BR594:BW594" si="674">IFERROR(IF(BR573="","",BR573/BQ575-1),"")</f>
        <v>0.51980598221503649</v>
      </c>
      <c r="BS594" s="817">
        <f t="shared" si="674"/>
        <v>0.14534049795551374</v>
      </c>
      <c r="BT594" s="817">
        <f t="shared" si="674"/>
        <v>0.32285060231921037</v>
      </c>
      <c r="BU594" s="817">
        <f t="shared" si="674"/>
        <v>0.20827245138810846</v>
      </c>
      <c r="BV594" s="817">
        <f t="shared" si="674"/>
        <v>3.8213654251981755E-3</v>
      </c>
      <c r="BW594" s="819">
        <f t="shared" si="674"/>
        <v>0.10038456739004653</v>
      </c>
      <c r="BX594" s="817"/>
      <c r="BY594" s="817"/>
      <c r="BZ594" s="817"/>
      <c r="CA594" s="817"/>
      <c r="CB594" s="817"/>
      <c r="CC594" s="24"/>
    </row>
    <row r="595" spans="1:81" s="709" customFormat="1" outlineLevel="2" x14ac:dyDescent="0.55000000000000004">
      <c r="A595" s="344" t="s">
        <v>805</v>
      </c>
      <c r="B595" s="434"/>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c r="AD595" s="332">
        <f>IFERROR(IF(BR573="","",(BR575-BR573)/BQ575),"")</f>
        <v>-9.3451899757477763E-3</v>
      </c>
      <c r="AE595" s="332">
        <f>IFERROR(IF(BS570="","",(BS575-BS570)/BR575),"")</f>
        <v>-6.8634796942904239E-2</v>
      </c>
      <c r="AF595" s="332">
        <f>IFERROR(IF(BS571="","",(BS575-BS571)/BR575),"")</f>
        <v>-1.5114212926291452E-2</v>
      </c>
      <c r="AG595" s="332">
        <f>IFERROR(IF(BS572="","",(BS575-BS572)/BR575),"")</f>
        <v>-4.4100961229688942E-3</v>
      </c>
      <c r="AH595" s="332">
        <f>IFERROR(IF(BS573="","",(BS575-BS573)/BR575),"")</f>
        <v>-4.4100961229688942E-3</v>
      </c>
      <c r="AI595" s="332">
        <f>IFERROR(IF(BT570="","",(BT575-BT570)/BS575),"")</f>
        <v>1.2684354711599805E-2</v>
      </c>
      <c r="AJ595" s="332">
        <f>IFERROR(IF(BT571="","",(BT575-BT571)/BS575),"")</f>
        <v>-6.0794836191691371E-3</v>
      </c>
      <c r="AK595" s="332">
        <f>IFERROR(IF(BT572="","",(BT575-BT572)/BS575),"")</f>
        <v>-6.0794836191691371E-3</v>
      </c>
      <c r="AL595" s="332">
        <f>IFERROR(IF(BT573="","",(BT575-BT573)/BS575),"")</f>
        <v>1.2684354711599805E-2</v>
      </c>
      <c r="AM595" s="332">
        <f>IFERROR(IF(BU570="","",(BU575-BU570)/BT575),"")</f>
        <v>-6.793020119141284E-2</v>
      </c>
      <c r="AN595" s="332">
        <f>IFERROR(IF(BU571="","",(BU575-BU571)/BT575),"")</f>
        <v>-2.5781162189502081E-2</v>
      </c>
      <c r="AO595" s="332">
        <f>IFERROR(IF(BU572="","",(BU575-BU572)/BT575),"")</f>
        <v>1.6367876812408678E-2</v>
      </c>
      <c r="AP595" s="332">
        <f>IFERROR(IF(BU573="","",(BU575-BU573)/BT575),"")</f>
        <v>2.339271664606047E-2</v>
      </c>
      <c r="AQ595" s="332">
        <f>IFERROR(IF(BV570="","",(BV575-BV570)/BU575),"")</f>
        <v>-4.390577767638168E-2</v>
      </c>
      <c r="AR595" s="332">
        <f>IFERROR(IF(BV571="","",(BV575-BV571)/BU575),"")</f>
        <v>1.7224662065818742E-3</v>
      </c>
      <c r="AS595" s="332">
        <f>IFERROR(IF(BV572="","",(BV575-BV572)/BU575),"")</f>
        <v>-1.5388125249529459E-2</v>
      </c>
      <c r="AT595" s="332">
        <f>IFERROR(IF(BV573="","",(BV575-BV573)/BU575),"")</f>
        <v>1.7224662065818742E-3</v>
      </c>
      <c r="AU595" s="332">
        <f>IFERROR(IF(BW570="","",(BW575-BW570)/BV575),"")</f>
        <v>-1.56436115302152E-2</v>
      </c>
      <c r="AV595" s="332">
        <f>IFERROR(IF(BW571="","",(BW575-BW571)/BV575),"")</f>
        <v>-2.6987782328050731E-2</v>
      </c>
      <c r="AW595" s="332">
        <f>IFERROR(IF(BW572="","",(BW575-BW572)/BV575),"")</f>
        <v>-2.6987782328050731E-2</v>
      </c>
      <c r="AX595" s="332">
        <f>IFERROR(IF(BW573="","",(BW575-BW573)/BV575),"")</f>
        <v>-2.1315696929132964E-2</v>
      </c>
      <c r="AY595" s="664" t="str">
        <f>IFERROR(IF(BX570="","",(BX575-BX570)/BW575),"")</f>
        <v/>
      </c>
      <c r="AZ595" s="332"/>
      <c r="BA595" s="332"/>
      <c r="BB595" s="332"/>
      <c r="BC595" s="332"/>
      <c r="BD595" s="332"/>
      <c r="BE595" s="332"/>
      <c r="BF595" s="332"/>
      <c r="BG595" s="332"/>
      <c r="BH595" s="993"/>
      <c r="BI595" s="993"/>
      <c r="BJ595" s="993"/>
      <c r="BK595" s="993"/>
      <c r="BL595" s="993"/>
      <c r="BM595" s="993"/>
      <c r="BN595" s="993"/>
      <c r="BO595" s="993"/>
      <c r="BP595" s="993"/>
      <c r="BQ595" s="993"/>
      <c r="BR595" s="993">
        <f t="shared" ref="BR595:BW595" si="675">IFERROR(IF(BR573="","",(BR575-BR573)/BQ575),"")</f>
        <v>-9.3451899757477763E-3</v>
      </c>
      <c r="BS595" s="993">
        <f t="shared" si="675"/>
        <v>-4.4100961229688942E-3</v>
      </c>
      <c r="BT595" s="993">
        <f t="shared" si="675"/>
        <v>1.2684354711599805E-2</v>
      </c>
      <c r="BU595" s="993">
        <f t="shared" si="675"/>
        <v>2.339271664606047E-2</v>
      </c>
      <c r="BV595" s="993">
        <f t="shared" si="675"/>
        <v>1.7224662065818742E-3</v>
      </c>
      <c r="BW595" s="994">
        <f t="shared" si="675"/>
        <v>-2.1315696929132964E-2</v>
      </c>
      <c r="BX595" s="993"/>
      <c r="BY595" s="993"/>
      <c r="BZ595" s="993"/>
      <c r="CA595" s="993"/>
      <c r="CB595" s="993"/>
      <c r="CC595" s="24"/>
    </row>
    <row r="596" spans="1:81" s="709" customFormat="1" outlineLevel="2" x14ac:dyDescent="0.55000000000000004">
      <c r="A596" s="267" t="s">
        <v>790</v>
      </c>
      <c r="B596" s="266"/>
      <c r="C596" s="441"/>
      <c r="D596" s="441"/>
      <c r="E596" s="441"/>
      <c r="F596" s="441"/>
      <c r="G596" s="441"/>
      <c r="H596" s="441"/>
      <c r="I596" s="441"/>
      <c r="J596" s="441"/>
      <c r="K596" s="441"/>
      <c r="L596" s="441"/>
      <c r="M596" s="441"/>
      <c r="N596" s="441"/>
      <c r="O596" s="441"/>
      <c r="P596" s="441"/>
      <c r="Q596" s="441"/>
      <c r="R596" s="441"/>
      <c r="S596" s="441"/>
      <c r="T596" s="441"/>
      <c r="U596" s="441"/>
      <c r="V596" s="441"/>
      <c r="W596" s="441"/>
      <c r="X596" s="441"/>
      <c r="Y596" s="441"/>
      <c r="Z596" s="441"/>
      <c r="AA596" s="441"/>
      <c r="AB596" s="441"/>
      <c r="AC596" s="441"/>
      <c r="AD596" s="441">
        <f>IF(ISBLANK(BR575),"N/A",BR575/BQ575-1)</f>
        <v>0.51046079223928853</v>
      </c>
      <c r="AE596" s="441">
        <f>IF(ISBLANK(BS575),"N/A",BS575/BR575-1)</f>
        <v>0.14093040183254479</v>
      </c>
      <c r="AF596" s="441">
        <f>IF(ISBLANK(BS575),"N/A",BS575/BR575-1)</f>
        <v>0.14093040183254479</v>
      </c>
      <c r="AG596" s="441">
        <f>IF(ISBLANK(BS575),"N/A",BS575/BR575-1)</f>
        <v>0.14093040183254479</v>
      </c>
      <c r="AH596" s="441">
        <f>IF(ISBLANK(BS575),"N/A",BS575/BR575-1)</f>
        <v>0.14093040183254479</v>
      </c>
      <c r="AI596" s="441">
        <f>IF(ISBLANK(BT575),"N/A",BT575/BS575-1)</f>
        <v>0.33553495703081015</v>
      </c>
      <c r="AJ596" s="441">
        <f>IF(ISBLANK(BT575),"N/A",BT575/BS575-1)</f>
        <v>0.33553495703081015</v>
      </c>
      <c r="AK596" s="441">
        <f>IF(ISBLANK(BT575),"N/A",BT575/BS575-1)</f>
        <v>0.33553495703081015</v>
      </c>
      <c r="AL596" s="441">
        <f>IF(ISBLANK(BT575),"N/A",BT575/BS575-1)</f>
        <v>0.33553495703081015</v>
      </c>
      <c r="AM596" s="441">
        <f>IF(ISBLANK(BU575),"N/A",BU575/BT575-1)</f>
        <v>0.23166516803416881</v>
      </c>
      <c r="AN596" s="441">
        <f>IF(ISBLANK(BU575),"N/A",BU575/BT575-1)</f>
        <v>0.23166516803416881</v>
      </c>
      <c r="AO596" s="441">
        <f>IF(ISBLANK(BU575),"N/A",BU575/BT575-1)</f>
        <v>0.23166516803416881</v>
      </c>
      <c r="AP596" s="441">
        <f>IF(ISBLANK(BU575),"N/A",BU575/BT575-1)</f>
        <v>0.23166516803416881</v>
      </c>
      <c r="AQ596" s="441">
        <f>IF(ISBLANK(BV575),"N/A",BV575/BU575-1)</f>
        <v>5.5438316317801828E-3</v>
      </c>
      <c r="AR596" s="441">
        <f>IF(ISBLANK(BV575),"N/A",BV575/BU575-1)</f>
        <v>5.5438316317801828E-3</v>
      </c>
      <c r="AS596" s="441">
        <f>IF(ISBLANK(BV575),"N/A",BV575/BU575-1)</f>
        <v>5.5438316317801828E-3</v>
      </c>
      <c r="AT596" s="441">
        <f>IF(ISBLANK(BV575),"N/A",BV575/BU575-1)</f>
        <v>5.5438316317801828E-3</v>
      </c>
      <c r="AU596" s="441">
        <f>IF(ISBLANK(BW575),"N/A",BW575/BV575-1)</f>
        <v>7.9068870460913709E-2</v>
      </c>
      <c r="AV596" s="441">
        <f>IF(ISBLANK(BW575),"N/A",BW575/BV575-1)</f>
        <v>7.9068870460913709E-2</v>
      </c>
      <c r="AW596" s="441">
        <f>IF(ISBLANK(BW575),"N/A",BW575/BV575-1)</f>
        <v>7.9068870460913709E-2</v>
      </c>
      <c r="AX596" s="441">
        <f>IF(ISBLANK(BW575),"N/A",BW575/BV575-1)</f>
        <v>7.9068870460913709E-2</v>
      </c>
      <c r="AY596" s="660">
        <f>IF(ISBLANK(BX575),"N/A",BX575/BW575-1)</f>
        <v>0.21475390892507629</v>
      </c>
      <c r="AZ596" s="441"/>
      <c r="BA596" s="441"/>
      <c r="BB596" s="441"/>
      <c r="BC596" s="441"/>
      <c r="BD596" s="441"/>
      <c r="BE596" s="441"/>
      <c r="BF596" s="441"/>
      <c r="BG596" s="441"/>
      <c r="BH596" s="985"/>
      <c r="BI596" s="985"/>
      <c r="BJ596" s="985"/>
      <c r="BK596" s="985"/>
      <c r="BL596" s="985"/>
      <c r="BM596" s="985"/>
      <c r="BN596" s="985"/>
      <c r="BO596" s="985"/>
      <c r="BP596" s="985"/>
      <c r="BQ596" s="985"/>
      <c r="BR596" s="985">
        <f t="shared" ref="BR596:BW596" si="676">IF(ISBLANK(BR575),"N/A",BR575/BQ575-1)</f>
        <v>0.51046079223928853</v>
      </c>
      <c r="BS596" s="985">
        <f t="shared" si="676"/>
        <v>0.14093040183254479</v>
      </c>
      <c r="BT596" s="985">
        <f t="shared" si="676"/>
        <v>0.33553495703081015</v>
      </c>
      <c r="BU596" s="985">
        <f t="shared" si="676"/>
        <v>0.23166516803416881</v>
      </c>
      <c r="BV596" s="985">
        <f t="shared" si="676"/>
        <v>5.5438316317801828E-3</v>
      </c>
      <c r="BW596" s="986">
        <f t="shared" si="676"/>
        <v>7.9068870460913709E-2</v>
      </c>
      <c r="BX596" s="985"/>
      <c r="BY596" s="985"/>
      <c r="BZ596" s="985"/>
      <c r="CA596" s="985"/>
      <c r="CB596" s="985"/>
      <c r="CC596" s="24"/>
    </row>
    <row r="597" spans="1:81" outlineLevel="2" x14ac:dyDescent="0.55000000000000004">
      <c r="A597" s="37"/>
      <c r="B597" s="241"/>
      <c r="C597" s="600"/>
      <c r="D597" s="600"/>
      <c r="E597" s="600"/>
      <c r="F597" s="600"/>
      <c r="G597" s="600"/>
      <c r="H597" s="600"/>
      <c r="I597" s="600"/>
      <c r="J597" s="600"/>
      <c r="K597" s="600"/>
      <c r="L597" s="600"/>
      <c r="M597" s="600"/>
      <c r="N597" s="600"/>
      <c r="O597" s="600"/>
      <c r="P597" s="600"/>
      <c r="Q597" s="600"/>
      <c r="R597" s="600"/>
      <c r="S597" s="600"/>
      <c r="T597" s="600"/>
      <c r="U597" s="600"/>
      <c r="V597" s="600"/>
      <c r="W597" s="600"/>
      <c r="X597" s="600"/>
      <c r="Y597" s="600"/>
      <c r="Z597" s="600"/>
      <c r="AA597" s="600"/>
      <c r="AB597" s="600"/>
      <c r="AC597" s="600"/>
      <c r="AD597" s="600"/>
      <c r="AE597" s="600"/>
      <c r="AF597" s="600"/>
      <c r="AG597" s="600"/>
      <c r="AH597" s="600"/>
      <c r="AI597" s="600"/>
      <c r="AJ597" s="600"/>
      <c r="AK597" s="600"/>
      <c r="AL597" s="600"/>
      <c r="AM597" s="600"/>
      <c r="AN597" s="600"/>
      <c r="AO597" s="600"/>
      <c r="AP597" s="600"/>
      <c r="AQ597" s="600"/>
      <c r="AR597" s="600"/>
      <c r="AS597" s="600"/>
      <c r="AT597" s="600"/>
      <c r="AU597" s="600"/>
      <c r="AV597" s="600"/>
      <c r="AW597" s="600"/>
      <c r="AX597" s="600"/>
      <c r="AY597" s="604"/>
      <c r="AZ597" s="600"/>
      <c r="BA597" s="600"/>
      <c r="BB597" s="600"/>
      <c r="BC597" s="600"/>
      <c r="BD597" s="600"/>
      <c r="BE597" s="600"/>
      <c r="BF597" s="600"/>
      <c r="BG597" s="600"/>
      <c r="BH597" s="186"/>
      <c r="BI597" s="186"/>
      <c r="BJ597" s="186"/>
      <c r="BK597" s="186"/>
      <c r="BL597" s="186"/>
      <c r="BM597" s="186"/>
      <c r="BN597" s="186"/>
      <c r="BO597" s="186"/>
      <c r="BP597" s="186"/>
      <c r="BQ597" s="186"/>
      <c r="BR597" s="186"/>
      <c r="BS597" s="186"/>
      <c r="BT597" s="186"/>
      <c r="BU597" s="186"/>
      <c r="BV597" s="186"/>
      <c r="BW597" s="909"/>
      <c r="BX597" s="186"/>
      <c r="BY597" s="186"/>
      <c r="BZ597" s="186"/>
      <c r="CA597" s="186"/>
      <c r="CB597" s="186"/>
      <c r="CC597" s="358"/>
    </row>
    <row r="598" spans="1:81" s="719" customFormat="1" ht="16.2" outlineLevel="2" x14ac:dyDescent="0.85">
      <c r="A598" s="443" t="s">
        <v>763</v>
      </c>
      <c r="B598" s="436"/>
      <c r="C598" s="613"/>
      <c r="D598" s="613"/>
      <c r="E598" s="613"/>
      <c r="F598" s="613"/>
      <c r="G598" s="613"/>
      <c r="H598" s="613"/>
      <c r="I598" s="613"/>
      <c r="J598" s="613"/>
      <c r="K598" s="613"/>
      <c r="L598" s="613"/>
      <c r="M598" s="613"/>
      <c r="N598" s="613"/>
      <c r="O598" s="613"/>
      <c r="P598" s="613"/>
      <c r="Q598" s="613"/>
      <c r="R598" s="613"/>
      <c r="S598" s="613"/>
      <c r="T598" s="613"/>
      <c r="U598" s="613"/>
      <c r="V598" s="613"/>
      <c r="W598" s="613"/>
      <c r="X598" s="613"/>
      <c r="Y598" s="613"/>
      <c r="Z598" s="613"/>
      <c r="AA598" s="613"/>
      <c r="AB598" s="613"/>
      <c r="AC598" s="613" t="str">
        <f>BR$5</f>
        <v>FY2019</v>
      </c>
      <c r="AD598" s="613" t="str">
        <f>BS$5</f>
        <v>FY2020</v>
      </c>
      <c r="AE598" s="613" t="str">
        <f>BS$5</f>
        <v>FY2020</v>
      </c>
      <c r="AF598" s="613" t="str">
        <f>BS$5</f>
        <v>FY2020</v>
      </c>
      <c r="AG598" s="613" t="str">
        <f>BS$5</f>
        <v>FY2020</v>
      </c>
      <c r="AH598" s="613" t="str">
        <f>BT$5</f>
        <v>FY2021</v>
      </c>
      <c r="AI598" s="613" t="str">
        <f>BT$5</f>
        <v>FY2021</v>
      </c>
      <c r="AJ598" s="613" t="str">
        <f>BT$5</f>
        <v>FY2021</v>
      </c>
      <c r="AK598" s="613" t="str">
        <f>BT$5</f>
        <v>FY2021</v>
      </c>
      <c r="AL598" s="613" t="str">
        <f>BU$5</f>
        <v>FY2022</v>
      </c>
      <c r="AM598" s="613" t="str">
        <f>BU$5</f>
        <v>FY2022</v>
      </c>
      <c r="AN598" s="613" t="str">
        <f>BU$5</f>
        <v>FY2022</v>
      </c>
      <c r="AO598" s="613" t="str">
        <f>BU$5</f>
        <v>FY2022</v>
      </c>
      <c r="AP598" s="613" t="str">
        <f>BV$5</f>
        <v>FY2023</v>
      </c>
      <c r="AQ598" s="613" t="str">
        <f>BV$5</f>
        <v>FY2023</v>
      </c>
      <c r="AR598" s="613" t="str">
        <f>BV$5</f>
        <v>FY2023</v>
      </c>
      <c r="AS598" s="613" t="str">
        <f>BV$5</f>
        <v>FY2023</v>
      </c>
      <c r="AT598" s="613" t="str">
        <f>BW$5</f>
        <v>FY2024</v>
      </c>
      <c r="AU598" s="613" t="str">
        <f>BW$5</f>
        <v>FY2024</v>
      </c>
      <c r="AV598" s="613" t="str">
        <f>BW$5</f>
        <v>FY2024</v>
      </c>
      <c r="AW598" s="613" t="str">
        <f>BW$5</f>
        <v>FY2024</v>
      </c>
      <c r="AX598" s="613" t="str">
        <f>BX$5</f>
        <v>FY2025</v>
      </c>
      <c r="AY598" s="663" t="str">
        <f>BX$5</f>
        <v>FY2025</v>
      </c>
      <c r="AZ598" s="613"/>
      <c r="BA598" s="613"/>
      <c r="BB598" s="613"/>
      <c r="BC598" s="613"/>
      <c r="BD598" s="613"/>
      <c r="BE598" s="613"/>
      <c r="BF598" s="613"/>
      <c r="BG598" s="613"/>
      <c r="BH598" s="991"/>
      <c r="BI598" s="991"/>
      <c r="BJ598" s="991"/>
      <c r="BK598" s="991"/>
      <c r="BL598" s="991"/>
      <c r="BM598" s="991"/>
      <c r="BN598" s="991"/>
      <c r="BO598" s="991"/>
      <c r="BP598" s="991"/>
      <c r="BQ598" s="991"/>
      <c r="BR598" s="991" t="str">
        <f t="shared" ref="BR598:BW598" si="677">BS$5</f>
        <v>FY2020</v>
      </c>
      <c r="BS598" s="991" t="str">
        <f t="shared" si="677"/>
        <v>FY2021</v>
      </c>
      <c r="BT598" s="991" t="str">
        <f t="shared" si="677"/>
        <v>FY2022</v>
      </c>
      <c r="BU598" s="991" t="str">
        <f t="shared" si="677"/>
        <v>FY2023</v>
      </c>
      <c r="BV598" s="991" t="str">
        <f t="shared" si="677"/>
        <v>FY2024</v>
      </c>
      <c r="BW598" s="992" t="str">
        <f t="shared" si="677"/>
        <v>FY2025</v>
      </c>
      <c r="BX598" s="991"/>
      <c r="BY598" s="991"/>
      <c r="BZ598" s="991"/>
      <c r="CA598" s="991"/>
      <c r="CB598" s="991"/>
      <c r="CC598" s="217"/>
    </row>
    <row r="599" spans="1:81" s="708" customFormat="1" outlineLevel="3" x14ac:dyDescent="0.55000000000000004">
      <c r="A599" s="86" t="s">
        <v>791</v>
      </c>
      <c r="B599" s="87"/>
      <c r="C599" s="200"/>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200">
        <f t="shared" ref="AC599:AY599" si="678">AC1051</f>
        <v>46000</v>
      </c>
      <c r="AD599" s="200">
        <f t="shared" si="678"/>
        <v>54000</v>
      </c>
      <c r="AE599" s="200">
        <f t="shared" si="678"/>
        <v>52000</v>
      </c>
      <c r="AF599" s="200">
        <f t="shared" si="678"/>
        <v>52000</v>
      </c>
      <c r="AG599" s="200">
        <f t="shared" si="678"/>
        <v>53000</v>
      </c>
      <c r="AH599" s="200">
        <f t="shared" si="678"/>
        <v>68000</v>
      </c>
      <c r="AI599" s="200">
        <f t="shared" si="678"/>
        <v>70000</v>
      </c>
      <c r="AJ599" s="200">
        <f t="shared" si="678"/>
        <v>70000</v>
      </c>
      <c r="AK599" s="200">
        <f t="shared" si="678"/>
        <v>70000</v>
      </c>
      <c r="AL599" s="200">
        <f t="shared" si="678"/>
        <v>90000</v>
      </c>
      <c r="AM599" s="200">
        <f t="shared" si="678"/>
        <v>87000</v>
      </c>
      <c r="AN599" s="200">
        <f t="shared" si="678"/>
        <v>85000</v>
      </c>
      <c r="AO599" s="200">
        <f t="shared" si="678"/>
        <v>85000</v>
      </c>
      <c r="AP599" s="200">
        <f t="shared" si="678"/>
        <v>89000</v>
      </c>
      <c r="AQ599" s="200">
        <f t="shared" si="678"/>
        <v>86000</v>
      </c>
      <c r="AR599" s="200">
        <f t="shared" si="678"/>
        <v>88000</v>
      </c>
      <c r="AS599" s="200">
        <f t="shared" si="678"/>
        <v>87000</v>
      </c>
      <c r="AT599" s="200">
        <f t="shared" si="678"/>
        <v>94000</v>
      </c>
      <c r="AU599" s="200">
        <f t="shared" si="678"/>
        <v>96000</v>
      </c>
      <c r="AV599" s="200">
        <f t="shared" si="678"/>
        <v>96000</v>
      </c>
      <c r="AW599" s="200">
        <f t="shared" si="678"/>
        <v>96000</v>
      </c>
      <c r="AX599" s="200">
        <f t="shared" si="678"/>
        <v>114000</v>
      </c>
      <c r="AY599" s="407">
        <f t="shared" si="678"/>
        <v>113000</v>
      </c>
      <c r="AZ599" s="200"/>
      <c r="BA599" s="200"/>
      <c r="BB599" s="200"/>
      <c r="BC599" s="200"/>
      <c r="BD599" s="200"/>
      <c r="BE599" s="200"/>
      <c r="BF599" s="200"/>
      <c r="BG599" s="200"/>
      <c r="BH599" s="841"/>
      <c r="BI599" s="841"/>
      <c r="BJ599" s="841"/>
      <c r="BK599" s="841"/>
      <c r="BL599" s="841"/>
      <c r="BM599" s="841"/>
      <c r="BN599" s="841"/>
      <c r="BO599" s="841"/>
      <c r="BP599" s="841"/>
      <c r="BQ599" s="841"/>
      <c r="BR599" s="841">
        <f t="shared" ref="BR599:BW600" si="679">BR1051</f>
        <v>54000</v>
      </c>
      <c r="BS599" s="841">
        <f t="shared" si="679"/>
        <v>68000</v>
      </c>
      <c r="BT599" s="841">
        <f t="shared" si="679"/>
        <v>90000</v>
      </c>
      <c r="BU599" s="841">
        <f t="shared" si="679"/>
        <v>89000</v>
      </c>
      <c r="BV599" s="841">
        <f t="shared" si="679"/>
        <v>94000</v>
      </c>
      <c r="BW599" s="842">
        <f t="shared" si="679"/>
        <v>114000</v>
      </c>
      <c r="BX599" s="841"/>
      <c r="BY599" s="841"/>
      <c r="BZ599" s="841"/>
      <c r="CA599" s="841"/>
      <c r="CB599" s="841"/>
      <c r="CC599" s="6"/>
    </row>
    <row r="600" spans="1:81" s="708" customFormat="1" outlineLevel="3" x14ac:dyDescent="0.55000000000000004">
      <c r="A600" s="315" t="s">
        <v>792</v>
      </c>
      <c r="B600" s="244"/>
      <c r="C600" s="320"/>
      <c r="D600" s="320"/>
      <c r="E600" s="320"/>
      <c r="F600" s="320"/>
      <c r="G600" s="320"/>
      <c r="H600" s="320"/>
      <c r="I600" s="320"/>
      <c r="J600" s="320"/>
      <c r="K600" s="320"/>
      <c r="L600" s="320"/>
      <c r="M600" s="320"/>
      <c r="N600" s="320"/>
      <c r="O600" s="320"/>
      <c r="P600" s="320"/>
      <c r="Q600" s="320"/>
      <c r="R600" s="320"/>
      <c r="S600" s="320"/>
      <c r="T600" s="320"/>
      <c r="U600" s="320"/>
      <c r="V600" s="320"/>
      <c r="W600" s="320"/>
      <c r="X600" s="320"/>
      <c r="Y600" s="320"/>
      <c r="Z600" s="320"/>
      <c r="AA600" s="320"/>
      <c r="AB600" s="320"/>
      <c r="AC600" s="320">
        <f t="shared" ref="AC600:AY600" si="680">AC1052</f>
        <v>48000</v>
      </c>
      <c r="AD600" s="320">
        <f t="shared" si="680"/>
        <v>59000</v>
      </c>
      <c r="AE600" s="320">
        <f t="shared" si="680"/>
        <v>56000</v>
      </c>
      <c r="AF600" s="320">
        <f t="shared" si="680"/>
        <v>55000</v>
      </c>
      <c r="AG600" s="320">
        <f t="shared" si="680"/>
        <v>54000</v>
      </c>
      <c r="AH600" s="320">
        <f t="shared" si="680"/>
        <v>73000</v>
      </c>
      <c r="AI600" s="320">
        <f t="shared" si="680"/>
        <v>73000</v>
      </c>
      <c r="AJ600" s="320">
        <f t="shared" si="680"/>
        <v>73000</v>
      </c>
      <c r="AK600" s="320">
        <f t="shared" si="680"/>
        <v>71000</v>
      </c>
      <c r="AL600" s="320">
        <f t="shared" si="680"/>
        <v>95000</v>
      </c>
      <c r="AM600" s="320">
        <f t="shared" si="680"/>
        <v>92000</v>
      </c>
      <c r="AN600" s="320">
        <f t="shared" si="680"/>
        <v>88000</v>
      </c>
      <c r="AO600" s="320">
        <f t="shared" si="680"/>
        <v>87000</v>
      </c>
      <c r="AP600" s="320">
        <f t="shared" si="680"/>
        <v>95000</v>
      </c>
      <c r="AQ600" s="320">
        <f t="shared" si="680"/>
        <v>90000</v>
      </c>
      <c r="AR600" s="320">
        <f t="shared" si="680"/>
        <v>91000</v>
      </c>
      <c r="AS600" s="320">
        <f t="shared" si="680"/>
        <v>89000</v>
      </c>
      <c r="AT600" s="320">
        <f t="shared" si="680"/>
        <v>99000</v>
      </c>
      <c r="AU600" s="320">
        <f t="shared" si="680"/>
        <v>99000</v>
      </c>
      <c r="AV600" s="320">
        <f t="shared" si="680"/>
        <v>99000</v>
      </c>
      <c r="AW600" s="320">
        <f t="shared" si="680"/>
        <v>98000</v>
      </c>
      <c r="AX600" s="320">
        <f t="shared" si="680"/>
        <v>119000</v>
      </c>
      <c r="AY600" s="628">
        <f t="shared" si="680"/>
        <v>118000</v>
      </c>
      <c r="AZ600" s="320"/>
      <c r="BA600" s="320"/>
      <c r="BB600" s="320"/>
      <c r="BC600" s="320"/>
      <c r="BD600" s="320"/>
      <c r="BE600" s="320"/>
      <c r="BF600" s="320"/>
      <c r="BG600" s="320"/>
      <c r="BH600" s="843"/>
      <c r="BI600" s="843"/>
      <c r="BJ600" s="843"/>
      <c r="BK600" s="843"/>
      <c r="BL600" s="843"/>
      <c r="BM600" s="843"/>
      <c r="BN600" s="843"/>
      <c r="BO600" s="843"/>
      <c r="BP600" s="843"/>
      <c r="BQ600" s="843"/>
      <c r="BR600" s="843">
        <f t="shared" si="679"/>
        <v>59000</v>
      </c>
      <c r="BS600" s="843">
        <f t="shared" si="679"/>
        <v>73000</v>
      </c>
      <c r="BT600" s="843">
        <f t="shared" si="679"/>
        <v>95000</v>
      </c>
      <c r="BU600" s="843">
        <f t="shared" si="679"/>
        <v>95000</v>
      </c>
      <c r="BV600" s="843">
        <f t="shared" si="679"/>
        <v>99000</v>
      </c>
      <c r="BW600" s="844">
        <f t="shared" si="679"/>
        <v>119000</v>
      </c>
      <c r="BX600" s="843"/>
      <c r="BY600" s="843"/>
      <c r="BZ600" s="843"/>
      <c r="CA600" s="843"/>
      <c r="CB600" s="843"/>
      <c r="CC600" s="6"/>
    </row>
    <row r="601" spans="1:81" s="708" customFormat="1" outlineLevel="2" x14ac:dyDescent="0.55000000000000004">
      <c r="A601" s="192" t="s">
        <v>793</v>
      </c>
      <c r="B601" s="193"/>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c r="AA601" s="212"/>
      <c r="AB601" s="212"/>
      <c r="AC601" s="212">
        <f t="shared" ref="AC601:AY601" si="681">IFERROR(AVERAGE(AC600,AC599),"NR")</f>
        <v>47000</v>
      </c>
      <c r="AD601" s="212">
        <f t="shared" si="681"/>
        <v>56500</v>
      </c>
      <c r="AE601" s="212">
        <f t="shared" si="681"/>
        <v>54000</v>
      </c>
      <c r="AF601" s="212">
        <f t="shared" si="681"/>
        <v>53500</v>
      </c>
      <c r="AG601" s="212">
        <f t="shared" si="681"/>
        <v>53500</v>
      </c>
      <c r="AH601" s="212">
        <f t="shared" si="681"/>
        <v>70500</v>
      </c>
      <c r="AI601" s="212">
        <f t="shared" si="681"/>
        <v>71500</v>
      </c>
      <c r="AJ601" s="212">
        <f t="shared" si="681"/>
        <v>71500</v>
      </c>
      <c r="AK601" s="212">
        <f t="shared" si="681"/>
        <v>70500</v>
      </c>
      <c r="AL601" s="212">
        <f t="shared" si="681"/>
        <v>92500</v>
      </c>
      <c r="AM601" s="212">
        <f t="shared" si="681"/>
        <v>89500</v>
      </c>
      <c r="AN601" s="212">
        <f t="shared" si="681"/>
        <v>86500</v>
      </c>
      <c r="AO601" s="212">
        <f t="shared" si="681"/>
        <v>86000</v>
      </c>
      <c r="AP601" s="212">
        <f t="shared" si="681"/>
        <v>92000</v>
      </c>
      <c r="AQ601" s="212">
        <f t="shared" si="681"/>
        <v>88000</v>
      </c>
      <c r="AR601" s="212">
        <f t="shared" si="681"/>
        <v>89500</v>
      </c>
      <c r="AS601" s="212">
        <f t="shared" si="681"/>
        <v>88000</v>
      </c>
      <c r="AT601" s="212">
        <f t="shared" si="681"/>
        <v>96500</v>
      </c>
      <c r="AU601" s="212">
        <f t="shared" si="681"/>
        <v>97500</v>
      </c>
      <c r="AV601" s="212">
        <f t="shared" si="681"/>
        <v>97500</v>
      </c>
      <c r="AW601" s="212">
        <f t="shared" si="681"/>
        <v>97000</v>
      </c>
      <c r="AX601" s="212">
        <f t="shared" si="681"/>
        <v>116500</v>
      </c>
      <c r="AY601" s="629">
        <f t="shared" si="681"/>
        <v>115500</v>
      </c>
      <c r="AZ601" s="212"/>
      <c r="BA601" s="212"/>
      <c r="BB601" s="212"/>
      <c r="BC601" s="212"/>
      <c r="BD601" s="212"/>
      <c r="BE601" s="212"/>
      <c r="BF601" s="212"/>
      <c r="BG601" s="212"/>
      <c r="BH601" s="827"/>
      <c r="BI601" s="827"/>
      <c r="BJ601" s="827"/>
      <c r="BK601" s="827"/>
      <c r="BL601" s="827"/>
      <c r="BM601" s="827"/>
      <c r="BN601" s="827"/>
      <c r="BO601" s="827"/>
      <c r="BP601" s="827"/>
      <c r="BQ601" s="827"/>
      <c r="BR601" s="827">
        <f t="shared" ref="BR601:BW601" si="682">IFERROR(AVERAGE(BR600,BR599),"NR")</f>
        <v>56500</v>
      </c>
      <c r="BS601" s="827">
        <f t="shared" si="682"/>
        <v>70500</v>
      </c>
      <c r="BT601" s="827">
        <f t="shared" si="682"/>
        <v>92500</v>
      </c>
      <c r="BU601" s="827">
        <f t="shared" si="682"/>
        <v>92000</v>
      </c>
      <c r="BV601" s="827">
        <f t="shared" si="682"/>
        <v>96500</v>
      </c>
      <c r="BW601" s="845">
        <f t="shared" si="682"/>
        <v>116500</v>
      </c>
      <c r="BX601" s="827"/>
      <c r="BY601" s="827"/>
      <c r="BZ601" s="827"/>
      <c r="CA601" s="827"/>
      <c r="CB601" s="827"/>
      <c r="CC601" s="6"/>
    </row>
    <row r="602" spans="1:81" s="708" customFormat="1" outlineLevel="2" x14ac:dyDescent="0.55000000000000004">
      <c r="A602" s="86" t="s">
        <v>794</v>
      </c>
      <c r="B602" s="87"/>
      <c r="C602" s="200"/>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200">
        <f t="shared" ref="AC602:AY602" si="683">IF(OR(ISBLANK(AC599),ISBLANK(AC600)),"",ABS(AC600-AC599))</f>
        <v>2000</v>
      </c>
      <c r="AD602" s="200">
        <f t="shared" si="683"/>
        <v>5000</v>
      </c>
      <c r="AE602" s="200">
        <f t="shared" si="683"/>
        <v>4000</v>
      </c>
      <c r="AF602" s="200">
        <f t="shared" si="683"/>
        <v>3000</v>
      </c>
      <c r="AG602" s="200">
        <f t="shared" si="683"/>
        <v>1000</v>
      </c>
      <c r="AH602" s="200">
        <f t="shared" si="683"/>
        <v>5000</v>
      </c>
      <c r="AI602" s="200">
        <f t="shared" si="683"/>
        <v>3000</v>
      </c>
      <c r="AJ602" s="200">
        <f t="shared" si="683"/>
        <v>3000</v>
      </c>
      <c r="AK602" s="200">
        <f t="shared" si="683"/>
        <v>1000</v>
      </c>
      <c r="AL602" s="200">
        <f t="shared" si="683"/>
        <v>5000</v>
      </c>
      <c r="AM602" s="200">
        <f t="shared" si="683"/>
        <v>5000</v>
      </c>
      <c r="AN602" s="200">
        <f t="shared" si="683"/>
        <v>3000</v>
      </c>
      <c r="AO602" s="200">
        <f t="shared" si="683"/>
        <v>2000</v>
      </c>
      <c r="AP602" s="200">
        <f t="shared" si="683"/>
        <v>6000</v>
      </c>
      <c r="AQ602" s="200">
        <f t="shared" si="683"/>
        <v>4000</v>
      </c>
      <c r="AR602" s="200">
        <f t="shared" si="683"/>
        <v>3000</v>
      </c>
      <c r="AS602" s="200">
        <f t="shared" si="683"/>
        <v>2000</v>
      </c>
      <c r="AT602" s="200">
        <f t="shared" si="683"/>
        <v>5000</v>
      </c>
      <c r="AU602" s="200">
        <f t="shared" si="683"/>
        <v>3000</v>
      </c>
      <c r="AV602" s="200">
        <f t="shared" si="683"/>
        <v>3000</v>
      </c>
      <c r="AW602" s="200">
        <f t="shared" si="683"/>
        <v>2000</v>
      </c>
      <c r="AX602" s="200">
        <f t="shared" si="683"/>
        <v>5000</v>
      </c>
      <c r="AY602" s="407">
        <f t="shared" si="683"/>
        <v>5000</v>
      </c>
      <c r="AZ602" s="200"/>
      <c r="BA602" s="200"/>
      <c r="BB602" s="200"/>
      <c r="BC602" s="200"/>
      <c r="BD602" s="200"/>
      <c r="BE602" s="200"/>
      <c r="BF602" s="200"/>
      <c r="BG602" s="200"/>
      <c r="BH602" s="841"/>
      <c r="BI602" s="841"/>
      <c r="BJ602" s="841"/>
      <c r="BK602" s="841"/>
      <c r="BL602" s="841"/>
      <c r="BM602" s="841"/>
      <c r="BN602" s="841"/>
      <c r="BO602" s="841"/>
      <c r="BP602" s="841"/>
      <c r="BQ602" s="841"/>
      <c r="BR602" s="841">
        <f t="shared" ref="BR602:BW602" si="684">IF(OR(ISBLANK(BR599),ISBLANK(BR600)),"",ABS(BR600-BR599))</f>
        <v>5000</v>
      </c>
      <c r="BS602" s="841">
        <f t="shared" si="684"/>
        <v>5000</v>
      </c>
      <c r="BT602" s="841">
        <f t="shared" si="684"/>
        <v>5000</v>
      </c>
      <c r="BU602" s="841">
        <f t="shared" si="684"/>
        <v>6000</v>
      </c>
      <c r="BV602" s="841">
        <f t="shared" si="684"/>
        <v>5000</v>
      </c>
      <c r="BW602" s="842">
        <f t="shared" si="684"/>
        <v>5000</v>
      </c>
      <c r="BX602" s="841"/>
      <c r="BY602" s="841"/>
      <c r="BZ602" s="841"/>
      <c r="CA602" s="841"/>
      <c r="CB602" s="841"/>
      <c r="CC602" s="6"/>
    </row>
    <row r="603" spans="1:81" s="713" customFormat="1" outlineLevel="2" x14ac:dyDescent="0.55000000000000004">
      <c r="A603" s="321" t="s">
        <v>795</v>
      </c>
      <c r="B603" s="439"/>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f t="shared" ref="AC603:AY603" si="685">IFERROR(ABS(AC600-AC601)/AC601,"")</f>
        <v>2.1276595744680851E-2</v>
      </c>
      <c r="AD603" s="61">
        <f t="shared" si="685"/>
        <v>4.4247787610619468E-2</v>
      </c>
      <c r="AE603" s="61">
        <f t="shared" si="685"/>
        <v>3.7037037037037035E-2</v>
      </c>
      <c r="AF603" s="61">
        <f t="shared" si="685"/>
        <v>2.8037383177570093E-2</v>
      </c>
      <c r="AG603" s="61">
        <f t="shared" si="685"/>
        <v>9.3457943925233638E-3</v>
      </c>
      <c r="AH603" s="61">
        <f t="shared" si="685"/>
        <v>3.5460992907801421E-2</v>
      </c>
      <c r="AI603" s="61">
        <f t="shared" si="685"/>
        <v>2.097902097902098E-2</v>
      </c>
      <c r="AJ603" s="61">
        <f t="shared" si="685"/>
        <v>2.097902097902098E-2</v>
      </c>
      <c r="AK603" s="61">
        <f t="shared" si="685"/>
        <v>7.0921985815602835E-3</v>
      </c>
      <c r="AL603" s="61">
        <f t="shared" si="685"/>
        <v>2.7027027027027029E-2</v>
      </c>
      <c r="AM603" s="61">
        <f t="shared" si="685"/>
        <v>2.7932960893854747E-2</v>
      </c>
      <c r="AN603" s="61">
        <f t="shared" si="685"/>
        <v>1.7341040462427744E-2</v>
      </c>
      <c r="AO603" s="61">
        <f t="shared" si="685"/>
        <v>1.1627906976744186E-2</v>
      </c>
      <c r="AP603" s="61">
        <f t="shared" si="685"/>
        <v>3.2608695652173912E-2</v>
      </c>
      <c r="AQ603" s="61">
        <f t="shared" si="685"/>
        <v>2.2727272727272728E-2</v>
      </c>
      <c r="AR603" s="61">
        <f t="shared" si="685"/>
        <v>1.6759776536312849E-2</v>
      </c>
      <c r="AS603" s="61">
        <f t="shared" si="685"/>
        <v>1.1363636363636364E-2</v>
      </c>
      <c r="AT603" s="61">
        <f t="shared" si="685"/>
        <v>2.5906735751295335E-2</v>
      </c>
      <c r="AU603" s="61">
        <f t="shared" si="685"/>
        <v>1.5384615384615385E-2</v>
      </c>
      <c r="AV603" s="61">
        <f t="shared" si="685"/>
        <v>1.5384615384615385E-2</v>
      </c>
      <c r="AW603" s="61">
        <f t="shared" si="685"/>
        <v>1.0309278350515464E-2</v>
      </c>
      <c r="AX603" s="61">
        <f t="shared" si="685"/>
        <v>2.1459227467811159E-2</v>
      </c>
      <c r="AY603" s="408">
        <f t="shared" si="685"/>
        <v>2.1645021645021644E-2</v>
      </c>
      <c r="AZ603" s="61"/>
      <c r="BA603" s="61"/>
      <c r="BB603" s="61"/>
      <c r="BC603" s="61"/>
      <c r="BD603" s="61"/>
      <c r="BE603" s="61"/>
      <c r="BF603" s="61"/>
      <c r="BG603" s="61"/>
      <c r="BH603" s="831"/>
      <c r="BI603" s="831"/>
      <c r="BJ603" s="831"/>
      <c r="BK603" s="831"/>
      <c r="BL603" s="831"/>
      <c r="BM603" s="831"/>
      <c r="BN603" s="831"/>
      <c r="BO603" s="831"/>
      <c r="BP603" s="831"/>
      <c r="BQ603" s="831"/>
      <c r="BR603" s="831">
        <f t="shared" ref="BR603:BW603" si="686">IFERROR(ABS(BR600-BR601)/BR601,"")</f>
        <v>4.4247787610619468E-2</v>
      </c>
      <c r="BS603" s="831">
        <f t="shared" si="686"/>
        <v>3.5460992907801421E-2</v>
      </c>
      <c r="BT603" s="831">
        <f t="shared" si="686"/>
        <v>2.7027027027027029E-2</v>
      </c>
      <c r="BU603" s="831">
        <f t="shared" si="686"/>
        <v>3.2608695652173912E-2</v>
      </c>
      <c r="BV603" s="831">
        <f t="shared" si="686"/>
        <v>2.5906735751295335E-2</v>
      </c>
      <c r="BW603" s="832">
        <f t="shared" si="686"/>
        <v>2.1459227467811159E-2</v>
      </c>
      <c r="BX603" s="831"/>
      <c r="BY603" s="831"/>
      <c r="BZ603" s="831"/>
      <c r="CA603" s="831"/>
      <c r="CB603" s="831"/>
      <c r="CC603" s="9"/>
    </row>
    <row r="604" spans="1:81" s="713" customFormat="1" outlineLevel="3" x14ac:dyDescent="0.55000000000000004">
      <c r="A604" s="327" t="s">
        <v>796</v>
      </c>
      <c r="B604" s="75"/>
      <c r="C604" s="224"/>
      <c r="D604" s="224"/>
      <c r="E604" s="224"/>
      <c r="F604" s="224"/>
      <c r="G604" s="224"/>
      <c r="H604" s="224"/>
      <c r="I604" s="224"/>
      <c r="J604" s="224"/>
      <c r="K604" s="224"/>
      <c r="L604" s="224"/>
      <c r="M604" s="224"/>
      <c r="N604" s="224"/>
      <c r="O604" s="224"/>
      <c r="P604" s="224"/>
      <c r="Q604" s="224"/>
      <c r="R604" s="224"/>
      <c r="S604" s="224"/>
      <c r="T604" s="224"/>
      <c r="U604" s="224"/>
      <c r="V604" s="224"/>
      <c r="W604" s="224"/>
      <c r="X604" s="224"/>
      <c r="Y604" s="224"/>
      <c r="Z604" s="224"/>
      <c r="AA604" s="224"/>
      <c r="AB604" s="224"/>
      <c r="AC604" s="224">
        <f t="shared" ref="AC604:AD606" si="687">AC599/BQ$575-1</f>
        <v>0.48746968472109953</v>
      </c>
      <c r="AD604" s="224">
        <f t="shared" si="687"/>
        <v>0.15604461475883635</v>
      </c>
      <c r="AE604" s="224">
        <f>AE599/BR$575-1</f>
        <v>0.11322814754554611</v>
      </c>
      <c r="AF604" s="224">
        <f>AF599/BR$575-1</f>
        <v>0.11322814754554611</v>
      </c>
      <c r="AG604" s="224">
        <f t="shared" ref="AG604:AH606" si="688">AG599/BR$575-1</f>
        <v>0.13463638115219112</v>
      </c>
      <c r="AH604" s="224">
        <f t="shared" si="688"/>
        <v>0.27594100649228803</v>
      </c>
      <c r="AI604" s="224">
        <f>AI599/BS$575-1</f>
        <v>0.31346868315382603</v>
      </c>
      <c r="AJ604" s="224">
        <f>AJ599/BS$575-1</f>
        <v>0.31346868315382603</v>
      </c>
      <c r="AK604" s="224">
        <f t="shared" ref="AK604:AL606" si="689">AK599/BS$575-1</f>
        <v>0.31346868315382603</v>
      </c>
      <c r="AL604" s="224">
        <f t="shared" si="689"/>
        <v>0.26447117005732279</v>
      </c>
      <c r="AM604" s="224">
        <f>AM599/BT$575-1</f>
        <v>0.22232213105541199</v>
      </c>
      <c r="AN604" s="224">
        <f>AN599/BT$575-1</f>
        <v>0.19422277172080471</v>
      </c>
      <c r="AO604" s="224">
        <f t="shared" ref="AO604:AP606" si="690">AO599/BT$575-1</f>
        <v>0.19422277172080471</v>
      </c>
      <c r="AP604" s="224">
        <f t="shared" si="690"/>
        <v>1.5228426395939021E-2</v>
      </c>
      <c r="AQ604" s="224">
        <f>AQ599/BU$575-1</f>
        <v>-1.8992756516283626E-2</v>
      </c>
      <c r="AR604" s="224">
        <f>AR599/BU$575-1</f>
        <v>3.8213654251981755E-3</v>
      </c>
      <c r="AS604" s="224">
        <f t="shared" ref="AS604:AT606" si="691">AS599/BU$575-1</f>
        <v>-7.58569554554267E-3</v>
      </c>
      <c r="AT604" s="224">
        <f t="shared" si="691"/>
        <v>6.6352054996539955E-2</v>
      </c>
      <c r="AU604" s="224">
        <f>AU599/BV$575-1</f>
        <v>8.904039659221108E-2</v>
      </c>
      <c r="AV604" s="224">
        <f>AV599/BV$575-1</f>
        <v>8.904039659221108E-2</v>
      </c>
      <c r="AW604" s="224">
        <f t="shared" ref="AW604:AX606" si="692">AW599/BV$575-1</f>
        <v>8.904039659221108E-2</v>
      </c>
      <c r="AX604" s="224">
        <f t="shared" si="692"/>
        <v>0.19847352319677047</v>
      </c>
      <c r="AY604" s="624">
        <f>AY599/BW$575-1</f>
        <v>0.18796059755469341</v>
      </c>
      <c r="AZ604" s="224"/>
      <c r="BA604" s="224"/>
      <c r="BB604" s="224"/>
      <c r="BC604" s="224"/>
      <c r="BD604" s="224"/>
      <c r="BE604" s="224"/>
      <c r="BF604" s="224"/>
      <c r="BG604" s="224"/>
      <c r="BH604" s="817"/>
      <c r="BI604" s="817"/>
      <c r="BJ604" s="817"/>
      <c r="BK604" s="817"/>
      <c r="BL604" s="817"/>
      <c r="BM604" s="817"/>
      <c r="BN604" s="817"/>
      <c r="BO604" s="817"/>
      <c r="BP604" s="817"/>
      <c r="BQ604" s="817"/>
      <c r="BR604" s="817">
        <f t="shared" ref="BR604:BW606" si="693">BR599/BR$575-1</f>
        <v>0.15604461475883635</v>
      </c>
      <c r="BS604" s="817">
        <f t="shared" si="693"/>
        <v>0.27594100649228803</v>
      </c>
      <c r="BT604" s="817">
        <f t="shared" si="693"/>
        <v>0.26447117005732279</v>
      </c>
      <c r="BU604" s="817">
        <f t="shared" si="693"/>
        <v>1.5228426395939021E-2</v>
      </c>
      <c r="BV604" s="817">
        <f t="shared" si="693"/>
        <v>6.6352054996539955E-2</v>
      </c>
      <c r="BW604" s="819">
        <f t="shared" si="693"/>
        <v>0.19847352319677047</v>
      </c>
      <c r="BX604" s="817"/>
      <c r="BY604" s="817"/>
      <c r="BZ604" s="817"/>
      <c r="CA604" s="817"/>
      <c r="CB604" s="817"/>
      <c r="CC604" s="9"/>
    </row>
    <row r="605" spans="1:81" s="713" customFormat="1" outlineLevel="3" x14ac:dyDescent="0.55000000000000004">
      <c r="A605" s="333" t="s">
        <v>797</v>
      </c>
      <c r="B605" s="434"/>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f t="shared" si="687"/>
        <v>0.55214227970897323</v>
      </c>
      <c r="AD605" s="332">
        <f t="shared" si="687"/>
        <v>0.26308578279206185</v>
      </c>
      <c r="AE605" s="332">
        <f>AE600/BR$575-1</f>
        <v>0.19886108197212637</v>
      </c>
      <c r="AF605" s="332">
        <f>AF600/BR$575-1</f>
        <v>0.17745284836548136</v>
      </c>
      <c r="AG605" s="332">
        <f t="shared" si="688"/>
        <v>0.15604461475883635</v>
      </c>
      <c r="AH605" s="332">
        <f t="shared" si="688"/>
        <v>0.3697601981461327</v>
      </c>
      <c r="AI605" s="332">
        <f>AI600/BS$575-1</f>
        <v>0.3697601981461327</v>
      </c>
      <c r="AJ605" s="332">
        <f>AJ600/BS$575-1</f>
        <v>0.3697601981461327</v>
      </c>
      <c r="AK605" s="332">
        <f t="shared" si="689"/>
        <v>0.33223252148459492</v>
      </c>
      <c r="AL605" s="332">
        <f t="shared" si="689"/>
        <v>0.33471956839384065</v>
      </c>
      <c r="AM605" s="332">
        <f>AM600/BT$575-1</f>
        <v>0.29257052939192985</v>
      </c>
      <c r="AN605" s="332">
        <f>AN600/BT$575-1</f>
        <v>0.23637181072271551</v>
      </c>
      <c r="AO605" s="332">
        <f t="shared" si="690"/>
        <v>0.22232213105541199</v>
      </c>
      <c r="AP605" s="332">
        <f t="shared" si="690"/>
        <v>8.3670792220384316E-2</v>
      </c>
      <c r="AQ605" s="332">
        <f>AQ600/BU$575-1</f>
        <v>2.6635487366679866E-2</v>
      </c>
      <c r="AR605" s="332">
        <f>AR600/BU$575-1</f>
        <v>3.8042548337420934E-2</v>
      </c>
      <c r="AS605" s="332">
        <f t="shared" si="691"/>
        <v>1.5228426395939021E-2</v>
      </c>
      <c r="AT605" s="332">
        <f t="shared" si="691"/>
        <v>0.12307290898571766</v>
      </c>
      <c r="AU605" s="332">
        <f>AU600/BV$575-1</f>
        <v>0.12307290898571766</v>
      </c>
      <c r="AV605" s="332">
        <f>AV600/BV$575-1</f>
        <v>0.12307290898571766</v>
      </c>
      <c r="AW605" s="332">
        <f t="shared" si="692"/>
        <v>0.1117287381878822</v>
      </c>
      <c r="AX605" s="332">
        <f t="shared" si="692"/>
        <v>0.25103815140715513</v>
      </c>
      <c r="AY605" s="664">
        <f>AY600/BW$575-1</f>
        <v>0.24052522576507807</v>
      </c>
      <c r="AZ605" s="332"/>
      <c r="BA605" s="332"/>
      <c r="BB605" s="332"/>
      <c r="BC605" s="332"/>
      <c r="BD605" s="332"/>
      <c r="BE605" s="332"/>
      <c r="BF605" s="332"/>
      <c r="BG605" s="332"/>
      <c r="BH605" s="993"/>
      <c r="BI605" s="993"/>
      <c r="BJ605" s="993"/>
      <c r="BK605" s="993"/>
      <c r="BL605" s="993"/>
      <c r="BM605" s="993"/>
      <c r="BN605" s="993"/>
      <c r="BO605" s="993"/>
      <c r="BP605" s="993"/>
      <c r="BQ605" s="993"/>
      <c r="BR605" s="993">
        <f t="shared" si="693"/>
        <v>0.26308578279206185</v>
      </c>
      <c r="BS605" s="993">
        <f t="shared" si="693"/>
        <v>0.3697601981461327</v>
      </c>
      <c r="BT605" s="993">
        <f t="shared" si="693"/>
        <v>0.33471956839384065</v>
      </c>
      <c r="BU605" s="993">
        <f t="shared" si="693"/>
        <v>8.3670792220384316E-2</v>
      </c>
      <c r="BV605" s="993">
        <f t="shared" si="693"/>
        <v>0.12307290898571766</v>
      </c>
      <c r="BW605" s="994">
        <f t="shared" si="693"/>
        <v>0.25103815140715513</v>
      </c>
      <c r="BX605" s="993"/>
      <c r="BY605" s="993"/>
      <c r="BZ605" s="993"/>
      <c r="CA605" s="993"/>
      <c r="CB605" s="993"/>
      <c r="CC605" s="9"/>
    </row>
    <row r="606" spans="1:81" s="713" customFormat="1" outlineLevel="2" x14ac:dyDescent="0.55000000000000004">
      <c r="A606" s="79" t="s">
        <v>798</v>
      </c>
      <c r="B606" s="75"/>
      <c r="C606" s="224"/>
      <c r="D606" s="224"/>
      <c r="E606" s="224"/>
      <c r="F606" s="224"/>
      <c r="G606" s="224"/>
      <c r="H606" s="224"/>
      <c r="I606" s="224"/>
      <c r="J606" s="224"/>
      <c r="K606" s="224"/>
      <c r="L606" s="224"/>
      <c r="M606" s="224"/>
      <c r="N606" s="224"/>
      <c r="O606" s="224"/>
      <c r="P606" s="224"/>
      <c r="Q606" s="224"/>
      <c r="R606" s="224"/>
      <c r="S606" s="224"/>
      <c r="T606" s="224"/>
      <c r="U606" s="224"/>
      <c r="V606" s="224"/>
      <c r="W606" s="224"/>
      <c r="X606" s="224"/>
      <c r="Y606" s="224"/>
      <c r="Z606" s="224"/>
      <c r="AA606" s="224"/>
      <c r="AB606" s="224"/>
      <c r="AC606" s="224">
        <f t="shared" si="687"/>
        <v>0.51980598221503649</v>
      </c>
      <c r="AD606" s="224">
        <f t="shared" si="687"/>
        <v>0.20956519877544899</v>
      </c>
      <c r="AE606" s="224">
        <f>AE601/BR$575-1</f>
        <v>0.15604461475883635</v>
      </c>
      <c r="AF606" s="224">
        <f>AF601/BR$575-1</f>
        <v>0.14534049795551374</v>
      </c>
      <c r="AG606" s="224">
        <f t="shared" si="688"/>
        <v>0.14534049795551374</v>
      </c>
      <c r="AH606" s="224">
        <f t="shared" si="688"/>
        <v>0.32285060231921037</v>
      </c>
      <c r="AI606" s="224">
        <f>AI601/BS$575-1</f>
        <v>0.34161444064997926</v>
      </c>
      <c r="AJ606" s="224">
        <f>AJ601/BS$575-1</f>
        <v>0.34161444064997926</v>
      </c>
      <c r="AK606" s="224">
        <f t="shared" si="689"/>
        <v>0.32285060231921037</v>
      </c>
      <c r="AL606" s="224">
        <f t="shared" si="689"/>
        <v>0.29959536922558172</v>
      </c>
      <c r="AM606" s="224">
        <f>AM601/BT$575-1</f>
        <v>0.25744633022367092</v>
      </c>
      <c r="AN606" s="224">
        <f>AN601/BT$575-1</f>
        <v>0.21529729122176011</v>
      </c>
      <c r="AO606" s="224">
        <f t="shared" si="690"/>
        <v>0.20827245138810846</v>
      </c>
      <c r="AP606" s="224">
        <f t="shared" si="690"/>
        <v>4.9449609308161779E-2</v>
      </c>
      <c r="AQ606" s="224">
        <f>AQ601/BU$575-1</f>
        <v>3.8213654251981755E-3</v>
      </c>
      <c r="AR606" s="224">
        <f>AR601/BU$575-1</f>
        <v>2.0931956881309555E-2</v>
      </c>
      <c r="AS606" s="224">
        <f t="shared" si="691"/>
        <v>3.8213654251981755E-3</v>
      </c>
      <c r="AT606" s="224">
        <f t="shared" si="691"/>
        <v>9.4712481991128916E-2</v>
      </c>
      <c r="AU606" s="224">
        <f>AU601/BV$575-1</f>
        <v>0.10605665278896437</v>
      </c>
      <c r="AV606" s="224">
        <f>AV601/BV$575-1</f>
        <v>0.10605665278896437</v>
      </c>
      <c r="AW606" s="224">
        <f t="shared" si="692"/>
        <v>0.10038456739004653</v>
      </c>
      <c r="AX606" s="224">
        <f t="shared" si="692"/>
        <v>0.22475583730196269</v>
      </c>
      <c r="AY606" s="624">
        <f>AY601/BW$575-1</f>
        <v>0.21424291165988585</v>
      </c>
      <c r="AZ606" s="224"/>
      <c r="BA606" s="224"/>
      <c r="BB606" s="224"/>
      <c r="BC606" s="224"/>
      <c r="BD606" s="224"/>
      <c r="BE606" s="224"/>
      <c r="BF606" s="224"/>
      <c r="BG606" s="224"/>
      <c r="BH606" s="817"/>
      <c r="BI606" s="817"/>
      <c r="BJ606" s="817"/>
      <c r="BK606" s="817"/>
      <c r="BL606" s="817"/>
      <c r="BM606" s="817"/>
      <c r="BN606" s="817"/>
      <c r="BO606" s="817"/>
      <c r="BP606" s="817"/>
      <c r="BQ606" s="817"/>
      <c r="BR606" s="817">
        <f t="shared" si="693"/>
        <v>0.20956519877544899</v>
      </c>
      <c r="BS606" s="817">
        <f t="shared" si="693"/>
        <v>0.32285060231921037</v>
      </c>
      <c r="BT606" s="817">
        <f t="shared" si="693"/>
        <v>0.29959536922558172</v>
      </c>
      <c r="BU606" s="817">
        <f t="shared" si="693"/>
        <v>4.9449609308161779E-2</v>
      </c>
      <c r="BV606" s="817">
        <f t="shared" si="693"/>
        <v>9.4712481991128916E-2</v>
      </c>
      <c r="BW606" s="819">
        <f t="shared" si="693"/>
        <v>0.22475583730196269</v>
      </c>
      <c r="BX606" s="817"/>
      <c r="BY606" s="817"/>
      <c r="BZ606" s="817"/>
      <c r="CA606" s="817"/>
      <c r="CB606" s="817"/>
      <c r="CC606" s="9"/>
    </row>
    <row r="607" spans="1:81" outlineLevel="2" x14ac:dyDescent="0.55000000000000004">
      <c r="A607" s="37"/>
      <c r="B607" s="241"/>
      <c r="C607" s="600"/>
      <c r="D607" s="600"/>
      <c r="E607" s="600"/>
      <c r="F607" s="600"/>
      <c r="G607" s="600"/>
      <c r="H607" s="600"/>
      <c r="I607" s="600"/>
      <c r="J607" s="600"/>
      <c r="K607" s="600"/>
      <c r="L607" s="600"/>
      <c r="M607" s="600"/>
      <c r="N607" s="600"/>
      <c r="O607" s="600"/>
      <c r="P607" s="600"/>
      <c r="Q607" s="600"/>
      <c r="R607" s="600"/>
      <c r="S607" s="600"/>
      <c r="T607" s="600"/>
      <c r="U607" s="600"/>
      <c r="V607" s="600"/>
      <c r="W607" s="600"/>
      <c r="X607" s="600"/>
      <c r="Y607" s="600"/>
      <c r="Z607" s="600"/>
      <c r="AA607" s="600"/>
      <c r="AB607" s="600"/>
      <c r="AC607" s="600"/>
      <c r="AD607" s="600"/>
      <c r="AE607" s="600"/>
      <c r="AF607" s="600"/>
      <c r="AG607" s="600"/>
      <c r="AH607" s="600"/>
      <c r="AI607" s="600"/>
      <c r="AJ607" s="600"/>
      <c r="AK607" s="600"/>
      <c r="AL607" s="600"/>
      <c r="AM607" s="600"/>
      <c r="AN607" s="600"/>
      <c r="AO607" s="600"/>
      <c r="AP607" s="600"/>
      <c r="AQ607" s="600"/>
      <c r="AR607" s="600"/>
      <c r="AS607" s="600"/>
      <c r="AT607" s="600"/>
      <c r="AU607" s="600"/>
      <c r="AV607" s="600"/>
      <c r="AW607" s="600"/>
      <c r="AX607" s="600"/>
      <c r="AY607" s="604"/>
      <c r="AZ607" s="600"/>
      <c r="BA607" s="600"/>
      <c r="BB607" s="600"/>
      <c r="BC607" s="600"/>
      <c r="BD607" s="600"/>
      <c r="BE607" s="600"/>
      <c r="BF607" s="600"/>
      <c r="BG607" s="600"/>
      <c r="BH607" s="186"/>
      <c r="BI607" s="186"/>
      <c r="BJ607" s="186"/>
      <c r="BK607" s="186"/>
      <c r="BL607" s="186"/>
      <c r="BM607" s="186"/>
      <c r="BN607" s="186"/>
      <c r="BO607" s="186"/>
      <c r="BP607" s="186"/>
      <c r="BQ607" s="186"/>
      <c r="BR607" s="186"/>
      <c r="BS607" s="186"/>
      <c r="BT607" s="186"/>
      <c r="BU607" s="186"/>
      <c r="BV607" s="186"/>
      <c r="BW607" s="909"/>
      <c r="BX607" s="186"/>
      <c r="BY607" s="186"/>
      <c r="BZ607" s="186"/>
      <c r="CA607" s="186"/>
      <c r="CB607" s="186"/>
      <c r="CC607" s="358"/>
    </row>
    <row r="608" spans="1:81" s="706" customFormat="1" outlineLevel="2" x14ac:dyDescent="0.55000000000000004">
      <c r="A608" s="35" t="s">
        <v>799</v>
      </c>
      <c r="B608" s="193"/>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f>AE601-AD601</f>
        <v>-2500</v>
      </c>
      <c r="AF608" s="35">
        <f>AF601-AE601</f>
        <v>-500</v>
      </c>
      <c r="AG608" s="35">
        <f>AG601-AF601</f>
        <v>0</v>
      </c>
      <c r="AH608" s="35"/>
      <c r="AI608" s="35">
        <f>AI601-AH601</f>
        <v>1000</v>
      </c>
      <c r="AJ608" s="35">
        <f>AJ601-AI601</f>
        <v>0</v>
      </c>
      <c r="AK608" s="35">
        <f>AK601-AJ601</f>
        <v>-1000</v>
      </c>
      <c r="AL608" s="35"/>
      <c r="AM608" s="35">
        <f>AM601-AL601</f>
        <v>-3000</v>
      </c>
      <c r="AN608" s="35">
        <f>AN601-AM601</f>
        <v>-3000</v>
      </c>
      <c r="AO608" s="35">
        <f>AO601-AN601</f>
        <v>-500</v>
      </c>
      <c r="AP608" s="35"/>
      <c r="AQ608" s="35">
        <f>AQ601-AP601</f>
        <v>-4000</v>
      </c>
      <c r="AR608" s="35">
        <f>AR601-AQ601</f>
        <v>1500</v>
      </c>
      <c r="AS608" s="35">
        <f>AS601-AR601</f>
        <v>-1500</v>
      </c>
      <c r="AT608" s="35"/>
      <c r="AU608" s="35">
        <f>AU601-AT601</f>
        <v>1000</v>
      </c>
      <c r="AV608" s="35">
        <f>AV601-AU601</f>
        <v>0</v>
      </c>
      <c r="AW608" s="35">
        <f>AW601-AV601</f>
        <v>-500</v>
      </c>
      <c r="AX608" s="35"/>
      <c r="AY608" s="272">
        <f>AY601-AX601</f>
        <v>-1000</v>
      </c>
      <c r="AZ608" s="35"/>
      <c r="BA608" s="35"/>
      <c r="BB608" s="35"/>
      <c r="BC608" s="35"/>
      <c r="BD608" s="35"/>
      <c r="BE608" s="35"/>
      <c r="BF608" s="35"/>
      <c r="BG608" s="35"/>
      <c r="BH608" s="812"/>
      <c r="BI608" s="812"/>
      <c r="BJ608" s="812"/>
      <c r="BK608" s="812"/>
      <c r="BL608" s="812"/>
      <c r="BM608" s="812"/>
      <c r="BN608" s="812"/>
      <c r="BO608" s="812"/>
      <c r="BP608" s="812"/>
      <c r="BQ608" s="812"/>
      <c r="BR608" s="812"/>
      <c r="BS608" s="812"/>
      <c r="BT608" s="812"/>
      <c r="BU608" s="812"/>
      <c r="BV608" s="812"/>
      <c r="BW608" s="814"/>
      <c r="BX608" s="812"/>
      <c r="BY608" s="812"/>
      <c r="BZ608" s="812"/>
      <c r="CA608" s="812"/>
      <c r="CB608" s="812"/>
      <c r="CC608" s="117"/>
    </row>
    <row r="609" spans="1:81" s="709" customFormat="1" outlineLevel="2" x14ac:dyDescent="0.55000000000000004">
      <c r="A609" s="79" t="s">
        <v>800</v>
      </c>
      <c r="B609" s="75"/>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f>AE601/AD601-1</f>
        <v>-4.4247787610619427E-2</v>
      </c>
      <c r="AF609" s="54">
        <f>AF601/AE601-1</f>
        <v>-9.2592592592593004E-3</v>
      </c>
      <c r="AG609" s="54">
        <f>AG601/AF601-1</f>
        <v>0</v>
      </c>
      <c r="AH609" s="54"/>
      <c r="AI609" s="54">
        <f>AI601/AH601-1</f>
        <v>1.4184397163120588E-2</v>
      </c>
      <c r="AJ609" s="54">
        <f>AJ601/AI601-1</f>
        <v>0</v>
      </c>
      <c r="AK609" s="54">
        <f>AK601/AJ601-1</f>
        <v>-1.3986013986013957E-2</v>
      </c>
      <c r="AL609" s="54"/>
      <c r="AM609" s="54">
        <f>AM601/AL601-1</f>
        <v>-3.2432432432432434E-2</v>
      </c>
      <c r="AN609" s="54">
        <f>AN601/AM601-1</f>
        <v>-3.3519553072625663E-2</v>
      </c>
      <c r="AO609" s="54">
        <f>AO601/AN601-1</f>
        <v>-5.7803468208093012E-3</v>
      </c>
      <c r="AP609" s="54"/>
      <c r="AQ609" s="54">
        <f>AQ601/AP601-1</f>
        <v>-4.3478260869565188E-2</v>
      </c>
      <c r="AR609" s="54">
        <f>AR601/AQ601-1</f>
        <v>1.7045454545454586E-2</v>
      </c>
      <c r="AS609" s="54">
        <f>AS601/AR601-1</f>
        <v>-1.6759776536312887E-2</v>
      </c>
      <c r="AT609" s="54"/>
      <c r="AU609" s="54">
        <f>AU601/AT601-1</f>
        <v>1.0362694300518172E-2</v>
      </c>
      <c r="AV609" s="54">
        <f>AV601/AU601-1</f>
        <v>0</v>
      </c>
      <c r="AW609" s="54">
        <f>AW601/AV601-1</f>
        <v>-5.12820512820511E-3</v>
      </c>
      <c r="AX609" s="54"/>
      <c r="AY609" s="623">
        <f>AY601/AX601-1</f>
        <v>-8.5836909871244149E-3</v>
      </c>
      <c r="AZ609" s="54"/>
      <c r="BA609" s="54"/>
      <c r="BB609" s="54"/>
      <c r="BC609" s="54"/>
      <c r="BD609" s="54"/>
      <c r="BE609" s="54"/>
      <c r="BF609" s="54"/>
      <c r="BG609" s="54"/>
      <c r="BH609" s="815"/>
      <c r="BI609" s="815"/>
      <c r="BJ609" s="815"/>
      <c r="BK609" s="815"/>
      <c r="BL609" s="815"/>
      <c r="BM609" s="815"/>
      <c r="BN609" s="815"/>
      <c r="BO609" s="815"/>
      <c r="BP609" s="815"/>
      <c r="BQ609" s="815"/>
      <c r="BR609" s="815"/>
      <c r="BS609" s="815"/>
      <c r="BT609" s="815"/>
      <c r="BU609" s="815"/>
      <c r="BV609" s="815"/>
      <c r="BW609" s="816"/>
      <c r="BX609" s="815"/>
      <c r="BY609" s="815"/>
      <c r="BZ609" s="815"/>
      <c r="CA609" s="815"/>
      <c r="CB609" s="815"/>
      <c r="CC609" s="24"/>
    </row>
    <row r="610" spans="1:81" s="706" customFormat="1" outlineLevel="2" x14ac:dyDescent="0.55000000000000004">
      <c r="A610" s="35" t="s">
        <v>801</v>
      </c>
      <c r="B610" s="193"/>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f>AE608</f>
        <v>-2500</v>
      </c>
      <c r="AF610" s="35">
        <f>AE610+AF608</f>
        <v>-3000</v>
      </c>
      <c r="AG610" s="35">
        <f>AF610+AG608</f>
        <v>-3000</v>
      </c>
      <c r="AH610" s="35"/>
      <c r="AI610" s="35">
        <f>AI608</f>
        <v>1000</v>
      </c>
      <c r="AJ610" s="35">
        <f>AI610+AJ608</f>
        <v>1000</v>
      </c>
      <c r="AK610" s="35">
        <f>AJ610+AK608</f>
        <v>0</v>
      </c>
      <c r="AL610" s="35"/>
      <c r="AM610" s="35">
        <f>AM608</f>
        <v>-3000</v>
      </c>
      <c r="AN610" s="35">
        <f>AM610+AN608</f>
        <v>-6000</v>
      </c>
      <c r="AO610" s="35">
        <f>AN610+AO608</f>
        <v>-6500</v>
      </c>
      <c r="AP610" s="35"/>
      <c r="AQ610" s="35">
        <f>AQ608</f>
        <v>-4000</v>
      </c>
      <c r="AR610" s="35">
        <f>AQ610+AR608</f>
        <v>-2500</v>
      </c>
      <c r="AS610" s="35">
        <f>AR610+AS608</f>
        <v>-4000</v>
      </c>
      <c r="AT610" s="35"/>
      <c r="AU610" s="35">
        <f>AU608</f>
        <v>1000</v>
      </c>
      <c r="AV610" s="35">
        <f>AU610+AV608</f>
        <v>1000</v>
      </c>
      <c r="AW610" s="35">
        <f>AV610+AW608</f>
        <v>500</v>
      </c>
      <c r="AX610" s="35"/>
      <c r="AY610" s="272">
        <f>AY608</f>
        <v>-1000</v>
      </c>
      <c r="AZ610" s="35"/>
      <c r="BA610" s="35"/>
      <c r="BB610" s="35"/>
      <c r="BC610" s="35"/>
      <c r="BD610" s="35"/>
      <c r="BE610" s="35"/>
      <c r="BF610" s="35"/>
      <c r="BG610" s="35"/>
      <c r="BH610" s="812"/>
      <c r="BI610" s="812"/>
      <c r="BJ610" s="812"/>
      <c r="BK610" s="812"/>
      <c r="BL610" s="812"/>
      <c r="BM610" s="812"/>
      <c r="BN610" s="812"/>
      <c r="BO610" s="812"/>
      <c r="BP610" s="812"/>
      <c r="BQ610" s="812"/>
      <c r="BR610" s="812"/>
      <c r="BS610" s="812"/>
      <c r="BT610" s="812"/>
      <c r="BU610" s="812"/>
      <c r="BV610" s="812"/>
      <c r="BW610" s="814"/>
      <c r="BX610" s="812"/>
      <c r="BY610" s="812"/>
      <c r="BZ610" s="812"/>
      <c r="CA610" s="812"/>
      <c r="CB610" s="812"/>
      <c r="CC610" s="117"/>
    </row>
    <row r="611" spans="1:81" s="709" customFormat="1" outlineLevel="2" x14ac:dyDescent="0.55000000000000004">
      <c r="A611" s="79" t="s">
        <v>802</v>
      </c>
      <c r="B611" s="75"/>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f>AE601/AD601-1</f>
        <v>-4.4247787610619427E-2</v>
      </c>
      <c r="AF611" s="54">
        <f>AF601/AD601-1</f>
        <v>-5.3097345132743334E-2</v>
      </c>
      <c r="AG611" s="54">
        <f>AG601/AD601-1</f>
        <v>-5.3097345132743334E-2</v>
      </c>
      <c r="AH611" s="54"/>
      <c r="AI611" s="54">
        <f>AI601/AH601-1</f>
        <v>1.4184397163120588E-2</v>
      </c>
      <c r="AJ611" s="54">
        <f>AJ601/AH601-1</f>
        <v>1.4184397163120588E-2</v>
      </c>
      <c r="AK611" s="54">
        <f>AK601/AH601-1</f>
        <v>0</v>
      </c>
      <c r="AL611" s="54"/>
      <c r="AM611" s="54">
        <f>AM601/AL601-1</f>
        <v>-3.2432432432432434E-2</v>
      </c>
      <c r="AN611" s="54">
        <f>AN601/AL601-1</f>
        <v>-6.4864864864864868E-2</v>
      </c>
      <c r="AO611" s="54">
        <f>AO601/AL601-1</f>
        <v>-7.0270270270270219E-2</v>
      </c>
      <c r="AP611" s="54"/>
      <c r="AQ611" s="54">
        <f>AQ601/AP601-1</f>
        <v>-4.3478260869565188E-2</v>
      </c>
      <c r="AR611" s="54">
        <f>AR601/AP601-1</f>
        <v>-2.7173913043478271E-2</v>
      </c>
      <c r="AS611" s="54">
        <f>AS601/AP601-1</f>
        <v>-4.3478260869565188E-2</v>
      </c>
      <c r="AT611" s="54"/>
      <c r="AU611" s="54">
        <f>AU601/AT601-1</f>
        <v>1.0362694300518172E-2</v>
      </c>
      <c r="AV611" s="54">
        <f>AV601/AT601-1</f>
        <v>1.0362694300518172E-2</v>
      </c>
      <c r="AW611" s="54">
        <f>AW601/AT601-1</f>
        <v>5.1813471502590858E-3</v>
      </c>
      <c r="AX611" s="54"/>
      <c r="AY611" s="623">
        <f>AY601/AX601-1</f>
        <v>-8.5836909871244149E-3</v>
      </c>
      <c r="AZ611" s="54"/>
      <c r="BA611" s="54"/>
      <c r="BB611" s="54"/>
      <c r="BC611" s="54"/>
      <c r="BD611" s="54"/>
      <c r="BE611" s="54"/>
      <c r="BF611" s="54"/>
      <c r="BG611" s="54"/>
      <c r="BH611" s="815"/>
      <c r="BI611" s="815"/>
      <c r="BJ611" s="815"/>
      <c r="BK611" s="815"/>
      <c r="BL611" s="815"/>
      <c r="BM611" s="815"/>
      <c r="BN611" s="815"/>
      <c r="BO611" s="815"/>
      <c r="BP611" s="815"/>
      <c r="BQ611" s="815"/>
      <c r="BR611" s="815"/>
      <c r="BS611" s="815"/>
      <c r="BT611" s="815"/>
      <c r="BU611" s="815"/>
      <c r="BV611" s="815"/>
      <c r="BW611" s="816"/>
      <c r="BX611" s="815"/>
      <c r="BY611" s="815"/>
      <c r="BZ611" s="815"/>
      <c r="CA611" s="815"/>
      <c r="CB611" s="815"/>
      <c r="CC611" s="24"/>
    </row>
    <row r="612" spans="1:81" outlineLevel="1" x14ac:dyDescent="0.55000000000000004">
      <c r="A612" s="37"/>
      <c r="B612" s="241"/>
      <c r="C612" s="600"/>
      <c r="D612" s="600"/>
      <c r="E612" s="600"/>
      <c r="F612" s="600"/>
      <c r="G612" s="600"/>
      <c r="H612" s="600"/>
      <c r="I612" s="600"/>
      <c r="J612" s="600"/>
      <c r="K612" s="600"/>
      <c r="L612" s="600"/>
      <c r="M612" s="600"/>
      <c r="N612" s="600"/>
      <c r="O612" s="600"/>
      <c r="P612" s="600"/>
      <c r="Q612" s="600"/>
      <c r="R612" s="600"/>
      <c r="S612" s="600"/>
      <c r="T612" s="600"/>
      <c r="U612" s="600"/>
      <c r="V612" s="600"/>
      <c r="W612" s="600"/>
      <c r="X612" s="600"/>
      <c r="Y612" s="600"/>
      <c r="Z612" s="600"/>
      <c r="AA612" s="600"/>
      <c r="AB612" s="600"/>
      <c r="AC612" s="600"/>
      <c r="AD612" s="600"/>
      <c r="AE612" s="600"/>
      <c r="AF612" s="600"/>
      <c r="AG612" s="600"/>
      <c r="AH612" s="600"/>
      <c r="AI612" s="600"/>
      <c r="AJ612" s="600"/>
      <c r="AK612" s="600"/>
      <c r="AL612" s="600"/>
      <c r="AM612" s="600"/>
      <c r="AN612" s="600"/>
      <c r="AO612" s="600"/>
      <c r="AP612" s="600"/>
      <c r="AQ612" s="600"/>
      <c r="AR612" s="600"/>
      <c r="AS612" s="600"/>
      <c r="AT612" s="600"/>
      <c r="AU612" s="600"/>
      <c r="AV612" s="600"/>
      <c r="AW612" s="600"/>
      <c r="AX612" s="600"/>
      <c r="AY612" s="604"/>
      <c r="AZ612" s="600"/>
      <c r="BA612" s="600"/>
      <c r="BB612" s="600"/>
      <c r="BC612" s="600"/>
      <c r="BD612" s="600"/>
      <c r="BE612" s="600"/>
      <c r="BF612" s="600"/>
      <c r="BG612" s="600"/>
      <c r="BH612" s="186"/>
      <c r="BI612" s="186"/>
      <c r="BJ612" s="186"/>
      <c r="BK612" s="186"/>
      <c r="BL612" s="186"/>
      <c r="BM612" s="186"/>
      <c r="BN612" s="186"/>
      <c r="BO612" s="186"/>
      <c r="BP612" s="186"/>
      <c r="BQ612" s="186"/>
      <c r="BR612" s="186"/>
      <c r="BS612" s="186"/>
      <c r="BT612" s="186"/>
      <c r="BU612" s="186"/>
      <c r="BV612" s="186"/>
      <c r="BW612" s="909"/>
      <c r="BX612" s="186"/>
      <c r="BY612" s="186"/>
      <c r="BZ612" s="186"/>
      <c r="CA612" s="186"/>
      <c r="CB612" s="186"/>
      <c r="CC612" s="358"/>
    </row>
    <row r="613" spans="1:81" outlineLevel="1" x14ac:dyDescent="0.55000000000000004">
      <c r="A613" s="598" t="s">
        <v>735</v>
      </c>
      <c r="B613" s="598"/>
      <c r="C613" s="598"/>
      <c r="D613" s="598"/>
      <c r="E613" s="598"/>
      <c r="F613" s="598"/>
      <c r="G613" s="598"/>
      <c r="H613" s="598"/>
      <c r="I613" s="598"/>
      <c r="J613" s="598"/>
      <c r="K613" s="598"/>
      <c r="L613" s="598"/>
      <c r="M613" s="598"/>
      <c r="N613" s="598"/>
      <c r="O613" s="598"/>
      <c r="P613" s="598"/>
      <c r="Q613" s="598"/>
      <c r="R613" s="598"/>
      <c r="S613" s="598"/>
      <c r="T613" s="598"/>
      <c r="U613" s="598"/>
      <c r="V613" s="598"/>
      <c r="W613" s="598"/>
      <c r="X613" s="598"/>
      <c r="Y613" s="598"/>
      <c r="Z613" s="598"/>
      <c r="AA613" s="598"/>
      <c r="AB613" s="598"/>
      <c r="AC613" s="598"/>
      <c r="AD613" s="598"/>
      <c r="AE613" s="598"/>
      <c r="AF613" s="598"/>
      <c r="AG613" s="598"/>
      <c r="AH613" s="598"/>
      <c r="AI613" s="598"/>
      <c r="AJ613" s="598"/>
      <c r="AK613" s="598"/>
      <c r="AL613" s="598"/>
      <c r="AM613" s="598"/>
      <c r="AN613" s="598"/>
      <c r="AO613" s="598"/>
      <c r="AP613" s="598"/>
      <c r="AQ613" s="598"/>
      <c r="AR613" s="598"/>
      <c r="AS613" s="598"/>
      <c r="AT613" s="598"/>
      <c r="AU613" s="598"/>
      <c r="AV613" s="598"/>
      <c r="AW613" s="598"/>
      <c r="AX613" s="598"/>
      <c r="AY613" s="599"/>
      <c r="AZ613" s="598"/>
      <c r="BA613" s="598"/>
      <c r="BB613" s="598"/>
      <c r="BC613" s="598"/>
      <c r="BD613" s="598"/>
      <c r="BE613" s="598"/>
      <c r="BF613" s="598"/>
      <c r="BG613" s="598"/>
      <c r="BH613" s="598"/>
      <c r="BI613" s="598"/>
      <c r="BJ613" s="598"/>
      <c r="BK613" s="598"/>
      <c r="BL613" s="598"/>
      <c r="BM613" s="598"/>
      <c r="BN613" s="598"/>
      <c r="BO613" s="598"/>
      <c r="BP613" s="598"/>
      <c r="BQ613" s="598"/>
      <c r="BR613" s="598"/>
      <c r="BS613" s="598"/>
      <c r="BT613" s="598"/>
      <c r="BU613" s="598"/>
      <c r="BV613" s="598"/>
      <c r="BW613" s="599"/>
      <c r="BX613" s="598"/>
      <c r="BY613" s="598"/>
      <c r="BZ613" s="598"/>
      <c r="CA613" s="598"/>
      <c r="CB613" s="598"/>
      <c r="CC613" s="217"/>
    </row>
    <row r="614" spans="1:81" s="706" customFormat="1" outlineLevel="2" x14ac:dyDescent="0.55000000000000004">
      <c r="A614" s="86" t="s">
        <v>811</v>
      </c>
      <c r="B614" s="87"/>
      <c r="C614" s="200"/>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200"/>
      <c r="AD614" s="200">
        <f>AC631</f>
        <v>4587</v>
      </c>
      <c r="AE614" s="200"/>
      <c r="AF614" s="200"/>
      <c r="AG614" s="200"/>
      <c r="AH614" s="200">
        <f>AG631</f>
        <v>5100</v>
      </c>
      <c r="AI614" s="200"/>
      <c r="AJ614" s="200"/>
      <c r="AK614" s="200"/>
      <c r="AL614" s="200">
        <f>AK631</f>
        <v>5297</v>
      </c>
      <c r="AM614" s="200"/>
      <c r="AN614" s="200"/>
      <c r="AO614" s="200"/>
      <c r="AP614" s="200">
        <f>AO631</f>
        <v>9497</v>
      </c>
      <c r="AQ614" s="200"/>
      <c r="AR614" s="200"/>
      <c r="AS614" s="200"/>
      <c r="AT614" s="200">
        <f>AS631</f>
        <v>7648</v>
      </c>
      <c r="AU614" s="200"/>
      <c r="AV614" s="200"/>
      <c r="AW614" s="200"/>
      <c r="AX614" s="200">
        <f>AW631</f>
        <v>14611</v>
      </c>
      <c r="AY614" s="407"/>
      <c r="AZ614" s="200"/>
      <c r="BA614" s="200"/>
      <c r="BB614" s="200"/>
      <c r="BC614" s="200"/>
      <c r="BD614" s="200"/>
      <c r="BE614" s="200"/>
      <c r="BF614" s="200"/>
      <c r="BG614" s="200"/>
      <c r="BH614" s="841"/>
      <c r="BI614" s="841"/>
      <c r="BJ614" s="841"/>
      <c r="BK614" s="841"/>
      <c r="BL614" s="841"/>
      <c r="BM614" s="841"/>
      <c r="BN614" s="841"/>
      <c r="BO614" s="841"/>
      <c r="BP614" s="841"/>
      <c r="BQ614" s="841"/>
      <c r="BR614" s="841">
        <f>Z645</f>
        <v>0</v>
      </c>
      <c r="BS614" s="841">
        <f>AD645</f>
        <v>18000</v>
      </c>
      <c r="BT614" s="841">
        <f>AH645</f>
        <v>22000</v>
      </c>
      <c r="BU614" s="841">
        <f>AL645</f>
        <v>31500</v>
      </c>
      <c r="BV614" s="841">
        <f>AP645</f>
        <v>31500</v>
      </c>
      <c r="BW614" s="842">
        <f>AT645</f>
        <v>33500</v>
      </c>
      <c r="BX614" s="841"/>
      <c r="BY614" s="841"/>
      <c r="BZ614" s="841"/>
      <c r="CA614" s="841"/>
      <c r="CB614" s="841"/>
      <c r="CC614" s="117"/>
    </row>
    <row r="615" spans="1:81" s="706" customFormat="1" outlineLevel="2" x14ac:dyDescent="0.55000000000000004">
      <c r="A615" s="86" t="s">
        <v>806</v>
      </c>
      <c r="B615" s="87"/>
      <c r="C615" s="200"/>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200"/>
      <c r="AD615" s="200"/>
      <c r="AE615" s="200"/>
      <c r="AF615" s="200"/>
      <c r="AG615" s="200"/>
      <c r="AH615" s="200"/>
      <c r="AI615" s="200"/>
      <c r="AJ615" s="200"/>
      <c r="AK615" s="200"/>
      <c r="AL615" s="200"/>
      <c r="AM615" s="200"/>
      <c r="AN615" s="200"/>
      <c r="AO615" s="200"/>
      <c r="AP615" s="200"/>
      <c r="AQ615" s="200"/>
      <c r="AR615" s="200"/>
      <c r="AS615" s="200"/>
      <c r="AT615" s="200"/>
      <c r="AU615" s="200"/>
      <c r="AV615" s="200"/>
      <c r="AW615" s="200"/>
      <c r="AX615" s="200"/>
      <c r="AY615" s="407"/>
      <c r="AZ615" s="200"/>
      <c r="BA615" s="200"/>
      <c r="BB615" s="200"/>
      <c r="BC615" s="200"/>
      <c r="BD615" s="200"/>
      <c r="BE615" s="200"/>
      <c r="BF615" s="200"/>
      <c r="BG615" s="200"/>
      <c r="BH615" s="841"/>
      <c r="BI615" s="841"/>
      <c r="BJ615" s="841"/>
      <c r="BK615" s="841"/>
      <c r="BL615" s="841"/>
      <c r="BM615" s="841"/>
      <c r="BN615" s="841"/>
      <c r="BO615" s="841"/>
      <c r="BP615" s="841"/>
      <c r="BQ615" s="841"/>
      <c r="BR615" s="841">
        <f>AA645</f>
        <v>0</v>
      </c>
      <c r="BS615" s="841">
        <f>AE645</f>
        <v>15000</v>
      </c>
      <c r="BT615" s="841">
        <f>AI645</f>
        <v>20000</v>
      </c>
      <c r="BU615" s="841">
        <f>AM645</f>
        <v>31500</v>
      </c>
      <c r="BV615" s="841">
        <f>AQ645</f>
        <v>31500</v>
      </c>
      <c r="BW615" s="842">
        <f>AU645</f>
        <v>37500</v>
      </c>
      <c r="BX615" s="841"/>
      <c r="BY615" s="841"/>
      <c r="BZ615" s="841"/>
      <c r="CA615" s="841"/>
      <c r="CB615" s="841"/>
      <c r="CC615" s="117"/>
    </row>
    <row r="616" spans="1:81" s="706" customFormat="1" outlineLevel="2" x14ac:dyDescent="0.55000000000000004">
      <c r="A616" s="86" t="s">
        <v>807</v>
      </c>
      <c r="B616" s="87"/>
      <c r="C616" s="200"/>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200"/>
      <c r="AD616" s="200"/>
      <c r="AE616" s="200"/>
      <c r="AF616" s="200"/>
      <c r="AG616" s="200"/>
      <c r="AH616" s="200"/>
      <c r="AI616" s="200"/>
      <c r="AJ616" s="200"/>
      <c r="AK616" s="200"/>
      <c r="AL616" s="200"/>
      <c r="AM616" s="200"/>
      <c r="AN616" s="200"/>
      <c r="AO616" s="200"/>
      <c r="AP616" s="200"/>
      <c r="AQ616" s="200"/>
      <c r="AR616" s="200"/>
      <c r="AS616" s="200"/>
      <c r="AT616" s="200"/>
      <c r="AU616" s="200"/>
      <c r="AV616" s="200"/>
      <c r="AW616" s="200"/>
      <c r="AX616" s="200"/>
      <c r="AY616" s="407"/>
      <c r="AZ616" s="200"/>
      <c r="BA616" s="200"/>
      <c r="BB616" s="200"/>
      <c r="BC616" s="200"/>
      <c r="BD616" s="200"/>
      <c r="BE616" s="200"/>
      <c r="BF616" s="200"/>
      <c r="BG616" s="200"/>
      <c r="BH616" s="841"/>
      <c r="BI616" s="841"/>
      <c r="BJ616" s="841"/>
      <c r="BK616" s="841"/>
      <c r="BL616" s="841"/>
      <c r="BM616" s="841"/>
      <c r="BN616" s="841"/>
      <c r="BO616" s="841"/>
      <c r="BP616" s="841"/>
      <c r="BQ616" s="841"/>
      <c r="BR616" s="841">
        <f>AB645</f>
        <v>17000</v>
      </c>
      <c r="BS616" s="841">
        <f>AF645</f>
        <v>16000</v>
      </c>
      <c r="BT616" s="841">
        <f>AJ645</f>
        <v>20000</v>
      </c>
      <c r="BU616" s="841">
        <f>AN645</f>
        <v>32000</v>
      </c>
      <c r="BV616" s="841">
        <f>AR645</f>
        <v>28500</v>
      </c>
      <c r="BW616" s="842">
        <f>AV645</f>
        <v>38500</v>
      </c>
      <c r="BX616" s="841"/>
      <c r="BY616" s="841"/>
      <c r="BZ616" s="841"/>
      <c r="CA616" s="841"/>
      <c r="CB616" s="841"/>
      <c r="CC616" s="117"/>
    </row>
    <row r="617" spans="1:81" s="706" customFormat="1" outlineLevel="2" x14ac:dyDescent="0.55000000000000004">
      <c r="A617" s="315" t="s">
        <v>808</v>
      </c>
      <c r="B617" s="244"/>
      <c r="C617" s="320"/>
      <c r="D617" s="320"/>
      <c r="E617" s="320"/>
      <c r="F617" s="320"/>
      <c r="G617" s="320"/>
      <c r="H617" s="320"/>
      <c r="I617" s="320"/>
      <c r="J617" s="320"/>
      <c r="K617" s="320"/>
      <c r="L617" s="320"/>
      <c r="M617" s="320"/>
      <c r="N617" s="320"/>
      <c r="O617" s="320"/>
      <c r="P617" s="320"/>
      <c r="Q617" s="320"/>
      <c r="R617" s="320"/>
      <c r="S617" s="320"/>
      <c r="T617" s="320"/>
      <c r="U617" s="320"/>
      <c r="V617" s="320"/>
      <c r="W617" s="320"/>
      <c r="X617" s="320"/>
      <c r="Y617" s="320"/>
      <c r="Z617" s="320"/>
      <c r="AA617" s="320"/>
      <c r="AB617" s="320"/>
      <c r="AC617" s="320"/>
      <c r="AD617" s="320"/>
      <c r="AE617" s="320"/>
      <c r="AF617" s="320"/>
      <c r="AG617" s="320"/>
      <c r="AH617" s="320"/>
      <c r="AI617" s="320"/>
      <c r="AJ617" s="320"/>
      <c r="AK617" s="320"/>
      <c r="AL617" s="320"/>
      <c r="AM617" s="320"/>
      <c r="AN617" s="320"/>
      <c r="AO617" s="320"/>
      <c r="AP617" s="320"/>
      <c r="AQ617" s="320"/>
      <c r="AR617" s="320"/>
      <c r="AS617" s="320"/>
      <c r="AT617" s="320"/>
      <c r="AU617" s="320"/>
      <c r="AV617" s="320"/>
      <c r="AW617" s="320"/>
      <c r="AX617" s="320"/>
      <c r="AY617" s="628"/>
      <c r="AZ617" s="320"/>
      <c r="BA617" s="320"/>
      <c r="BB617" s="320"/>
      <c r="BC617" s="320"/>
      <c r="BD617" s="320"/>
      <c r="BE617" s="320"/>
      <c r="BF617" s="320"/>
      <c r="BG617" s="320"/>
      <c r="BH617" s="843"/>
      <c r="BI617" s="843"/>
      <c r="BJ617" s="843"/>
      <c r="BK617" s="843"/>
      <c r="BL617" s="843"/>
      <c r="BM617" s="843"/>
      <c r="BN617" s="843"/>
      <c r="BO617" s="843"/>
      <c r="BP617" s="843"/>
      <c r="BQ617" s="843"/>
      <c r="BR617" s="843">
        <f>AC645</f>
        <v>16000</v>
      </c>
      <c r="BS617" s="843">
        <f>AG645</f>
        <v>16000</v>
      </c>
      <c r="BT617" s="843">
        <f>AK645</f>
        <v>19000</v>
      </c>
      <c r="BU617" s="843">
        <f>AO645</f>
        <v>32500</v>
      </c>
      <c r="BV617" s="843">
        <f>AS645</f>
        <v>28000</v>
      </c>
      <c r="BW617" s="844">
        <f>AW645</f>
        <v>39000</v>
      </c>
      <c r="BX617" s="843"/>
      <c r="BY617" s="843"/>
      <c r="BZ617" s="843"/>
      <c r="CA617" s="843"/>
      <c r="CB617" s="843"/>
      <c r="CC617" s="117"/>
    </row>
    <row r="618" spans="1:81" s="706" customFormat="1" outlineLevel="1" x14ac:dyDescent="0.55000000000000004">
      <c r="A618" s="37" t="s">
        <v>809</v>
      </c>
      <c r="B618" s="87"/>
      <c r="C618" s="200"/>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200"/>
      <c r="AD618" s="200">
        <f>IF(ISBLANK(AD617),IF(ISBLANK(AD616),IF(ISBLANK(AD615),IF(ISBLANK(AD614),"n/a",AD614),AD615),AD616),AD617)</f>
        <v>4587</v>
      </c>
      <c r="AE618" s="200"/>
      <c r="AF618" s="200"/>
      <c r="AG618" s="200"/>
      <c r="AH618" s="200">
        <f>IF(ISBLANK(AH617),IF(ISBLANK(AH616),IF(ISBLANK(AH615),IF(ISBLANK(AH614),"n/a",AH614),AH615),AH616),AH617)</f>
        <v>5100</v>
      </c>
      <c r="AI618" s="200"/>
      <c r="AJ618" s="200"/>
      <c r="AK618" s="200"/>
      <c r="AL618" s="200">
        <f>IF(ISBLANK(AL617),IF(ISBLANK(AL616),IF(ISBLANK(AL615),IF(ISBLANK(AL614),"n/a",AL614),AL615),AL616),AL617)</f>
        <v>5297</v>
      </c>
      <c r="AM618" s="200"/>
      <c r="AN618" s="200"/>
      <c r="AO618" s="200"/>
      <c r="AP618" s="200">
        <f>IF(ISBLANK(AP617),IF(ISBLANK(AP616),IF(ISBLANK(AP615),IF(ISBLANK(AP614),"n/a",AP614),AP615),AP616),AP617)</f>
        <v>9497</v>
      </c>
      <c r="AQ618" s="200"/>
      <c r="AR618" s="200"/>
      <c r="AS618" s="200"/>
      <c r="AT618" s="200">
        <f>IF(ISBLANK(AT617),IF(ISBLANK(AT616),IF(ISBLANK(AT615),IF(ISBLANK(AT614),"n/a",AT614),AT615),AT616),AT617)</f>
        <v>7648</v>
      </c>
      <c r="AU618" s="200"/>
      <c r="AV618" s="200"/>
      <c r="AW618" s="200"/>
      <c r="AX618" s="200">
        <f>IF(ISBLANK(AX617),IF(ISBLANK(AX616),IF(ISBLANK(AX615),IF(ISBLANK(AX614),"n/a",AX614),AX615),AX616),AX617)</f>
        <v>14611</v>
      </c>
      <c r="AY618" s="407"/>
      <c r="AZ618" s="200" t="str">
        <f t="shared" ref="AZ618:BF618" si="694">IF(AZ667=0,"",-AZ667)</f>
        <v/>
      </c>
      <c r="BA618" s="200" t="str">
        <f t="shared" si="694"/>
        <v/>
      </c>
      <c r="BB618" s="200" t="str">
        <f t="shared" si="694"/>
        <v/>
      </c>
      <c r="BC618" s="200" t="str">
        <f t="shared" si="694"/>
        <v/>
      </c>
      <c r="BD618" s="200" t="str">
        <f t="shared" si="694"/>
        <v/>
      </c>
      <c r="BE618" s="200" t="str">
        <f t="shared" si="694"/>
        <v/>
      </c>
      <c r="BF618" s="200" t="str">
        <f t="shared" si="694"/>
        <v/>
      </c>
      <c r="BG618" s="200"/>
      <c r="BH618" s="841"/>
      <c r="BI618" s="841"/>
      <c r="BJ618" s="841"/>
      <c r="BK618" s="841"/>
      <c r="BL618" s="841"/>
      <c r="BM618" s="841"/>
      <c r="BN618" s="841"/>
      <c r="BO618" s="841"/>
      <c r="BP618" s="841"/>
      <c r="BQ618" s="841"/>
      <c r="BR618" s="841">
        <f t="shared" ref="BR618:BW618" si="695">IF(ISBLANK(BR617),IF(ISBLANK(BR616),IF(ISBLANK(BR615),IF(ISBLANK(BR614),"n/a",BR614),BR615),BR616),BR617)</f>
        <v>16000</v>
      </c>
      <c r="BS618" s="841">
        <f t="shared" si="695"/>
        <v>16000</v>
      </c>
      <c r="BT618" s="841">
        <f t="shared" si="695"/>
        <v>19000</v>
      </c>
      <c r="BU618" s="841">
        <f t="shared" si="695"/>
        <v>32500</v>
      </c>
      <c r="BV618" s="841">
        <f t="shared" si="695"/>
        <v>28000</v>
      </c>
      <c r="BW618" s="842">
        <f t="shared" si="695"/>
        <v>39000</v>
      </c>
      <c r="BX618" s="841">
        <f>IF(BX667=0,"",-BX667)</f>
        <v>68000</v>
      </c>
      <c r="BY618" s="841" t="str">
        <f>IF(BY667=0,"",-BY667)</f>
        <v/>
      </c>
      <c r="BZ618" s="841" t="str">
        <f>IF(BZ667=0,"",-BZ667)</f>
        <v/>
      </c>
      <c r="CA618" s="841" t="str">
        <f>IF(CA667=0,"",-CA667)</f>
        <v/>
      </c>
      <c r="CB618" s="841" t="str">
        <f>IF(CB667=0,"",-CB667)</f>
        <v/>
      </c>
      <c r="CC618" s="117"/>
    </row>
    <row r="619" spans="1:81" s="706" customFormat="1" outlineLevel="1" x14ac:dyDescent="0.55000000000000004">
      <c r="A619" s="37" t="s">
        <v>861</v>
      </c>
      <c r="B619" s="87"/>
      <c r="C619" s="200">
        <f t="shared" ref="C619:AH619" si="696">-C665</f>
        <v>327</v>
      </c>
      <c r="D619" s="200">
        <f t="shared" si="696"/>
        <v>268</v>
      </c>
      <c r="E619" s="200">
        <f t="shared" si="696"/>
        <v>284</v>
      </c>
      <c r="F619" s="200">
        <f t="shared" si="696"/>
        <v>483</v>
      </c>
      <c r="G619" s="200">
        <f t="shared" si="696"/>
        <v>363</v>
      </c>
      <c r="H619" s="200">
        <f t="shared" si="696"/>
        <v>469</v>
      </c>
      <c r="I619" s="200">
        <f t="shared" si="696"/>
        <v>482</v>
      </c>
      <c r="J619" s="200">
        <f t="shared" si="696"/>
        <v>517</v>
      </c>
      <c r="K619" s="200">
        <f t="shared" si="696"/>
        <v>502</v>
      </c>
      <c r="L619" s="200">
        <f t="shared" si="696"/>
        <v>549</v>
      </c>
      <c r="M619" s="200">
        <f t="shared" si="696"/>
        <v>780</v>
      </c>
      <c r="N619" s="200">
        <f t="shared" si="696"/>
        <v>692</v>
      </c>
      <c r="O619" s="200">
        <f t="shared" si="696"/>
        <v>1132</v>
      </c>
      <c r="P619" s="200">
        <f t="shared" si="696"/>
        <v>995</v>
      </c>
      <c r="Q619" s="200">
        <f t="shared" si="696"/>
        <v>1095</v>
      </c>
      <c r="R619" s="200">
        <f t="shared" si="696"/>
        <v>1269</v>
      </c>
      <c r="S619" s="200">
        <f t="shared" si="696"/>
        <v>1271</v>
      </c>
      <c r="T619" s="200">
        <f t="shared" si="696"/>
        <v>1444</v>
      </c>
      <c r="U619" s="200">
        <f t="shared" si="696"/>
        <v>1755</v>
      </c>
      <c r="V619" s="200">
        <f t="shared" si="696"/>
        <v>2263</v>
      </c>
      <c r="W619" s="200">
        <f t="shared" si="696"/>
        <v>2812</v>
      </c>
      <c r="X619" s="200">
        <f t="shared" si="696"/>
        <v>3460</v>
      </c>
      <c r="Y619" s="200">
        <f t="shared" si="696"/>
        <v>3342</v>
      </c>
      <c r="Z619" s="200">
        <f t="shared" si="696"/>
        <v>4301</v>
      </c>
      <c r="AA619" s="200">
        <f t="shared" si="696"/>
        <v>3962</v>
      </c>
      <c r="AB619" s="200">
        <f t="shared" si="696"/>
        <v>3775</v>
      </c>
      <c r="AC619" s="200">
        <f t="shared" si="696"/>
        <v>3676</v>
      </c>
      <c r="AD619" s="200">
        <f t="shared" si="696"/>
        <v>4241</v>
      </c>
      <c r="AE619" s="200">
        <f t="shared" si="696"/>
        <v>3658</v>
      </c>
      <c r="AF619" s="200">
        <f t="shared" si="696"/>
        <v>3364</v>
      </c>
      <c r="AG619" s="200">
        <f t="shared" si="696"/>
        <v>3878</v>
      </c>
      <c r="AH619" s="200">
        <f t="shared" si="696"/>
        <v>4819</v>
      </c>
      <c r="AI619" s="200">
        <f t="shared" ref="AI619:BF619" si="697">-AI665</f>
        <v>4423</v>
      </c>
      <c r="AJ619" s="200">
        <f t="shared" si="697"/>
        <v>4735</v>
      </c>
      <c r="AK619" s="200">
        <f t="shared" si="697"/>
        <v>4545</v>
      </c>
      <c r="AL619" s="200">
        <f t="shared" si="697"/>
        <v>5541</v>
      </c>
      <c r="AM619" s="200">
        <f t="shared" si="697"/>
        <v>5674</v>
      </c>
      <c r="AN619" s="200">
        <f t="shared" si="697"/>
        <v>7791</v>
      </c>
      <c r="AO619" s="200">
        <f t="shared" si="697"/>
        <v>9538</v>
      </c>
      <c r="AP619" s="200">
        <f t="shared" si="697"/>
        <v>9278</v>
      </c>
      <c r="AQ619" s="200">
        <f t="shared" si="697"/>
        <v>7106</v>
      </c>
      <c r="AR619" s="200">
        <f t="shared" si="697"/>
        <v>6436</v>
      </c>
      <c r="AS619" s="200">
        <f t="shared" si="697"/>
        <v>6810</v>
      </c>
      <c r="AT619" s="200">
        <f t="shared" si="697"/>
        <v>7972</v>
      </c>
      <c r="AU619" s="200">
        <f t="shared" si="697"/>
        <v>6715</v>
      </c>
      <c r="AV619" s="200">
        <f t="shared" si="697"/>
        <v>8472</v>
      </c>
      <c r="AW619" s="200">
        <f t="shared" si="697"/>
        <v>9202</v>
      </c>
      <c r="AX619" s="200">
        <f t="shared" si="697"/>
        <v>14836</v>
      </c>
      <c r="AY619" s="407">
        <f t="shared" si="697"/>
        <v>13692</v>
      </c>
      <c r="AZ619" s="200">
        <f t="shared" si="697"/>
        <v>15625</v>
      </c>
      <c r="BA619" s="200">
        <f t="shared" si="697"/>
        <v>15625</v>
      </c>
      <c r="BB619" s="200">
        <f t="shared" si="697"/>
        <v>15625</v>
      </c>
      <c r="BC619" s="200">
        <f t="shared" si="697"/>
        <v>10100</v>
      </c>
      <c r="BD619" s="200">
        <f t="shared" si="697"/>
        <v>10100</v>
      </c>
      <c r="BE619" s="200">
        <f t="shared" si="697"/>
        <v>10100</v>
      </c>
      <c r="BF619" s="200">
        <f t="shared" si="697"/>
        <v>10100</v>
      </c>
      <c r="BG619" s="200"/>
      <c r="BH619" s="841">
        <f t="shared" ref="BH619:CB619" si="698">-BH665</f>
        <v>33</v>
      </c>
      <c r="BI619" s="841">
        <f t="shared" si="698"/>
        <v>293</v>
      </c>
      <c r="BJ619" s="841">
        <f t="shared" si="698"/>
        <v>606</v>
      </c>
      <c r="BK619" s="841">
        <f t="shared" si="698"/>
        <v>1235</v>
      </c>
      <c r="BL619" s="841">
        <f t="shared" si="698"/>
        <v>1362</v>
      </c>
      <c r="BM619" s="841">
        <f t="shared" si="698"/>
        <v>1831</v>
      </c>
      <c r="BN619" s="841">
        <f t="shared" si="698"/>
        <v>2523</v>
      </c>
      <c r="BO619" s="841">
        <f t="shared" si="698"/>
        <v>4491</v>
      </c>
      <c r="BP619" s="841">
        <f t="shared" si="698"/>
        <v>6733</v>
      </c>
      <c r="BQ619" s="841">
        <f t="shared" si="698"/>
        <v>13915</v>
      </c>
      <c r="BR619" s="841">
        <f t="shared" si="698"/>
        <v>15654</v>
      </c>
      <c r="BS619" s="841">
        <f t="shared" si="698"/>
        <v>15719</v>
      </c>
      <c r="BT619" s="841">
        <f t="shared" si="698"/>
        <v>19244</v>
      </c>
      <c r="BU619" s="841">
        <f t="shared" si="698"/>
        <v>32281</v>
      </c>
      <c r="BV619" s="841">
        <f t="shared" si="698"/>
        <v>28324</v>
      </c>
      <c r="BW619" s="842">
        <f t="shared" si="698"/>
        <v>39225</v>
      </c>
      <c r="BX619" s="841">
        <f t="shared" si="698"/>
        <v>60567</v>
      </c>
      <c r="BY619" s="841">
        <f t="shared" si="698"/>
        <v>40400</v>
      </c>
      <c r="BZ619" s="841">
        <f t="shared" si="698"/>
        <v>40400</v>
      </c>
      <c r="CA619" s="841">
        <f t="shared" si="698"/>
        <v>40400</v>
      </c>
      <c r="CB619" s="841">
        <f t="shared" si="698"/>
        <v>40400</v>
      </c>
      <c r="CC619" s="117"/>
    </row>
    <row r="620" spans="1:81" s="706" customFormat="1" outlineLevel="1" x14ac:dyDescent="0.55000000000000004">
      <c r="A620" s="173" t="s">
        <v>810</v>
      </c>
      <c r="B620" s="246"/>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c r="Z620" s="442"/>
      <c r="AA620" s="442"/>
      <c r="AB620" s="442"/>
      <c r="AC620" s="442"/>
      <c r="AD620" s="442">
        <f>IFERROR(-(AD619-AD618),"")</f>
        <v>346</v>
      </c>
      <c r="AE620" s="442"/>
      <c r="AF620" s="442"/>
      <c r="AG620" s="442"/>
      <c r="AH620" s="442">
        <f>IFERROR(-(AH619-AH618),"")</f>
        <v>281</v>
      </c>
      <c r="AI620" s="442"/>
      <c r="AJ620" s="442"/>
      <c r="AK620" s="442"/>
      <c r="AL620" s="442">
        <f>IFERROR(-(AL619-AL618),"")</f>
        <v>-244</v>
      </c>
      <c r="AM620" s="442"/>
      <c r="AN620" s="442"/>
      <c r="AO620" s="442"/>
      <c r="AP620" s="442">
        <f>IFERROR(-(AP619-AP618),"")</f>
        <v>219</v>
      </c>
      <c r="AQ620" s="442"/>
      <c r="AR620" s="442"/>
      <c r="AS620" s="442"/>
      <c r="AT620" s="442">
        <f>IFERROR(-(AT619-AT618),"")</f>
        <v>-324</v>
      </c>
      <c r="AU620" s="442"/>
      <c r="AV620" s="442"/>
      <c r="AW620" s="442"/>
      <c r="AX620" s="442">
        <f>IFERROR(-(AX619-AX618),"")</f>
        <v>-225</v>
      </c>
      <c r="AY620" s="659"/>
      <c r="AZ620" s="442" t="str">
        <f t="shared" ref="AZ620:BF620" si="699">IFERROR(-(AZ619-AZ618),"")</f>
        <v/>
      </c>
      <c r="BA620" s="442" t="str">
        <f t="shared" si="699"/>
        <v/>
      </c>
      <c r="BB620" s="442" t="str">
        <f t="shared" si="699"/>
        <v/>
      </c>
      <c r="BC620" s="442" t="str">
        <f t="shared" si="699"/>
        <v/>
      </c>
      <c r="BD620" s="442" t="str">
        <f t="shared" si="699"/>
        <v/>
      </c>
      <c r="BE620" s="442" t="str">
        <f t="shared" si="699"/>
        <v/>
      </c>
      <c r="BF620" s="442" t="str">
        <f t="shared" si="699"/>
        <v/>
      </c>
      <c r="BG620" s="442"/>
      <c r="BH620" s="983"/>
      <c r="BI620" s="983"/>
      <c r="BJ620" s="983"/>
      <c r="BK620" s="983"/>
      <c r="BL620" s="983"/>
      <c r="BM620" s="983"/>
      <c r="BN620" s="983"/>
      <c r="BO620" s="983"/>
      <c r="BP620" s="983"/>
      <c r="BQ620" s="983"/>
      <c r="BR620" s="983">
        <f t="shared" ref="BR620:CB620" si="700">IFERROR(-(BR619-BR618),"")</f>
        <v>346</v>
      </c>
      <c r="BS620" s="983">
        <f t="shared" si="700"/>
        <v>281</v>
      </c>
      <c r="BT620" s="983">
        <f t="shared" si="700"/>
        <v>-244</v>
      </c>
      <c r="BU620" s="983">
        <f t="shared" si="700"/>
        <v>219</v>
      </c>
      <c r="BV620" s="983">
        <f t="shared" si="700"/>
        <v>-324</v>
      </c>
      <c r="BW620" s="984">
        <f t="shared" si="700"/>
        <v>-225</v>
      </c>
      <c r="BX620" s="983">
        <f t="shared" si="700"/>
        <v>7433</v>
      </c>
      <c r="BY620" s="983" t="str">
        <f t="shared" si="700"/>
        <v/>
      </c>
      <c r="BZ620" s="983" t="str">
        <f t="shared" si="700"/>
        <v/>
      </c>
      <c r="CA620" s="983" t="str">
        <f t="shared" si="700"/>
        <v/>
      </c>
      <c r="CB620" s="983" t="str">
        <f t="shared" si="700"/>
        <v/>
      </c>
      <c r="CC620" s="117"/>
    </row>
    <row r="621" spans="1:81" s="709" customFormat="1" outlineLevel="1" x14ac:dyDescent="0.55000000000000004">
      <c r="A621" s="440" t="s">
        <v>812</v>
      </c>
      <c r="B621" s="266"/>
      <c r="C621" s="441"/>
      <c r="D621" s="441"/>
      <c r="E621" s="441"/>
      <c r="F621" s="441"/>
      <c r="G621" s="441"/>
      <c r="H621" s="441"/>
      <c r="I621" s="441"/>
      <c r="J621" s="441"/>
      <c r="K621" s="441"/>
      <c r="L621" s="441"/>
      <c r="M621" s="441"/>
      <c r="N621" s="441"/>
      <c r="O621" s="441"/>
      <c r="P621" s="441"/>
      <c r="Q621" s="441"/>
      <c r="R621" s="441"/>
      <c r="S621" s="441"/>
      <c r="T621" s="441"/>
      <c r="U621" s="441"/>
      <c r="V621" s="441"/>
      <c r="W621" s="441"/>
      <c r="X621" s="441"/>
      <c r="Y621" s="441"/>
      <c r="Z621" s="441"/>
      <c r="AA621" s="441"/>
      <c r="AB621" s="441"/>
      <c r="AC621" s="441"/>
      <c r="AD621" s="441">
        <f>IFERROR(AD620/AD618,"")</f>
        <v>7.5430564639197728E-2</v>
      </c>
      <c r="AE621" s="441"/>
      <c r="AF621" s="441"/>
      <c r="AG621" s="441"/>
      <c r="AH621" s="441">
        <f>IFERROR(AH620/AH618,"")</f>
        <v>5.5098039215686276E-2</v>
      </c>
      <c r="AI621" s="441"/>
      <c r="AJ621" s="441"/>
      <c r="AK621" s="441"/>
      <c r="AL621" s="441">
        <f>IFERROR(AL620/AL618,"")</f>
        <v>-4.6063809703605817E-2</v>
      </c>
      <c r="AM621" s="441"/>
      <c r="AN621" s="441"/>
      <c r="AO621" s="441"/>
      <c r="AP621" s="441">
        <f>IFERROR(AP620/AP618,"")</f>
        <v>2.3059913656944299E-2</v>
      </c>
      <c r="AQ621" s="441"/>
      <c r="AR621" s="441"/>
      <c r="AS621" s="441"/>
      <c r="AT621" s="441">
        <f>IFERROR(AT620/AT618,"")</f>
        <v>-4.2364016736401673E-2</v>
      </c>
      <c r="AU621" s="441"/>
      <c r="AV621" s="441"/>
      <c r="AW621" s="441"/>
      <c r="AX621" s="441">
        <f>IFERROR(AX620/AX618,"")</f>
        <v>-1.5399356649099994E-2</v>
      </c>
      <c r="AY621" s="660"/>
      <c r="AZ621" s="441" t="str">
        <f t="shared" ref="AZ621:BF621" si="701">IFERROR(AZ620/AZ618,"")</f>
        <v/>
      </c>
      <c r="BA621" s="441" t="str">
        <f t="shared" si="701"/>
        <v/>
      </c>
      <c r="BB621" s="441" t="str">
        <f t="shared" si="701"/>
        <v/>
      </c>
      <c r="BC621" s="441" t="str">
        <f t="shared" si="701"/>
        <v/>
      </c>
      <c r="BD621" s="441" t="str">
        <f t="shared" si="701"/>
        <v/>
      </c>
      <c r="BE621" s="441" t="str">
        <f t="shared" si="701"/>
        <v/>
      </c>
      <c r="BF621" s="441" t="str">
        <f t="shared" si="701"/>
        <v/>
      </c>
      <c r="BG621" s="441"/>
      <c r="BH621" s="985"/>
      <c r="BI621" s="985"/>
      <c r="BJ621" s="985"/>
      <c r="BK621" s="985"/>
      <c r="BL621" s="985"/>
      <c r="BM621" s="985"/>
      <c r="BN621" s="985"/>
      <c r="BO621" s="985"/>
      <c r="BP621" s="985"/>
      <c r="BQ621" s="985"/>
      <c r="BR621" s="985">
        <f t="shared" ref="BR621:CB621" si="702">IFERROR(BR620/BR618,"")</f>
        <v>2.1624999999999998E-2</v>
      </c>
      <c r="BS621" s="985">
        <f t="shared" si="702"/>
        <v>1.7562500000000002E-2</v>
      </c>
      <c r="BT621" s="985">
        <f t="shared" si="702"/>
        <v>-1.2842105263157894E-2</v>
      </c>
      <c r="BU621" s="985">
        <f t="shared" si="702"/>
        <v>6.7384615384615387E-3</v>
      </c>
      <c r="BV621" s="985">
        <f t="shared" si="702"/>
        <v>-1.1571428571428571E-2</v>
      </c>
      <c r="BW621" s="986">
        <f t="shared" si="702"/>
        <v>-5.7692307692307696E-3</v>
      </c>
      <c r="BX621" s="985">
        <f t="shared" si="702"/>
        <v>0.10930882352941176</v>
      </c>
      <c r="BY621" s="985" t="str">
        <f t="shared" si="702"/>
        <v/>
      </c>
      <c r="BZ621" s="985" t="str">
        <f t="shared" si="702"/>
        <v/>
      </c>
      <c r="CA621" s="985" t="str">
        <f t="shared" si="702"/>
        <v/>
      </c>
      <c r="CB621" s="985" t="str">
        <f t="shared" si="702"/>
        <v/>
      </c>
      <c r="CC621" s="24"/>
    </row>
    <row r="622" spans="1:81" outlineLevel="1" x14ac:dyDescent="0.55000000000000004">
      <c r="A622" s="37"/>
      <c r="B622" s="241"/>
      <c r="C622" s="600"/>
      <c r="D622" s="600"/>
      <c r="E622" s="600"/>
      <c r="F622" s="600"/>
      <c r="G622" s="600"/>
      <c r="H622" s="600"/>
      <c r="I622" s="600"/>
      <c r="J622" s="600"/>
      <c r="K622" s="600"/>
      <c r="L622" s="600"/>
      <c r="M622" s="600"/>
      <c r="N622" s="600"/>
      <c r="O622" s="600"/>
      <c r="P622" s="600"/>
      <c r="Q622" s="600"/>
      <c r="R622" s="600"/>
      <c r="S622" s="600"/>
      <c r="T622" s="600"/>
      <c r="U622" s="600"/>
      <c r="V622" s="600"/>
      <c r="W622" s="600"/>
      <c r="X622" s="600"/>
      <c r="Y622" s="600"/>
      <c r="Z622" s="600"/>
      <c r="AA622" s="600"/>
      <c r="AB622" s="600"/>
      <c r="AC622" s="600"/>
      <c r="AD622" s="600"/>
      <c r="AE622" s="600"/>
      <c r="AF622" s="600"/>
      <c r="AG622" s="600"/>
      <c r="AH622" s="600"/>
      <c r="AI622" s="600"/>
      <c r="AJ622" s="600"/>
      <c r="AK622" s="600"/>
      <c r="AL622" s="600"/>
      <c r="AM622" s="600"/>
      <c r="AN622" s="600"/>
      <c r="AO622" s="600"/>
      <c r="AP622" s="600"/>
      <c r="AQ622" s="600"/>
      <c r="AR622" s="600"/>
      <c r="AS622" s="600"/>
      <c r="AT622" s="600"/>
      <c r="AU622" s="600"/>
      <c r="AV622" s="600"/>
      <c r="AW622" s="600"/>
      <c r="AX622" s="600"/>
      <c r="AY622" s="604"/>
      <c r="AZ622" s="600"/>
      <c r="BA622" s="600"/>
      <c r="BB622" s="600"/>
      <c r="BC622" s="600"/>
      <c r="BD622" s="600"/>
      <c r="BE622" s="600"/>
      <c r="BF622" s="600"/>
      <c r="BG622" s="600"/>
      <c r="BH622" s="186"/>
      <c r="BI622" s="186"/>
      <c r="BJ622" s="186"/>
      <c r="BK622" s="186"/>
      <c r="BL622" s="186"/>
      <c r="BM622" s="186"/>
      <c r="BN622" s="186"/>
      <c r="BO622" s="186"/>
      <c r="BP622" s="186"/>
      <c r="BQ622" s="186"/>
      <c r="BR622" s="186"/>
      <c r="BS622" s="186"/>
      <c r="BT622" s="186"/>
      <c r="BU622" s="186"/>
      <c r="BV622" s="186"/>
      <c r="BW622" s="909"/>
      <c r="BX622" s="186"/>
      <c r="BY622" s="186"/>
      <c r="BZ622" s="186"/>
      <c r="CA622" s="186"/>
      <c r="CB622" s="186"/>
      <c r="CC622" s="358"/>
    </row>
    <row r="623" spans="1:81" s="709" customFormat="1" outlineLevel="1" x14ac:dyDescent="0.55000000000000004">
      <c r="A623" s="79" t="s">
        <v>813</v>
      </c>
      <c r="B623" s="75"/>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f>AD618/Z619-1</f>
        <v>6.6496163682864484E-2</v>
      </c>
      <c r="AE623" s="54"/>
      <c r="AF623" s="54"/>
      <c r="AG623" s="54"/>
      <c r="AH623" s="54">
        <f>AH618/AD619-1</f>
        <v>0.20254656920537606</v>
      </c>
      <c r="AI623" s="54"/>
      <c r="AJ623" s="54"/>
      <c r="AK623" s="54"/>
      <c r="AL623" s="54">
        <f>AL618/AH619-1</f>
        <v>9.9190703465449337E-2</v>
      </c>
      <c r="AM623" s="54"/>
      <c r="AN623" s="54"/>
      <c r="AO623" s="54"/>
      <c r="AP623" s="54">
        <f>AP618/AL619-1</f>
        <v>0.71395055044215838</v>
      </c>
      <c r="AQ623" s="54"/>
      <c r="AR623" s="54"/>
      <c r="AS623" s="54"/>
      <c r="AT623" s="54">
        <f>AT618/AP619-1</f>
        <v>-0.17568441474455698</v>
      </c>
      <c r="AU623" s="54"/>
      <c r="AV623" s="54"/>
      <c r="AW623" s="54"/>
      <c r="AX623" s="54">
        <f>AX618/AT619-1</f>
        <v>0.83278976417461115</v>
      </c>
      <c r="AY623" s="623"/>
      <c r="AZ623" s="54"/>
      <c r="BA623" s="54"/>
      <c r="BB623" s="54"/>
      <c r="BC623" s="54"/>
      <c r="BD623" s="54"/>
      <c r="BE623" s="54"/>
      <c r="BF623" s="54"/>
      <c r="BG623" s="54"/>
      <c r="BH623" s="815"/>
      <c r="BI623" s="815"/>
      <c r="BJ623" s="815"/>
      <c r="BK623" s="815"/>
      <c r="BL623" s="815"/>
      <c r="BM623" s="815"/>
      <c r="BN623" s="815"/>
      <c r="BO623" s="815"/>
      <c r="BP623" s="815"/>
      <c r="BQ623" s="815"/>
      <c r="BR623" s="815">
        <f t="shared" ref="BR623:BW623" si="703">BR618/BQ619-1</f>
        <v>0.14983830398850162</v>
      </c>
      <c r="BS623" s="815">
        <f t="shared" si="703"/>
        <v>2.2102976874920133E-2</v>
      </c>
      <c r="BT623" s="815">
        <f t="shared" si="703"/>
        <v>0.208728290603728</v>
      </c>
      <c r="BU623" s="815">
        <f t="shared" si="703"/>
        <v>0.68883807940137176</v>
      </c>
      <c r="BV623" s="815">
        <f t="shared" si="703"/>
        <v>-0.13261670951953164</v>
      </c>
      <c r="BW623" s="816">
        <f t="shared" si="703"/>
        <v>0.37692416325377764</v>
      </c>
      <c r="BX623" s="815"/>
      <c r="BY623" s="815"/>
      <c r="BZ623" s="815"/>
      <c r="CA623" s="815"/>
      <c r="CB623" s="815"/>
      <c r="CC623" s="24"/>
    </row>
    <row r="624" spans="1:81" s="709" customFormat="1" outlineLevel="1" x14ac:dyDescent="0.55000000000000004">
      <c r="A624" s="344" t="s">
        <v>814</v>
      </c>
      <c r="B624" s="43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f>IF(AD618="","",-AD620/Z619)</f>
        <v>-8.0446407812136717E-2</v>
      </c>
      <c r="AE624" s="404"/>
      <c r="AF624" s="404"/>
      <c r="AG624" s="404"/>
      <c r="AH624" s="404">
        <f>IF(AH618="","",-AH620/AD619)</f>
        <v>-6.62579580287668E-2</v>
      </c>
      <c r="AI624" s="404"/>
      <c r="AJ624" s="404"/>
      <c r="AK624" s="404"/>
      <c r="AL624" s="404">
        <f>IF(AL618="","",-AL620/AH619)</f>
        <v>5.0632911392405063E-2</v>
      </c>
      <c r="AM624" s="404"/>
      <c r="AN624" s="404"/>
      <c r="AO624" s="404"/>
      <c r="AP624" s="404">
        <f>IF(AP618="","",-AP620/AL619)</f>
        <v>-3.9523551705468327E-2</v>
      </c>
      <c r="AQ624" s="404"/>
      <c r="AR624" s="404"/>
      <c r="AS624" s="404"/>
      <c r="AT624" s="404">
        <f>IF(AT618="","",-AT620/AP619)</f>
        <v>3.492131924983833E-2</v>
      </c>
      <c r="AU624" s="404"/>
      <c r="AV624" s="404"/>
      <c r="AW624" s="404"/>
      <c r="AX624" s="404">
        <f>IF(AX618="","",-AX620/AT619)</f>
        <v>2.8223783241344707E-2</v>
      </c>
      <c r="AY624" s="651"/>
      <c r="AZ624" s="404"/>
      <c r="BA624" s="404"/>
      <c r="BB624" s="404"/>
      <c r="BC624" s="404"/>
      <c r="BD624" s="404"/>
      <c r="BE624" s="404"/>
      <c r="BF624" s="404"/>
      <c r="BG624" s="404"/>
      <c r="BH624" s="946"/>
      <c r="BI624" s="946"/>
      <c r="BJ624" s="946"/>
      <c r="BK624" s="946"/>
      <c r="BL624" s="946"/>
      <c r="BM624" s="946"/>
      <c r="BN624" s="946"/>
      <c r="BO624" s="946"/>
      <c r="BP624" s="946"/>
      <c r="BQ624" s="946"/>
      <c r="BR624" s="946">
        <f t="shared" ref="BR624:BW624" si="704">IF(BR618="","",-BR620/BQ619)</f>
        <v>-2.4865253323751349E-2</v>
      </c>
      <c r="BS624" s="946">
        <f t="shared" si="704"/>
        <v>-1.7950683531365787E-2</v>
      </c>
      <c r="BT624" s="946">
        <f t="shared" si="704"/>
        <v>1.552261594248998E-2</v>
      </c>
      <c r="BU624" s="946">
        <f t="shared" si="704"/>
        <v>-1.1380170442735399E-2</v>
      </c>
      <c r="BV624" s="946">
        <f t="shared" si="704"/>
        <v>1.003686378984542E-2</v>
      </c>
      <c r="BW624" s="947">
        <f t="shared" si="704"/>
        <v>7.9437932495410261E-3</v>
      </c>
      <c r="BX624" s="946"/>
      <c r="BY624" s="946"/>
      <c r="BZ624" s="946"/>
      <c r="CA624" s="946"/>
      <c r="CB624" s="946"/>
      <c r="CC624" s="24"/>
    </row>
    <row r="625" spans="1:81" s="709" customFormat="1" outlineLevel="1" x14ac:dyDescent="0.55000000000000004">
      <c r="A625" s="267" t="s">
        <v>815</v>
      </c>
      <c r="B625" s="266"/>
      <c r="C625" s="267"/>
      <c r="D625" s="267"/>
      <c r="E625" s="267"/>
      <c r="F625" s="267"/>
      <c r="G625" s="267"/>
      <c r="H625" s="267"/>
      <c r="I625" s="267"/>
      <c r="J625" s="267"/>
      <c r="K625" s="267"/>
      <c r="L625" s="267"/>
      <c r="M625" s="267"/>
      <c r="N625" s="267"/>
      <c r="O625" s="267"/>
      <c r="P625" s="267"/>
      <c r="Q625" s="267"/>
      <c r="R625" s="267"/>
      <c r="S625" s="267"/>
      <c r="T625" s="267"/>
      <c r="U625" s="267"/>
      <c r="V625" s="267"/>
      <c r="W625" s="267"/>
      <c r="X625" s="267"/>
      <c r="Y625" s="267"/>
      <c r="Z625" s="267"/>
      <c r="AA625" s="267">
        <f t="shared" ref="AA625:BF625" si="705">AA619/W619-1</f>
        <v>0.40896159317211955</v>
      </c>
      <c r="AB625" s="267">
        <f t="shared" si="705"/>
        <v>9.1040462427745661E-2</v>
      </c>
      <c r="AC625" s="267">
        <f t="shared" si="705"/>
        <v>9.9940155595451774E-2</v>
      </c>
      <c r="AD625" s="267">
        <f t="shared" si="705"/>
        <v>-1.395024412927226E-2</v>
      </c>
      <c r="AE625" s="267">
        <f t="shared" si="705"/>
        <v>-7.6728924785461894E-2</v>
      </c>
      <c r="AF625" s="267">
        <f t="shared" si="705"/>
        <v>-0.1088741721854305</v>
      </c>
      <c r="AG625" s="267">
        <f t="shared" si="705"/>
        <v>5.49510337323178E-2</v>
      </c>
      <c r="AH625" s="267">
        <f t="shared" si="705"/>
        <v>0.13628861117660929</v>
      </c>
      <c r="AI625" s="267">
        <f t="shared" si="705"/>
        <v>0.20913067249863304</v>
      </c>
      <c r="AJ625" s="267">
        <f t="shared" si="705"/>
        <v>0.407550535077289</v>
      </c>
      <c r="AK625" s="267">
        <f t="shared" si="705"/>
        <v>0.17199587416193918</v>
      </c>
      <c r="AL625" s="267">
        <f t="shared" si="705"/>
        <v>0.14982361485785423</v>
      </c>
      <c r="AM625" s="267">
        <f t="shared" si="705"/>
        <v>0.28283970156002702</v>
      </c>
      <c r="AN625" s="267">
        <f t="shared" si="705"/>
        <v>0.64540654699049638</v>
      </c>
      <c r="AO625" s="267">
        <f t="shared" si="705"/>
        <v>1.0985698569856988</v>
      </c>
      <c r="AP625" s="267">
        <f t="shared" si="705"/>
        <v>0.67442699873669021</v>
      </c>
      <c r="AQ625" s="267">
        <f t="shared" si="705"/>
        <v>0.25237927388086012</v>
      </c>
      <c r="AR625" s="267">
        <f t="shared" si="705"/>
        <v>-0.17391862405339498</v>
      </c>
      <c r="AS625" s="267">
        <f t="shared" si="705"/>
        <v>-0.28601383937932479</v>
      </c>
      <c r="AT625" s="267">
        <f t="shared" si="705"/>
        <v>-0.14076309549471866</v>
      </c>
      <c r="AU625" s="267">
        <f t="shared" si="705"/>
        <v>-5.5023923444976086E-2</v>
      </c>
      <c r="AV625" s="267">
        <f t="shared" si="705"/>
        <v>0.31634555624611549</v>
      </c>
      <c r="AW625" s="267">
        <f t="shared" si="705"/>
        <v>0.35124816446402352</v>
      </c>
      <c r="AX625" s="267">
        <f t="shared" si="705"/>
        <v>0.86101354741595593</v>
      </c>
      <c r="AY625" s="661">
        <f t="shared" si="705"/>
        <v>1.039017125837677</v>
      </c>
      <c r="AZ625" s="267">
        <f t="shared" si="705"/>
        <v>0.84431067044381503</v>
      </c>
      <c r="BA625" s="267">
        <f t="shared" si="705"/>
        <v>0.69800043468811124</v>
      </c>
      <c r="BB625" s="267">
        <f t="shared" si="705"/>
        <v>5.3181450525748186E-2</v>
      </c>
      <c r="BC625" s="267">
        <f t="shared" si="705"/>
        <v>-0.26234297399941575</v>
      </c>
      <c r="BD625" s="267">
        <f t="shared" si="705"/>
        <v>-0.35360000000000003</v>
      </c>
      <c r="BE625" s="267">
        <f t="shared" si="705"/>
        <v>-0.35360000000000003</v>
      </c>
      <c r="BF625" s="267">
        <f t="shared" si="705"/>
        <v>-0.35360000000000003</v>
      </c>
      <c r="BG625" s="267"/>
      <c r="BH625" s="987"/>
      <c r="BI625" s="987"/>
      <c r="BJ625" s="987"/>
      <c r="BK625" s="987"/>
      <c r="BL625" s="987"/>
      <c r="BM625" s="987"/>
      <c r="BN625" s="987"/>
      <c r="BO625" s="987"/>
      <c r="BP625" s="987"/>
      <c r="BQ625" s="987"/>
      <c r="BR625" s="987">
        <f t="shared" ref="BR625:CB625" si="706">BR619/BQ619-1</f>
        <v>0.12497305066475017</v>
      </c>
      <c r="BS625" s="987">
        <f t="shared" si="706"/>
        <v>4.1522933435542697E-3</v>
      </c>
      <c r="BT625" s="987">
        <f t="shared" si="706"/>
        <v>0.22425090654621793</v>
      </c>
      <c r="BU625" s="987">
        <f t="shared" si="706"/>
        <v>0.67745790895863656</v>
      </c>
      <c r="BV625" s="987">
        <f t="shared" si="706"/>
        <v>-0.12257984572968617</v>
      </c>
      <c r="BW625" s="988">
        <f t="shared" si="706"/>
        <v>0.38486795650331884</v>
      </c>
      <c r="BX625" s="987">
        <f t="shared" si="706"/>
        <v>0.54409177820267685</v>
      </c>
      <c r="BY625" s="987">
        <f t="shared" si="706"/>
        <v>-0.33297009922895304</v>
      </c>
      <c r="BZ625" s="987">
        <f t="shared" si="706"/>
        <v>0</v>
      </c>
      <c r="CA625" s="987">
        <f t="shared" si="706"/>
        <v>0</v>
      </c>
      <c r="CB625" s="987">
        <f t="shared" si="706"/>
        <v>0</v>
      </c>
      <c r="CC625" s="24"/>
    </row>
    <row r="626" spans="1:81" outlineLevel="2" x14ac:dyDescent="0.55000000000000004">
      <c r="A626" s="37"/>
      <c r="B626" s="241"/>
      <c r="C626" s="600"/>
      <c r="D626" s="600"/>
      <c r="E626" s="600"/>
      <c r="F626" s="600"/>
      <c r="G626" s="600"/>
      <c r="H626" s="600"/>
      <c r="I626" s="600"/>
      <c r="J626" s="600"/>
      <c r="K626" s="600"/>
      <c r="L626" s="600"/>
      <c r="M626" s="600"/>
      <c r="N626" s="600"/>
      <c r="O626" s="600"/>
      <c r="P626" s="600"/>
      <c r="Q626" s="600"/>
      <c r="R626" s="600"/>
      <c r="S626" s="600"/>
      <c r="T626" s="600"/>
      <c r="U626" s="600"/>
      <c r="V626" s="600"/>
      <c r="W626" s="600"/>
      <c r="X626" s="600"/>
      <c r="Y626" s="600"/>
      <c r="Z626" s="600"/>
      <c r="AA626" s="600"/>
      <c r="AB626" s="600"/>
      <c r="AC626" s="600"/>
      <c r="AD626" s="600"/>
      <c r="AE626" s="600"/>
      <c r="AF626" s="600"/>
      <c r="AG626" s="600"/>
      <c r="AH626" s="600"/>
      <c r="AI626" s="600"/>
      <c r="AJ626" s="600"/>
      <c r="AK626" s="600"/>
      <c r="AL626" s="600"/>
      <c r="AM626" s="600"/>
      <c r="AN626" s="600"/>
      <c r="AO626" s="600"/>
      <c r="AP626" s="600"/>
      <c r="AQ626" s="600"/>
      <c r="AR626" s="600"/>
      <c r="AS626" s="600"/>
      <c r="AT626" s="600"/>
      <c r="AU626" s="600"/>
      <c r="AV626" s="600"/>
      <c r="AW626" s="600"/>
      <c r="AX626" s="600"/>
      <c r="AY626" s="604"/>
      <c r="AZ626" s="600"/>
      <c r="BA626" s="600"/>
      <c r="BB626" s="600"/>
      <c r="BC626" s="600"/>
      <c r="BD626" s="600"/>
      <c r="BE626" s="600"/>
      <c r="BF626" s="600"/>
      <c r="BG626" s="600"/>
      <c r="BH626" s="186"/>
      <c r="BI626" s="186"/>
      <c r="BJ626" s="186"/>
      <c r="BK626" s="186"/>
      <c r="BL626" s="186"/>
      <c r="BM626" s="186"/>
      <c r="BN626" s="186"/>
      <c r="BO626" s="186"/>
      <c r="BP626" s="186"/>
      <c r="BQ626" s="186"/>
      <c r="BR626" s="186"/>
      <c r="BS626" s="186"/>
      <c r="BT626" s="186"/>
      <c r="BU626" s="186"/>
      <c r="BV626" s="186"/>
      <c r="BW626" s="909"/>
      <c r="BX626" s="186"/>
      <c r="BY626" s="186"/>
      <c r="BZ626" s="186"/>
      <c r="CA626" s="186"/>
      <c r="CB626" s="186"/>
      <c r="CC626" s="358"/>
    </row>
    <row r="627" spans="1:81" outlineLevel="2" x14ac:dyDescent="0.55000000000000004">
      <c r="A627" s="37" t="s">
        <v>749</v>
      </c>
      <c r="B627" s="241"/>
      <c r="C627" s="438"/>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c r="AA627" s="438"/>
      <c r="AB627" s="438">
        <f t="shared" ref="AB627:AY627" si="707">AB$1025</f>
        <v>43699</v>
      </c>
      <c r="AC627" s="438">
        <f t="shared" si="707"/>
        <v>43768</v>
      </c>
      <c r="AD627" s="438">
        <f t="shared" si="707"/>
        <v>43859</v>
      </c>
      <c r="AE627" s="438">
        <f t="shared" si="707"/>
        <v>43950</v>
      </c>
      <c r="AF627" s="438">
        <f t="shared" si="707"/>
        <v>44042</v>
      </c>
      <c r="AG627" s="438">
        <f t="shared" si="707"/>
        <v>44133</v>
      </c>
      <c r="AH627" s="438">
        <f t="shared" si="707"/>
        <v>44223</v>
      </c>
      <c r="AI627" s="438">
        <f t="shared" si="707"/>
        <v>44314</v>
      </c>
      <c r="AJ627" s="438">
        <f t="shared" si="707"/>
        <v>44405</v>
      </c>
      <c r="AK627" s="438">
        <f t="shared" si="707"/>
        <v>44494</v>
      </c>
      <c r="AL627" s="438">
        <f t="shared" si="707"/>
        <v>44594</v>
      </c>
      <c r="AM627" s="438">
        <f t="shared" si="707"/>
        <v>44678</v>
      </c>
      <c r="AN627" s="438">
        <f t="shared" si="707"/>
        <v>44769</v>
      </c>
      <c r="AO627" s="438">
        <f t="shared" si="707"/>
        <v>44860</v>
      </c>
      <c r="AP627" s="438">
        <f t="shared" si="707"/>
        <v>44928</v>
      </c>
      <c r="AQ627" s="438">
        <f t="shared" si="707"/>
        <v>45042</v>
      </c>
      <c r="AR627" s="438">
        <f t="shared" si="707"/>
        <v>45133</v>
      </c>
      <c r="AS627" s="438">
        <f t="shared" si="707"/>
        <v>45224</v>
      </c>
      <c r="AT627" s="438">
        <f t="shared" si="707"/>
        <v>45323</v>
      </c>
      <c r="AU627" s="438">
        <f t="shared" si="707"/>
        <v>45406</v>
      </c>
      <c r="AV627" s="438">
        <f t="shared" si="707"/>
        <v>45504</v>
      </c>
      <c r="AW627" s="438">
        <f t="shared" si="707"/>
        <v>45595</v>
      </c>
      <c r="AX627" s="438">
        <f t="shared" si="707"/>
        <v>45686</v>
      </c>
      <c r="AY627" s="662">
        <f t="shared" si="707"/>
        <v>45777</v>
      </c>
      <c r="AZ627" s="438"/>
      <c r="BA627" s="438"/>
      <c r="BB627" s="438"/>
      <c r="BC627" s="438"/>
      <c r="BD627" s="438"/>
      <c r="BE627" s="438"/>
      <c r="BF627" s="438"/>
      <c r="BG627" s="438"/>
      <c r="BH627" s="989"/>
      <c r="BI627" s="989"/>
      <c r="BJ627" s="989"/>
      <c r="BK627" s="989"/>
      <c r="BL627" s="989"/>
      <c r="BM627" s="989"/>
      <c r="BN627" s="989"/>
      <c r="BO627" s="989"/>
      <c r="BP627" s="989"/>
      <c r="BQ627" s="989"/>
      <c r="BR627" s="989">
        <f t="shared" ref="BR627:BW627" si="708">BR$1025</f>
        <v>43859</v>
      </c>
      <c r="BS627" s="989">
        <f t="shared" si="708"/>
        <v>44223</v>
      </c>
      <c r="BT627" s="989">
        <f t="shared" si="708"/>
        <v>44594</v>
      </c>
      <c r="BU627" s="989">
        <f t="shared" si="708"/>
        <v>44928</v>
      </c>
      <c r="BV627" s="989">
        <f t="shared" si="708"/>
        <v>45323</v>
      </c>
      <c r="BW627" s="990">
        <f t="shared" si="708"/>
        <v>45686</v>
      </c>
      <c r="BX627" s="989"/>
      <c r="BY627" s="989"/>
      <c r="BZ627" s="989"/>
      <c r="CA627" s="989"/>
      <c r="CB627" s="989"/>
      <c r="CC627" s="358"/>
    </row>
    <row r="628" spans="1:81" ht="16.2" outlineLevel="2" x14ac:dyDescent="0.85">
      <c r="A628" s="435" t="s">
        <v>750</v>
      </c>
      <c r="B628" s="436"/>
      <c r="C628" s="613"/>
      <c r="D628" s="613"/>
      <c r="E628" s="613"/>
      <c r="F628" s="613"/>
      <c r="G628" s="613"/>
      <c r="H628" s="613"/>
      <c r="I628" s="613"/>
      <c r="J628" s="613"/>
      <c r="K628" s="613"/>
      <c r="L628" s="613"/>
      <c r="M628" s="613"/>
      <c r="N628" s="613"/>
      <c r="O628" s="613"/>
      <c r="P628" s="613"/>
      <c r="Q628" s="613"/>
      <c r="R628" s="613"/>
      <c r="S628" s="613"/>
      <c r="T628" s="613"/>
      <c r="U628" s="613"/>
      <c r="V628" s="613"/>
      <c r="W628" s="613"/>
      <c r="X628" s="613"/>
      <c r="Y628" s="613"/>
      <c r="Z628" s="613"/>
      <c r="AA628" s="613"/>
      <c r="AB628" s="613" t="str">
        <f t="shared" ref="AB628:AY628" si="709">AC$5</f>
        <v>Q3-2019</v>
      </c>
      <c r="AC628" s="613" t="str">
        <f t="shared" si="709"/>
        <v>Q4-2019</v>
      </c>
      <c r="AD628" s="613" t="str">
        <f t="shared" si="709"/>
        <v>Q1-2020</v>
      </c>
      <c r="AE628" s="613" t="str">
        <f t="shared" si="709"/>
        <v>Q2-2020</v>
      </c>
      <c r="AF628" s="613" t="str">
        <f t="shared" si="709"/>
        <v>Q3-2020</v>
      </c>
      <c r="AG628" s="613" t="str">
        <f t="shared" si="709"/>
        <v>Q4-2020</v>
      </c>
      <c r="AH628" s="613" t="str">
        <f t="shared" si="709"/>
        <v>Q1-2021</v>
      </c>
      <c r="AI628" s="613" t="str">
        <f t="shared" si="709"/>
        <v>Q2-2021</v>
      </c>
      <c r="AJ628" s="613" t="str">
        <f t="shared" si="709"/>
        <v>Q3-2021</v>
      </c>
      <c r="AK628" s="613" t="str">
        <f t="shared" si="709"/>
        <v>Q4-2021</v>
      </c>
      <c r="AL628" s="613" t="str">
        <f t="shared" si="709"/>
        <v>Q1-2022</v>
      </c>
      <c r="AM628" s="613" t="str">
        <f t="shared" si="709"/>
        <v>Q2-2022</v>
      </c>
      <c r="AN628" s="613" t="str">
        <f t="shared" si="709"/>
        <v>Q3-2022</v>
      </c>
      <c r="AO628" s="613" t="str">
        <f t="shared" si="709"/>
        <v>Q4-2022</v>
      </c>
      <c r="AP628" s="613" t="str">
        <f t="shared" si="709"/>
        <v>Q1-2023</v>
      </c>
      <c r="AQ628" s="613" t="str">
        <f t="shared" si="709"/>
        <v>Q2-2023</v>
      </c>
      <c r="AR628" s="613" t="str">
        <f t="shared" si="709"/>
        <v>Q3-2023</v>
      </c>
      <c r="AS628" s="613" t="str">
        <f t="shared" si="709"/>
        <v>Q4-2023</v>
      </c>
      <c r="AT628" s="613" t="str">
        <f t="shared" si="709"/>
        <v>Q1-2024</v>
      </c>
      <c r="AU628" s="613" t="str">
        <f t="shared" si="709"/>
        <v>Q2-2024</v>
      </c>
      <c r="AV628" s="613" t="str">
        <f t="shared" si="709"/>
        <v>Q3-2024</v>
      </c>
      <c r="AW628" s="613" t="str">
        <f t="shared" si="709"/>
        <v>Q4-2024</v>
      </c>
      <c r="AX628" s="613" t="str">
        <f t="shared" si="709"/>
        <v>Q1-2025</v>
      </c>
      <c r="AY628" s="663" t="str">
        <f t="shared" si="709"/>
        <v>Q2-2025</v>
      </c>
      <c r="AZ628" s="613"/>
      <c r="BA628" s="613"/>
      <c r="BB628" s="613"/>
      <c r="BC628" s="613"/>
      <c r="BD628" s="613"/>
      <c r="BE628" s="613"/>
      <c r="BF628" s="613"/>
      <c r="BG628" s="613"/>
      <c r="BH628" s="991"/>
      <c r="BI628" s="991"/>
      <c r="BJ628" s="991"/>
      <c r="BK628" s="991"/>
      <c r="BL628" s="991"/>
      <c r="BM628" s="991"/>
      <c r="BN628" s="991"/>
      <c r="BO628" s="991"/>
      <c r="BP628" s="991"/>
      <c r="BQ628" s="991"/>
      <c r="BR628" s="991" t="str">
        <f>AE$5</f>
        <v>Q1-2020</v>
      </c>
      <c r="BS628" s="991" t="str">
        <f>AI$5</f>
        <v>Q1-2021</v>
      </c>
      <c r="BT628" s="991" t="str">
        <f>AM$5</f>
        <v>Q1-2022</v>
      </c>
      <c r="BU628" s="991" t="str">
        <f>AQ$5</f>
        <v>Q1-2023</v>
      </c>
      <c r="BV628" s="991" t="str">
        <f>AU$5</f>
        <v>Q1-2024</v>
      </c>
      <c r="BW628" s="992" t="str">
        <f>AY$5</f>
        <v>Q1-2025</v>
      </c>
      <c r="BX628" s="991"/>
      <c r="BY628" s="991"/>
      <c r="BZ628" s="991"/>
      <c r="CA628" s="991"/>
      <c r="CB628" s="991"/>
      <c r="CC628" s="358"/>
    </row>
    <row r="629" spans="1:81" s="706" customFormat="1" outlineLevel="3" x14ac:dyDescent="0.55000000000000004">
      <c r="A629" s="86" t="s">
        <v>816</v>
      </c>
      <c r="B629" s="8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200"/>
      <c r="AC629" s="200">
        <f>AC643-SUM(AC619,AB619,AA619)</f>
        <v>4587</v>
      </c>
      <c r="AD629" s="200"/>
      <c r="AE629" s="200"/>
      <c r="AF629" s="200"/>
      <c r="AG629" s="200">
        <f>AG643-SUM(AG619,AF619,AE619)</f>
        <v>5100</v>
      </c>
      <c r="AH629" s="200"/>
      <c r="AI629" s="200"/>
      <c r="AJ629" s="200"/>
      <c r="AK629" s="200">
        <f>AK643-SUM(AK619,AJ619,AI619)</f>
        <v>5297</v>
      </c>
      <c r="AL629" s="200"/>
      <c r="AM629" s="200"/>
      <c r="AN629" s="200"/>
      <c r="AO629" s="200">
        <f>AO643-SUM(AO619,AN619,AM619)</f>
        <v>8997</v>
      </c>
      <c r="AP629" s="200"/>
      <c r="AQ629" s="200"/>
      <c r="AR629" s="200"/>
      <c r="AS629" s="200">
        <f>AS643-SUM(AS619,AR619,AQ619)</f>
        <v>6648</v>
      </c>
      <c r="AT629" s="200"/>
      <c r="AU629" s="200"/>
      <c r="AV629" s="200"/>
      <c r="AW629" s="200">
        <f>AW643-SUM(AW619,AV619,AU619)</f>
        <v>15611</v>
      </c>
      <c r="AX629" s="200"/>
      <c r="AY629" s="407"/>
      <c r="AZ629" s="37"/>
      <c r="BA629" s="37"/>
      <c r="BB629" s="37"/>
      <c r="BC629" s="37"/>
      <c r="BD629" s="37"/>
      <c r="BE629" s="37"/>
      <c r="BF629" s="37"/>
      <c r="BG629" s="37"/>
      <c r="BH629" s="158"/>
      <c r="BI629" s="158"/>
      <c r="BJ629" s="158"/>
      <c r="BK629" s="158"/>
      <c r="BL629" s="158"/>
      <c r="BM629" s="158"/>
      <c r="BN629" s="158"/>
      <c r="BO629" s="158"/>
      <c r="BP629" s="158"/>
      <c r="BQ629" s="158"/>
      <c r="BR629" s="841"/>
      <c r="BS629" s="841"/>
      <c r="BT629" s="841"/>
      <c r="BU629" s="841"/>
      <c r="BV629" s="841"/>
      <c r="BW629" s="842"/>
      <c r="BX629" s="158"/>
      <c r="BY629" s="158"/>
      <c r="BZ629" s="158"/>
      <c r="CA629" s="158"/>
      <c r="CB629" s="158"/>
      <c r="CC629" s="117"/>
    </row>
    <row r="630" spans="1:81" s="706" customFormat="1" outlineLevel="3" x14ac:dyDescent="0.55000000000000004">
      <c r="A630" s="315" t="s">
        <v>817</v>
      </c>
      <c r="B630" s="244"/>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320"/>
      <c r="AC630" s="320">
        <f>AC644-SUM(AC619,AB619,AA619)</f>
        <v>4587</v>
      </c>
      <c r="AD630" s="320"/>
      <c r="AE630" s="320"/>
      <c r="AF630" s="320"/>
      <c r="AG630" s="320">
        <f>AG644-SUM(AG619,AF619,AE619)</f>
        <v>5100</v>
      </c>
      <c r="AH630" s="320"/>
      <c r="AI630" s="320"/>
      <c r="AJ630" s="320"/>
      <c r="AK630" s="320">
        <f>AK644-SUM(AK619,AJ619,AI619)</f>
        <v>5297</v>
      </c>
      <c r="AL630" s="320"/>
      <c r="AM630" s="320"/>
      <c r="AN630" s="320"/>
      <c r="AO630" s="320">
        <f>AO644-SUM(AO619,AN619,AM619)</f>
        <v>9997</v>
      </c>
      <c r="AP630" s="320"/>
      <c r="AQ630" s="320"/>
      <c r="AR630" s="320"/>
      <c r="AS630" s="320">
        <f>AS644-SUM(AS619,AR619,AQ619)</f>
        <v>8648</v>
      </c>
      <c r="AT630" s="320"/>
      <c r="AU630" s="320"/>
      <c r="AV630" s="320"/>
      <c r="AW630" s="320">
        <f>AW644-SUM(AW619,AV619,AU619)</f>
        <v>13611</v>
      </c>
      <c r="AX630" s="320"/>
      <c r="AY630" s="628"/>
      <c r="AZ630" s="82"/>
      <c r="BA630" s="82"/>
      <c r="BB630" s="82"/>
      <c r="BC630" s="82"/>
      <c r="BD630" s="82"/>
      <c r="BE630" s="82"/>
      <c r="BF630" s="82"/>
      <c r="BG630" s="82"/>
      <c r="BH630" s="854"/>
      <c r="BI630" s="854"/>
      <c r="BJ630" s="854"/>
      <c r="BK630" s="854"/>
      <c r="BL630" s="854"/>
      <c r="BM630" s="854"/>
      <c r="BN630" s="854"/>
      <c r="BO630" s="854"/>
      <c r="BP630" s="854"/>
      <c r="BQ630" s="854"/>
      <c r="BR630" s="843"/>
      <c r="BS630" s="843"/>
      <c r="BT630" s="843"/>
      <c r="BU630" s="843"/>
      <c r="BV630" s="843"/>
      <c r="BW630" s="844"/>
      <c r="BX630" s="854"/>
      <c r="BY630" s="854"/>
      <c r="BZ630" s="854"/>
      <c r="CA630" s="854"/>
      <c r="CB630" s="854"/>
      <c r="CC630" s="117"/>
    </row>
    <row r="631" spans="1:81" s="706" customFormat="1" outlineLevel="2" x14ac:dyDescent="0.55000000000000004">
      <c r="A631" s="35" t="s">
        <v>818</v>
      </c>
      <c r="B631" s="193"/>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212"/>
      <c r="AC631" s="212">
        <f>IFERROR(AVERAGE(AC630,AC629),"NR")</f>
        <v>4587</v>
      </c>
      <c r="AD631" s="212"/>
      <c r="AE631" s="212"/>
      <c r="AF631" s="212"/>
      <c r="AG631" s="212">
        <f>IFERROR(AVERAGE(AG630,AG629),"NR")</f>
        <v>5100</v>
      </c>
      <c r="AH631" s="212"/>
      <c r="AI631" s="212"/>
      <c r="AJ631" s="212"/>
      <c r="AK631" s="212">
        <f>IFERROR(AVERAGE(AK630,AK629),"NR")</f>
        <v>5297</v>
      </c>
      <c r="AL631" s="212"/>
      <c r="AM631" s="212"/>
      <c r="AN631" s="212"/>
      <c r="AO631" s="212">
        <f>IFERROR(AVERAGE(AO630,AO629),"NR")</f>
        <v>9497</v>
      </c>
      <c r="AP631" s="212"/>
      <c r="AQ631" s="212"/>
      <c r="AR631" s="212"/>
      <c r="AS631" s="212">
        <f>IFERROR(AVERAGE(AS630,AS629),"NR")</f>
        <v>7648</v>
      </c>
      <c r="AT631" s="212"/>
      <c r="AU631" s="212"/>
      <c r="AV631" s="212"/>
      <c r="AW631" s="212">
        <f>IFERROR(AVERAGE(AW630,AW629),"NR")</f>
        <v>14611</v>
      </c>
      <c r="AX631" s="212"/>
      <c r="AY631" s="629"/>
      <c r="AZ631" s="35"/>
      <c r="BA631" s="35"/>
      <c r="BB631" s="35"/>
      <c r="BC631" s="35"/>
      <c r="BD631" s="35"/>
      <c r="BE631" s="35"/>
      <c r="BF631" s="35"/>
      <c r="BG631" s="35"/>
      <c r="BH631" s="812"/>
      <c r="BI631" s="812"/>
      <c r="BJ631" s="812"/>
      <c r="BK631" s="812"/>
      <c r="BL631" s="812"/>
      <c r="BM631" s="812"/>
      <c r="BN631" s="812"/>
      <c r="BO631" s="812"/>
      <c r="BP631" s="812"/>
      <c r="BQ631" s="812"/>
      <c r="BR631" s="827"/>
      <c r="BS631" s="827"/>
      <c r="BT631" s="827"/>
      <c r="BU631" s="827"/>
      <c r="BV631" s="827"/>
      <c r="BW631" s="845"/>
      <c r="BX631" s="812"/>
      <c r="BY631" s="812"/>
      <c r="BZ631" s="812"/>
      <c r="CA631" s="812"/>
      <c r="CB631" s="812"/>
      <c r="CC631" s="117"/>
    </row>
    <row r="632" spans="1:81" s="706" customFormat="1" outlineLevel="2" x14ac:dyDescent="0.55000000000000004">
      <c r="A632" s="86" t="s">
        <v>819</v>
      </c>
      <c r="B632" s="8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f>IF(OR(ISBLANK(AC629),ISBLANK(AC630)),"",ABS(AC630-AC629))</f>
        <v>0</v>
      </c>
      <c r="AD632" s="37"/>
      <c r="AE632" s="37"/>
      <c r="AF632" s="37"/>
      <c r="AG632" s="37">
        <f>IF(OR(ISBLANK(AG629),ISBLANK(AG630)),"",ABS(AG630-AG629))</f>
        <v>0</v>
      </c>
      <c r="AH632" s="37"/>
      <c r="AI632" s="37"/>
      <c r="AJ632" s="37"/>
      <c r="AK632" s="37">
        <f>IF(OR(ISBLANK(AK629),ISBLANK(AK630)),"",ABS(AK630-AK629))</f>
        <v>0</v>
      </c>
      <c r="AL632" s="37"/>
      <c r="AM632" s="37"/>
      <c r="AN632" s="37"/>
      <c r="AO632" s="37">
        <f>IF(OR(ISBLANK(AO629),ISBLANK(AO630)),"",ABS(AO630-AO629))</f>
        <v>1000</v>
      </c>
      <c r="AP632" s="37"/>
      <c r="AQ632" s="37"/>
      <c r="AR632" s="37"/>
      <c r="AS632" s="37">
        <f>IF(OR(ISBLANK(AS629),ISBLANK(AS630)),"",ABS(AS630-AS629))</f>
        <v>2000</v>
      </c>
      <c r="AT632" s="37"/>
      <c r="AU632" s="37"/>
      <c r="AV632" s="37"/>
      <c r="AW632" s="37">
        <f>IF(OR(ISBLANK(AW629),ISBLANK(AW630)),"",ABS(AW630-AW629))</f>
        <v>2000</v>
      </c>
      <c r="AX632" s="37"/>
      <c r="AY632" s="273"/>
      <c r="AZ632" s="37"/>
      <c r="BA632" s="37"/>
      <c r="BB632" s="37"/>
      <c r="BC632" s="37"/>
      <c r="BD632" s="37"/>
      <c r="BE632" s="37"/>
      <c r="BF632" s="37"/>
      <c r="BG632" s="37"/>
      <c r="BH632" s="158"/>
      <c r="BI632" s="158"/>
      <c r="BJ632" s="158"/>
      <c r="BK632" s="158"/>
      <c r="BL632" s="158"/>
      <c r="BM632" s="158"/>
      <c r="BN632" s="158"/>
      <c r="BO632" s="158"/>
      <c r="BP632" s="158"/>
      <c r="BQ632" s="158"/>
      <c r="BR632" s="158"/>
      <c r="BS632" s="158"/>
      <c r="BT632" s="158"/>
      <c r="BU632" s="158"/>
      <c r="BV632" s="158"/>
      <c r="BW632" s="846"/>
      <c r="BX632" s="158"/>
      <c r="BY632" s="158"/>
      <c r="BZ632" s="158"/>
      <c r="CA632" s="158"/>
      <c r="CB632" s="158"/>
      <c r="CC632" s="117"/>
    </row>
    <row r="633" spans="1:81" s="709" customFormat="1" outlineLevel="2" x14ac:dyDescent="0.55000000000000004">
      <c r="A633" s="321" t="s">
        <v>820</v>
      </c>
      <c r="B633" s="439"/>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f>IFERROR(ABS(AC630-AC631)/AC631,"")</f>
        <v>0</v>
      </c>
      <c r="AD633" s="55"/>
      <c r="AE633" s="55"/>
      <c r="AF633" s="55"/>
      <c r="AG633" s="55">
        <f>IFERROR(ABS(AG630-AG631)/AG631,"")</f>
        <v>0</v>
      </c>
      <c r="AH633" s="55"/>
      <c r="AI633" s="55"/>
      <c r="AJ633" s="55"/>
      <c r="AK633" s="55">
        <f>IFERROR(ABS(AK630-AK631)/AK631,"")</f>
        <v>0</v>
      </c>
      <c r="AL633" s="55"/>
      <c r="AM633" s="55"/>
      <c r="AN633" s="55"/>
      <c r="AO633" s="55">
        <f>IFERROR(ABS(AO630-AO631)/AO631,"")</f>
        <v>5.2648204696219857E-2</v>
      </c>
      <c r="AP633" s="55"/>
      <c r="AQ633" s="55"/>
      <c r="AR633" s="55"/>
      <c r="AS633" s="55">
        <f>IFERROR(ABS(AS630-AS631)/AS631,"")</f>
        <v>0.1307531380753138</v>
      </c>
      <c r="AT633" s="55"/>
      <c r="AU633" s="55"/>
      <c r="AV633" s="55"/>
      <c r="AW633" s="55">
        <f>IFERROR(ABS(AW630-AW631)/AW631,"")</f>
        <v>6.8441585107111083E-2</v>
      </c>
      <c r="AX633" s="55"/>
      <c r="AY633" s="275"/>
      <c r="AZ633" s="55"/>
      <c r="BA633" s="55"/>
      <c r="BB633" s="55"/>
      <c r="BC633" s="55"/>
      <c r="BD633" s="55"/>
      <c r="BE633" s="55"/>
      <c r="BF633" s="55"/>
      <c r="BG633" s="55"/>
      <c r="BH633" s="156"/>
      <c r="BI633" s="156"/>
      <c r="BJ633" s="156"/>
      <c r="BK633" s="156"/>
      <c r="BL633" s="156"/>
      <c r="BM633" s="156"/>
      <c r="BN633" s="156"/>
      <c r="BO633" s="156"/>
      <c r="BP633" s="156"/>
      <c r="BQ633" s="156"/>
      <c r="BR633" s="156"/>
      <c r="BS633" s="156"/>
      <c r="BT633" s="156"/>
      <c r="BU633" s="156"/>
      <c r="BV633" s="156"/>
      <c r="BW633" s="856"/>
      <c r="BX633" s="156"/>
      <c r="BY633" s="156"/>
      <c r="BZ633" s="156"/>
      <c r="CA633" s="156"/>
      <c r="CB633" s="156"/>
      <c r="CC633" s="24"/>
    </row>
    <row r="634" spans="1:81" s="709" customFormat="1" outlineLevel="3" x14ac:dyDescent="0.55000000000000004">
      <c r="A634" s="327" t="s">
        <v>821</v>
      </c>
      <c r="B634" s="75"/>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f>AC629/Z619-1</f>
        <v>6.6496163682864484E-2</v>
      </c>
      <c r="AD634" s="54"/>
      <c r="AE634" s="54"/>
      <c r="AF634" s="54"/>
      <c r="AG634" s="54">
        <f>AG629/AD619-1</f>
        <v>0.20254656920537606</v>
      </c>
      <c r="AH634" s="54"/>
      <c r="AI634" s="54"/>
      <c r="AJ634" s="54"/>
      <c r="AK634" s="54">
        <f>AK629/AH619-1</f>
        <v>9.9190703465449337E-2</v>
      </c>
      <c r="AL634" s="54"/>
      <c r="AM634" s="54"/>
      <c r="AN634" s="54"/>
      <c r="AO634" s="54">
        <f>AO629/AL619-1</f>
        <v>0.62371413102328099</v>
      </c>
      <c r="AP634" s="54"/>
      <c r="AQ634" s="54"/>
      <c r="AR634" s="54"/>
      <c r="AS634" s="54">
        <f>AS629/AP619-1</f>
        <v>-0.28346626428109511</v>
      </c>
      <c r="AT634" s="54"/>
      <c r="AU634" s="54"/>
      <c r="AV634" s="54"/>
      <c r="AW634" s="54">
        <f>AW629/AT619-1</f>
        <v>0.95822880080280992</v>
      </c>
      <c r="AX634" s="54"/>
      <c r="AY634" s="623"/>
      <c r="AZ634" s="54"/>
      <c r="BA634" s="54"/>
      <c r="BB634" s="54"/>
      <c r="BC634" s="54"/>
      <c r="BD634" s="54"/>
      <c r="BE634" s="54"/>
      <c r="BF634" s="54"/>
      <c r="BG634" s="54"/>
      <c r="BH634" s="815"/>
      <c r="BI634" s="815"/>
      <c r="BJ634" s="815"/>
      <c r="BK634" s="815"/>
      <c r="BL634" s="815"/>
      <c r="BM634" s="815"/>
      <c r="BN634" s="815"/>
      <c r="BO634" s="815"/>
      <c r="BP634" s="815"/>
      <c r="BQ634" s="815"/>
      <c r="BR634" s="815"/>
      <c r="BS634" s="815"/>
      <c r="BT634" s="815"/>
      <c r="BU634" s="815"/>
      <c r="BV634" s="815"/>
      <c r="BW634" s="816"/>
      <c r="BX634" s="815"/>
      <c r="BY634" s="815"/>
      <c r="BZ634" s="815"/>
      <c r="CA634" s="815"/>
      <c r="CB634" s="815"/>
      <c r="CC634" s="24"/>
    </row>
    <row r="635" spans="1:81" s="709" customFormat="1" outlineLevel="3" x14ac:dyDescent="0.55000000000000004">
      <c r="A635" s="333" t="s">
        <v>822</v>
      </c>
      <c r="B635" s="43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f>AC630/Z619-1</f>
        <v>6.6496163682864484E-2</v>
      </c>
      <c r="AD635" s="404"/>
      <c r="AE635" s="404"/>
      <c r="AF635" s="404"/>
      <c r="AG635" s="404">
        <f>AG630/AD619-1</f>
        <v>0.20254656920537606</v>
      </c>
      <c r="AH635" s="404"/>
      <c r="AI635" s="404"/>
      <c r="AJ635" s="404"/>
      <c r="AK635" s="404">
        <f>AK630/AH619-1</f>
        <v>9.9190703465449337E-2</v>
      </c>
      <c r="AL635" s="404"/>
      <c r="AM635" s="404"/>
      <c r="AN635" s="404"/>
      <c r="AO635" s="404">
        <f>AO630/AL619-1</f>
        <v>0.80418696986103599</v>
      </c>
      <c r="AP635" s="404"/>
      <c r="AQ635" s="404"/>
      <c r="AR635" s="404"/>
      <c r="AS635" s="404">
        <f>AS630/AP619-1</f>
        <v>-6.7902565208018961E-2</v>
      </c>
      <c r="AT635" s="404"/>
      <c r="AU635" s="404"/>
      <c r="AV635" s="404"/>
      <c r="AW635" s="404">
        <f>AW630/AT619-1</f>
        <v>0.70735072754641237</v>
      </c>
      <c r="AX635" s="404"/>
      <c r="AY635" s="651"/>
      <c r="AZ635" s="404"/>
      <c r="BA635" s="404"/>
      <c r="BB635" s="404"/>
      <c r="BC635" s="404"/>
      <c r="BD635" s="404"/>
      <c r="BE635" s="404"/>
      <c r="BF635" s="404"/>
      <c r="BG635" s="404"/>
      <c r="BH635" s="946"/>
      <c r="BI635" s="946"/>
      <c r="BJ635" s="946"/>
      <c r="BK635" s="946"/>
      <c r="BL635" s="946"/>
      <c r="BM635" s="946"/>
      <c r="BN635" s="946"/>
      <c r="BO635" s="946"/>
      <c r="BP635" s="946"/>
      <c r="BQ635" s="946"/>
      <c r="BR635" s="946"/>
      <c r="BS635" s="946"/>
      <c r="BT635" s="946"/>
      <c r="BU635" s="946"/>
      <c r="BV635" s="946"/>
      <c r="BW635" s="947"/>
      <c r="BX635" s="946"/>
      <c r="BY635" s="946"/>
      <c r="BZ635" s="946"/>
      <c r="CA635" s="946"/>
      <c r="CB635" s="946"/>
      <c r="CC635" s="24"/>
    </row>
    <row r="636" spans="1:81" s="709" customFormat="1" outlineLevel="2" x14ac:dyDescent="0.55000000000000004">
      <c r="A636" s="79" t="s">
        <v>823</v>
      </c>
      <c r="B636" s="75"/>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f>AC631/Z619-1</f>
        <v>6.6496163682864484E-2</v>
      </c>
      <c r="AD636" s="54"/>
      <c r="AE636" s="54"/>
      <c r="AF636" s="54"/>
      <c r="AG636" s="54">
        <f>AG631/AD619-1</f>
        <v>0.20254656920537606</v>
      </c>
      <c r="AH636" s="54"/>
      <c r="AI636" s="54"/>
      <c r="AJ636" s="54"/>
      <c r="AK636" s="54">
        <f>AK631/AH619-1</f>
        <v>9.9190703465449337E-2</v>
      </c>
      <c r="AL636" s="54"/>
      <c r="AM636" s="54"/>
      <c r="AN636" s="54"/>
      <c r="AO636" s="54">
        <f>AO631/AL619-1</f>
        <v>0.71395055044215838</v>
      </c>
      <c r="AP636" s="54"/>
      <c r="AQ636" s="54"/>
      <c r="AR636" s="54"/>
      <c r="AS636" s="54">
        <f>AS631/AP619-1</f>
        <v>-0.17568441474455698</v>
      </c>
      <c r="AT636" s="54"/>
      <c r="AU636" s="54"/>
      <c r="AV636" s="54"/>
      <c r="AW636" s="54">
        <f>AW631/AT619-1</f>
        <v>0.83278976417461115</v>
      </c>
      <c r="AX636" s="54"/>
      <c r="AY636" s="623"/>
      <c r="AZ636" s="54"/>
      <c r="BA636" s="54"/>
      <c r="BB636" s="54"/>
      <c r="BC636" s="54"/>
      <c r="BD636" s="54"/>
      <c r="BE636" s="54"/>
      <c r="BF636" s="54"/>
      <c r="BG636" s="54"/>
      <c r="BH636" s="815"/>
      <c r="BI636" s="815"/>
      <c r="BJ636" s="815"/>
      <c r="BK636" s="815"/>
      <c r="BL636" s="815"/>
      <c r="BM636" s="815"/>
      <c r="BN636" s="815"/>
      <c r="BO636" s="815"/>
      <c r="BP636" s="815"/>
      <c r="BQ636" s="815"/>
      <c r="BR636" s="815"/>
      <c r="BS636" s="815"/>
      <c r="BT636" s="815"/>
      <c r="BU636" s="815"/>
      <c r="BV636" s="815"/>
      <c r="BW636" s="816"/>
      <c r="BX636" s="815"/>
      <c r="BY636" s="815"/>
      <c r="BZ636" s="815"/>
      <c r="CA636" s="815"/>
      <c r="CB636" s="815"/>
      <c r="CC636" s="24"/>
    </row>
    <row r="637" spans="1:81" outlineLevel="2" x14ac:dyDescent="0.55000000000000004">
      <c r="A637" s="37"/>
      <c r="B637" s="241"/>
      <c r="C637" s="600"/>
      <c r="D637" s="600"/>
      <c r="E637" s="600"/>
      <c r="F637" s="600"/>
      <c r="G637" s="600"/>
      <c r="H637" s="600"/>
      <c r="I637" s="600"/>
      <c r="J637" s="600"/>
      <c r="K637" s="600"/>
      <c r="L637" s="600"/>
      <c r="M637" s="600"/>
      <c r="N637" s="600"/>
      <c r="O637" s="600"/>
      <c r="P637" s="600"/>
      <c r="Q637" s="600"/>
      <c r="R637" s="600"/>
      <c r="S637" s="600"/>
      <c r="T637" s="600"/>
      <c r="U637" s="600"/>
      <c r="V637" s="600"/>
      <c r="W637" s="600"/>
      <c r="X637" s="600"/>
      <c r="Y637" s="600"/>
      <c r="Z637" s="600"/>
      <c r="AA637" s="600"/>
      <c r="AB637" s="600"/>
      <c r="AC637" s="600"/>
      <c r="AD637" s="600"/>
      <c r="AE637" s="600"/>
      <c r="AF637" s="600"/>
      <c r="AG637" s="600"/>
      <c r="AH637" s="600"/>
      <c r="AI637" s="600"/>
      <c r="AJ637" s="600"/>
      <c r="AK637" s="600"/>
      <c r="AL637" s="600"/>
      <c r="AM637" s="600"/>
      <c r="AN637" s="600"/>
      <c r="AO637" s="600"/>
      <c r="AP637" s="600"/>
      <c r="AQ637" s="600"/>
      <c r="AR637" s="600"/>
      <c r="AS637" s="600"/>
      <c r="AT637" s="600"/>
      <c r="AU637" s="600"/>
      <c r="AV637" s="600"/>
      <c r="AW637" s="600"/>
      <c r="AX637" s="600"/>
      <c r="AY637" s="604"/>
      <c r="AZ637" s="600"/>
      <c r="BA637" s="600"/>
      <c r="BB637" s="600"/>
      <c r="BC637" s="600"/>
      <c r="BD637" s="600"/>
      <c r="BE637" s="600"/>
      <c r="BF637" s="600"/>
      <c r="BG637" s="600"/>
      <c r="BH637" s="186"/>
      <c r="BI637" s="186"/>
      <c r="BJ637" s="186"/>
      <c r="BK637" s="186"/>
      <c r="BL637" s="186"/>
      <c r="BM637" s="186"/>
      <c r="BN637" s="186"/>
      <c r="BO637" s="186"/>
      <c r="BP637" s="186"/>
      <c r="BQ637" s="186"/>
      <c r="BR637" s="186"/>
      <c r="BS637" s="186"/>
      <c r="BT637" s="186"/>
      <c r="BU637" s="186"/>
      <c r="BV637" s="186"/>
      <c r="BW637" s="909"/>
      <c r="BX637" s="186"/>
      <c r="BY637" s="186"/>
      <c r="BZ637" s="186"/>
      <c r="CA637" s="186"/>
      <c r="CB637" s="186"/>
      <c r="CC637" s="358"/>
    </row>
    <row r="638" spans="1:81" s="709" customFormat="1" outlineLevel="2" x14ac:dyDescent="0.55000000000000004">
      <c r="A638" s="79" t="s">
        <v>824</v>
      </c>
      <c r="B638" s="75"/>
      <c r="C638" s="224"/>
      <c r="D638" s="224"/>
      <c r="E638" s="224"/>
      <c r="F638" s="224"/>
      <c r="G638" s="224"/>
      <c r="H638" s="224"/>
      <c r="I638" s="224"/>
      <c r="J638" s="224"/>
      <c r="K638" s="224"/>
      <c r="L638" s="224"/>
      <c r="M638" s="224"/>
      <c r="N638" s="224"/>
      <c r="O638" s="224"/>
      <c r="P638" s="224"/>
      <c r="Q638" s="224"/>
      <c r="R638" s="224"/>
      <c r="S638" s="224"/>
      <c r="T638" s="224"/>
      <c r="U638" s="224"/>
      <c r="V638" s="224"/>
      <c r="W638" s="224"/>
      <c r="X638" s="224"/>
      <c r="Y638" s="224"/>
      <c r="Z638" s="224"/>
      <c r="AA638" s="224"/>
      <c r="AB638" s="224"/>
      <c r="AC638" s="224">
        <f>IFERROR(IF(BR616="","",BR616/BQ619-1),"")</f>
        <v>0.22170319798778304</v>
      </c>
      <c r="AD638" s="224">
        <f>IFERROR(IF(BR617="","",BR617/BQ619-1),"")</f>
        <v>0.14983830398850162</v>
      </c>
      <c r="AE638" s="224">
        <f>IFERROR(IF(BS614="","",BS614/BR619-1),"")</f>
        <v>0.14986584898428523</v>
      </c>
      <c r="AF638" s="224">
        <f>IFERROR(IF(BS615="","",BS615/BR619-1),"")</f>
        <v>-4.1778459179762306E-2</v>
      </c>
      <c r="AG638" s="224">
        <f>IFERROR(IF(BS616="","",BS616/BR619-1),"")</f>
        <v>2.2102976874920133E-2</v>
      </c>
      <c r="AH638" s="224">
        <f>IFERROR(IF(BS617="","",BS617/BR619-1),"")</f>
        <v>2.2102976874920133E-2</v>
      </c>
      <c r="AI638" s="224">
        <f>IFERROR(IF(BT614="","",BT614/BS619-1),"")</f>
        <v>0.39958012596221137</v>
      </c>
      <c r="AJ638" s="224">
        <f>IFERROR(IF(BT615="","",BT615/BS619-1),"")</f>
        <v>0.27234556905655571</v>
      </c>
      <c r="AK638" s="224">
        <f>IFERROR(IF(BT616="","",BT616/BS619-1),"")</f>
        <v>0.27234556905655571</v>
      </c>
      <c r="AL638" s="224">
        <f>IFERROR(IF(BT617="","",BT617/BS619-1),"")</f>
        <v>0.208728290603728</v>
      </c>
      <c r="AM638" s="224">
        <f>IFERROR(IF(BU614="","",BU614/BT619-1),"")</f>
        <v>0.63687383080440663</v>
      </c>
      <c r="AN638" s="224">
        <f>IFERROR(IF(BU615="","",BU615/BT619-1),"")</f>
        <v>0.63687383080440663</v>
      </c>
      <c r="AO638" s="224">
        <f>IFERROR(IF(BU616="","",BU616/BT619-1),"")</f>
        <v>0.66285595510288919</v>
      </c>
      <c r="AP638" s="224">
        <f>IFERROR(IF(BU617="","",BU617/BT619-1),"")</f>
        <v>0.68883807940137176</v>
      </c>
      <c r="AQ638" s="224">
        <f>IFERROR(IF(BV614="","",BV614/BU619-1),"")</f>
        <v>-2.4193798209473094E-2</v>
      </c>
      <c r="AR638" s="224">
        <f>IFERROR(IF(BV615="","",BV615/BU619-1),"")</f>
        <v>-2.4193798209473094E-2</v>
      </c>
      <c r="AS638" s="224">
        <f>IFERROR(IF(BV616="","",BV616/BU619-1),"")</f>
        <v>-0.11712772218952328</v>
      </c>
      <c r="AT638" s="224">
        <f>IFERROR(IF(BV617="","",BV617/BU619-1),"")</f>
        <v>-0.13261670951953164</v>
      </c>
      <c r="AU638" s="224">
        <f>IFERROR(IF(BW614="","",BW614/BV619-1),"")</f>
        <v>0.18274255048721932</v>
      </c>
      <c r="AV638" s="224">
        <f>IFERROR(IF(BW615="","",BW615/BV619-1),"")</f>
        <v>0.32396554159017077</v>
      </c>
      <c r="AW638" s="224">
        <f>IFERROR(IF(BW616="","",BW616/BV619-1),"")</f>
        <v>0.35927128936590869</v>
      </c>
      <c r="AX638" s="224">
        <f>IFERROR(IF(BW617="","",BW617/BV619-1),"")</f>
        <v>0.37692416325377764</v>
      </c>
      <c r="AY638" s="624" t="str">
        <f>IFERROR(IF(BX614="","",BX614/BW619-1),"")</f>
        <v/>
      </c>
      <c r="AZ638" s="224"/>
      <c r="BA638" s="224"/>
      <c r="BB638" s="224"/>
      <c r="BC638" s="224"/>
      <c r="BD638" s="224"/>
      <c r="BE638" s="224"/>
      <c r="BF638" s="224"/>
      <c r="BG638" s="224"/>
      <c r="BH638" s="817"/>
      <c r="BI638" s="817"/>
      <c r="BJ638" s="817"/>
      <c r="BK638" s="817"/>
      <c r="BL638" s="817"/>
      <c r="BM638" s="817"/>
      <c r="BN638" s="817"/>
      <c r="BO638" s="817"/>
      <c r="BP638" s="817"/>
      <c r="BQ638" s="817"/>
      <c r="BR638" s="817">
        <f t="shared" ref="BR638:BW638" si="710">IFERROR(IF(BR617="","",BR617/BQ619-1),"")</f>
        <v>0.14983830398850162</v>
      </c>
      <c r="BS638" s="817">
        <f t="shared" si="710"/>
        <v>2.2102976874920133E-2</v>
      </c>
      <c r="BT638" s="817">
        <f t="shared" si="710"/>
        <v>0.208728290603728</v>
      </c>
      <c r="BU638" s="817">
        <f t="shared" si="710"/>
        <v>0.68883807940137176</v>
      </c>
      <c r="BV638" s="817">
        <f t="shared" si="710"/>
        <v>-0.13261670951953164</v>
      </c>
      <c r="BW638" s="819">
        <f t="shared" si="710"/>
        <v>0.37692416325377764</v>
      </c>
      <c r="BX638" s="817"/>
      <c r="BY638" s="817"/>
      <c r="BZ638" s="817"/>
      <c r="CA638" s="817"/>
      <c r="CB638" s="817"/>
      <c r="CC638" s="24"/>
    </row>
    <row r="639" spans="1:81" s="709" customFormat="1" outlineLevel="2" x14ac:dyDescent="0.55000000000000004">
      <c r="A639" s="344" t="s">
        <v>825</v>
      </c>
      <c r="B639" s="434"/>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f>IFERROR(IF(BR616="","",(BR619-BR616)/BQ619),"")</f>
        <v>-9.67301473230327E-2</v>
      </c>
      <c r="AD639" s="332">
        <f>IFERROR(IF(BR617="","",(BR619-BR617)/BQ619),"")</f>
        <v>-2.4865253323751349E-2</v>
      </c>
      <c r="AE639" s="332">
        <f>IFERROR(IF(BS614="","",(BS619-BS614)/BR619),"")</f>
        <v>-0.1457135556407308</v>
      </c>
      <c r="AF639" s="332">
        <f>IFERROR(IF(BS615="","",(BS619-BS615)/BR619),"")</f>
        <v>4.5930752523316722E-2</v>
      </c>
      <c r="AG639" s="332">
        <f>IFERROR(IF(BS616="","",(BS619-BS616)/BR619),"")</f>
        <v>-1.7950683531365787E-2</v>
      </c>
      <c r="AH639" s="332">
        <f>IFERROR(IF(BS617="","",(BS619-BS617)/BR619),"")</f>
        <v>-1.7950683531365787E-2</v>
      </c>
      <c r="AI639" s="332">
        <f>IFERROR(IF(BT614="","",(BT619-BT614)/BS619),"")</f>
        <v>-0.17532921941599339</v>
      </c>
      <c r="AJ639" s="332">
        <f>IFERROR(IF(BT615="","",(BT619-BT615)/BS619),"")</f>
        <v>-4.809466251033781E-2</v>
      </c>
      <c r="AK639" s="332">
        <f>IFERROR(IF(BT616="","",(BT619-BT616)/BS619),"")</f>
        <v>-4.809466251033781E-2</v>
      </c>
      <c r="AL639" s="332">
        <f>IFERROR(IF(BT617="","",(BT619-BT617)/BS619),"")</f>
        <v>1.552261594248998E-2</v>
      </c>
      <c r="AM639" s="332">
        <f>IFERROR(IF(BU614="","",(BU619-BU614)/BT619),"")</f>
        <v>4.0584078154229888E-2</v>
      </c>
      <c r="AN639" s="332">
        <f>IFERROR(IF(BU615="","",(BU619-BU615)/BT619),"")</f>
        <v>4.0584078154229888E-2</v>
      </c>
      <c r="AO639" s="332">
        <f>IFERROR(IF(BU616="","",(BU619-BU616)/BT619),"")</f>
        <v>1.4601953855747246E-2</v>
      </c>
      <c r="AP639" s="332">
        <f>IFERROR(IF(BU617="","",(BU619-BU617)/BT619),"")</f>
        <v>-1.1380170442735399E-2</v>
      </c>
      <c r="AQ639" s="332">
        <f>IFERROR(IF(BV614="","",(BV619-BV614)/BU619),"")</f>
        <v>-9.8386047520213127E-2</v>
      </c>
      <c r="AR639" s="332">
        <f>IFERROR(IF(BV615="","",(BV619-BV615)/BU619),"")</f>
        <v>-9.8386047520213127E-2</v>
      </c>
      <c r="AS639" s="332">
        <f>IFERROR(IF(BV616="","",(BV619-BV616)/BU619),"")</f>
        <v>-5.4521235401629444E-3</v>
      </c>
      <c r="AT639" s="332">
        <f>IFERROR(IF(BV617="","",(BV619-BV617)/BU619),"")</f>
        <v>1.003686378984542E-2</v>
      </c>
      <c r="AU639" s="332">
        <f>IFERROR(IF(BW614="","",(BW619-BW614)/BV619),"")</f>
        <v>0.20212540601609943</v>
      </c>
      <c r="AV639" s="332">
        <f>IFERROR(IF(BW615="","",(BW619-BW615)/BV619),"")</f>
        <v>6.0902414913147858E-2</v>
      </c>
      <c r="AW639" s="332">
        <f>IFERROR(IF(BW616="","",(BW619-BW616)/BV619),"")</f>
        <v>2.5596667137409969E-2</v>
      </c>
      <c r="AX639" s="332">
        <f>IFERROR(IF(BW617="","",(BW619-BW617)/BV619),"")</f>
        <v>7.9437932495410261E-3</v>
      </c>
      <c r="AY639" s="664" t="str">
        <f>IFERROR(IF(BX614="","",(BX619-BX614)/BW619),"")</f>
        <v/>
      </c>
      <c r="AZ639" s="332"/>
      <c r="BA639" s="332"/>
      <c r="BB639" s="332"/>
      <c r="BC639" s="332"/>
      <c r="BD639" s="332"/>
      <c r="BE639" s="332"/>
      <c r="BF639" s="332"/>
      <c r="BG639" s="332"/>
      <c r="BH639" s="993"/>
      <c r="BI639" s="993"/>
      <c r="BJ639" s="993"/>
      <c r="BK639" s="993"/>
      <c r="BL639" s="993"/>
      <c r="BM639" s="993"/>
      <c r="BN639" s="993"/>
      <c r="BO639" s="993"/>
      <c r="BP639" s="993"/>
      <c r="BQ639" s="993"/>
      <c r="BR639" s="993">
        <f t="shared" ref="BR639:BW639" si="711">IFERROR(IF(BR617="","",(BR619-BR617)/BQ619),"")</f>
        <v>-2.4865253323751349E-2</v>
      </c>
      <c r="BS639" s="993">
        <f t="shared" si="711"/>
        <v>-1.7950683531365787E-2</v>
      </c>
      <c r="BT639" s="993">
        <f t="shared" si="711"/>
        <v>1.552261594248998E-2</v>
      </c>
      <c r="BU639" s="993">
        <f t="shared" si="711"/>
        <v>-1.1380170442735399E-2</v>
      </c>
      <c r="BV639" s="993">
        <f t="shared" si="711"/>
        <v>1.003686378984542E-2</v>
      </c>
      <c r="BW639" s="994">
        <f t="shared" si="711"/>
        <v>7.9437932495410261E-3</v>
      </c>
      <c r="BX639" s="993"/>
      <c r="BY639" s="993"/>
      <c r="BZ639" s="993"/>
      <c r="CA639" s="993"/>
      <c r="CB639" s="993"/>
      <c r="CC639" s="24"/>
    </row>
    <row r="640" spans="1:81" s="709" customFormat="1" outlineLevel="2" x14ac:dyDescent="0.55000000000000004">
      <c r="A640" s="267" t="s">
        <v>826</v>
      </c>
      <c r="B640" s="266"/>
      <c r="C640" s="441"/>
      <c r="D640" s="441"/>
      <c r="E640" s="441"/>
      <c r="F640" s="441"/>
      <c r="G640" s="441"/>
      <c r="H640" s="441"/>
      <c r="I640" s="441"/>
      <c r="J640" s="441"/>
      <c r="K640" s="441"/>
      <c r="L640" s="441"/>
      <c r="M640" s="441"/>
      <c r="N640" s="441"/>
      <c r="O640" s="441"/>
      <c r="P640" s="441"/>
      <c r="Q640" s="441"/>
      <c r="R640" s="441"/>
      <c r="S640" s="441"/>
      <c r="T640" s="441"/>
      <c r="U640" s="441"/>
      <c r="V640" s="441"/>
      <c r="W640" s="441"/>
      <c r="X640" s="441"/>
      <c r="Y640" s="441"/>
      <c r="Z640" s="441"/>
      <c r="AA640" s="441">
        <f>IF(ISBLANK(BR619),"N/A",BR619/BQ619-1)</f>
        <v>0.12497305066475017</v>
      </c>
      <c r="AB640" s="441">
        <f>IF(ISBLANK(BR619),"N/A",BR619/BQ619-1)</f>
        <v>0.12497305066475017</v>
      </c>
      <c r="AC640" s="441">
        <f>IF(ISBLANK(BR619),"N/A",BR619/BQ619-1)</f>
        <v>0.12497305066475017</v>
      </c>
      <c r="AD640" s="441">
        <f>IF(ISBLANK(BR619),"N/A",BR619/BQ619-1)</f>
        <v>0.12497305066475017</v>
      </c>
      <c r="AE640" s="441">
        <f>IF(ISBLANK(BS619),"N/A",BS619/BR619-1)</f>
        <v>4.1522933435542697E-3</v>
      </c>
      <c r="AF640" s="441">
        <f>IF(ISBLANK(BS619),"N/A",BS619/BR619-1)</f>
        <v>4.1522933435542697E-3</v>
      </c>
      <c r="AG640" s="441">
        <f>IF(ISBLANK(BS619),"N/A",BS619/BR619-1)</f>
        <v>4.1522933435542697E-3</v>
      </c>
      <c r="AH640" s="441">
        <f>IF(ISBLANK(BS619),"N/A",BS619/BR619-1)</f>
        <v>4.1522933435542697E-3</v>
      </c>
      <c r="AI640" s="441">
        <f>IF(ISBLANK(BT619),"N/A",BT619/BS619-1)</f>
        <v>0.22425090654621793</v>
      </c>
      <c r="AJ640" s="441">
        <f>IF(ISBLANK(BT619),"N/A",BT619/BS619-1)</f>
        <v>0.22425090654621793</v>
      </c>
      <c r="AK640" s="441">
        <f>IF(ISBLANK(BT619),"N/A",BT619/BS619-1)</f>
        <v>0.22425090654621793</v>
      </c>
      <c r="AL640" s="441">
        <f>IF(ISBLANK(BT619),"N/A",BT619/BS619-1)</f>
        <v>0.22425090654621793</v>
      </c>
      <c r="AM640" s="441">
        <f>IF(ISBLANK(BU619),"N/A",BU619/BT619-1)</f>
        <v>0.67745790895863656</v>
      </c>
      <c r="AN640" s="441">
        <f>IF(ISBLANK(BU619),"N/A",BU619/BT619-1)</f>
        <v>0.67745790895863656</v>
      </c>
      <c r="AO640" s="441">
        <f>IF(ISBLANK(BU619),"N/A",BU619/BT619-1)</f>
        <v>0.67745790895863656</v>
      </c>
      <c r="AP640" s="441">
        <f>IF(ISBLANK(BU619),"N/A",BU619/BT619-1)</f>
        <v>0.67745790895863656</v>
      </c>
      <c r="AQ640" s="441">
        <f>IF(ISBLANK(BV619),"N/A",BV619/BU619-1)</f>
        <v>-0.12257984572968617</v>
      </c>
      <c r="AR640" s="441">
        <f>IF(ISBLANK(BV619),"N/A",BV619/BU619-1)</f>
        <v>-0.12257984572968617</v>
      </c>
      <c r="AS640" s="441">
        <f>IF(ISBLANK(BV619),"N/A",BV619/BU619-1)</f>
        <v>-0.12257984572968617</v>
      </c>
      <c r="AT640" s="441">
        <f>IF(ISBLANK(BV619),"N/A",BV619/BU619-1)</f>
        <v>-0.12257984572968617</v>
      </c>
      <c r="AU640" s="441">
        <f>IF(ISBLANK(BW619),"N/A",BW619/BV619-1)</f>
        <v>0.38486795650331884</v>
      </c>
      <c r="AV640" s="441">
        <f>IF(ISBLANK(BW619),"N/A",BW619/BV619-1)</f>
        <v>0.38486795650331884</v>
      </c>
      <c r="AW640" s="441">
        <f>IF(ISBLANK(BW619),"N/A",BW619/BV619-1)</f>
        <v>0.38486795650331884</v>
      </c>
      <c r="AX640" s="441">
        <f>IF(ISBLANK(BW619),"N/A",BW619/BV619-1)</f>
        <v>0.38486795650331884</v>
      </c>
      <c r="AY640" s="660">
        <f>IF(ISBLANK(BX619),"N/A",BX619/BW619-1)</f>
        <v>0.54409177820267685</v>
      </c>
      <c r="AZ640" s="441"/>
      <c r="BA640" s="441"/>
      <c r="BB640" s="441"/>
      <c r="BC640" s="441"/>
      <c r="BD640" s="441"/>
      <c r="BE640" s="441"/>
      <c r="BF640" s="441"/>
      <c r="BG640" s="441"/>
      <c r="BH640" s="985"/>
      <c r="BI640" s="985"/>
      <c r="BJ640" s="985"/>
      <c r="BK640" s="985"/>
      <c r="BL640" s="985"/>
      <c r="BM640" s="985"/>
      <c r="BN640" s="985"/>
      <c r="BO640" s="985"/>
      <c r="BP640" s="985"/>
      <c r="BQ640" s="985"/>
      <c r="BR640" s="985">
        <f t="shared" ref="BR640:BW640" si="712">IF(ISBLANK(BR619),"N/A",BR619/BQ619-1)</f>
        <v>0.12497305066475017</v>
      </c>
      <c r="BS640" s="985">
        <f t="shared" si="712"/>
        <v>4.1522933435542697E-3</v>
      </c>
      <c r="BT640" s="985">
        <f t="shared" si="712"/>
        <v>0.22425090654621793</v>
      </c>
      <c r="BU640" s="985">
        <f t="shared" si="712"/>
        <v>0.67745790895863656</v>
      </c>
      <c r="BV640" s="985">
        <f t="shared" si="712"/>
        <v>-0.12257984572968617</v>
      </c>
      <c r="BW640" s="986">
        <f t="shared" si="712"/>
        <v>0.38486795650331884</v>
      </c>
      <c r="BX640" s="985"/>
      <c r="BY640" s="985"/>
      <c r="BZ640" s="985"/>
      <c r="CA640" s="985"/>
      <c r="CB640" s="985"/>
      <c r="CC640" s="24"/>
    </row>
    <row r="641" spans="1:81" outlineLevel="2" x14ac:dyDescent="0.55000000000000004">
      <c r="A641" s="37"/>
      <c r="B641" s="241"/>
      <c r="C641" s="600"/>
      <c r="D641" s="600"/>
      <c r="E641" s="600"/>
      <c r="F641" s="600"/>
      <c r="G641" s="600"/>
      <c r="H641" s="600"/>
      <c r="I641" s="600"/>
      <c r="J641" s="600"/>
      <c r="K641" s="600"/>
      <c r="L641" s="600"/>
      <c r="M641" s="600"/>
      <c r="N641" s="600"/>
      <c r="O641" s="600"/>
      <c r="P641" s="600"/>
      <c r="Q641" s="600"/>
      <c r="R641" s="600"/>
      <c r="S641" s="600"/>
      <c r="T641" s="600"/>
      <c r="U641" s="600"/>
      <c r="V641" s="600"/>
      <c r="W641" s="600"/>
      <c r="X641" s="600"/>
      <c r="Y641" s="600"/>
      <c r="Z641" s="600"/>
      <c r="AA641" s="600"/>
      <c r="AB641" s="600"/>
      <c r="AC641" s="600"/>
      <c r="AD641" s="600"/>
      <c r="AE641" s="600"/>
      <c r="AF641" s="600"/>
      <c r="AG641" s="600"/>
      <c r="AH641" s="600"/>
      <c r="AI641" s="600"/>
      <c r="AJ641" s="600"/>
      <c r="AK641" s="600"/>
      <c r="AL641" s="600"/>
      <c r="AM641" s="600"/>
      <c r="AN641" s="600"/>
      <c r="AO641" s="600"/>
      <c r="AP641" s="600"/>
      <c r="AQ641" s="600"/>
      <c r="AR641" s="600"/>
      <c r="AS641" s="600"/>
      <c r="AT641" s="600"/>
      <c r="AU641" s="600"/>
      <c r="AV641" s="600"/>
      <c r="AW641" s="600"/>
      <c r="AX641" s="600"/>
      <c r="AY641" s="604"/>
      <c r="AZ641" s="600"/>
      <c r="BA641" s="600"/>
      <c r="BB641" s="600"/>
      <c r="BC641" s="600"/>
      <c r="BD641" s="600"/>
      <c r="BE641" s="600"/>
      <c r="BF641" s="600"/>
      <c r="BG641" s="600"/>
      <c r="BH641" s="186"/>
      <c r="BI641" s="186"/>
      <c r="BJ641" s="186"/>
      <c r="BK641" s="186"/>
      <c r="BL641" s="186"/>
      <c r="BM641" s="186"/>
      <c r="BN641" s="186"/>
      <c r="BO641" s="186"/>
      <c r="BP641" s="186"/>
      <c r="BQ641" s="186"/>
      <c r="BR641" s="186"/>
      <c r="BS641" s="186"/>
      <c r="BT641" s="186"/>
      <c r="BU641" s="186"/>
      <c r="BV641" s="186"/>
      <c r="BW641" s="909"/>
      <c r="BX641" s="186"/>
      <c r="BY641" s="186"/>
      <c r="BZ641" s="186"/>
      <c r="CA641" s="186"/>
      <c r="CB641" s="186"/>
      <c r="CC641" s="358"/>
    </row>
    <row r="642" spans="1:81" s="719" customFormat="1" ht="16.2" outlineLevel="2" x14ac:dyDescent="0.85">
      <c r="A642" s="443" t="s">
        <v>763</v>
      </c>
      <c r="B642" s="436"/>
      <c r="C642" s="613"/>
      <c r="D642" s="613"/>
      <c r="E642" s="613"/>
      <c r="F642" s="613"/>
      <c r="G642" s="613"/>
      <c r="H642" s="613"/>
      <c r="I642" s="613"/>
      <c r="J642" s="613"/>
      <c r="K642" s="613"/>
      <c r="L642" s="613"/>
      <c r="M642" s="613"/>
      <c r="N642" s="613"/>
      <c r="O642" s="613"/>
      <c r="P642" s="613"/>
      <c r="Q642" s="613"/>
      <c r="R642" s="613"/>
      <c r="S642" s="613"/>
      <c r="T642" s="613"/>
      <c r="U642" s="613"/>
      <c r="V642" s="613"/>
      <c r="W642" s="613"/>
      <c r="X642" s="613"/>
      <c r="Y642" s="613"/>
      <c r="Z642" s="613"/>
      <c r="AA642" s="613"/>
      <c r="AB642" s="613" t="str">
        <f>BR$5</f>
        <v>FY2019</v>
      </c>
      <c r="AC642" s="613" t="str">
        <f>BR$5</f>
        <v>FY2019</v>
      </c>
      <c r="AD642" s="613" t="str">
        <f>BS$5</f>
        <v>FY2020</v>
      </c>
      <c r="AE642" s="613" t="str">
        <f>BS$5</f>
        <v>FY2020</v>
      </c>
      <c r="AF642" s="613" t="str">
        <f>BS$5</f>
        <v>FY2020</v>
      </c>
      <c r="AG642" s="613" t="str">
        <f>BS$5</f>
        <v>FY2020</v>
      </c>
      <c r="AH642" s="613" t="str">
        <f>BT$5</f>
        <v>FY2021</v>
      </c>
      <c r="AI642" s="613" t="str">
        <f>BT$5</f>
        <v>FY2021</v>
      </c>
      <c r="AJ642" s="613" t="str">
        <f>BT$5</f>
        <v>FY2021</v>
      </c>
      <c r="AK642" s="613" t="str">
        <f>BT$5</f>
        <v>FY2021</v>
      </c>
      <c r="AL642" s="613" t="str">
        <f>BU$5</f>
        <v>FY2022</v>
      </c>
      <c r="AM642" s="613" t="str">
        <f>BU$5</f>
        <v>FY2022</v>
      </c>
      <c r="AN642" s="613" t="str">
        <f>BU$5</f>
        <v>FY2022</v>
      </c>
      <c r="AO642" s="613" t="str">
        <f>BU$5</f>
        <v>FY2022</v>
      </c>
      <c r="AP642" s="613" t="str">
        <f>BV$5</f>
        <v>FY2023</v>
      </c>
      <c r="AQ642" s="613" t="str">
        <f>BV$5</f>
        <v>FY2023</v>
      </c>
      <c r="AR642" s="613" t="str">
        <f>BV$5</f>
        <v>FY2023</v>
      </c>
      <c r="AS642" s="613" t="str">
        <f>BV$5</f>
        <v>FY2023</v>
      </c>
      <c r="AT642" s="613" t="str">
        <f>BW$5</f>
        <v>FY2024</v>
      </c>
      <c r="AU642" s="613" t="str">
        <f>BW$5</f>
        <v>FY2024</v>
      </c>
      <c r="AV642" s="613" t="str">
        <f>BW$5</f>
        <v>FY2024</v>
      </c>
      <c r="AW642" s="613" t="str">
        <f>BW$5</f>
        <v>FY2024</v>
      </c>
      <c r="AX642" s="613" t="str">
        <f>BX$5</f>
        <v>FY2025</v>
      </c>
      <c r="AY642" s="663" t="str">
        <f>BX$5</f>
        <v>FY2025</v>
      </c>
      <c r="AZ642" s="613"/>
      <c r="BA642" s="613"/>
      <c r="BB642" s="613"/>
      <c r="BC642" s="613"/>
      <c r="BD642" s="613"/>
      <c r="BE642" s="613"/>
      <c r="BF642" s="613"/>
      <c r="BG642" s="613"/>
      <c r="BH642" s="991"/>
      <c r="BI642" s="991"/>
      <c r="BJ642" s="991"/>
      <c r="BK642" s="991"/>
      <c r="BL642" s="991"/>
      <c r="BM642" s="991"/>
      <c r="BN642" s="991"/>
      <c r="BO642" s="991"/>
      <c r="BP642" s="991"/>
      <c r="BQ642" s="991"/>
      <c r="BR642" s="991" t="str">
        <f t="shared" ref="BR642:BW642" si="713">BS$5</f>
        <v>FY2020</v>
      </c>
      <c r="BS642" s="991" t="str">
        <f t="shared" si="713"/>
        <v>FY2021</v>
      </c>
      <c r="BT642" s="991" t="str">
        <f t="shared" si="713"/>
        <v>FY2022</v>
      </c>
      <c r="BU642" s="991" t="str">
        <f t="shared" si="713"/>
        <v>FY2023</v>
      </c>
      <c r="BV642" s="991" t="str">
        <f t="shared" si="713"/>
        <v>FY2024</v>
      </c>
      <c r="BW642" s="992" t="str">
        <f t="shared" si="713"/>
        <v>FY2025</v>
      </c>
      <c r="BX642" s="991"/>
      <c r="BY642" s="991"/>
      <c r="BZ642" s="991"/>
      <c r="CA642" s="991"/>
      <c r="CB642" s="991"/>
      <c r="CC642" s="217"/>
    </row>
    <row r="643" spans="1:81" s="708" customFormat="1" outlineLevel="3" x14ac:dyDescent="0.55000000000000004">
      <c r="A643" s="86" t="s">
        <v>827</v>
      </c>
      <c r="B643" s="87"/>
      <c r="C643" s="200"/>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f t="shared" ref="AB643:AY643" si="714">-AB1054</f>
        <v>16000</v>
      </c>
      <c r="AC643" s="200">
        <f t="shared" si="714"/>
        <v>16000</v>
      </c>
      <c r="AD643" s="200">
        <f t="shared" si="714"/>
        <v>19000</v>
      </c>
      <c r="AE643" s="200">
        <f t="shared" si="714"/>
        <v>14000</v>
      </c>
      <c r="AF643" s="200">
        <f t="shared" si="714"/>
        <v>16000</v>
      </c>
      <c r="AG643" s="200">
        <f t="shared" si="714"/>
        <v>16000</v>
      </c>
      <c r="AH643" s="200">
        <f t="shared" si="714"/>
        <v>21000</v>
      </c>
      <c r="AI643" s="200">
        <f t="shared" si="714"/>
        <v>19000</v>
      </c>
      <c r="AJ643" s="200">
        <f t="shared" si="714"/>
        <v>19000</v>
      </c>
      <c r="AK643" s="200">
        <f t="shared" si="714"/>
        <v>19000</v>
      </c>
      <c r="AL643" s="200">
        <f t="shared" si="714"/>
        <v>29000</v>
      </c>
      <c r="AM643" s="200">
        <f t="shared" si="714"/>
        <v>29000</v>
      </c>
      <c r="AN643" s="200">
        <f t="shared" si="714"/>
        <v>30000</v>
      </c>
      <c r="AO643" s="200">
        <f t="shared" si="714"/>
        <v>32000</v>
      </c>
      <c r="AP643" s="200">
        <f t="shared" si="714"/>
        <v>33000</v>
      </c>
      <c r="AQ643" s="200">
        <f t="shared" si="714"/>
        <v>33000</v>
      </c>
      <c r="AR643" s="200">
        <f t="shared" si="714"/>
        <v>27000</v>
      </c>
      <c r="AS643" s="200">
        <f t="shared" si="714"/>
        <v>27000</v>
      </c>
      <c r="AT643" s="200">
        <f t="shared" si="714"/>
        <v>30000</v>
      </c>
      <c r="AU643" s="200">
        <f t="shared" si="714"/>
        <v>35000</v>
      </c>
      <c r="AV643" s="200">
        <f t="shared" si="714"/>
        <v>37000</v>
      </c>
      <c r="AW643" s="200">
        <f t="shared" si="714"/>
        <v>40000</v>
      </c>
      <c r="AX643" s="200">
        <f t="shared" si="714"/>
        <v>60000</v>
      </c>
      <c r="AY643" s="407">
        <f t="shared" si="714"/>
        <v>64000</v>
      </c>
      <c r="AZ643" s="200"/>
      <c r="BA643" s="200"/>
      <c r="BB643" s="200"/>
      <c r="BC643" s="200"/>
      <c r="BD643" s="200"/>
      <c r="BE643" s="200"/>
      <c r="BF643" s="200"/>
      <c r="BG643" s="200"/>
      <c r="BH643" s="841"/>
      <c r="BI643" s="841"/>
      <c r="BJ643" s="841"/>
      <c r="BK643" s="841"/>
      <c r="BL643" s="841"/>
      <c r="BM643" s="841"/>
      <c r="BN643" s="841"/>
      <c r="BO643" s="841"/>
      <c r="BP643" s="841"/>
      <c r="BQ643" s="841"/>
      <c r="BR643" s="841">
        <f t="shared" ref="BR643:BW644" si="715">-BR1054</f>
        <v>19000</v>
      </c>
      <c r="BS643" s="841">
        <f t="shared" si="715"/>
        <v>21000</v>
      </c>
      <c r="BT643" s="841">
        <f t="shared" si="715"/>
        <v>29000</v>
      </c>
      <c r="BU643" s="841">
        <f t="shared" si="715"/>
        <v>33000</v>
      </c>
      <c r="BV643" s="841">
        <f t="shared" si="715"/>
        <v>30000</v>
      </c>
      <c r="BW643" s="842">
        <f t="shared" si="715"/>
        <v>60000</v>
      </c>
      <c r="BX643" s="841"/>
      <c r="BY643" s="841"/>
      <c r="BZ643" s="841"/>
      <c r="CA643" s="841"/>
      <c r="CB643" s="841"/>
      <c r="CC643" s="6"/>
    </row>
    <row r="644" spans="1:81" s="708" customFormat="1" outlineLevel="3" x14ac:dyDescent="0.55000000000000004">
      <c r="A644" s="315" t="s">
        <v>828</v>
      </c>
      <c r="B644" s="244"/>
      <c r="C644" s="320"/>
      <c r="D644" s="320"/>
      <c r="E644" s="320"/>
      <c r="F644" s="320"/>
      <c r="G644" s="320"/>
      <c r="H644" s="320"/>
      <c r="I644" s="320"/>
      <c r="J644" s="320"/>
      <c r="K644" s="320"/>
      <c r="L644" s="320"/>
      <c r="M644" s="320"/>
      <c r="N644" s="320"/>
      <c r="O644" s="320"/>
      <c r="P644" s="320"/>
      <c r="Q644" s="320"/>
      <c r="R644" s="320"/>
      <c r="S644" s="320"/>
      <c r="T644" s="320"/>
      <c r="U644" s="320"/>
      <c r="V644" s="320"/>
      <c r="W644" s="320"/>
      <c r="X644" s="320"/>
      <c r="Y644" s="320"/>
      <c r="Z644" s="320"/>
      <c r="AA644" s="320"/>
      <c r="AB644" s="320">
        <f t="shared" ref="AB644:AY644" si="716">-AB1055</f>
        <v>18000</v>
      </c>
      <c r="AC644" s="320">
        <f t="shared" si="716"/>
        <v>16000</v>
      </c>
      <c r="AD644" s="320">
        <f t="shared" si="716"/>
        <v>17000</v>
      </c>
      <c r="AE644" s="320">
        <f t="shared" si="716"/>
        <v>16000</v>
      </c>
      <c r="AF644" s="320">
        <f t="shared" si="716"/>
        <v>16000</v>
      </c>
      <c r="AG644" s="320">
        <f t="shared" si="716"/>
        <v>16000</v>
      </c>
      <c r="AH644" s="320">
        <f t="shared" si="716"/>
        <v>23000</v>
      </c>
      <c r="AI644" s="320">
        <f t="shared" si="716"/>
        <v>21000</v>
      </c>
      <c r="AJ644" s="320">
        <f t="shared" si="716"/>
        <v>21000</v>
      </c>
      <c r="AK644" s="320">
        <f t="shared" si="716"/>
        <v>19000</v>
      </c>
      <c r="AL644" s="320">
        <f t="shared" si="716"/>
        <v>34000</v>
      </c>
      <c r="AM644" s="320">
        <f t="shared" si="716"/>
        <v>34000</v>
      </c>
      <c r="AN644" s="320">
        <f t="shared" si="716"/>
        <v>34000</v>
      </c>
      <c r="AO644" s="320">
        <f t="shared" si="716"/>
        <v>33000</v>
      </c>
      <c r="AP644" s="320">
        <f t="shared" si="716"/>
        <v>30000</v>
      </c>
      <c r="AQ644" s="320">
        <f t="shared" si="716"/>
        <v>30000</v>
      </c>
      <c r="AR644" s="320">
        <f t="shared" si="716"/>
        <v>30000</v>
      </c>
      <c r="AS644" s="320">
        <f t="shared" si="716"/>
        <v>29000</v>
      </c>
      <c r="AT644" s="320">
        <f t="shared" si="716"/>
        <v>37000</v>
      </c>
      <c r="AU644" s="320">
        <f t="shared" si="716"/>
        <v>40000</v>
      </c>
      <c r="AV644" s="320">
        <f t="shared" si="716"/>
        <v>40000</v>
      </c>
      <c r="AW644" s="320">
        <f t="shared" si="716"/>
        <v>38000</v>
      </c>
      <c r="AX644" s="320">
        <f t="shared" si="716"/>
        <v>65000</v>
      </c>
      <c r="AY644" s="628">
        <f t="shared" si="716"/>
        <v>72000</v>
      </c>
      <c r="AZ644" s="320"/>
      <c r="BA644" s="320"/>
      <c r="BB644" s="320"/>
      <c r="BC644" s="320"/>
      <c r="BD644" s="320"/>
      <c r="BE644" s="320"/>
      <c r="BF644" s="320"/>
      <c r="BG644" s="320"/>
      <c r="BH644" s="843"/>
      <c r="BI644" s="843"/>
      <c r="BJ644" s="843"/>
      <c r="BK644" s="843"/>
      <c r="BL644" s="843"/>
      <c r="BM644" s="843"/>
      <c r="BN644" s="843"/>
      <c r="BO644" s="843"/>
      <c r="BP644" s="843"/>
      <c r="BQ644" s="843"/>
      <c r="BR644" s="843">
        <f t="shared" si="715"/>
        <v>17000</v>
      </c>
      <c r="BS644" s="843">
        <f t="shared" si="715"/>
        <v>23000</v>
      </c>
      <c r="BT644" s="843">
        <f t="shared" si="715"/>
        <v>34000</v>
      </c>
      <c r="BU644" s="843">
        <f t="shared" si="715"/>
        <v>30000</v>
      </c>
      <c r="BV644" s="843">
        <f t="shared" si="715"/>
        <v>37000</v>
      </c>
      <c r="BW644" s="844">
        <f t="shared" si="715"/>
        <v>65000</v>
      </c>
      <c r="BX644" s="843"/>
      <c r="BY644" s="843"/>
      <c r="BZ644" s="843"/>
      <c r="CA644" s="843"/>
      <c r="CB644" s="843"/>
      <c r="CC644" s="6"/>
    </row>
    <row r="645" spans="1:81" s="708" customFormat="1" outlineLevel="2" x14ac:dyDescent="0.55000000000000004">
      <c r="A645" s="192" t="s">
        <v>829</v>
      </c>
      <c r="B645" s="193"/>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c r="AA645" s="212"/>
      <c r="AB645" s="212">
        <f t="shared" ref="AB645:AY645" si="717">IFERROR(AVERAGE(AB644,AB643),"NR")</f>
        <v>17000</v>
      </c>
      <c r="AC645" s="212">
        <f t="shared" si="717"/>
        <v>16000</v>
      </c>
      <c r="AD645" s="212">
        <f t="shared" si="717"/>
        <v>18000</v>
      </c>
      <c r="AE645" s="212">
        <f t="shared" si="717"/>
        <v>15000</v>
      </c>
      <c r="AF645" s="212">
        <f t="shared" si="717"/>
        <v>16000</v>
      </c>
      <c r="AG645" s="212">
        <f t="shared" si="717"/>
        <v>16000</v>
      </c>
      <c r="AH645" s="212">
        <f t="shared" si="717"/>
        <v>22000</v>
      </c>
      <c r="AI645" s="212">
        <f t="shared" si="717"/>
        <v>20000</v>
      </c>
      <c r="AJ645" s="212">
        <f t="shared" si="717"/>
        <v>20000</v>
      </c>
      <c r="AK645" s="212">
        <f t="shared" si="717"/>
        <v>19000</v>
      </c>
      <c r="AL645" s="212">
        <f t="shared" si="717"/>
        <v>31500</v>
      </c>
      <c r="AM645" s="212">
        <f t="shared" si="717"/>
        <v>31500</v>
      </c>
      <c r="AN645" s="212">
        <f t="shared" si="717"/>
        <v>32000</v>
      </c>
      <c r="AO645" s="212">
        <f t="shared" si="717"/>
        <v>32500</v>
      </c>
      <c r="AP645" s="212">
        <f t="shared" si="717"/>
        <v>31500</v>
      </c>
      <c r="AQ645" s="212">
        <f t="shared" si="717"/>
        <v>31500</v>
      </c>
      <c r="AR645" s="212">
        <f t="shared" si="717"/>
        <v>28500</v>
      </c>
      <c r="AS645" s="212">
        <f t="shared" si="717"/>
        <v>28000</v>
      </c>
      <c r="AT645" s="212">
        <f t="shared" si="717"/>
        <v>33500</v>
      </c>
      <c r="AU645" s="212">
        <f t="shared" si="717"/>
        <v>37500</v>
      </c>
      <c r="AV645" s="212">
        <f t="shared" si="717"/>
        <v>38500</v>
      </c>
      <c r="AW645" s="212">
        <f t="shared" si="717"/>
        <v>39000</v>
      </c>
      <c r="AX645" s="212">
        <f t="shared" si="717"/>
        <v>62500</v>
      </c>
      <c r="AY645" s="629">
        <f t="shared" si="717"/>
        <v>68000</v>
      </c>
      <c r="AZ645" s="212"/>
      <c r="BA645" s="212"/>
      <c r="BB645" s="212"/>
      <c r="BC645" s="212"/>
      <c r="BD645" s="212"/>
      <c r="BE645" s="212"/>
      <c r="BF645" s="212"/>
      <c r="BG645" s="212"/>
      <c r="BH645" s="827"/>
      <c r="BI645" s="827"/>
      <c r="BJ645" s="827"/>
      <c r="BK645" s="827"/>
      <c r="BL645" s="827"/>
      <c r="BM645" s="827"/>
      <c r="BN645" s="827"/>
      <c r="BO645" s="827"/>
      <c r="BP645" s="827"/>
      <c r="BQ645" s="827"/>
      <c r="BR645" s="827">
        <f t="shared" ref="BR645:BW645" si="718">IFERROR(AVERAGE(BR644,BR643),"NR")</f>
        <v>18000</v>
      </c>
      <c r="BS645" s="827">
        <f t="shared" si="718"/>
        <v>22000</v>
      </c>
      <c r="BT645" s="827">
        <f t="shared" si="718"/>
        <v>31500</v>
      </c>
      <c r="BU645" s="827">
        <f t="shared" si="718"/>
        <v>31500</v>
      </c>
      <c r="BV645" s="827">
        <f t="shared" si="718"/>
        <v>33500</v>
      </c>
      <c r="BW645" s="845">
        <f t="shared" si="718"/>
        <v>62500</v>
      </c>
      <c r="BX645" s="827"/>
      <c r="BY645" s="827"/>
      <c r="BZ645" s="827"/>
      <c r="CA645" s="827"/>
      <c r="CB645" s="827"/>
      <c r="CC645" s="6"/>
    </row>
    <row r="646" spans="1:81" s="708" customFormat="1" outlineLevel="2" x14ac:dyDescent="0.55000000000000004">
      <c r="A646" s="86" t="s">
        <v>830</v>
      </c>
      <c r="B646" s="87"/>
      <c r="C646" s="200"/>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f t="shared" ref="AB646:AY646" si="719">IF(OR(ISBLANK(AB643),ISBLANK(AB644)),"",ABS(AB644-AB643))</f>
        <v>2000</v>
      </c>
      <c r="AC646" s="200">
        <f t="shared" si="719"/>
        <v>0</v>
      </c>
      <c r="AD646" s="200">
        <f t="shared" si="719"/>
        <v>2000</v>
      </c>
      <c r="AE646" s="200">
        <f t="shared" si="719"/>
        <v>2000</v>
      </c>
      <c r="AF646" s="200">
        <f t="shared" si="719"/>
        <v>0</v>
      </c>
      <c r="AG646" s="200">
        <f t="shared" si="719"/>
        <v>0</v>
      </c>
      <c r="AH646" s="200">
        <f t="shared" si="719"/>
        <v>2000</v>
      </c>
      <c r="AI646" s="200">
        <f t="shared" si="719"/>
        <v>2000</v>
      </c>
      <c r="AJ646" s="200">
        <f t="shared" si="719"/>
        <v>2000</v>
      </c>
      <c r="AK646" s="200">
        <f t="shared" si="719"/>
        <v>0</v>
      </c>
      <c r="AL646" s="200">
        <f t="shared" si="719"/>
        <v>5000</v>
      </c>
      <c r="AM646" s="200">
        <f t="shared" si="719"/>
        <v>5000</v>
      </c>
      <c r="AN646" s="200">
        <f t="shared" si="719"/>
        <v>4000</v>
      </c>
      <c r="AO646" s="200">
        <f t="shared" si="719"/>
        <v>1000</v>
      </c>
      <c r="AP646" s="200">
        <f t="shared" si="719"/>
        <v>3000</v>
      </c>
      <c r="AQ646" s="200">
        <f t="shared" si="719"/>
        <v>3000</v>
      </c>
      <c r="AR646" s="200">
        <f t="shared" si="719"/>
        <v>3000</v>
      </c>
      <c r="AS646" s="200">
        <f t="shared" si="719"/>
        <v>2000</v>
      </c>
      <c r="AT646" s="200">
        <f t="shared" si="719"/>
        <v>7000</v>
      </c>
      <c r="AU646" s="200">
        <f t="shared" si="719"/>
        <v>5000</v>
      </c>
      <c r="AV646" s="200">
        <f t="shared" si="719"/>
        <v>3000</v>
      </c>
      <c r="AW646" s="200">
        <f t="shared" si="719"/>
        <v>2000</v>
      </c>
      <c r="AX646" s="200">
        <f t="shared" si="719"/>
        <v>5000</v>
      </c>
      <c r="AY646" s="407">
        <f t="shared" si="719"/>
        <v>8000</v>
      </c>
      <c r="AZ646" s="200"/>
      <c r="BA646" s="200"/>
      <c r="BB646" s="200"/>
      <c r="BC646" s="200"/>
      <c r="BD646" s="200"/>
      <c r="BE646" s="200"/>
      <c r="BF646" s="200"/>
      <c r="BG646" s="200"/>
      <c r="BH646" s="841"/>
      <c r="BI646" s="841"/>
      <c r="BJ646" s="841"/>
      <c r="BK646" s="841"/>
      <c r="BL646" s="841"/>
      <c r="BM646" s="841"/>
      <c r="BN646" s="841"/>
      <c r="BO646" s="841"/>
      <c r="BP646" s="841"/>
      <c r="BQ646" s="841"/>
      <c r="BR646" s="841">
        <f t="shared" ref="BR646:BW646" si="720">IF(OR(ISBLANK(BR643),ISBLANK(BR644)),"",ABS(BR644-BR643))</f>
        <v>2000</v>
      </c>
      <c r="BS646" s="841">
        <f t="shared" si="720"/>
        <v>2000</v>
      </c>
      <c r="BT646" s="841">
        <f t="shared" si="720"/>
        <v>5000</v>
      </c>
      <c r="BU646" s="841">
        <f t="shared" si="720"/>
        <v>3000</v>
      </c>
      <c r="BV646" s="841">
        <f t="shared" si="720"/>
        <v>7000</v>
      </c>
      <c r="BW646" s="842">
        <f t="shared" si="720"/>
        <v>5000</v>
      </c>
      <c r="BX646" s="841"/>
      <c r="BY646" s="841"/>
      <c r="BZ646" s="841"/>
      <c r="CA646" s="841"/>
      <c r="CB646" s="841"/>
      <c r="CC646" s="6"/>
    </row>
    <row r="647" spans="1:81" s="713" customFormat="1" outlineLevel="2" x14ac:dyDescent="0.55000000000000004">
      <c r="A647" s="321" t="s">
        <v>831</v>
      </c>
      <c r="B647" s="439"/>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f t="shared" ref="AB647:AY647" si="721">IFERROR(ABS(AB644-AB645)/AB645,"")</f>
        <v>5.8823529411764705E-2</v>
      </c>
      <c r="AC647" s="61">
        <f t="shared" si="721"/>
        <v>0</v>
      </c>
      <c r="AD647" s="61">
        <f t="shared" si="721"/>
        <v>5.5555555555555552E-2</v>
      </c>
      <c r="AE647" s="61">
        <f t="shared" si="721"/>
        <v>6.6666666666666666E-2</v>
      </c>
      <c r="AF647" s="61">
        <f t="shared" si="721"/>
        <v>0</v>
      </c>
      <c r="AG647" s="61">
        <f t="shared" si="721"/>
        <v>0</v>
      </c>
      <c r="AH647" s="61">
        <f t="shared" si="721"/>
        <v>4.5454545454545456E-2</v>
      </c>
      <c r="AI647" s="61">
        <f t="shared" si="721"/>
        <v>0.05</v>
      </c>
      <c r="AJ647" s="61">
        <f t="shared" si="721"/>
        <v>0.05</v>
      </c>
      <c r="AK647" s="61">
        <f t="shared" si="721"/>
        <v>0</v>
      </c>
      <c r="AL647" s="61">
        <f t="shared" si="721"/>
        <v>7.9365079365079361E-2</v>
      </c>
      <c r="AM647" s="61">
        <f t="shared" si="721"/>
        <v>7.9365079365079361E-2</v>
      </c>
      <c r="AN647" s="61">
        <f t="shared" si="721"/>
        <v>6.25E-2</v>
      </c>
      <c r="AO647" s="61">
        <f t="shared" si="721"/>
        <v>1.5384615384615385E-2</v>
      </c>
      <c r="AP647" s="61">
        <f t="shared" si="721"/>
        <v>4.7619047619047616E-2</v>
      </c>
      <c r="AQ647" s="61">
        <f t="shared" si="721"/>
        <v>4.7619047619047616E-2</v>
      </c>
      <c r="AR647" s="61">
        <f t="shared" si="721"/>
        <v>5.2631578947368418E-2</v>
      </c>
      <c r="AS647" s="61">
        <f t="shared" si="721"/>
        <v>3.5714285714285712E-2</v>
      </c>
      <c r="AT647" s="61">
        <f t="shared" si="721"/>
        <v>0.1044776119402985</v>
      </c>
      <c r="AU647" s="61">
        <f t="shared" si="721"/>
        <v>6.6666666666666666E-2</v>
      </c>
      <c r="AV647" s="61">
        <f t="shared" si="721"/>
        <v>3.896103896103896E-2</v>
      </c>
      <c r="AW647" s="61">
        <f t="shared" si="721"/>
        <v>2.564102564102564E-2</v>
      </c>
      <c r="AX647" s="61">
        <f t="shared" si="721"/>
        <v>0.04</v>
      </c>
      <c r="AY647" s="408">
        <f t="shared" si="721"/>
        <v>5.8823529411764705E-2</v>
      </c>
      <c r="AZ647" s="61"/>
      <c r="BA647" s="61"/>
      <c r="BB647" s="61"/>
      <c r="BC647" s="61"/>
      <c r="BD647" s="61"/>
      <c r="BE647" s="61"/>
      <c r="BF647" s="61"/>
      <c r="BG647" s="61"/>
      <c r="BH647" s="831"/>
      <c r="BI647" s="831"/>
      <c r="BJ647" s="831"/>
      <c r="BK647" s="831"/>
      <c r="BL647" s="831"/>
      <c r="BM647" s="831"/>
      <c r="BN647" s="831"/>
      <c r="BO647" s="831"/>
      <c r="BP647" s="831"/>
      <c r="BQ647" s="831"/>
      <c r="BR647" s="831">
        <f t="shared" ref="BR647:BW647" si="722">IFERROR(ABS(BR644-BR645)/BR645,"")</f>
        <v>5.5555555555555552E-2</v>
      </c>
      <c r="BS647" s="831">
        <f t="shared" si="722"/>
        <v>4.5454545454545456E-2</v>
      </c>
      <c r="BT647" s="831">
        <f t="shared" si="722"/>
        <v>7.9365079365079361E-2</v>
      </c>
      <c r="BU647" s="831">
        <f t="shared" si="722"/>
        <v>4.7619047619047616E-2</v>
      </c>
      <c r="BV647" s="831">
        <f t="shared" si="722"/>
        <v>0.1044776119402985</v>
      </c>
      <c r="BW647" s="832">
        <f t="shared" si="722"/>
        <v>0.04</v>
      </c>
      <c r="BX647" s="831"/>
      <c r="BY647" s="831"/>
      <c r="BZ647" s="831"/>
      <c r="CA647" s="831"/>
      <c r="CB647" s="831"/>
      <c r="CC647" s="9"/>
    </row>
    <row r="648" spans="1:81" s="713" customFormat="1" outlineLevel="3" x14ac:dyDescent="0.55000000000000004">
      <c r="A648" s="327" t="s">
        <v>832</v>
      </c>
      <c r="B648" s="75"/>
      <c r="C648" s="224"/>
      <c r="D648" s="224"/>
      <c r="E648" s="224"/>
      <c r="F648" s="224"/>
      <c r="G648" s="224"/>
      <c r="H648" s="224"/>
      <c r="I648" s="224"/>
      <c r="J648" s="224"/>
      <c r="K648" s="224"/>
      <c r="L648" s="224"/>
      <c r="M648" s="224"/>
      <c r="N648" s="224"/>
      <c r="O648" s="224"/>
      <c r="P648" s="224"/>
      <c r="Q648" s="224"/>
      <c r="R648" s="224"/>
      <c r="S648" s="224"/>
      <c r="T648" s="224"/>
      <c r="U648" s="224"/>
      <c r="V648" s="224"/>
      <c r="W648" s="224"/>
      <c r="X648" s="224"/>
      <c r="Y648" s="224"/>
      <c r="Z648" s="224"/>
      <c r="AA648" s="224"/>
      <c r="AB648" s="224">
        <f>AB643/BQ$619-1</f>
        <v>0.14983830398850162</v>
      </c>
      <c r="AC648" s="224">
        <f t="shared" ref="AC648:AD650" si="723">AC643/BQ$619-1</f>
        <v>0.14983830398850162</v>
      </c>
      <c r="AD648" s="224">
        <f t="shared" si="723"/>
        <v>0.21374728503896767</v>
      </c>
      <c r="AE648" s="224">
        <f>AE643/BR$619-1</f>
        <v>-0.10565989523444486</v>
      </c>
      <c r="AF648" s="224">
        <f>AF643/BR$619-1</f>
        <v>2.2102976874920133E-2</v>
      </c>
      <c r="AG648" s="224">
        <f t="shared" ref="AG648:AH650" si="724">AG643/BR$619-1</f>
        <v>2.2102976874920133E-2</v>
      </c>
      <c r="AH648" s="224">
        <f t="shared" si="724"/>
        <v>0.33596284750938366</v>
      </c>
      <c r="AI648" s="224">
        <f>AI643/BS$619-1</f>
        <v>0.208728290603728</v>
      </c>
      <c r="AJ648" s="224">
        <f>AJ643/BS$619-1</f>
        <v>0.208728290603728</v>
      </c>
      <c r="AK648" s="224">
        <f t="shared" ref="AK648:AL650" si="725">AK643/BS$619-1</f>
        <v>0.208728290603728</v>
      </c>
      <c r="AL648" s="224">
        <f t="shared" si="725"/>
        <v>0.50696320931199335</v>
      </c>
      <c r="AM648" s="224">
        <f>AM643/BT$619-1</f>
        <v>0.50696320931199335</v>
      </c>
      <c r="AN648" s="224">
        <f>AN643/BT$619-1</f>
        <v>0.5589274579089587</v>
      </c>
      <c r="AO648" s="224">
        <f t="shared" ref="AO648:AP650" si="726">AO643/BT$619-1</f>
        <v>0.66285595510288919</v>
      </c>
      <c r="AP648" s="224">
        <f t="shared" si="726"/>
        <v>2.2273163780551997E-2</v>
      </c>
      <c r="AQ648" s="224">
        <f>AQ643/BU$619-1</f>
        <v>2.2273163780551997E-2</v>
      </c>
      <c r="AR648" s="224">
        <f>AR643/BU$619-1</f>
        <v>-0.16359468417954837</v>
      </c>
      <c r="AS648" s="224">
        <f t="shared" ref="AS648:AT650" si="727">AS643/BU$619-1</f>
        <v>-0.16359468417954837</v>
      </c>
      <c r="AT648" s="224">
        <f t="shared" si="727"/>
        <v>5.9172433272136615E-2</v>
      </c>
      <c r="AU648" s="224">
        <f>AU643/BV$619-1</f>
        <v>0.2357011721508262</v>
      </c>
      <c r="AV648" s="224">
        <f>AV643/BV$619-1</f>
        <v>0.30631266770230203</v>
      </c>
      <c r="AW648" s="224">
        <f t="shared" ref="AW648:AX650" si="728">AW643/BV$619-1</f>
        <v>0.41222991102951556</v>
      </c>
      <c r="AX648" s="224">
        <f t="shared" si="728"/>
        <v>0.5296367112810707</v>
      </c>
      <c r="AY648" s="624">
        <f>AY643/BW$619-1</f>
        <v>0.63161249203314207</v>
      </c>
      <c r="AZ648" s="224"/>
      <c r="BA648" s="224"/>
      <c r="BB648" s="224"/>
      <c r="BC648" s="224"/>
      <c r="BD648" s="224"/>
      <c r="BE648" s="224"/>
      <c r="BF648" s="224"/>
      <c r="BG648" s="224"/>
      <c r="BH648" s="817"/>
      <c r="BI648" s="817"/>
      <c r="BJ648" s="817"/>
      <c r="BK648" s="817"/>
      <c r="BL648" s="817"/>
      <c r="BM648" s="817"/>
      <c r="BN648" s="817"/>
      <c r="BO648" s="817"/>
      <c r="BP648" s="817"/>
      <c r="BQ648" s="817"/>
      <c r="BR648" s="817">
        <f t="shared" ref="BR648:BW650" si="729">BR643/BR$619-1</f>
        <v>0.21374728503896767</v>
      </c>
      <c r="BS648" s="817">
        <f t="shared" si="729"/>
        <v>0.33596284750938366</v>
      </c>
      <c r="BT648" s="817">
        <f t="shared" si="729"/>
        <v>0.50696320931199335</v>
      </c>
      <c r="BU648" s="817">
        <f t="shared" si="729"/>
        <v>2.2273163780551997E-2</v>
      </c>
      <c r="BV648" s="817">
        <f t="shared" si="729"/>
        <v>5.9172433272136615E-2</v>
      </c>
      <c r="BW648" s="819">
        <f t="shared" si="729"/>
        <v>0.5296367112810707</v>
      </c>
      <c r="BX648" s="817"/>
      <c r="BY648" s="817"/>
      <c r="BZ648" s="817"/>
      <c r="CA648" s="817"/>
      <c r="CB648" s="817"/>
      <c r="CC648" s="9"/>
    </row>
    <row r="649" spans="1:81" s="713" customFormat="1" outlineLevel="3" x14ac:dyDescent="0.55000000000000004">
      <c r="A649" s="333" t="s">
        <v>833</v>
      </c>
      <c r="B649" s="434"/>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f>AB644/BQ$619-1</f>
        <v>0.29356809198706424</v>
      </c>
      <c r="AC649" s="332">
        <f t="shared" si="723"/>
        <v>0.14983830398850162</v>
      </c>
      <c r="AD649" s="332">
        <f t="shared" si="723"/>
        <v>8.5984412929602572E-2</v>
      </c>
      <c r="AE649" s="332">
        <f>AE644/BR$619-1</f>
        <v>2.2102976874920133E-2</v>
      </c>
      <c r="AF649" s="332">
        <f>AF644/BR$619-1</f>
        <v>2.2102976874920133E-2</v>
      </c>
      <c r="AG649" s="332">
        <f t="shared" si="724"/>
        <v>2.2102976874920133E-2</v>
      </c>
      <c r="AH649" s="332">
        <f t="shared" si="724"/>
        <v>0.46319740441503909</v>
      </c>
      <c r="AI649" s="332">
        <f>AI644/BS$619-1</f>
        <v>0.33596284750938366</v>
      </c>
      <c r="AJ649" s="332">
        <f>AJ644/BS$619-1</f>
        <v>0.33596284750938366</v>
      </c>
      <c r="AK649" s="332">
        <f t="shared" si="725"/>
        <v>0.208728290603728</v>
      </c>
      <c r="AL649" s="332">
        <f t="shared" si="725"/>
        <v>0.76678445229681969</v>
      </c>
      <c r="AM649" s="332">
        <f>AM644/BT$619-1</f>
        <v>0.76678445229681969</v>
      </c>
      <c r="AN649" s="332">
        <f>AN644/BT$619-1</f>
        <v>0.76678445229681969</v>
      </c>
      <c r="AO649" s="332">
        <f t="shared" si="726"/>
        <v>0.71482020369985455</v>
      </c>
      <c r="AP649" s="332">
        <f t="shared" si="726"/>
        <v>-7.0660760199498185E-2</v>
      </c>
      <c r="AQ649" s="332">
        <f>AQ644/BU$619-1</f>
        <v>-7.0660760199498185E-2</v>
      </c>
      <c r="AR649" s="332">
        <f>AR644/BU$619-1</f>
        <v>-7.0660760199498185E-2</v>
      </c>
      <c r="AS649" s="332">
        <f t="shared" si="727"/>
        <v>-0.10163873485951491</v>
      </c>
      <c r="AT649" s="332">
        <f t="shared" si="727"/>
        <v>0.30631266770230203</v>
      </c>
      <c r="AU649" s="332">
        <f>AU644/BV$619-1</f>
        <v>0.41222991102951556</v>
      </c>
      <c r="AV649" s="332">
        <f>AV644/BV$619-1</f>
        <v>0.41222991102951556</v>
      </c>
      <c r="AW649" s="332">
        <f t="shared" si="728"/>
        <v>0.34161841547803973</v>
      </c>
      <c r="AX649" s="332">
        <f t="shared" si="728"/>
        <v>0.65710643722115991</v>
      </c>
      <c r="AY649" s="664">
        <f>AY644/BW$619-1</f>
        <v>0.8355640535372848</v>
      </c>
      <c r="AZ649" s="332"/>
      <c r="BA649" s="332"/>
      <c r="BB649" s="332"/>
      <c r="BC649" s="332"/>
      <c r="BD649" s="332"/>
      <c r="BE649" s="332"/>
      <c r="BF649" s="332"/>
      <c r="BG649" s="332"/>
      <c r="BH649" s="993"/>
      <c r="BI649" s="993"/>
      <c r="BJ649" s="993"/>
      <c r="BK649" s="993"/>
      <c r="BL649" s="993"/>
      <c r="BM649" s="993"/>
      <c r="BN649" s="993"/>
      <c r="BO649" s="993"/>
      <c r="BP649" s="993"/>
      <c r="BQ649" s="993"/>
      <c r="BR649" s="993">
        <f t="shared" si="729"/>
        <v>8.5984412929602572E-2</v>
      </c>
      <c r="BS649" s="993">
        <f t="shared" si="729"/>
        <v>0.46319740441503909</v>
      </c>
      <c r="BT649" s="993">
        <f t="shared" si="729"/>
        <v>0.76678445229681969</v>
      </c>
      <c r="BU649" s="993">
        <f t="shared" si="729"/>
        <v>-7.0660760199498185E-2</v>
      </c>
      <c r="BV649" s="993">
        <f t="shared" si="729"/>
        <v>0.30631266770230203</v>
      </c>
      <c r="BW649" s="994">
        <f t="shared" si="729"/>
        <v>0.65710643722115991</v>
      </c>
      <c r="BX649" s="993"/>
      <c r="BY649" s="993"/>
      <c r="BZ649" s="993"/>
      <c r="CA649" s="993"/>
      <c r="CB649" s="993"/>
      <c r="CC649" s="9"/>
    </row>
    <row r="650" spans="1:81" s="713" customFormat="1" outlineLevel="2" x14ac:dyDescent="0.55000000000000004">
      <c r="A650" s="79" t="s">
        <v>834</v>
      </c>
      <c r="B650" s="75"/>
      <c r="C650" s="224"/>
      <c r="D650" s="224"/>
      <c r="E650" s="224"/>
      <c r="F650" s="224"/>
      <c r="G650" s="224"/>
      <c r="H650" s="224"/>
      <c r="I650" s="224"/>
      <c r="J650" s="224"/>
      <c r="K650" s="224"/>
      <c r="L650" s="224"/>
      <c r="M650" s="224"/>
      <c r="N650" s="224"/>
      <c r="O650" s="224"/>
      <c r="P650" s="224"/>
      <c r="Q650" s="224"/>
      <c r="R650" s="224"/>
      <c r="S650" s="224"/>
      <c r="T650" s="224"/>
      <c r="U650" s="224"/>
      <c r="V650" s="224"/>
      <c r="W650" s="224"/>
      <c r="X650" s="224"/>
      <c r="Y650" s="224"/>
      <c r="Z650" s="224"/>
      <c r="AA650" s="224"/>
      <c r="AB650" s="224">
        <f>AB645/BQ$619-1</f>
        <v>0.22170319798778304</v>
      </c>
      <c r="AC650" s="224">
        <f t="shared" si="723"/>
        <v>0.14983830398850162</v>
      </c>
      <c r="AD650" s="224">
        <f t="shared" si="723"/>
        <v>0.14986584898428523</v>
      </c>
      <c r="AE650" s="224">
        <f>AE645/BR$619-1</f>
        <v>-4.1778459179762306E-2</v>
      </c>
      <c r="AF650" s="224">
        <f>AF645/BR$619-1</f>
        <v>2.2102976874920133E-2</v>
      </c>
      <c r="AG650" s="224">
        <f t="shared" si="724"/>
        <v>2.2102976874920133E-2</v>
      </c>
      <c r="AH650" s="224">
        <f t="shared" si="724"/>
        <v>0.39958012596221137</v>
      </c>
      <c r="AI650" s="224">
        <f>AI645/BS$619-1</f>
        <v>0.27234556905655571</v>
      </c>
      <c r="AJ650" s="224">
        <f>AJ645/BS$619-1</f>
        <v>0.27234556905655571</v>
      </c>
      <c r="AK650" s="224">
        <f t="shared" si="725"/>
        <v>0.208728290603728</v>
      </c>
      <c r="AL650" s="224">
        <f t="shared" si="725"/>
        <v>0.63687383080440663</v>
      </c>
      <c r="AM650" s="224">
        <f>AM645/BT$619-1</f>
        <v>0.63687383080440663</v>
      </c>
      <c r="AN650" s="224">
        <f>AN645/BT$619-1</f>
        <v>0.66285595510288919</v>
      </c>
      <c r="AO650" s="224">
        <f t="shared" si="726"/>
        <v>0.68883807940137176</v>
      </c>
      <c r="AP650" s="224">
        <f t="shared" si="726"/>
        <v>-2.4193798209473094E-2</v>
      </c>
      <c r="AQ650" s="224">
        <f>AQ645/BU$619-1</f>
        <v>-2.4193798209473094E-2</v>
      </c>
      <c r="AR650" s="224">
        <f>AR645/BU$619-1</f>
        <v>-0.11712772218952328</v>
      </c>
      <c r="AS650" s="224">
        <f t="shared" si="727"/>
        <v>-0.13261670951953164</v>
      </c>
      <c r="AT650" s="224">
        <f t="shared" si="727"/>
        <v>0.18274255048721932</v>
      </c>
      <c r="AU650" s="224">
        <f>AU645/BV$619-1</f>
        <v>0.32396554159017077</v>
      </c>
      <c r="AV650" s="224">
        <f>AV645/BV$619-1</f>
        <v>0.35927128936590869</v>
      </c>
      <c r="AW650" s="224">
        <f t="shared" si="728"/>
        <v>0.37692416325377764</v>
      </c>
      <c r="AX650" s="224">
        <f t="shared" si="728"/>
        <v>0.59337157425111542</v>
      </c>
      <c r="AY650" s="624">
        <f>AY645/BW$619-1</f>
        <v>0.73358827278521344</v>
      </c>
      <c r="AZ650" s="224"/>
      <c r="BA650" s="224"/>
      <c r="BB650" s="224"/>
      <c r="BC650" s="224"/>
      <c r="BD650" s="224"/>
      <c r="BE650" s="224"/>
      <c r="BF650" s="224"/>
      <c r="BG650" s="224"/>
      <c r="BH650" s="817"/>
      <c r="BI650" s="817"/>
      <c r="BJ650" s="817"/>
      <c r="BK650" s="817"/>
      <c r="BL650" s="817"/>
      <c r="BM650" s="817"/>
      <c r="BN650" s="817"/>
      <c r="BO650" s="817"/>
      <c r="BP650" s="817"/>
      <c r="BQ650" s="817"/>
      <c r="BR650" s="817">
        <f t="shared" si="729"/>
        <v>0.14986584898428523</v>
      </c>
      <c r="BS650" s="817">
        <f t="shared" si="729"/>
        <v>0.39958012596221137</v>
      </c>
      <c r="BT650" s="817">
        <f t="shared" si="729"/>
        <v>0.63687383080440663</v>
      </c>
      <c r="BU650" s="817">
        <f t="shared" si="729"/>
        <v>-2.4193798209473094E-2</v>
      </c>
      <c r="BV650" s="817">
        <f t="shared" si="729"/>
        <v>0.18274255048721932</v>
      </c>
      <c r="BW650" s="819">
        <f t="shared" si="729"/>
        <v>0.59337157425111542</v>
      </c>
      <c r="BX650" s="817"/>
      <c r="BY650" s="817"/>
      <c r="BZ650" s="817"/>
      <c r="CA650" s="817"/>
      <c r="CB650" s="817"/>
      <c r="CC650" s="9"/>
    </row>
    <row r="651" spans="1:81" outlineLevel="2" x14ac:dyDescent="0.55000000000000004">
      <c r="A651" s="37"/>
      <c r="B651" s="241"/>
      <c r="C651" s="600"/>
      <c r="D651" s="600"/>
      <c r="E651" s="600"/>
      <c r="F651" s="600"/>
      <c r="G651" s="600"/>
      <c r="H651" s="600"/>
      <c r="I651" s="600"/>
      <c r="J651" s="600"/>
      <c r="K651" s="600"/>
      <c r="L651" s="600"/>
      <c r="M651" s="600"/>
      <c r="N651" s="600"/>
      <c r="O651" s="600"/>
      <c r="P651" s="600"/>
      <c r="Q651" s="600"/>
      <c r="R651" s="600"/>
      <c r="S651" s="600"/>
      <c r="T651" s="600"/>
      <c r="U651" s="600"/>
      <c r="V651" s="600"/>
      <c r="W651" s="600"/>
      <c r="X651" s="600"/>
      <c r="Y651" s="600"/>
      <c r="Z651" s="600"/>
      <c r="AA651" s="600"/>
      <c r="AB651" s="600"/>
      <c r="AC651" s="600"/>
      <c r="AD651" s="600"/>
      <c r="AE651" s="600"/>
      <c r="AF651" s="600"/>
      <c r="AG651" s="600"/>
      <c r="AH651" s="600"/>
      <c r="AI651" s="600"/>
      <c r="AJ651" s="600"/>
      <c r="AK651" s="600"/>
      <c r="AL651" s="600"/>
      <c r="AM651" s="600"/>
      <c r="AN651" s="600"/>
      <c r="AO651" s="600"/>
      <c r="AP651" s="600"/>
      <c r="AQ651" s="600"/>
      <c r="AR651" s="600"/>
      <c r="AS651" s="600"/>
      <c r="AT651" s="600"/>
      <c r="AU651" s="600"/>
      <c r="AV651" s="600"/>
      <c r="AW651" s="600"/>
      <c r="AX651" s="600"/>
      <c r="AY651" s="604"/>
      <c r="AZ651" s="600"/>
      <c r="BA651" s="600"/>
      <c r="BB651" s="600"/>
      <c r="BC651" s="600"/>
      <c r="BD651" s="600"/>
      <c r="BE651" s="600"/>
      <c r="BF651" s="600"/>
      <c r="BG651" s="600"/>
      <c r="BH651" s="186"/>
      <c r="BI651" s="186"/>
      <c r="BJ651" s="186"/>
      <c r="BK651" s="186"/>
      <c r="BL651" s="186"/>
      <c r="BM651" s="186"/>
      <c r="BN651" s="186"/>
      <c r="BO651" s="186"/>
      <c r="BP651" s="186"/>
      <c r="BQ651" s="186"/>
      <c r="BR651" s="186"/>
      <c r="BS651" s="186"/>
      <c r="BT651" s="186"/>
      <c r="BU651" s="186"/>
      <c r="BV651" s="186"/>
      <c r="BW651" s="909"/>
      <c r="BX651" s="186"/>
      <c r="BY651" s="186"/>
      <c r="BZ651" s="186"/>
      <c r="CA651" s="186"/>
      <c r="CB651" s="186"/>
      <c r="CC651" s="358"/>
    </row>
    <row r="652" spans="1:81" s="706" customFormat="1" outlineLevel="2" x14ac:dyDescent="0.55000000000000004">
      <c r="A652" s="35" t="s">
        <v>835</v>
      </c>
      <c r="B652" s="193"/>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f>AE645-AD645</f>
        <v>-3000</v>
      </c>
      <c r="AF652" s="35">
        <f>AF645-AE645</f>
        <v>1000</v>
      </c>
      <c r="AG652" s="35">
        <f>AG645-AF645</f>
        <v>0</v>
      </c>
      <c r="AH652" s="35"/>
      <c r="AI652" s="35">
        <f>AI645-AH645</f>
        <v>-2000</v>
      </c>
      <c r="AJ652" s="35">
        <f>AJ645-AI645</f>
        <v>0</v>
      </c>
      <c r="AK652" s="35">
        <f>AK645-AJ645</f>
        <v>-1000</v>
      </c>
      <c r="AL652" s="35"/>
      <c r="AM652" s="35">
        <f>AM645-AL645</f>
        <v>0</v>
      </c>
      <c r="AN652" s="35">
        <f>AN645-AM645</f>
        <v>500</v>
      </c>
      <c r="AO652" s="35">
        <f>AO645-AN645</f>
        <v>500</v>
      </c>
      <c r="AP652" s="35"/>
      <c r="AQ652" s="35">
        <f>AQ645-AP645</f>
        <v>0</v>
      </c>
      <c r="AR652" s="35">
        <f>AR645-AQ645</f>
        <v>-3000</v>
      </c>
      <c r="AS652" s="35">
        <f>AS645-AR645</f>
        <v>-500</v>
      </c>
      <c r="AT652" s="35"/>
      <c r="AU652" s="35">
        <f>AU645-AT645</f>
        <v>4000</v>
      </c>
      <c r="AV652" s="35">
        <f>AV645-AU645</f>
        <v>1000</v>
      </c>
      <c r="AW652" s="35">
        <f>AW645-AV645</f>
        <v>500</v>
      </c>
      <c r="AX652" s="35"/>
      <c r="AY652" s="272">
        <f>AY645-AX645</f>
        <v>5500</v>
      </c>
      <c r="AZ652" s="35"/>
      <c r="BA652" s="35"/>
      <c r="BB652" s="35"/>
      <c r="BC652" s="35"/>
      <c r="BD652" s="35"/>
      <c r="BE652" s="35"/>
      <c r="BF652" s="35"/>
      <c r="BG652" s="35"/>
      <c r="BH652" s="812"/>
      <c r="BI652" s="812"/>
      <c r="BJ652" s="812"/>
      <c r="BK652" s="812"/>
      <c r="BL652" s="812"/>
      <c r="BM652" s="812"/>
      <c r="BN652" s="812"/>
      <c r="BO652" s="812"/>
      <c r="BP652" s="812"/>
      <c r="BQ652" s="812"/>
      <c r="BR652" s="812"/>
      <c r="BS652" s="812"/>
      <c r="BT652" s="812"/>
      <c r="BU652" s="812"/>
      <c r="BV652" s="812"/>
      <c r="BW652" s="814"/>
      <c r="BX652" s="812"/>
      <c r="BY652" s="812"/>
      <c r="BZ652" s="812"/>
      <c r="CA652" s="812"/>
      <c r="CB652" s="812"/>
      <c r="CC652" s="117"/>
    </row>
    <row r="653" spans="1:81" s="709" customFormat="1" outlineLevel="2" x14ac:dyDescent="0.55000000000000004">
      <c r="A653" s="79" t="s">
        <v>836</v>
      </c>
      <c r="B653" s="75"/>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f>AE645/AD645-1</f>
        <v>-0.16666666666666663</v>
      </c>
      <c r="AF653" s="54">
        <f>AF645/AE645-1</f>
        <v>6.6666666666666652E-2</v>
      </c>
      <c r="AG653" s="54">
        <f>AG645/AF645-1</f>
        <v>0</v>
      </c>
      <c r="AH653" s="54"/>
      <c r="AI653" s="54">
        <f>AI645/AH645-1</f>
        <v>-9.0909090909090939E-2</v>
      </c>
      <c r="AJ653" s="54">
        <f>AJ645/AI645-1</f>
        <v>0</v>
      </c>
      <c r="AK653" s="54">
        <f>AK645/AJ645-1</f>
        <v>-5.0000000000000044E-2</v>
      </c>
      <c r="AL653" s="54"/>
      <c r="AM653" s="54">
        <f>AM645/AL645-1</f>
        <v>0</v>
      </c>
      <c r="AN653" s="54">
        <f>AN645/AM645-1</f>
        <v>1.5873015873015817E-2</v>
      </c>
      <c r="AO653" s="54">
        <f>AO645/AN645-1</f>
        <v>1.5625E-2</v>
      </c>
      <c r="AP653" s="54"/>
      <c r="AQ653" s="54">
        <f>AQ645/AP645-1</f>
        <v>0</v>
      </c>
      <c r="AR653" s="54">
        <f>AR645/AQ645-1</f>
        <v>-9.5238095238095233E-2</v>
      </c>
      <c r="AS653" s="54">
        <f>AS645/AR645-1</f>
        <v>-1.7543859649122862E-2</v>
      </c>
      <c r="AT653" s="54"/>
      <c r="AU653" s="54">
        <f>AU645/AT645-1</f>
        <v>0.11940298507462677</v>
      </c>
      <c r="AV653" s="54">
        <f>AV645/AU645-1</f>
        <v>2.6666666666666616E-2</v>
      </c>
      <c r="AW653" s="54">
        <f>AW645/AV645-1</f>
        <v>1.298701298701288E-2</v>
      </c>
      <c r="AX653" s="54"/>
      <c r="AY653" s="623">
        <f>AY645/AX645-1</f>
        <v>8.8000000000000078E-2</v>
      </c>
      <c r="AZ653" s="54"/>
      <c r="BA653" s="54"/>
      <c r="BB653" s="54"/>
      <c r="BC653" s="54"/>
      <c r="BD653" s="54"/>
      <c r="BE653" s="54"/>
      <c r="BF653" s="54"/>
      <c r="BG653" s="54"/>
      <c r="BH653" s="815"/>
      <c r="BI653" s="815"/>
      <c r="BJ653" s="815"/>
      <c r="BK653" s="815"/>
      <c r="BL653" s="815"/>
      <c r="BM653" s="815"/>
      <c r="BN653" s="815"/>
      <c r="BO653" s="815"/>
      <c r="BP653" s="815"/>
      <c r="BQ653" s="815"/>
      <c r="BR653" s="815"/>
      <c r="BS653" s="815"/>
      <c r="BT653" s="815"/>
      <c r="BU653" s="815"/>
      <c r="BV653" s="815"/>
      <c r="BW653" s="816"/>
      <c r="BX653" s="815"/>
      <c r="BY653" s="815"/>
      <c r="BZ653" s="815"/>
      <c r="CA653" s="815"/>
      <c r="CB653" s="815"/>
      <c r="CC653" s="24"/>
    </row>
    <row r="654" spans="1:81" s="706" customFormat="1" outlineLevel="2" x14ac:dyDescent="0.55000000000000004">
      <c r="A654" s="35" t="s">
        <v>837</v>
      </c>
      <c r="B654" s="193"/>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f>AE652</f>
        <v>-3000</v>
      </c>
      <c r="AF654" s="35">
        <f>AE654+AF652</f>
        <v>-2000</v>
      </c>
      <c r="AG654" s="35">
        <f>AF654+AG652</f>
        <v>-2000</v>
      </c>
      <c r="AH654" s="35"/>
      <c r="AI654" s="35">
        <f>AI652</f>
        <v>-2000</v>
      </c>
      <c r="AJ654" s="35">
        <f>AI654+AJ652</f>
        <v>-2000</v>
      </c>
      <c r="AK654" s="35">
        <f>AJ654+AK652</f>
        <v>-3000</v>
      </c>
      <c r="AL654" s="35"/>
      <c r="AM654" s="35">
        <f>AM652</f>
        <v>0</v>
      </c>
      <c r="AN654" s="35">
        <f>AM654+AN652</f>
        <v>500</v>
      </c>
      <c r="AO654" s="35">
        <f>AN654+AO652</f>
        <v>1000</v>
      </c>
      <c r="AP654" s="35"/>
      <c r="AQ654" s="35">
        <f>AQ652</f>
        <v>0</v>
      </c>
      <c r="AR654" s="35">
        <f>AQ654+AR652</f>
        <v>-3000</v>
      </c>
      <c r="AS654" s="35">
        <f>AR654+AS652</f>
        <v>-3500</v>
      </c>
      <c r="AT654" s="35"/>
      <c r="AU654" s="35">
        <f>AU652</f>
        <v>4000</v>
      </c>
      <c r="AV654" s="35">
        <f>AU654+AV652</f>
        <v>5000</v>
      </c>
      <c r="AW654" s="35">
        <f>AV654+AW652</f>
        <v>5500</v>
      </c>
      <c r="AX654" s="35"/>
      <c r="AY654" s="272">
        <f>AY652</f>
        <v>5500</v>
      </c>
      <c r="AZ654" s="35"/>
      <c r="BA654" s="35"/>
      <c r="BB654" s="35"/>
      <c r="BC654" s="35"/>
      <c r="BD654" s="35"/>
      <c r="BE654" s="35"/>
      <c r="BF654" s="35"/>
      <c r="BG654" s="35"/>
      <c r="BH654" s="812"/>
      <c r="BI654" s="812"/>
      <c r="BJ654" s="812"/>
      <c r="BK654" s="812"/>
      <c r="BL654" s="812"/>
      <c r="BM654" s="812"/>
      <c r="BN654" s="812"/>
      <c r="BO654" s="812"/>
      <c r="BP654" s="812"/>
      <c r="BQ654" s="812"/>
      <c r="BR654" s="812"/>
      <c r="BS654" s="812"/>
      <c r="BT654" s="812"/>
      <c r="BU654" s="812"/>
      <c r="BV654" s="812"/>
      <c r="BW654" s="814"/>
      <c r="BX654" s="812"/>
      <c r="BY654" s="812"/>
      <c r="BZ654" s="812"/>
      <c r="CA654" s="812"/>
      <c r="CB654" s="812"/>
      <c r="CC654" s="117"/>
    </row>
    <row r="655" spans="1:81" s="709" customFormat="1" outlineLevel="2" x14ac:dyDescent="0.55000000000000004">
      <c r="A655" s="79" t="s">
        <v>838</v>
      </c>
      <c r="B655" s="75"/>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f>AE645/AD645-1</f>
        <v>-0.16666666666666663</v>
      </c>
      <c r="AF655" s="54">
        <f>AF645/AD645-1</f>
        <v>-0.11111111111111116</v>
      </c>
      <c r="AG655" s="54">
        <f>AG645/AD645-1</f>
        <v>-0.11111111111111116</v>
      </c>
      <c r="AH655" s="54"/>
      <c r="AI655" s="54">
        <f>AI645/AH645-1</f>
        <v>-9.0909090909090939E-2</v>
      </c>
      <c r="AJ655" s="54">
        <f>AJ645/AH645-1</f>
        <v>-9.0909090909090939E-2</v>
      </c>
      <c r="AK655" s="54">
        <f>AK645/AH645-1</f>
        <v>-0.13636363636363635</v>
      </c>
      <c r="AL655" s="54"/>
      <c r="AM655" s="54">
        <f>AM645/AL645-1</f>
        <v>0</v>
      </c>
      <c r="AN655" s="54">
        <f>AN645/AL645-1</f>
        <v>1.5873015873015817E-2</v>
      </c>
      <c r="AO655" s="54">
        <f>AO645/AL645-1</f>
        <v>3.1746031746031855E-2</v>
      </c>
      <c r="AP655" s="54"/>
      <c r="AQ655" s="54">
        <f>AQ645/AP645-1</f>
        <v>0</v>
      </c>
      <c r="AR655" s="54">
        <f>AR645/AP645-1</f>
        <v>-9.5238095238095233E-2</v>
      </c>
      <c r="AS655" s="54">
        <f>AS645/AP645-1</f>
        <v>-0.11111111111111116</v>
      </c>
      <c r="AT655" s="54"/>
      <c r="AU655" s="54">
        <f>AU645/AT645-1</f>
        <v>0.11940298507462677</v>
      </c>
      <c r="AV655" s="54">
        <f>AV645/AT645-1</f>
        <v>0.14925373134328357</v>
      </c>
      <c r="AW655" s="54">
        <f>AW645/AT645-1</f>
        <v>0.16417910447761197</v>
      </c>
      <c r="AX655" s="54"/>
      <c r="AY655" s="623">
        <f>AY645/AX645-1</f>
        <v>8.8000000000000078E-2</v>
      </c>
      <c r="AZ655" s="54"/>
      <c r="BA655" s="54"/>
      <c r="BB655" s="54"/>
      <c r="BC655" s="54"/>
      <c r="BD655" s="54"/>
      <c r="BE655" s="54"/>
      <c r="BF655" s="54"/>
      <c r="BG655" s="54"/>
      <c r="BH655" s="815"/>
      <c r="BI655" s="815"/>
      <c r="BJ655" s="815"/>
      <c r="BK655" s="815"/>
      <c r="BL655" s="815"/>
      <c r="BM655" s="815"/>
      <c r="BN655" s="815"/>
      <c r="BO655" s="815"/>
      <c r="BP655" s="815"/>
      <c r="BQ655" s="815"/>
      <c r="BR655" s="815"/>
      <c r="BS655" s="815"/>
      <c r="BT655" s="815"/>
      <c r="BU655" s="815"/>
      <c r="BV655" s="815"/>
      <c r="BW655" s="816"/>
      <c r="BX655" s="815"/>
      <c r="BY655" s="815"/>
      <c r="BZ655" s="815"/>
      <c r="CA655" s="815"/>
      <c r="CB655" s="815"/>
      <c r="CC655" s="24"/>
    </row>
    <row r="656" spans="1:81" outlineLevel="1" x14ac:dyDescent="0.55000000000000004">
      <c r="A656" s="37"/>
      <c r="B656" s="241"/>
      <c r="C656" s="600"/>
      <c r="D656" s="600"/>
      <c r="E656" s="600"/>
      <c r="F656" s="600"/>
      <c r="G656" s="600"/>
      <c r="H656" s="600"/>
      <c r="I656" s="600"/>
      <c r="J656" s="600"/>
      <c r="K656" s="600"/>
      <c r="L656" s="600"/>
      <c r="M656" s="600"/>
      <c r="N656" s="600"/>
      <c r="O656" s="600"/>
      <c r="P656" s="600"/>
      <c r="Q656" s="600"/>
      <c r="R656" s="600"/>
      <c r="S656" s="600"/>
      <c r="T656" s="600"/>
      <c r="U656" s="600"/>
      <c r="V656" s="600"/>
      <c r="W656" s="600"/>
      <c r="X656" s="600"/>
      <c r="Y656" s="600"/>
      <c r="Z656" s="600"/>
      <c r="AA656" s="600"/>
      <c r="AB656" s="600"/>
      <c r="AC656" s="600"/>
      <c r="AD656" s="600"/>
      <c r="AE656" s="600"/>
      <c r="AF656" s="600"/>
      <c r="AG656" s="600"/>
      <c r="AH656" s="600"/>
      <c r="AI656" s="600"/>
      <c r="AJ656" s="600"/>
      <c r="AK656" s="600"/>
      <c r="AL656" s="600"/>
      <c r="AM656" s="600"/>
      <c r="AN656" s="600"/>
      <c r="AO656" s="600"/>
      <c r="AP656" s="600"/>
      <c r="AQ656" s="600"/>
      <c r="AR656" s="600"/>
      <c r="AS656" s="600"/>
      <c r="AT656" s="600"/>
      <c r="AU656" s="600"/>
      <c r="AV656" s="600"/>
      <c r="AW656" s="600"/>
      <c r="AX656" s="600"/>
      <c r="AY656" s="604"/>
      <c r="AZ656" s="600"/>
      <c r="BA656" s="600"/>
      <c r="BB656" s="600"/>
      <c r="BC656" s="600"/>
      <c r="BD656" s="600"/>
      <c r="BE656" s="600"/>
      <c r="BF656" s="600"/>
      <c r="BG656" s="600"/>
      <c r="BH656" s="186"/>
      <c r="BI656" s="186"/>
      <c r="BJ656" s="186"/>
      <c r="BK656" s="186"/>
      <c r="BL656" s="186"/>
      <c r="BM656" s="186"/>
      <c r="BN656" s="186"/>
      <c r="BO656" s="186"/>
      <c r="BP656" s="186"/>
      <c r="BQ656" s="186"/>
      <c r="BR656" s="186"/>
      <c r="BS656" s="186"/>
      <c r="BT656" s="186"/>
      <c r="BU656" s="186"/>
      <c r="BV656" s="186"/>
      <c r="BW656" s="909"/>
      <c r="BX656" s="186"/>
      <c r="BY656" s="186"/>
      <c r="BZ656" s="186"/>
      <c r="CA656" s="186"/>
      <c r="CB656" s="186"/>
      <c r="CC656" s="358"/>
    </row>
    <row r="657" spans="1:81" x14ac:dyDescent="0.55000000000000004">
      <c r="A657" s="37"/>
      <c r="B657" s="241"/>
      <c r="C657" s="600"/>
      <c r="D657" s="600"/>
      <c r="E657" s="600"/>
      <c r="F657" s="600"/>
      <c r="G657" s="600"/>
      <c r="H657" s="600"/>
      <c r="I657" s="600"/>
      <c r="J657" s="600"/>
      <c r="K657" s="600"/>
      <c r="L657" s="600"/>
      <c r="M657" s="600"/>
      <c r="N657" s="600"/>
      <c r="O657" s="600"/>
      <c r="P657" s="600"/>
      <c r="Q657" s="600"/>
      <c r="R657" s="600"/>
      <c r="S657" s="600"/>
      <c r="T657" s="600"/>
      <c r="U657" s="600"/>
      <c r="V657" s="600"/>
      <c r="W657" s="600"/>
      <c r="X657" s="600"/>
      <c r="Y657" s="600"/>
      <c r="Z657" s="600"/>
      <c r="AA657" s="600"/>
      <c r="AB657" s="600"/>
      <c r="AC657" s="600"/>
      <c r="AD657" s="600"/>
      <c r="AE657" s="600"/>
      <c r="AF657" s="600"/>
      <c r="AG657" s="600"/>
      <c r="AH657" s="600"/>
      <c r="AI657" s="600"/>
      <c r="AJ657" s="600"/>
      <c r="AK657" s="600"/>
      <c r="AL657" s="600"/>
      <c r="AM657" s="600"/>
      <c r="AN657" s="600"/>
      <c r="AO657" s="600"/>
      <c r="AP657" s="600"/>
      <c r="AQ657" s="600"/>
      <c r="AR657" s="600"/>
      <c r="AS657" s="600"/>
      <c r="AT657" s="600"/>
      <c r="AU657" s="600"/>
      <c r="AV657" s="600"/>
      <c r="AW657" s="600"/>
      <c r="AX657" s="600"/>
      <c r="AY657" s="604"/>
      <c r="AZ657" s="600"/>
      <c r="BA657" s="600"/>
      <c r="BB657" s="600"/>
      <c r="BC657" s="600"/>
      <c r="BD657" s="600"/>
      <c r="BE657" s="600"/>
      <c r="BF657" s="600"/>
      <c r="BG657" s="600"/>
      <c r="BH657" s="186"/>
      <c r="BI657" s="186"/>
      <c r="BJ657" s="186"/>
      <c r="BK657" s="186"/>
      <c r="BL657" s="186"/>
      <c r="BM657" s="186"/>
      <c r="BN657" s="186"/>
      <c r="BO657" s="186"/>
      <c r="BP657" s="186"/>
      <c r="BQ657" s="186"/>
      <c r="BR657" s="186"/>
      <c r="BS657" s="186"/>
      <c r="BT657" s="186"/>
      <c r="BU657" s="186"/>
      <c r="BV657" s="186"/>
      <c r="BW657" s="909"/>
      <c r="BX657" s="186"/>
      <c r="BY657" s="186"/>
      <c r="BZ657" s="186"/>
      <c r="CA657" s="186"/>
      <c r="CB657" s="186"/>
      <c r="CC657" s="358"/>
    </row>
    <row r="658" spans="1:81" x14ac:dyDescent="0.55000000000000004">
      <c r="A658" s="598" t="s">
        <v>102</v>
      </c>
      <c r="B658" s="598"/>
      <c r="C658" s="598"/>
      <c r="D658" s="598"/>
      <c r="E658" s="598"/>
      <c r="F658" s="598"/>
      <c r="G658" s="598"/>
      <c r="H658" s="598"/>
      <c r="I658" s="598"/>
      <c r="J658" s="598"/>
      <c r="K658" s="598"/>
      <c r="L658" s="598"/>
      <c r="M658" s="598"/>
      <c r="N658" s="598"/>
      <c r="O658" s="598"/>
      <c r="P658" s="598"/>
      <c r="Q658" s="598"/>
      <c r="R658" s="598"/>
      <c r="S658" s="598"/>
      <c r="T658" s="598"/>
      <c r="U658" s="598"/>
      <c r="V658" s="598"/>
      <c r="W658" s="598"/>
      <c r="X658" s="598"/>
      <c r="Y658" s="598"/>
      <c r="Z658" s="598"/>
      <c r="AA658" s="598"/>
      <c r="AB658" s="598"/>
      <c r="AC658" s="598"/>
      <c r="AD658" s="598"/>
      <c r="AE658" s="598"/>
      <c r="AF658" s="598"/>
      <c r="AG658" s="598"/>
      <c r="AH658" s="598"/>
      <c r="AI658" s="598"/>
      <c r="AJ658" s="598"/>
      <c r="AK658" s="598"/>
      <c r="AL658" s="598"/>
      <c r="AM658" s="598"/>
      <c r="AN658" s="598"/>
      <c r="AO658" s="598"/>
      <c r="AP658" s="598"/>
      <c r="AQ658" s="598"/>
      <c r="AR658" s="598"/>
      <c r="AS658" s="598"/>
      <c r="AT658" s="598"/>
      <c r="AU658" s="598"/>
      <c r="AV658" s="598"/>
      <c r="AW658" s="598"/>
      <c r="AX658" s="598"/>
      <c r="AY658" s="599"/>
      <c r="AZ658" s="598"/>
      <c r="BA658" s="598"/>
      <c r="BB658" s="598"/>
      <c r="BC658" s="598"/>
      <c r="BD658" s="598"/>
      <c r="BE658" s="598"/>
      <c r="BF658" s="598"/>
      <c r="BG658" s="598"/>
      <c r="BH658" s="598"/>
      <c r="BI658" s="598"/>
      <c r="BJ658" s="598"/>
      <c r="BK658" s="598"/>
      <c r="BL658" s="598"/>
      <c r="BM658" s="598"/>
      <c r="BN658" s="598"/>
      <c r="BO658" s="598"/>
      <c r="BP658" s="598"/>
      <c r="BQ658" s="598"/>
      <c r="BR658" s="598"/>
      <c r="BS658" s="598"/>
      <c r="BT658" s="598"/>
      <c r="BU658" s="598"/>
      <c r="BV658" s="598"/>
      <c r="BW658" s="599"/>
      <c r="BX658" s="598"/>
      <c r="BY658" s="598"/>
      <c r="BZ658" s="598"/>
      <c r="CA658" s="598"/>
      <c r="CB658" s="598"/>
      <c r="CC658" s="217"/>
    </row>
    <row r="659" spans="1:81" outlineLevel="1" x14ac:dyDescent="0.55000000000000004">
      <c r="A659" s="117" t="s">
        <v>103</v>
      </c>
      <c r="B659" s="87"/>
      <c r="C659" s="117">
        <f t="shared" ref="C659:AH659" si="730">C815</f>
        <v>629</v>
      </c>
      <c r="D659" s="117">
        <f t="shared" si="730"/>
        <v>877</v>
      </c>
      <c r="E659" s="117">
        <f t="shared" si="730"/>
        <v>1001</v>
      </c>
      <c r="F659" s="117">
        <f t="shared" si="730"/>
        <v>1039</v>
      </c>
      <c r="G659" s="117">
        <f t="shared" si="730"/>
        <v>1172</v>
      </c>
      <c r="H659" s="117">
        <f t="shared" si="730"/>
        <v>1305</v>
      </c>
      <c r="I659" s="117">
        <f t="shared" si="730"/>
        <v>1446</v>
      </c>
      <c r="J659" s="117">
        <f t="shared" si="730"/>
        <v>1796</v>
      </c>
      <c r="K659" s="117">
        <f t="shared" si="730"/>
        <v>1446</v>
      </c>
      <c r="L659" s="117">
        <f t="shared" si="730"/>
        <v>1876</v>
      </c>
      <c r="M659" s="117">
        <f t="shared" si="730"/>
        <v>1762</v>
      </c>
      <c r="N659" s="117">
        <f t="shared" si="730"/>
        <v>2731</v>
      </c>
      <c r="O659" s="117">
        <f t="shared" si="730"/>
        <v>2972</v>
      </c>
      <c r="P659" s="117">
        <f t="shared" si="730"/>
        <v>3590</v>
      </c>
      <c r="Q659" s="117">
        <f t="shared" si="730"/>
        <v>4023</v>
      </c>
      <c r="R659" s="117">
        <f t="shared" si="730"/>
        <v>4765</v>
      </c>
      <c r="S659" s="117">
        <f t="shared" si="730"/>
        <v>4523</v>
      </c>
      <c r="T659" s="117">
        <f t="shared" si="730"/>
        <v>5689</v>
      </c>
      <c r="U659" s="117">
        <f t="shared" si="730"/>
        <v>6400</v>
      </c>
      <c r="V659" s="117">
        <f t="shared" si="730"/>
        <v>5717</v>
      </c>
      <c r="W659" s="117">
        <f t="shared" si="730"/>
        <v>6853</v>
      </c>
      <c r="X659" s="117">
        <f t="shared" si="730"/>
        <v>7436</v>
      </c>
      <c r="Y659" s="117">
        <f t="shared" si="730"/>
        <v>7313</v>
      </c>
      <c r="Z659" s="117">
        <f t="shared" si="730"/>
        <v>9199</v>
      </c>
      <c r="AA659" s="117">
        <f t="shared" si="730"/>
        <v>4983</v>
      </c>
      <c r="AB659" s="117">
        <f t="shared" si="730"/>
        <v>5430</v>
      </c>
      <c r="AC659" s="117">
        <f t="shared" si="730"/>
        <v>8960</v>
      </c>
      <c r="AD659" s="117">
        <f t="shared" si="730"/>
        <v>9691</v>
      </c>
      <c r="AE659" s="117">
        <f t="shared" si="730"/>
        <v>8317</v>
      </c>
      <c r="AF659" s="117">
        <f t="shared" si="730"/>
        <v>8834</v>
      </c>
      <c r="AG659" s="117">
        <f t="shared" si="730"/>
        <v>9767</v>
      </c>
      <c r="AH659" s="117">
        <f t="shared" si="730"/>
        <v>14552</v>
      </c>
      <c r="AI659" s="117">
        <f t="shared" ref="AI659:BF659" si="731">AI815</f>
        <v>13651</v>
      </c>
      <c r="AJ659" s="117">
        <f t="shared" si="731"/>
        <v>15137</v>
      </c>
      <c r="AK659" s="117">
        <f t="shared" si="731"/>
        <v>12707</v>
      </c>
      <c r="AL659" s="117">
        <f t="shared" si="731"/>
        <v>15488</v>
      </c>
      <c r="AM659" s="117">
        <f t="shared" si="731"/>
        <v>11335</v>
      </c>
      <c r="AN659" s="117">
        <f t="shared" si="731"/>
        <v>11753</v>
      </c>
      <c r="AO659" s="117">
        <f t="shared" si="731"/>
        <v>9124</v>
      </c>
      <c r="AP659" s="117">
        <f t="shared" si="731"/>
        <v>12580</v>
      </c>
      <c r="AQ659" s="117">
        <f t="shared" si="731"/>
        <v>11427</v>
      </c>
      <c r="AR659" s="117">
        <f t="shared" si="731"/>
        <v>13778</v>
      </c>
      <c r="AS659" s="117">
        <f t="shared" si="731"/>
        <v>21397</v>
      </c>
      <c r="AT659" s="117">
        <f t="shared" si="731"/>
        <v>20675</v>
      </c>
      <c r="AU659" s="117">
        <f t="shared" si="731"/>
        <v>19023</v>
      </c>
      <c r="AV659" s="117">
        <f t="shared" si="731"/>
        <v>20111</v>
      </c>
      <c r="AW659" s="117">
        <f t="shared" si="731"/>
        <v>22654</v>
      </c>
      <c r="AX659" s="117">
        <f t="shared" si="731"/>
        <v>28492</v>
      </c>
      <c r="AY659" s="273">
        <f t="shared" si="731"/>
        <v>23467</v>
      </c>
      <c r="AZ659" s="37">
        <f t="shared" si="731"/>
        <v>25521.461178418551</v>
      </c>
      <c r="BA659" s="37">
        <f t="shared" ca="1" si="731"/>
        <v>28026.679482758067</v>
      </c>
      <c r="BB659" s="37">
        <f t="shared" ca="1" si="731"/>
        <v>31672.335982328921</v>
      </c>
      <c r="BC659" s="37">
        <f t="shared" ca="1" si="731"/>
        <v>34528.534464188488</v>
      </c>
      <c r="BD659" s="37">
        <f t="shared" ca="1" si="731"/>
        <v>31876.345789979467</v>
      </c>
      <c r="BE659" s="37">
        <f t="shared" ca="1" si="731"/>
        <v>34054.759835898745</v>
      </c>
      <c r="BF659" s="37">
        <f t="shared" ca="1" si="731"/>
        <v>37483.199251311846</v>
      </c>
      <c r="BG659" s="37"/>
      <c r="BH659" s="876">
        <f t="shared" ref="BH659:CB659" si="732">BH815</f>
        <v>334</v>
      </c>
      <c r="BI659" s="876">
        <f t="shared" si="732"/>
        <v>768</v>
      </c>
      <c r="BJ659" s="876">
        <f t="shared" si="732"/>
        <v>1514</v>
      </c>
      <c r="BK659" s="876">
        <f t="shared" si="732"/>
        <v>2111</v>
      </c>
      <c r="BL659" s="876">
        <f t="shared" si="732"/>
        <v>3546</v>
      </c>
      <c r="BM659" s="876">
        <f t="shared" si="732"/>
        <v>5719</v>
      </c>
      <c r="BN659" s="876">
        <f t="shared" si="732"/>
        <v>7815</v>
      </c>
      <c r="BO659" s="876">
        <f t="shared" si="732"/>
        <v>15350</v>
      </c>
      <c r="BP659" s="876">
        <f t="shared" si="732"/>
        <v>22329</v>
      </c>
      <c r="BQ659" s="876">
        <f t="shared" si="732"/>
        <v>30801</v>
      </c>
      <c r="BR659" s="876">
        <f t="shared" si="732"/>
        <v>29064</v>
      </c>
      <c r="BS659" s="876">
        <f t="shared" si="732"/>
        <v>41470</v>
      </c>
      <c r="BT659" s="876">
        <f t="shared" si="732"/>
        <v>56983</v>
      </c>
      <c r="BU659" s="876">
        <f t="shared" si="732"/>
        <v>44792</v>
      </c>
      <c r="BV659" s="876">
        <f t="shared" si="732"/>
        <v>67277</v>
      </c>
      <c r="BW659" s="915">
        <f t="shared" si="732"/>
        <v>90280</v>
      </c>
      <c r="BX659" s="158">
        <f t="shared" ca="1" si="732"/>
        <v>108687.47664350554</v>
      </c>
      <c r="BY659" s="158">
        <f t="shared" ca="1" si="732"/>
        <v>137942.83934137857</v>
      </c>
      <c r="BZ659" s="158">
        <f t="shared" ca="1" si="732"/>
        <v>154825.16863699688</v>
      </c>
      <c r="CA659" s="158">
        <f t="shared" ca="1" si="732"/>
        <v>162750.42362573851</v>
      </c>
      <c r="CB659" s="158">
        <f t="shared" ca="1" si="732"/>
        <v>181622.99280145092</v>
      </c>
      <c r="CC659" s="117"/>
    </row>
    <row r="660" spans="1:81" outlineLevel="1" x14ac:dyDescent="0.55000000000000004">
      <c r="A660" s="315" t="s">
        <v>618</v>
      </c>
      <c r="B660" s="244"/>
      <c r="C660" s="82">
        <f t="shared" ref="C660:AH660" si="733">C661-C659</f>
        <v>90</v>
      </c>
      <c r="D660" s="82">
        <f t="shared" si="733"/>
        <v>445</v>
      </c>
      <c r="E660" s="82">
        <f t="shared" si="733"/>
        <v>-51</v>
      </c>
      <c r="F660" s="82">
        <f t="shared" si="733"/>
        <v>192</v>
      </c>
      <c r="G660" s="82">
        <f t="shared" si="733"/>
        <v>113</v>
      </c>
      <c r="H660" s="82">
        <f t="shared" si="733"/>
        <v>36</v>
      </c>
      <c r="I660" s="82">
        <f t="shared" si="733"/>
        <v>-198</v>
      </c>
      <c r="J660" s="82">
        <f t="shared" si="733"/>
        <v>-213</v>
      </c>
      <c r="K660" s="82">
        <f t="shared" si="733"/>
        <v>254</v>
      </c>
      <c r="L660" s="82">
        <f t="shared" si="733"/>
        <v>4</v>
      </c>
      <c r="M660" s="82">
        <f t="shared" si="733"/>
        <v>430</v>
      </c>
      <c r="N660" s="82">
        <f t="shared" si="733"/>
        <v>96</v>
      </c>
      <c r="O660" s="82">
        <f t="shared" si="733"/>
        <v>505</v>
      </c>
      <c r="P660" s="82">
        <f t="shared" si="733"/>
        <v>75</v>
      </c>
      <c r="Q660" s="82">
        <f t="shared" si="733"/>
        <v>13</v>
      </c>
      <c r="R660" s="82">
        <f t="shared" si="733"/>
        <v>165</v>
      </c>
      <c r="S660" s="82">
        <f t="shared" si="733"/>
        <v>535</v>
      </c>
      <c r="T660" s="82">
        <f t="shared" si="733"/>
        <v>-329</v>
      </c>
      <c r="U660" s="82">
        <f t="shared" si="733"/>
        <v>-273</v>
      </c>
      <c r="V660" s="82">
        <f t="shared" si="733"/>
        <v>1954</v>
      </c>
      <c r="W660" s="82">
        <f t="shared" si="733"/>
        <v>1007</v>
      </c>
      <c r="X660" s="82">
        <f t="shared" si="733"/>
        <v>-1138</v>
      </c>
      <c r="Y660" s="82">
        <f t="shared" si="733"/>
        <v>185</v>
      </c>
      <c r="Z660" s="82">
        <f t="shared" si="733"/>
        <v>-1581</v>
      </c>
      <c r="AA660" s="82">
        <f t="shared" si="733"/>
        <v>4325</v>
      </c>
      <c r="AB660" s="82">
        <f t="shared" si="733"/>
        <v>3186</v>
      </c>
      <c r="AC660" s="82">
        <f t="shared" si="733"/>
        <v>347</v>
      </c>
      <c r="AD660" s="82">
        <f t="shared" si="733"/>
        <v>-608</v>
      </c>
      <c r="AE660" s="82">
        <f t="shared" si="733"/>
        <v>2684</v>
      </c>
      <c r="AF660" s="82">
        <f t="shared" si="733"/>
        <v>-4957</v>
      </c>
      <c r="AG660" s="82">
        <f t="shared" si="733"/>
        <v>62</v>
      </c>
      <c r="AH660" s="82">
        <f t="shared" si="733"/>
        <v>-512</v>
      </c>
      <c r="AI660" s="82">
        <f t="shared" ref="AI660:BF660" si="734">AI661-AI659</f>
        <v>-1409</v>
      </c>
      <c r="AJ660" s="82">
        <f t="shared" si="734"/>
        <v>-1890</v>
      </c>
      <c r="AK660" s="82">
        <f t="shared" si="734"/>
        <v>1383</v>
      </c>
      <c r="AL660" s="82">
        <f t="shared" si="734"/>
        <v>2616</v>
      </c>
      <c r="AM660" s="82">
        <f t="shared" si="734"/>
        <v>2741</v>
      </c>
      <c r="AN660" s="82">
        <f t="shared" si="734"/>
        <v>443</v>
      </c>
      <c r="AO660" s="82">
        <f t="shared" si="734"/>
        <v>568</v>
      </c>
      <c r="AP660" s="82">
        <f t="shared" si="734"/>
        <v>1931</v>
      </c>
      <c r="AQ660" s="82">
        <f t="shared" si="734"/>
        <v>2571</v>
      </c>
      <c r="AR660" s="82">
        <f t="shared" si="734"/>
        <v>3531</v>
      </c>
      <c r="AS660" s="82">
        <f t="shared" si="734"/>
        <v>-995</v>
      </c>
      <c r="AT660" s="82">
        <f t="shared" si="734"/>
        <v>-1271</v>
      </c>
      <c r="AU660" s="82">
        <f t="shared" si="734"/>
        <v>223</v>
      </c>
      <c r="AV660" s="82">
        <f t="shared" si="734"/>
        <v>-741</v>
      </c>
      <c r="AW660" s="82">
        <f t="shared" si="734"/>
        <v>2070</v>
      </c>
      <c r="AX660" s="82">
        <f t="shared" si="734"/>
        <v>-504</v>
      </c>
      <c r="AY660" s="406">
        <f t="shared" si="734"/>
        <v>559</v>
      </c>
      <c r="AZ660" s="82">
        <f t="shared" si="734"/>
        <v>-243.24455862814648</v>
      </c>
      <c r="BA660" s="82">
        <f t="shared" ca="1" si="734"/>
        <v>1678.2370823053825</v>
      </c>
      <c r="BB660" s="82">
        <f t="shared" ca="1" si="734"/>
        <v>-2356.7792590936479</v>
      </c>
      <c r="BC660" s="82">
        <f t="shared" ca="1" si="734"/>
        <v>2129.9382689661506</v>
      </c>
      <c r="BD660" s="82">
        <f t="shared" ca="1" si="734"/>
        <v>-291.16441544888221</v>
      </c>
      <c r="BE660" s="82">
        <f t="shared" ca="1" si="734"/>
        <v>1871.8179259834869</v>
      </c>
      <c r="BF660" s="82">
        <f t="shared" ca="1" si="734"/>
        <v>-2695.5491412316915</v>
      </c>
      <c r="BG660" s="82"/>
      <c r="BH660" s="854">
        <f t="shared" ref="BH660:CB660" si="735">BH661-BH659</f>
        <v>-179</v>
      </c>
      <c r="BI660" s="854">
        <f t="shared" si="735"/>
        <v>-70</v>
      </c>
      <c r="BJ660" s="854">
        <f t="shared" si="735"/>
        <v>35</v>
      </c>
      <c r="BK660" s="854">
        <f t="shared" si="735"/>
        <v>-499</v>
      </c>
      <c r="BL660" s="854">
        <f t="shared" si="735"/>
        <v>676</v>
      </c>
      <c r="BM660" s="854">
        <f t="shared" si="735"/>
        <v>-262</v>
      </c>
      <c r="BN660" s="854">
        <f t="shared" si="735"/>
        <v>784</v>
      </c>
      <c r="BO660" s="854">
        <f t="shared" si="735"/>
        <v>758</v>
      </c>
      <c r="BP660" s="854">
        <f t="shared" si="735"/>
        <v>1887</v>
      </c>
      <c r="BQ660" s="854">
        <f t="shared" si="735"/>
        <v>-1527</v>
      </c>
      <c r="BR660" s="854">
        <f t="shared" si="735"/>
        <v>7250</v>
      </c>
      <c r="BS660" s="854">
        <f t="shared" si="735"/>
        <v>-2723</v>
      </c>
      <c r="BT660" s="854">
        <f t="shared" si="735"/>
        <v>700</v>
      </c>
      <c r="BU660" s="854">
        <f t="shared" si="735"/>
        <v>5683</v>
      </c>
      <c r="BV660" s="854">
        <f t="shared" si="735"/>
        <v>3836</v>
      </c>
      <c r="BW660" s="855">
        <f t="shared" si="735"/>
        <v>1048</v>
      </c>
      <c r="BX660" s="854">
        <f t="shared" ca="1" si="735"/>
        <v>-362.78673541640455</v>
      </c>
      <c r="BY660" s="854">
        <f t="shared" ca="1" si="735"/>
        <v>1015.0426382690493</v>
      </c>
      <c r="BZ660" s="854">
        <f t="shared" ca="1" si="735"/>
        <v>1013.6959264823236</v>
      </c>
      <c r="CA660" s="854">
        <f t="shared" ca="1" si="735"/>
        <v>531.22164461223292</v>
      </c>
      <c r="CB660" s="854">
        <f t="shared" ca="1" si="735"/>
        <v>523.82030533862417</v>
      </c>
      <c r="CC660" s="117"/>
    </row>
    <row r="661" spans="1:81" x14ac:dyDescent="0.55000000000000004">
      <c r="A661" s="192" t="s">
        <v>619</v>
      </c>
      <c r="B661" s="193"/>
      <c r="C661" s="35">
        <f t="shared" ref="C661:AH661" si="736">C827</f>
        <v>719</v>
      </c>
      <c r="D661" s="35">
        <f t="shared" si="736"/>
        <v>1322</v>
      </c>
      <c r="E661" s="35">
        <f t="shared" si="736"/>
        <v>950</v>
      </c>
      <c r="F661" s="35">
        <f t="shared" si="736"/>
        <v>1231</v>
      </c>
      <c r="G661" s="35">
        <f t="shared" si="736"/>
        <v>1285</v>
      </c>
      <c r="H661" s="35">
        <f t="shared" si="736"/>
        <v>1341</v>
      </c>
      <c r="I661" s="35">
        <f t="shared" si="736"/>
        <v>1248</v>
      </c>
      <c r="J661" s="35">
        <f t="shared" si="736"/>
        <v>1583</v>
      </c>
      <c r="K661" s="35">
        <f t="shared" si="736"/>
        <v>1700</v>
      </c>
      <c r="L661" s="35">
        <f t="shared" si="736"/>
        <v>1880</v>
      </c>
      <c r="M661" s="35">
        <f t="shared" si="736"/>
        <v>2192</v>
      </c>
      <c r="N661" s="35">
        <f t="shared" si="736"/>
        <v>2827</v>
      </c>
      <c r="O661" s="35">
        <f t="shared" si="736"/>
        <v>3477</v>
      </c>
      <c r="P661" s="35">
        <f t="shared" si="736"/>
        <v>3665</v>
      </c>
      <c r="Q661" s="35">
        <f t="shared" si="736"/>
        <v>4036</v>
      </c>
      <c r="R661" s="35">
        <f t="shared" si="736"/>
        <v>4930</v>
      </c>
      <c r="S661" s="35">
        <f t="shared" si="736"/>
        <v>5058</v>
      </c>
      <c r="T661" s="35">
        <f t="shared" si="736"/>
        <v>5360</v>
      </c>
      <c r="U661" s="35">
        <f t="shared" si="736"/>
        <v>6127</v>
      </c>
      <c r="V661" s="35">
        <f t="shared" si="736"/>
        <v>7671</v>
      </c>
      <c r="W661" s="35">
        <f t="shared" si="736"/>
        <v>7860</v>
      </c>
      <c r="X661" s="35">
        <f t="shared" si="736"/>
        <v>6298</v>
      </c>
      <c r="Y661" s="35">
        <f t="shared" si="736"/>
        <v>7498</v>
      </c>
      <c r="Z661" s="35">
        <f t="shared" si="736"/>
        <v>7618</v>
      </c>
      <c r="AA661" s="35">
        <f t="shared" si="736"/>
        <v>9308</v>
      </c>
      <c r="AB661" s="35">
        <f t="shared" si="736"/>
        <v>8616</v>
      </c>
      <c r="AC661" s="35">
        <f t="shared" si="736"/>
        <v>9307</v>
      </c>
      <c r="AD661" s="35">
        <f t="shared" si="736"/>
        <v>9083</v>
      </c>
      <c r="AE661" s="35">
        <f t="shared" si="736"/>
        <v>11001</v>
      </c>
      <c r="AF661" s="35">
        <f t="shared" si="736"/>
        <v>3877</v>
      </c>
      <c r="AG661" s="35">
        <f t="shared" si="736"/>
        <v>9829</v>
      </c>
      <c r="AH661" s="35">
        <f t="shared" si="736"/>
        <v>14040</v>
      </c>
      <c r="AI661" s="35">
        <f t="shared" ref="AI661:BF661" si="737">AI827</f>
        <v>12242</v>
      </c>
      <c r="AJ661" s="35">
        <f t="shared" si="737"/>
        <v>13247</v>
      </c>
      <c r="AK661" s="35">
        <f t="shared" si="737"/>
        <v>14090</v>
      </c>
      <c r="AL661" s="35">
        <f t="shared" si="737"/>
        <v>18104</v>
      </c>
      <c r="AM661" s="35">
        <f t="shared" si="737"/>
        <v>14076</v>
      </c>
      <c r="AN661" s="35">
        <f t="shared" si="737"/>
        <v>12196</v>
      </c>
      <c r="AO661" s="35">
        <f t="shared" si="737"/>
        <v>9692</v>
      </c>
      <c r="AP661" s="35">
        <f t="shared" si="737"/>
        <v>14511</v>
      </c>
      <c r="AQ661" s="35">
        <f t="shared" si="737"/>
        <v>13998</v>
      </c>
      <c r="AR661" s="35">
        <f t="shared" si="737"/>
        <v>17309</v>
      </c>
      <c r="AS661" s="35">
        <f t="shared" si="737"/>
        <v>20402</v>
      </c>
      <c r="AT661" s="35">
        <f t="shared" si="737"/>
        <v>19404</v>
      </c>
      <c r="AU661" s="35">
        <f t="shared" si="737"/>
        <v>19246</v>
      </c>
      <c r="AV661" s="35">
        <f t="shared" si="737"/>
        <v>19370</v>
      </c>
      <c r="AW661" s="35">
        <f t="shared" si="737"/>
        <v>24724</v>
      </c>
      <c r="AX661" s="35">
        <f t="shared" si="737"/>
        <v>27988</v>
      </c>
      <c r="AY661" s="272">
        <f t="shared" si="737"/>
        <v>24026</v>
      </c>
      <c r="AZ661" s="35">
        <f t="shared" si="737"/>
        <v>25278.216619790404</v>
      </c>
      <c r="BA661" s="35">
        <f t="shared" ca="1" si="737"/>
        <v>29704.91656506345</v>
      </c>
      <c r="BB661" s="35">
        <f t="shared" ca="1" si="737"/>
        <v>29315.556723235273</v>
      </c>
      <c r="BC661" s="35">
        <f t="shared" ca="1" si="737"/>
        <v>36658.472733154638</v>
      </c>
      <c r="BD661" s="35">
        <f t="shared" ca="1" si="737"/>
        <v>31585.181374530584</v>
      </c>
      <c r="BE661" s="35">
        <f t="shared" ca="1" si="737"/>
        <v>35926.577761882232</v>
      </c>
      <c r="BF661" s="35">
        <f t="shared" ca="1" si="737"/>
        <v>34787.650110080154</v>
      </c>
      <c r="BG661" s="35"/>
      <c r="BH661" s="812">
        <f t="shared" ref="BH661:CB661" si="738">BH827</f>
        <v>155</v>
      </c>
      <c r="BI661" s="812">
        <f t="shared" si="738"/>
        <v>698</v>
      </c>
      <c r="BJ661" s="812">
        <f t="shared" si="738"/>
        <v>1549</v>
      </c>
      <c r="BK661" s="812">
        <f t="shared" si="738"/>
        <v>1612</v>
      </c>
      <c r="BL661" s="812">
        <f t="shared" si="738"/>
        <v>4222</v>
      </c>
      <c r="BM661" s="812">
        <f t="shared" si="738"/>
        <v>5457</v>
      </c>
      <c r="BN661" s="812">
        <f t="shared" si="738"/>
        <v>8599</v>
      </c>
      <c r="BO661" s="812">
        <f t="shared" si="738"/>
        <v>16108</v>
      </c>
      <c r="BP661" s="812">
        <f t="shared" si="738"/>
        <v>24216</v>
      </c>
      <c r="BQ661" s="812">
        <f t="shared" si="738"/>
        <v>29274</v>
      </c>
      <c r="BR661" s="812">
        <f t="shared" si="738"/>
        <v>36314</v>
      </c>
      <c r="BS661" s="812">
        <f t="shared" si="738"/>
        <v>38747</v>
      </c>
      <c r="BT661" s="812">
        <f t="shared" si="738"/>
        <v>57683</v>
      </c>
      <c r="BU661" s="812">
        <f t="shared" si="738"/>
        <v>50475</v>
      </c>
      <c r="BV661" s="812">
        <f t="shared" si="738"/>
        <v>71113</v>
      </c>
      <c r="BW661" s="814">
        <f t="shared" si="738"/>
        <v>91328</v>
      </c>
      <c r="BX661" s="812">
        <f t="shared" ca="1" si="738"/>
        <v>108324.68990808913</v>
      </c>
      <c r="BY661" s="812">
        <f t="shared" ca="1" si="738"/>
        <v>138957.88197964762</v>
      </c>
      <c r="BZ661" s="812">
        <f t="shared" ca="1" si="738"/>
        <v>155838.8645634792</v>
      </c>
      <c r="CA661" s="812">
        <f t="shared" ca="1" si="738"/>
        <v>163281.64527035074</v>
      </c>
      <c r="CB661" s="812">
        <f t="shared" ca="1" si="738"/>
        <v>182146.81310678954</v>
      </c>
      <c r="CC661" s="117"/>
    </row>
    <row r="662" spans="1:81" outlineLevel="1" x14ac:dyDescent="0.55000000000000004">
      <c r="A662" s="375" t="s">
        <v>104</v>
      </c>
      <c r="B662" s="236"/>
      <c r="C662" s="81">
        <f t="shared" ref="C662:AH662" si="739">C659/C426</f>
        <v>0.25170068027210885</v>
      </c>
      <c r="D662" s="81">
        <f t="shared" si="739"/>
        <v>0.350519584332534</v>
      </c>
      <c r="E662" s="81">
        <f t="shared" si="739"/>
        <v>0.39596518987341772</v>
      </c>
      <c r="F662" s="81">
        <f t="shared" si="739"/>
        <v>0.40617670054730259</v>
      </c>
      <c r="G662" s="81">
        <f t="shared" si="739"/>
        <v>0.44921425833652739</v>
      </c>
      <c r="H662" s="81">
        <f t="shared" si="739"/>
        <v>0.49904397705544934</v>
      </c>
      <c r="I662" s="81">
        <f t="shared" si="739"/>
        <v>0.54689863842662634</v>
      </c>
      <c r="J662" s="81">
        <f t="shared" si="739"/>
        <v>0.63778409090909094</v>
      </c>
      <c r="K662" s="81">
        <f t="shared" si="739"/>
        <v>0.50987306064880111</v>
      </c>
      <c r="L662" s="81">
        <f t="shared" si="739"/>
        <v>0.65824561403508774</v>
      </c>
      <c r="M662" s="81">
        <f t="shared" si="739"/>
        <v>0.61543835137967162</v>
      </c>
      <c r="N662" s="81">
        <f t="shared" si="739"/>
        <v>0.94892286309937457</v>
      </c>
      <c r="O662" s="81">
        <f t="shared" si="739"/>
        <v>1.0230636833046471</v>
      </c>
      <c r="P662" s="81">
        <f t="shared" si="739"/>
        <v>1.2290311537144814</v>
      </c>
      <c r="Q662" s="81">
        <f t="shared" si="739"/>
        <v>1.3801029159519727</v>
      </c>
      <c r="R662" s="81">
        <f t="shared" si="739"/>
        <v>1.6218515997277059</v>
      </c>
      <c r="S662" s="81">
        <f t="shared" si="739"/>
        <v>1.5363451086956521</v>
      </c>
      <c r="T662" s="81">
        <f t="shared" si="739"/>
        <v>1.9278210776008133</v>
      </c>
      <c r="U662" s="81">
        <f t="shared" si="739"/>
        <v>2.1650879566982408</v>
      </c>
      <c r="V662" s="81">
        <f t="shared" si="739"/>
        <v>1.9353419092755586</v>
      </c>
      <c r="W662" s="81">
        <f t="shared" si="739"/>
        <v>2.3269949066213922</v>
      </c>
      <c r="X662" s="81">
        <f t="shared" si="739"/>
        <v>2.5378839590443687</v>
      </c>
      <c r="Y662" s="81">
        <f t="shared" si="739"/>
        <v>2.5104703055269479</v>
      </c>
      <c r="Z662" s="81">
        <f t="shared" si="739"/>
        <v>3.1874566874566876</v>
      </c>
      <c r="AA662" s="81">
        <f t="shared" si="739"/>
        <v>1.736842105263158</v>
      </c>
      <c r="AB662" s="81">
        <f t="shared" si="739"/>
        <v>1.8886956521739131</v>
      </c>
      <c r="AC662" s="81">
        <f t="shared" si="739"/>
        <v>3.1176061238691717</v>
      </c>
      <c r="AD662" s="81">
        <f t="shared" si="739"/>
        <v>3.3754789272030652</v>
      </c>
      <c r="AE662" s="81">
        <f t="shared" si="739"/>
        <v>2.8999302649930265</v>
      </c>
      <c r="AF662" s="81">
        <f t="shared" si="739"/>
        <v>3.068426536992011</v>
      </c>
      <c r="AG662" s="81">
        <f t="shared" si="739"/>
        <v>3.3784157730888964</v>
      </c>
      <c r="AH662" s="81">
        <f t="shared" si="739"/>
        <v>5.0352941176470587</v>
      </c>
      <c r="AI662" s="81">
        <f t="shared" ref="AI662:BF662" si="740">AI659/AI426</f>
        <v>4.7366412213740459</v>
      </c>
      <c r="AJ662" s="81">
        <f t="shared" si="740"/>
        <v>5.2613833854709764</v>
      </c>
      <c r="AK662" s="81">
        <f t="shared" si="740"/>
        <v>4.4445610353270375</v>
      </c>
      <c r="AL662" s="81">
        <f t="shared" si="740"/>
        <v>5.5334047874240797</v>
      </c>
      <c r="AM662" s="81">
        <f t="shared" si="740"/>
        <v>4.1338439095550692</v>
      </c>
      <c r="AN662" s="81">
        <f t="shared" si="740"/>
        <v>4.3321046811647621</v>
      </c>
      <c r="AO662" s="81">
        <f t="shared" si="740"/>
        <v>3.3956084852995905</v>
      </c>
      <c r="AP662" s="81">
        <f t="shared" si="740"/>
        <v>4.7651515151515156</v>
      </c>
      <c r="AQ662" s="81">
        <f t="shared" si="740"/>
        <v>4.4017719568567024</v>
      </c>
      <c r="AR662" s="81">
        <f t="shared" si="740"/>
        <v>5.2748851454823891</v>
      </c>
      <c r="AS662" s="81">
        <f t="shared" si="740"/>
        <v>8.1018553578190087</v>
      </c>
      <c r="AT662" s="81">
        <f t="shared" si="740"/>
        <v>7.8612167300380227</v>
      </c>
      <c r="AU662" s="81">
        <f t="shared" si="740"/>
        <v>7.2468571428571424</v>
      </c>
      <c r="AV662" s="81">
        <f t="shared" si="740"/>
        <v>7.7053639846743298</v>
      </c>
      <c r="AW662" s="81">
        <f t="shared" si="740"/>
        <v>8.7130769230769225</v>
      </c>
      <c r="AX662" s="81">
        <f t="shared" si="740"/>
        <v>10.962677953058868</v>
      </c>
      <c r="AY662" s="665">
        <f t="shared" si="740"/>
        <v>9.0606177606177614</v>
      </c>
      <c r="AZ662" s="81">
        <f t="shared" ca="1" si="740"/>
        <v>9.8617998787259378</v>
      </c>
      <c r="BA662" s="81">
        <f t="shared" ca="1" si="740"/>
        <v>10.815148291029026</v>
      </c>
      <c r="BB662" s="81">
        <f t="shared" ca="1" si="740"/>
        <v>12.235126145963815</v>
      </c>
      <c r="BC662" s="81">
        <f t="shared" ca="1" si="740"/>
        <v>13.345005260836441</v>
      </c>
      <c r="BD662" s="81">
        <f t="shared" ca="1" si="740"/>
        <v>12.318723459228135</v>
      </c>
      <c r="BE662" s="81">
        <f t="shared" ca="1" si="740"/>
        <v>13.159263132932008</v>
      </c>
      <c r="BF662" s="81">
        <f t="shared" ca="1" si="740"/>
        <v>14.482614594628362</v>
      </c>
      <c r="BG662" s="81"/>
      <c r="BH662" s="995"/>
      <c r="BI662" s="995">
        <f t="shared" ref="BI662:CB662" si="741">BI659/BI426</f>
        <v>0.54314002828854313</v>
      </c>
      <c r="BJ662" s="996">
        <f t="shared" si="741"/>
        <v>1.0039787798408488</v>
      </c>
      <c r="BK662" s="996">
        <f t="shared" si="741"/>
        <v>0.97460757156048017</v>
      </c>
      <c r="BL662" s="996">
        <f t="shared" si="741"/>
        <v>1.4088200238379023</v>
      </c>
      <c r="BM662" s="996">
        <f t="shared" si="741"/>
        <v>2.1467717717717716</v>
      </c>
      <c r="BN662" s="996">
        <f t="shared" si="741"/>
        <v>2.7392218717139851</v>
      </c>
      <c r="BO662" s="996">
        <f t="shared" si="741"/>
        <v>5.2478632478632479</v>
      </c>
      <c r="BP662" s="996">
        <f t="shared" si="741"/>
        <v>7.5537889039242216</v>
      </c>
      <c r="BQ662" s="996">
        <f t="shared" si="741"/>
        <v>10.544676480657309</v>
      </c>
      <c r="BR662" s="996">
        <f t="shared" si="741"/>
        <v>10.105702364394993</v>
      </c>
      <c r="BS662" s="996">
        <f t="shared" si="741"/>
        <v>14.359418282548477</v>
      </c>
      <c r="BT662" s="996">
        <f t="shared" si="741"/>
        <v>19.931094788387547</v>
      </c>
      <c r="BU662" s="996">
        <f t="shared" si="741"/>
        <v>16.577350111028867</v>
      </c>
      <c r="BV662" s="996">
        <f t="shared" si="741"/>
        <v>25.590338531761127</v>
      </c>
      <c r="BW662" s="997">
        <f t="shared" si="741"/>
        <v>34.537107880642694</v>
      </c>
      <c r="BX662" s="996">
        <f t="shared" ca="1" si="741"/>
        <v>41.958454895663138</v>
      </c>
      <c r="BY662" s="996">
        <f t="shared" ca="1" si="741"/>
        <v>53.305768005288186</v>
      </c>
      <c r="BZ662" s="996">
        <f t="shared" ca="1" si="741"/>
        <v>59.951602452593541</v>
      </c>
      <c r="CA662" s="996">
        <f t="shared" ca="1" si="741"/>
        <v>63.289643142699795</v>
      </c>
      <c r="CB662" s="996">
        <f t="shared" ca="1" si="741"/>
        <v>70.901564247780627</v>
      </c>
      <c r="CC662" s="10"/>
    </row>
    <row r="663" spans="1:81" x14ac:dyDescent="0.55000000000000004">
      <c r="A663" s="375" t="s">
        <v>620</v>
      </c>
      <c r="B663" s="236"/>
      <c r="C663" s="81">
        <f t="shared" ref="C663:AH663" si="742">C661/C426</f>
        <v>0.28771508603441376</v>
      </c>
      <c r="D663" s="81">
        <f t="shared" si="742"/>
        <v>0.52837729816147083</v>
      </c>
      <c r="E663" s="81">
        <f t="shared" si="742"/>
        <v>0.37579113924050633</v>
      </c>
      <c r="F663" s="81">
        <f t="shared" si="742"/>
        <v>0.48123534010946051</v>
      </c>
      <c r="G663" s="81">
        <f t="shared" si="742"/>
        <v>0.49252587198160214</v>
      </c>
      <c r="H663" s="81">
        <f t="shared" si="742"/>
        <v>0.51281070745697899</v>
      </c>
      <c r="I663" s="81">
        <f t="shared" si="742"/>
        <v>0.47201210287443268</v>
      </c>
      <c r="J663" s="81">
        <f t="shared" si="742"/>
        <v>0.56214488636363635</v>
      </c>
      <c r="K663" s="81">
        <f t="shared" si="742"/>
        <v>0.59943582510578275</v>
      </c>
      <c r="L663" s="81">
        <f t="shared" si="742"/>
        <v>0.6596491228070176</v>
      </c>
      <c r="M663" s="81">
        <f t="shared" si="742"/>
        <v>0.76563045756199788</v>
      </c>
      <c r="N663" s="81">
        <f t="shared" si="742"/>
        <v>0.98227936066712995</v>
      </c>
      <c r="O663" s="81">
        <f t="shared" si="742"/>
        <v>1.1969018932874353</v>
      </c>
      <c r="P663" s="81">
        <f t="shared" si="742"/>
        <v>1.2547072920232798</v>
      </c>
      <c r="Q663" s="81">
        <f t="shared" si="742"/>
        <v>1.3845626072041166</v>
      </c>
      <c r="R663" s="81">
        <f t="shared" si="742"/>
        <v>1.6780122532334922</v>
      </c>
      <c r="S663" s="81">
        <f t="shared" si="742"/>
        <v>1.7180706521739131</v>
      </c>
      <c r="T663" s="81">
        <f t="shared" si="742"/>
        <v>1.8163334462893934</v>
      </c>
      <c r="U663" s="81">
        <f t="shared" si="742"/>
        <v>2.0727334235453316</v>
      </c>
      <c r="V663" s="81">
        <f t="shared" si="742"/>
        <v>2.5968178740690591</v>
      </c>
      <c r="W663" s="81">
        <f t="shared" si="742"/>
        <v>2.6689303904923598</v>
      </c>
      <c r="X663" s="81">
        <f t="shared" si="742"/>
        <v>2.1494880546075086</v>
      </c>
      <c r="Y663" s="81">
        <f t="shared" si="742"/>
        <v>2.5739787161002403</v>
      </c>
      <c r="Z663" s="81">
        <f t="shared" si="742"/>
        <v>2.6396396396396398</v>
      </c>
      <c r="AA663" s="81">
        <f t="shared" si="742"/>
        <v>3.244336005576856</v>
      </c>
      <c r="AB663" s="81">
        <f t="shared" si="742"/>
        <v>2.9968695652173913</v>
      </c>
      <c r="AC663" s="81">
        <f t="shared" si="742"/>
        <v>3.2383437717466945</v>
      </c>
      <c r="AD663" s="81">
        <f t="shared" si="742"/>
        <v>3.1637060257749914</v>
      </c>
      <c r="AE663" s="81">
        <f t="shared" si="742"/>
        <v>3.8357740585774058</v>
      </c>
      <c r="AF663" s="81">
        <f t="shared" si="742"/>
        <v>1.3466481417158735</v>
      </c>
      <c r="AG663" s="81">
        <f t="shared" si="742"/>
        <v>3.3998616395710828</v>
      </c>
      <c r="AH663" s="81">
        <f t="shared" si="742"/>
        <v>4.8581314878892732</v>
      </c>
      <c r="AI663" s="81">
        <f t="shared" ref="AI663:BF663" si="743">AI661/AI426</f>
        <v>4.2477446217904236</v>
      </c>
      <c r="AJ663" s="81">
        <f t="shared" si="743"/>
        <v>4.6044490789016335</v>
      </c>
      <c r="AK663" s="81">
        <f t="shared" si="743"/>
        <v>4.9282966072053167</v>
      </c>
      <c r="AL663" s="81">
        <f t="shared" si="743"/>
        <v>6.4680242943908537</v>
      </c>
      <c r="AM663" s="81">
        <f t="shared" si="743"/>
        <v>5.1334792122538291</v>
      </c>
      <c r="AN663" s="81">
        <f t="shared" si="743"/>
        <v>4.4953925543678581</v>
      </c>
      <c r="AO663" s="81">
        <f t="shared" si="743"/>
        <v>3.6069966505396351</v>
      </c>
      <c r="AP663" s="81">
        <f t="shared" si="743"/>
        <v>5.4965909090909095</v>
      </c>
      <c r="AQ663" s="81">
        <f t="shared" si="743"/>
        <v>5.3921417565485363</v>
      </c>
      <c r="AR663" s="81">
        <f t="shared" si="743"/>
        <v>6.6267228177641657</v>
      </c>
      <c r="AS663" s="81">
        <f t="shared" si="743"/>
        <v>7.7251041272245358</v>
      </c>
      <c r="AT663" s="81">
        <f t="shared" si="743"/>
        <v>7.3779467680608368</v>
      </c>
      <c r="AU663" s="81">
        <f t="shared" si="743"/>
        <v>7.3318095238095236</v>
      </c>
      <c r="AV663" s="81">
        <f t="shared" si="743"/>
        <v>7.421455938697318</v>
      </c>
      <c r="AW663" s="81">
        <f t="shared" si="743"/>
        <v>9.5092307692307685</v>
      </c>
      <c r="AX663" s="81">
        <f t="shared" si="743"/>
        <v>10.768757214313197</v>
      </c>
      <c r="AY663" s="665">
        <f t="shared" si="743"/>
        <v>9.2764478764478771</v>
      </c>
      <c r="AZ663" s="81">
        <f t="shared" ca="1" si="743"/>
        <v>9.767807252598077</v>
      </c>
      <c r="BA663" s="81">
        <f t="shared" ca="1" si="743"/>
        <v>11.46275918349321</v>
      </c>
      <c r="BB663" s="81">
        <f t="shared" ca="1" si="743"/>
        <v>11.324694671970541</v>
      </c>
      <c r="BC663" s="81">
        <f t="shared" ca="1" si="743"/>
        <v>14.168209542329775</v>
      </c>
      <c r="BD663" s="81">
        <f t="shared" ca="1" si="743"/>
        <v>12.206201969509257</v>
      </c>
      <c r="BE663" s="81">
        <f t="shared" ca="1" si="743"/>
        <v>13.882561278144303</v>
      </c>
      <c r="BF663" s="81">
        <f t="shared" ca="1" si="743"/>
        <v>13.44111866810406</v>
      </c>
      <c r="BG663" s="81"/>
      <c r="BH663" s="995"/>
      <c r="BI663" s="995">
        <f t="shared" ref="BI663:CB663" si="744">BI661/BI426</f>
        <v>0.49363507779349364</v>
      </c>
      <c r="BJ663" s="996">
        <f t="shared" si="744"/>
        <v>1.0271883289124668</v>
      </c>
      <c r="BK663" s="996">
        <f t="shared" si="744"/>
        <v>0.74422899353647276</v>
      </c>
      <c r="BL663" s="996">
        <f t="shared" si="744"/>
        <v>1.6773937226857369</v>
      </c>
      <c r="BM663" s="996">
        <f t="shared" si="744"/>
        <v>2.0484234234234235</v>
      </c>
      <c r="BN663" s="996">
        <f t="shared" si="744"/>
        <v>3.0140203294777428</v>
      </c>
      <c r="BO663" s="996">
        <f t="shared" si="744"/>
        <v>5.5070085470085468</v>
      </c>
      <c r="BP663" s="996">
        <f t="shared" si="744"/>
        <v>8.1921515561569684</v>
      </c>
      <c r="BQ663" s="996">
        <f t="shared" si="744"/>
        <v>10.021910304690175</v>
      </c>
      <c r="BR663" s="996">
        <f t="shared" si="744"/>
        <v>12.626564673157162</v>
      </c>
      <c r="BS663" s="996">
        <f t="shared" si="744"/>
        <v>13.416551246537397</v>
      </c>
      <c r="BT663" s="996">
        <f t="shared" si="744"/>
        <v>20.175935641832808</v>
      </c>
      <c r="BU663" s="996">
        <f t="shared" si="744"/>
        <v>18.680606957809029</v>
      </c>
      <c r="BV663" s="996">
        <f t="shared" si="744"/>
        <v>27.0494484594903</v>
      </c>
      <c r="BW663" s="997">
        <f t="shared" si="744"/>
        <v>34.938026013771996</v>
      </c>
      <c r="BX663" s="996">
        <f t="shared" ca="1" si="744"/>
        <v>41.818402229571333</v>
      </c>
      <c r="BY663" s="996">
        <f t="shared" ca="1" si="744"/>
        <v>53.698014733348792</v>
      </c>
      <c r="BZ663" s="996">
        <f t="shared" ca="1" si="744"/>
        <v>60.344127102993042</v>
      </c>
      <c r="CA663" s="996">
        <f t="shared" ca="1" si="744"/>
        <v>63.49622219526497</v>
      </c>
      <c r="CB663" s="996">
        <f t="shared" ca="1" si="744"/>
        <v>71.106052008170408</v>
      </c>
      <c r="CC663" s="10"/>
    </row>
    <row r="664" spans="1:81" x14ac:dyDescent="0.55000000000000004">
      <c r="A664" s="46" t="s">
        <v>625</v>
      </c>
      <c r="B664" s="77"/>
      <c r="C664" s="47"/>
      <c r="D664" s="47"/>
      <c r="E664" s="47"/>
      <c r="F664" s="47"/>
      <c r="G664" s="47"/>
      <c r="H664" s="47"/>
      <c r="I664" s="47"/>
      <c r="J664" s="47"/>
      <c r="K664" s="47"/>
      <c r="L664" s="47"/>
      <c r="M664" s="47"/>
      <c r="N664" s="47"/>
      <c r="O664" s="47"/>
      <c r="P664" s="572"/>
      <c r="Q664" s="572"/>
      <c r="R664" s="572"/>
      <c r="S664" s="47"/>
      <c r="T664" s="572"/>
      <c r="U664" s="47"/>
      <c r="V664" s="572"/>
      <c r="W664" s="47"/>
      <c r="X664" s="572"/>
      <c r="Y664" s="47"/>
      <c r="Z664" s="572"/>
      <c r="AA664" s="47"/>
      <c r="AB664" s="572"/>
      <c r="AC664" s="47"/>
      <c r="AD664" s="572"/>
      <c r="AE664" s="47"/>
      <c r="AF664" s="572"/>
      <c r="AG664" s="47"/>
      <c r="AH664" s="572"/>
      <c r="AI664" s="47"/>
      <c r="AJ664" s="572"/>
      <c r="AK664" s="47"/>
      <c r="AL664" s="572"/>
      <c r="AM664" s="47"/>
      <c r="AN664" s="572"/>
      <c r="AO664" s="47"/>
      <c r="AP664" s="572"/>
      <c r="AQ664" s="47"/>
      <c r="AR664" s="572"/>
      <c r="AS664" s="47"/>
      <c r="AT664" s="572"/>
      <c r="AU664" s="47"/>
      <c r="AV664" s="572"/>
      <c r="AW664" s="47"/>
      <c r="AX664" s="572"/>
      <c r="AY664" s="646"/>
      <c r="AZ664" s="416" t="str">
        <f t="shared" ref="AZ664:BF664" ca="1" si="745">IFERROR(VLOOKUP($A664,tb_ConsensusEstimate,MATCH(AZ$5,OFFSET(tb_ConsensusEstimate,0,0,1,COLUMNS(tb_ConsensusEstimate)),0),FALSE),"-")</f>
        <v>N/A</v>
      </c>
      <c r="BA664" s="416" t="str">
        <f t="shared" ca="1" si="745"/>
        <v>N/A</v>
      </c>
      <c r="BB664" s="416" t="str">
        <f t="shared" ca="1" si="745"/>
        <v>N/A</v>
      </c>
      <c r="BC664" s="416" t="str">
        <f t="shared" ca="1" si="745"/>
        <v>N/A</v>
      </c>
      <c r="BD664" s="416" t="str">
        <f t="shared" ca="1" si="745"/>
        <v>N/A</v>
      </c>
      <c r="BE664" s="416" t="str">
        <f t="shared" ca="1" si="745"/>
        <v>N/A</v>
      </c>
      <c r="BF664" s="416" t="str">
        <f t="shared" ca="1" si="745"/>
        <v>N/A</v>
      </c>
      <c r="BG664" s="416"/>
      <c r="BH664" s="931"/>
      <c r="BI664" s="931"/>
      <c r="BJ664" s="931"/>
      <c r="BK664" s="931"/>
      <c r="BL664" s="931"/>
      <c r="BM664" s="931"/>
      <c r="BN664" s="931"/>
      <c r="BO664" s="932"/>
      <c r="BP664" s="932"/>
      <c r="BQ664" s="932"/>
      <c r="BR664" s="932"/>
      <c r="BS664" s="932"/>
      <c r="BT664" s="932"/>
      <c r="BU664" s="932"/>
      <c r="BV664" s="932"/>
      <c r="BW664" s="933"/>
      <c r="BX664" s="998" t="str">
        <f ca="1">IFERROR(VLOOKUP($A664,tb_ConsensusEstimate,MATCH(BX$5,OFFSET(tb_ConsensusEstimate,0,0,1,COLUMNS(tb_ConsensusEstimate)),0),FALSE),"-")</f>
        <v>N/A</v>
      </c>
      <c r="BY664" s="998" t="str">
        <f ca="1">IFERROR(VLOOKUP($A664,tb_ConsensusEstimate,MATCH(BY$5,OFFSET(tb_ConsensusEstimate,0,0,1,COLUMNS(tb_ConsensusEstimate)),0),FALSE),"-")</f>
        <v>N/A</v>
      </c>
      <c r="BZ664" s="998" t="str">
        <f ca="1">IFERROR(VLOOKUP($A664,tb_ConsensusEstimate,MATCH(BZ5,OFFSET(tb_ConsensusEstimate,0,0,1,COLUMNS(tb_ConsensusEstimate)),0),FALSE),"-")</f>
        <v>N/A</v>
      </c>
      <c r="CA664" s="998" t="str">
        <f ca="1">IFERROR(VLOOKUP($A664,tb_ConsensusEstimate,MATCH(CA5,OFFSET(tb_ConsensusEstimate,0,0,1,COLUMNS(tb_ConsensusEstimate)),0),FALSE),"-")</f>
        <v>N/A</v>
      </c>
      <c r="CB664" s="998" t="str">
        <f ca="1">IFERROR(VLOOKUP($A664,tb_ConsensusEstimate,MATCH(CB5,OFFSET(tb_ConsensusEstimate,0,0,1,COLUMNS(tb_ConsensusEstimate)),0),FALSE),"-")</f>
        <v>N/A</v>
      </c>
      <c r="CC664" s="47"/>
    </row>
    <row r="665" spans="1:81" x14ac:dyDescent="0.55000000000000004">
      <c r="A665" s="26" t="s">
        <v>105</v>
      </c>
      <c r="B665" s="193"/>
      <c r="C665" s="6">
        <f t="shared" ref="C665:Z665" si="746">C830</f>
        <v>-327</v>
      </c>
      <c r="D665" s="6">
        <f t="shared" si="746"/>
        <v>-268</v>
      </c>
      <c r="E665" s="6">
        <f t="shared" si="746"/>
        <v>-284</v>
      </c>
      <c r="F665" s="6">
        <f t="shared" si="746"/>
        <v>-483</v>
      </c>
      <c r="G665" s="6">
        <f t="shared" si="746"/>
        <v>-363</v>
      </c>
      <c r="H665" s="6">
        <f t="shared" si="746"/>
        <v>-469</v>
      </c>
      <c r="I665" s="6">
        <f t="shared" si="746"/>
        <v>-482</v>
      </c>
      <c r="J665" s="6">
        <f t="shared" si="746"/>
        <v>-517</v>
      </c>
      <c r="K665" s="6">
        <f t="shared" si="746"/>
        <v>-502</v>
      </c>
      <c r="L665" s="6">
        <f t="shared" si="746"/>
        <v>-549</v>
      </c>
      <c r="M665" s="6">
        <f t="shared" si="746"/>
        <v>-780</v>
      </c>
      <c r="N665" s="6">
        <f t="shared" si="746"/>
        <v>-692</v>
      </c>
      <c r="O665" s="6">
        <f t="shared" si="746"/>
        <v>-1132</v>
      </c>
      <c r="P665" s="6">
        <f t="shared" si="746"/>
        <v>-995</v>
      </c>
      <c r="Q665" s="6">
        <f t="shared" si="746"/>
        <v>-1095</v>
      </c>
      <c r="R665" s="6">
        <f t="shared" si="746"/>
        <v>-1269</v>
      </c>
      <c r="S665" s="6">
        <f t="shared" si="746"/>
        <v>-1271</v>
      </c>
      <c r="T665" s="6">
        <f t="shared" si="746"/>
        <v>-1444</v>
      </c>
      <c r="U665" s="6">
        <f t="shared" si="746"/>
        <v>-1755</v>
      </c>
      <c r="V665" s="6">
        <f t="shared" si="746"/>
        <v>-2263</v>
      </c>
      <c r="W665" s="6">
        <f t="shared" si="746"/>
        <v>-2812</v>
      </c>
      <c r="X665" s="6">
        <f t="shared" si="746"/>
        <v>-3460</v>
      </c>
      <c r="Y665" s="6">
        <f t="shared" si="746"/>
        <v>-3342</v>
      </c>
      <c r="Z665" s="6">
        <f t="shared" si="746"/>
        <v>-4301</v>
      </c>
      <c r="AA665" s="6">
        <f t="shared" ref="AA665:AY665" si="747">AA830+AA851</f>
        <v>-3962</v>
      </c>
      <c r="AB665" s="6">
        <f t="shared" si="747"/>
        <v>-3775</v>
      </c>
      <c r="AC665" s="6">
        <f t="shared" si="747"/>
        <v>-3676</v>
      </c>
      <c r="AD665" s="6">
        <f t="shared" si="747"/>
        <v>-4241</v>
      </c>
      <c r="AE665" s="6">
        <f t="shared" si="747"/>
        <v>-3658</v>
      </c>
      <c r="AF665" s="6">
        <f t="shared" si="747"/>
        <v>-3364</v>
      </c>
      <c r="AG665" s="6">
        <f t="shared" si="747"/>
        <v>-3878</v>
      </c>
      <c r="AH665" s="6">
        <f t="shared" si="747"/>
        <v>-4819</v>
      </c>
      <c r="AI665" s="6">
        <f t="shared" si="747"/>
        <v>-4423</v>
      </c>
      <c r="AJ665" s="6">
        <f t="shared" si="747"/>
        <v>-4735</v>
      </c>
      <c r="AK665" s="6">
        <f t="shared" si="747"/>
        <v>-4545</v>
      </c>
      <c r="AL665" s="6">
        <f t="shared" si="747"/>
        <v>-5541</v>
      </c>
      <c r="AM665" s="6">
        <f t="shared" si="747"/>
        <v>-5674</v>
      </c>
      <c r="AN665" s="6">
        <f t="shared" si="747"/>
        <v>-7791</v>
      </c>
      <c r="AO665" s="6">
        <f t="shared" si="747"/>
        <v>-9538</v>
      </c>
      <c r="AP665" s="6">
        <f t="shared" si="747"/>
        <v>-9278</v>
      </c>
      <c r="AQ665" s="6">
        <f t="shared" si="747"/>
        <v>-7106</v>
      </c>
      <c r="AR665" s="6">
        <f t="shared" si="747"/>
        <v>-6436</v>
      </c>
      <c r="AS665" s="6">
        <f t="shared" si="747"/>
        <v>-6810</v>
      </c>
      <c r="AT665" s="6">
        <f t="shared" si="747"/>
        <v>-7972</v>
      </c>
      <c r="AU665" s="6">
        <f t="shared" si="747"/>
        <v>-6715</v>
      </c>
      <c r="AV665" s="6">
        <f t="shared" si="747"/>
        <v>-8472</v>
      </c>
      <c r="AW665" s="6">
        <f t="shared" si="747"/>
        <v>-9202</v>
      </c>
      <c r="AX665" s="6">
        <f t="shared" si="747"/>
        <v>-14836</v>
      </c>
      <c r="AY665" s="272">
        <f t="shared" si="747"/>
        <v>-13692</v>
      </c>
      <c r="AZ665" s="771">
        <v>-15625</v>
      </c>
      <c r="BA665" s="771">
        <v>-15625</v>
      </c>
      <c r="BB665" s="771">
        <v>-15625</v>
      </c>
      <c r="BC665" s="771">
        <v>-10100</v>
      </c>
      <c r="BD665" s="771">
        <v>-10100</v>
      </c>
      <c r="BE665" s="771">
        <v>-10100</v>
      </c>
      <c r="BF665" s="771">
        <v>-10100</v>
      </c>
      <c r="BG665" s="771"/>
      <c r="BH665" s="813">
        <f t="shared" ref="BH665:BQ665" si="748">BH830</f>
        <v>-33</v>
      </c>
      <c r="BI665" s="813">
        <f t="shared" si="748"/>
        <v>-293</v>
      </c>
      <c r="BJ665" s="813">
        <f t="shared" si="748"/>
        <v>-606</v>
      </c>
      <c r="BK665" s="813">
        <f t="shared" si="748"/>
        <v>-1235</v>
      </c>
      <c r="BL665" s="813">
        <f t="shared" si="748"/>
        <v>-1362</v>
      </c>
      <c r="BM665" s="813">
        <f t="shared" si="748"/>
        <v>-1831</v>
      </c>
      <c r="BN665" s="813">
        <f t="shared" si="748"/>
        <v>-2523</v>
      </c>
      <c r="BO665" s="813">
        <f t="shared" si="748"/>
        <v>-4491</v>
      </c>
      <c r="BP665" s="813">
        <f t="shared" si="748"/>
        <v>-6733</v>
      </c>
      <c r="BQ665" s="813">
        <f t="shared" si="748"/>
        <v>-13915</v>
      </c>
      <c r="BR665" s="813">
        <f t="shared" ref="BR665:BY665" si="749">BR830+BR851</f>
        <v>-15654</v>
      </c>
      <c r="BS665" s="813">
        <f t="shared" si="749"/>
        <v>-15719</v>
      </c>
      <c r="BT665" s="813">
        <f t="shared" si="749"/>
        <v>-19244</v>
      </c>
      <c r="BU665" s="813">
        <f t="shared" si="749"/>
        <v>-32281</v>
      </c>
      <c r="BV665" s="813">
        <f t="shared" si="749"/>
        <v>-28324</v>
      </c>
      <c r="BW665" s="870">
        <f t="shared" si="749"/>
        <v>-39225</v>
      </c>
      <c r="BX665" s="812">
        <f t="shared" si="749"/>
        <v>-60567</v>
      </c>
      <c r="BY665" s="812">
        <f t="shared" si="749"/>
        <v>-40400</v>
      </c>
      <c r="BZ665" s="869">
        <v>-40400</v>
      </c>
      <c r="CA665" s="869">
        <v>-40400</v>
      </c>
      <c r="CB665" s="869">
        <v>-40400</v>
      </c>
      <c r="CC665" s="6"/>
    </row>
    <row r="666" spans="1:81" x14ac:dyDescent="0.55000000000000004">
      <c r="A666" s="44" t="str">
        <f>CONCATENATE("Consensus Estimates - ",IFERROR(LEFT(A665,FIND("(",A665)-1),A665))</f>
        <v>Consensus Estimates - Capex</v>
      </c>
      <c r="B666" s="76"/>
      <c r="C666" s="45"/>
      <c r="D666" s="45"/>
      <c r="E666" s="45"/>
      <c r="F666" s="45"/>
      <c r="G666" s="45"/>
      <c r="H666" s="45"/>
      <c r="I666" s="45"/>
      <c r="J666" s="45"/>
      <c r="K666" s="45"/>
      <c r="L666" s="45"/>
      <c r="M666" s="45"/>
      <c r="N666" s="45"/>
      <c r="O666" s="45"/>
      <c r="P666" s="566"/>
      <c r="Q666" s="566"/>
      <c r="R666" s="566"/>
      <c r="S666" s="45"/>
      <c r="T666" s="566"/>
      <c r="U666" s="45"/>
      <c r="V666" s="566"/>
      <c r="W666" s="45"/>
      <c r="X666" s="566"/>
      <c r="Y666" s="45"/>
      <c r="Z666" s="566"/>
      <c r="AA666" s="45"/>
      <c r="AB666" s="566"/>
      <c r="AC666" s="45"/>
      <c r="AD666" s="566"/>
      <c r="AE666" s="45"/>
      <c r="AF666" s="566"/>
      <c r="AG666" s="45"/>
      <c r="AH666" s="566"/>
      <c r="AI666" s="45"/>
      <c r="AJ666" s="566"/>
      <c r="AK666" s="45"/>
      <c r="AL666" s="566"/>
      <c r="AM666" s="45"/>
      <c r="AN666" s="566"/>
      <c r="AO666" s="45"/>
      <c r="AP666" s="566"/>
      <c r="AQ666" s="45"/>
      <c r="AR666" s="566"/>
      <c r="AS666" s="45"/>
      <c r="AT666" s="566"/>
      <c r="AU666" s="45"/>
      <c r="AV666" s="566"/>
      <c r="AW666" s="45"/>
      <c r="AX666" s="566"/>
      <c r="AY666" s="627"/>
      <c r="AZ666" s="342" t="str">
        <f t="shared" ref="AZ666:BF666" ca="1" si="750">IFERROR(VLOOKUP($A666,tb_ConsensusEstimate,MATCH(AZ$5,OFFSET(tb_ConsensusEstimate,0,0,1,COLUMNS(tb_ConsensusEstimate)),0),FALSE),"-")</f>
        <v>N/A</v>
      </c>
      <c r="BA666" s="342" t="str">
        <f t="shared" ca="1" si="750"/>
        <v>N/A</v>
      </c>
      <c r="BB666" s="342" t="str">
        <f t="shared" ca="1" si="750"/>
        <v>N/A</v>
      </c>
      <c r="BC666" s="342" t="str">
        <f t="shared" ca="1" si="750"/>
        <v>N/A</v>
      </c>
      <c r="BD666" s="342" t="str">
        <f t="shared" ca="1" si="750"/>
        <v>N/A</v>
      </c>
      <c r="BE666" s="342" t="str">
        <f t="shared" ca="1" si="750"/>
        <v>N/A</v>
      </c>
      <c r="BF666" s="342" t="str">
        <f t="shared" ca="1" si="750"/>
        <v>N/A</v>
      </c>
      <c r="BG666" s="342"/>
      <c r="BH666" s="836"/>
      <c r="BI666" s="836"/>
      <c r="BJ666" s="836"/>
      <c r="BK666" s="836"/>
      <c r="BL666" s="836"/>
      <c r="BM666" s="836"/>
      <c r="BN666" s="836"/>
      <c r="BO666" s="837"/>
      <c r="BP666" s="837"/>
      <c r="BQ666" s="837"/>
      <c r="BR666" s="837"/>
      <c r="BS666" s="837"/>
      <c r="BT666" s="837"/>
      <c r="BU666" s="837"/>
      <c r="BV666" s="837"/>
      <c r="BW666" s="838"/>
      <c r="BX666" s="999" t="str">
        <f ca="1">IFERROR(VLOOKUP($A666,tb_ConsensusEstimate,MATCH(BX$5,OFFSET(tb_ConsensusEstimate,0,0,1,COLUMNS(tb_ConsensusEstimate)),0),FALSE),"-")</f>
        <v>N/A</v>
      </c>
      <c r="BY666" s="999" t="str">
        <f ca="1">IFERROR(VLOOKUP($A666,tb_ConsensusEstimate,MATCH(BY$5,OFFSET(tb_ConsensusEstimate,0,0,1,COLUMNS(tb_ConsensusEstimate)),0),FALSE),"-")</f>
        <v>N/A</v>
      </c>
      <c r="BZ666" s="999" t="str">
        <f ca="1">IFERROR(VLOOKUP($A666,tb_ConsensusEstimate,MATCH(BZ5,OFFSET(tb_ConsensusEstimate,0,0,1,COLUMNS(tb_ConsensusEstimate)),0),FALSE),"-")</f>
        <v>N/A</v>
      </c>
      <c r="CA666" s="999" t="str">
        <f ca="1">IFERROR(VLOOKUP($A666,tb_ConsensusEstimate,MATCH(CA5,OFFSET(tb_ConsensusEstimate,0,0,1,COLUMNS(tb_ConsensusEstimate)),0),FALSE),"-")</f>
        <v>N/A</v>
      </c>
      <c r="CB666" s="999" t="str">
        <f ca="1">IFERROR(VLOOKUP($A666,tb_ConsensusEstimate,MATCH(CB5,OFFSET(tb_ConsensusEstimate,0,0,1,COLUMNS(tb_ConsensusEstimate)),0),FALSE),"-")</f>
        <v>N/A</v>
      </c>
      <c r="CC666" s="45"/>
    </row>
    <row r="667" spans="1:81" x14ac:dyDescent="0.55000000000000004">
      <c r="A667" s="44" t="str">
        <f>CONCATENATE("Guidance - ",IFERROR(LEFT(A665,FIND("(",A665)-1),A665))</f>
        <v>Guidance - Capex</v>
      </c>
      <c r="B667" s="76"/>
      <c r="C667" s="45"/>
      <c r="D667" s="45"/>
      <c r="E667" s="45"/>
      <c r="F667" s="45"/>
      <c r="G667" s="45"/>
      <c r="H667" s="45"/>
      <c r="I667" s="45"/>
      <c r="J667" s="45"/>
      <c r="K667" s="45"/>
      <c r="L667" s="45"/>
      <c r="M667" s="45"/>
      <c r="N667" s="45"/>
      <c r="O667" s="45"/>
      <c r="P667" s="566"/>
      <c r="Q667" s="566"/>
      <c r="R667" s="566"/>
      <c r="S667" s="45"/>
      <c r="T667" s="566"/>
      <c r="U667" s="45"/>
      <c r="V667" s="566"/>
      <c r="W667" s="45"/>
      <c r="X667" s="566"/>
      <c r="Y667" s="45"/>
      <c r="Z667" s="566"/>
      <c r="AA667" s="45"/>
      <c r="AB667" s="566"/>
      <c r="AC667" s="45"/>
      <c r="AD667" s="566">
        <f>-AD618</f>
        <v>-4587</v>
      </c>
      <c r="AE667" s="45"/>
      <c r="AF667" s="566"/>
      <c r="AG667" s="45"/>
      <c r="AH667" s="566">
        <f>-AH618</f>
        <v>-5100</v>
      </c>
      <c r="AI667" s="45"/>
      <c r="AJ667" s="566"/>
      <c r="AK667" s="45"/>
      <c r="AL667" s="566">
        <f>-AL618</f>
        <v>-5297</v>
      </c>
      <c r="AM667" s="45"/>
      <c r="AN667" s="566"/>
      <c r="AO667" s="45"/>
      <c r="AP667" s="566">
        <f>-AP618</f>
        <v>-9497</v>
      </c>
      <c r="AQ667" s="45"/>
      <c r="AR667" s="566"/>
      <c r="AS667" s="45"/>
      <c r="AT667" s="566">
        <f>-AT618</f>
        <v>-7648</v>
      </c>
      <c r="AU667" s="45"/>
      <c r="AV667" s="566"/>
      <c r="AW667" s="45"/>
      <c r="AX667" s="566">
        <f>-AX618</f>
        <v>-14611</v>
      </c>
      <c r="AY667" s="627"/>
      <c r="AZ667" s="342">
        <f t="shared" ref="AZ667:BF667" si="751">IFERROR(IF(LEFT(AZ$5)="Q",-INDEX(MO_GuidanceAnalysis_Capex_Q,0,MATCH(AZ$5,MO_SNA_Guidance_ApplicablePeriod_Q,0)),-INDEX(MO_GuidanceAnalysis_Capex_FY,0,MATCH(AZ$5,MO_SNA_Guidance_ApplicablePeriod_FY_Latest,0))),0)</f>
        <v>0</v>
      </c>
      <c r="BA667" s="342">
        <f t="shared" si="751"/>
        <v>0</v>
      </c>
      <c r="BB667" s="342">
        <f t="shared" si="751"/>
        <v>0</v>
      </c>
      <c r="BC667" s="342">
        <f t="shared" si="751"/>
        <v>0</v>
      </c>
      <c r="BD667" s="342">
        <f t="shared" si="751"/>
        <v>0</v>
      </c>
      <c r="BE667" s="342">
        <f t="shared" si="751"/>
        <v>0</v>
      </c>
      <c r="BF667" s="342">
        <f t="shared" si="751"/>
        <v>0</v>
      </c>
      <c r="BG667" s="342"/>
      <c r="BH667" s="836"/>
      <c r="BI667" s="836"/>
      <c r="BJ667" s="836"/>
      <c r="BK667" s="836"/>
      <c r="BL667" s="836"/>
      <c r="BM667" s="836"/>
      <c r="BN667" s="836"/>
      <c r="BO667" s="837"/>
      <c r="BP667" s="837"/>
      <c r="BQ667" s="837"/>
      <c r="BR667" s="837">
        <f t="shared" ref="BR667:BW667" si="752">-BR618</f>
        <v>-16000</v>
      </c>
      <c r="BS667" s="837">
        <f t="shared" si="752"/>
        <v>-16000</v>
      </c>
      <c r="BT667" s="837">
        <f t="shared" si="752"/>
        <v>-19000</v>
      </c>
      <c r="BU667" s="837">
        <f t="shared" si="752"/>
        <v>-32500</v>
      </c>
      <c r="BV667" s="837">
        <f t="shared" si="752"/>
        <v>-28000</v>
      </c>
      <c r="BW667" s="838">
        <f t="shared" si="752"/>
        <v>-39000</v>
      </c>
      <c r="BX667" s="999">
        <f>IFERROR(IF(LEFT(BX$5)="Q",-INDEX(MO_GuidanceAnalysis_Capex_Q,0,MATCH(BX$5,MO_SNA_Guidance_ApplicablePeriod_Q,0)),-INDEX(MO_GuidanceAnalysis_Capex_FY,0,MATCH(BX$5,MO_SNA_Guidance_ApplicablePeriod_FY_Latest,0))),0)</f>
        <v>-68000</v>
      </c>
      <c r="BY667" s="999">
        <f>IFERROR(IF(LEFT(BY$5)="Q",-INDEX(MO_GuidanceAnalysis_Capex_Q,0,MATCH(BY$5,MO_SNA_Guidance_ApplicablePeriod_Q,0)),-INDEX(MO_GuidanceAnalysis_Capex_FY,0,MATCH(BY$5,MO_SNA_Guidance_ApplicablePeriod_FY_Latest,0))),0)</f>
        <v>0</v>
      </c>
      <c r="BZ667" s="999">
        <f>IFERROR(IF(LEFT(BZ$5)="Q",-INDEX(MO_GuidanceAnalysis_Capex_Q,0,MATCH(BZ$5,MO_SNA_Guidance_ApplicablePeriod_Q,0)),-INDEX(MO_GuidanceAnalysis_Capex_FY,0,MATCH(BZ$5,MO_SNA_Guidance_ApplicablePeriod_FY_Latest,0))),0)</f>
        <v>0</v>
      </c>
      <c r="CA667" s="999">
        <f>IFERROR(IF(LEFT(CA$5)="Q",-INDEX(MO_GuidanceAnalysis_Capex_Q,0,MATCH(CA$5,MO_SNA_Guidance_ApplicablePeriod_Q,0)),-INDEX(MO_GuidanceAnalysis_Capex_FY,0,MATCH(CA$5,MO_SNA_Guidance_ApplicablePeriod_FY_Latest,0))),0)</f>
        <v>0</v>
      </c>
      <c r="CB667" s="999">
        <f>IFERROR(IF(LEFT(CB$5)="Q",-INDEX(MO_GuidanceAnalysis_Capex_Q,0,MATCH(CB$5,MO_SNA_Guidance_ApplicablePeriod_Q,0)),-INDEX(MO_GuidanceAnalysis_Capex_FY,0,MATCH(CB$5,MO_SNA_Guidance_ApplicablePeriod_FY_Latest,0))),0)</f>
        <v>0</v>
      </c>
      <c r="CC667" s="45"/>
    </row>
    <row r="668" spans="1:81" x14ac:dyDescent="0.55000000000000004">
      <c r="A668" s="117" t="s">
        <v>106</v>
      </c>
      <c r="B668" s="87"/>
      <c r="C668" s="117">
        <f t="shared" ref="C668:AH668" si="753">C837</f>
        <v>-99</v>
      </c>
      <c r="D668" s="117">
        <f t="shared" si="753"/>
        <v>-122</v>
      </c>
      <c r="E668" s="117">
        <f t="shared" si="753"/>
        <v>-16</v>
      </c>
      <c r="F668" s="117">
        <f t="shared" si="753"/>
        <v>-131</v>
      </c>
      <c r="G668" s="117">
        <f t="shared" si="753"/>
        <v>0</v>
      </c>
      <c r="H668" s="117">
        <f t="shared" si="753"/>
        <v>-19</v>
      </c>
      <c r="I668" s="117">
        <f t="shared" si="753"/>
        <v>-735</v>
      </c>
      <c r="J668" s="117">
        <f t="shared" si="753"/>
        <v>-4221</v>
      </c>
      <c r="K668" s="117">
        <f t="shared" si="753"/>
        <v>-257</v>
      </c>
      <c r="L668" s="117">
        <f t="shared" si="753"/>
        <v>-25</v>
      </c>
      <c r="M668" s="117">
        <f t="shared" si="753"/>
        <v>-27</v>
      </c>
      <c r="N668" s="117">
        <f t="shared" si="753"/>
        <v>-4</v>
      </c>
      <c r="O668" s="117">
        <f t="shared" si="753"/>
        <v>-1</v>
      </c>
      <c r="P668" s="117">
        <f t="shared" si="753"/>
        <v>-19</v>
      </c>
      <c r="Q668" s="117">
        <f t="shared" si="753"/>
        <v>-61</v>
      </c>
      <c r="R668" s="117">
        <f t="shared" si="753"/>
        <v>-42</v>
      </c>
      <c r="S668" s="117">
        <f t="shared" si="753"/>
        <v>0</v>
      </c>
      <c r="T668" s="117">
        <f t="shared" si="753"/>
        <v>-8</v>
      </c>
      <c r="U668" s="117">
        <f t="shared" si="753"/>
        <v>-98</v>
      </c>
      <c r="V668" s="117">
        <f t="shared" si="753"/>
        <v>-16</v>
      </c>
      <c r="W668" s="117">
        <f t="shared" si="753"/>
        <v>-49</v>
      </c>
      <c r="X668" s="117">
        <f t="shared" si="753"/>
        <v>-16</v>
      </c>
      <c r="Y668" s="117">
        <f t="shared" si="753"/>
        <v>-72</v>
      </c>
      <c r="Z668" s="117">
        <f t="shared" si="753"/>
        <v>0</v>
      </c>
      <c r="AA668" s="117">
        <f t="shared" si="753"/>
        <v>0</v>
      </c>
      <c r="AB668" s="117">
        <f t="shared" si="753"/>
        <v>0</v>
      </c>
      <c r="AC668" s="117">
        <f t="shared" si="753"/>
        <v>0</v>
      </c>
      <c r="AD668" s="117">
        <f t="shared" si="753"/>
        <v>-508</v>
      </c>
      <c r="AE668" s="117">
        <f t="shared" si="753"/>
        <v>-33</v>
      </c>
      <c r="AF668" s="117">
        <f t="shared" si="753"/>
        <v>-339</v>
      </c>
      <c r="AG668" s="117">
        <f t="shared" si="753"/>
        <v>-12</v>
      </c>
      <c r="AH668" s="117">
        <f t="shared" si="753"/>
        <v>-4</v>
      </c>
      <c r="AI668" s="117">
        <f t="shared" ref="AI668:AY668" si="754">AI837</f>
        <v>0</v>
      </c>
      <c r="AJ668" s="117">
        <f t="shared" si="754"/>
        <v>-259</v>
      </c>
      <c r="AK668" s="117">
        <f t="shared" si="754"/>
        <v>-71</v>
      </c>
      <c r="AL668" s="117">
        <f t="shared" si="754"/>
        <v>-521</v>
      </c>
      <c r="AM668" s="117">
        <f t="shared" si="754"/>
        <v>-853</v>
      </c>
      <c r="AN668" s="117">
        <f t="shared" si="754"/>
        <v>-363</v>
      </c>
      <c r="AO668" s="117">
        <f t="shared" si="754"/>
        <v>-34</v>
      </c>
      <c r="AP668" s="117">
        <f t="shared" si="754"/>
        <v>-62</v>
      </c>
      <c r="AQ668" s="117">
        <f t="shared" si="754"/>
        <v>-444</v>
      </c>
      <c r="AR668" s="117">
        <f t="shared" si="754"/>
        <v>-83</v>
      </c>
      <c r="AS668" s="117">
        <f t="shared" si="754"/>
        <v>-38</v>
      </c>
      <c r="AT668" s="117">
        <f t="shared" si="754"/>
        <v>-64</v>
      </c>
      <c r="AU668" s="117">
        <f t="shared" si="754"/>
        <v>-72</v>
      </c>
      <c r="AV668" s="117">
        <f t="shared" si="754"/>
        <v>-57</v>
      </c>
      <c r="AW668" s="117">
        <f t="shared" si="754"/>
        <v>-132</v>
      </c>
      <c r="AX668" s="117">
        <f t="shared" si="754"/>
        <v>-9</v>
      </c>
      <c r="AY668" s="273">
        <f t="shared" si="754"/>
        <v>-90</v>
      </c>
      <c r="AZ668" s="759">
        <v>0</v>
      </c>
      <c r="BA668" s="759">
        <v>0</v>
      </c>
      <c r="BB668" s="759">
        <v>0</v>
      </c>
      <c r="BC668" s="759">
        <v>0</v>
      </c>
      <c r="BD668" s="759">
        <v>0</v>
      </c>
      <c r="BE668" s="759">
        <v>0</v>
      </c>
      <c r="BF668" s="759">
        <v>0</v>
      </c>
      <c r="BG668" s="759"/>
      <c r="BH668" s="876">
        <f t="shared" ref="BH668:BY668" si="755">BH837</f>
        <v>3</v>
      </c>
      <c r="BI668" s="876">
        <f t="shared" si="755"/>
        <v>-22</v>
      </c>
      <c r="BJ668" s="876">
        <f t="shared" si="755"/>
        <v>-24</v>
      </c>
      <c r="BK668" s="876">
        <f t="shared" si="755"/>
        <v>-911</v>
      </c>
      <c r="BL668" s="876">
        <f t="shared" si="755"/>
        <v>-368</v>
      </c>
      <c r="BM668" s="876">
        <f t="shared" si="755"/>
        <v>-4975</v>
      </c>
      <c r="BN668" s="876">
        <f t="shared" si="755"/>
        <v>-313</v>
      </c>
      <c r="BO668" s="876">
        <f t="shared" si="755"/>
        <v>-123</v>
      </c>
      <c r="BP668" s="876">
        <f t="shared" si="755"/>
        <v>-122</v>
      </c>
      <c r="BQ668" s="876">
        <f t="shared" si="755"/>
        <v>-137</v>
      </c>
      <c r="BR668" s="876">
        <f t="shared" si="755"/>
        <v>-508</v>
      </c>
      <c r="BS668" s="876">
        <f t="shared" si="755"/>
        <v>-388</v>
      </c>
      <c r="BT668" s="876">
        <f t="shared" si="755"/>
        <v>-851</v>
      </c>
      <c r="BU668" s="876">
        <f t="shared" si="755"/>
        <v>-1312</v>
      </c>
      <c r="BV668" s="876">
        <f t="shared" si="755"/>
        <v>-629</v>
      </c>
      <c r="BW668" s="915">
        <f t="shared" si="755"/>
        <v>-270</v>
      </c>
      <c r="BX668" s="158">
        <f t="shared" si="755"/>
        <v>-90</v>
      </c>
      <c r="BY668" s="158">
        <f t="shared" si="755"/>
        <v>0</v>
      </c>
      <c r="BZ668" s="857">
        <v>0</v>
      </c>
      <c r="CA668" s="857">
        <v>0</v>
      </c>
      <c r="CB668" s="857">
        <v>0</v>
      </c>
      <c r="CC668" s="117"/>
    </row>
    <row r="669" spans="1:81" x14ac:dyDescent="0.55000000000000004">
      <c r="A669" s="117" t="s">
        <v>107</v>
      </c>
      <c r="B669" s="87"/>
      <c r="C669" s="117">
        <f t="shared" ref="C669:AH669" si="756">C839+C832</f>
        <v>0</v>
      </c>
      <c r="D669" s="117">
        <f t="shared" si="756"/>
        <v>0</v>
      </c>
      <c r="E669" s="117">
        <f t="shared" si="756"/>
        <v>0</v>
      </c>
      <c r="F669" s="117">
        <f t="shared" si="756"/>
        <v>0</v>
      </c>
      <c r="G669" s="117">
        <f t="shared" si="756"/>
        <v>0</v>
      </c>
      <c r="H669" s="117">
        <f t="shared" si="756"/>
        <v>0</v>
      </c>
      <c r="I669" s="117">
        <f t="shared" si="756"/>
        <v>0</v>
      </c>
      <c r="J669" s="117">
        <f t="shared" si="756"/>
        <v>0</v>
      </c>
      <c r="K669" s="117">
        <f t="shared" si="756"/>
        <v>0</v>
      </c>
      <c r="L669" s="117">
        <f t="shared" si="756"/>
        <v>0</v>
      </c>
      <c r="M669" s="117">
        <f t="shared" si="756"/>
        <v>0</v>
      </c>
      <c r="N669" s="117">
        <f t="shared" si="756"/>
        <v>0</v>
      </c>
      <c r="O669" s="117">
        <f t="shared" si="756"/>
        <v>0</v>
      </c>
      <c r="P669" s="117">
        <f t="shared" si="756"/>
        <v>0</v>
      </c>
      <c r="Q669" s="117">
        <f t="shared" si="756"/>
        <v>0</v>
      </c>
      <c r="R669" s="117">
        <f t="shared" si="756"/>
        <v>0</v>
      </c>
      <c r="S669" s="117">
        <f t="shared" si="756"/>
        <v>0</v>
      </c>
      <c r="T669" s="117">
        <f t="shared" si="756"/>
        <v>0</v>
      </c>
      <c r="U669" s="117">
        <f t="shared" si="756"/>
        <v>0</v>
      </c>
      <c r="V669" s="117">
        <f t="shared" si="756"/>
        <v>0</v>
      </c>
      <c r="W669" s="117">
        <f t="shared" si="756"/>
        <v>0</v>
      </c>
      <c r="X669" s="117">
        <f t="shared" si="756"/>
        <v>0</v>
      </c>
      <c r="Y669" s="117">
        <f t="shared" si="756"/>
        <v>0</v>
      </c>
      <c r="Z669" s="117">
        <f t="shared" si="756"/>
        <v>0</v>
      </c>
      <c r="AA669" s="117">
        <f t="shared" si="756"/>
        <v>0</v>
      </c>
      <c r="AB669" s="117">
        <f t="shared" si="756"/>
        <v>0</v>
      </c>
      <c r="AC669" s="117">
        <f t="shared" si="756"/>
        <v>0</v>
      </c>
      <c r="AD669" s="117">
        <f t="shared" si="756"/>
        <v>0</v>
      </c>
      <c r="AE669" s="117">
        <f t="shared" si="756"/>
        <v>0</v>
      </c>
      <c r="AF669" s="117">
        <f t="shared" si="756"/>
        <v>0</v>
      </c>
      <c r="AG669" s="117">
        <f t="shared" si="756"/>
        <v>0</v>
      </c>
      <c r="AH669" s="117">
        <f t="shared" si="756"/>
        <v>0</v>
      </c>
      <c r="AI669" s="117">
        <f t="shared" ref="AI669:AY669" si="757">AI839+AI832</f>
        <v>0</v>
      </c>
      <c r="AJ669" s="117">
        <f t="shared" si="757"/>
        <v>0</v>
      </c>
      <c r="AK669" s="117">
        <f t="shared" si="757"/>
        <v>0</v>
      </c>
      <c r="AL669" s="117">
        <f t="shared" si="757"/>
        <v>0</v>
      </c>
      <c r="AM669" s="117">
        <f t="shared" si="757"/>
        <v>126</v>
      </c>
      <c r="AN669" s="117">
        <f t="shared" si="757"/>
        <v>44</v>
      </c>
      <c r="AO669" s="117">
        <f t="shared" si="757"/>
        <v>20</v>
      </c>
      <c r="AP669" s="117">
        <f t="shared" si="757"/>
        <v>55</v>
      </c>
      <c r="AQ669" s="117">
        <f t="shared" si="757"/>
        <v>19</v>
      </c>
      <c r="AR669" s="117">
        <f t="shared" si="757"/>
        <v>82</v>
      </c>
      <c r="AS669" s="117">
        <f t="shared" si="757"/>
        <v>47</v>
      </c>
      <c r="AT669" s="117">
        <f t="shared" si="757"/>
        <v>73</v>
      </c>
      <c r="AU669" s="117">
        <f t="shared" si="757"/>
        <v>0</v>
      </c>
      <c r="AV669" s="117">
        <f t="shared" si="757"/>
        <v>0</v>
      </c>
      <c r="AW669" s="117">
        <f t="shared" si="757"/>
        <v>0</v>
      </c>
      <c r="AX669" s="117">
        <f t="shared" si="757"/>
        <v>0</v>
      </c>
      <c r="AY669" s="273">
        <f t="shared" si="757"/>
        <v>0</v>
      </c>
      <c r="AZ669" s="759">
        <v>0</v>
      </c>
      <c r="BA669" s="759">
        <v>0</v>
      </c>
      <c r="BB669" s="759">
        <v>0</v>
      </c>
      <c r="BC669" s="759">
        <v>0</v>
      </c>
      <c r="BD669" s="759">
        <v>0</v>
      </c>
      <c r="BE669" s="759">
        <v>0</v>
      </c>
      <c r="BF669" s="759">
        <v>0</v>
      </c>
      <c r="BG669" s="759"/>
      <c r="BH669" s="876">
        <f t="shared" ref="BH669:BY669" si="758">BH839+BH832</f>
        <v>0</v>
      </c>
      <c r="BI669" s="876">
        <f t="shared" si="758"/>
        <v>0</v>
      </c>
      <c r="BJ669" s="876">
        <f t="shared" si="758"/>
        <v>0</v>
      </c>
      <c r="BK669" s="876">
        <f t="shared" si="758"/>
        <v>0</v>
      </c>
      <c r="BL669" s="876">
        <f t="shared" si="758"/>
        <v>0</v>
      </c>
      <c r="BM669" s="876">
        <f t="shared" si="758"/>
        <v>0</v>
      </c>
      <c r="BN669" s="876">
        <f t="shared" si="758"/>
        <v>0</v>
      </c>
      <c r="BO669" s="876">
        <f t="shared" si="758"/>
        <v>0</v>
      </c>
      <c r="BP669" s="876">
        <f t="shared" si="758"/>
        <v>0</v>
      </c>
      <c r="BQ669" s="876">
        <f t="shared" si="758"/>
        <v>0</v>
      </c>
      <c r="BR669" s="876">
        <f t="shared" si="758"/>
        <v>0</v>
      </c>
      <c r="BS669" s="876">
        <f t="shared" si="758"/>
        <v>0</v>
      </c>
      <c r="BT669" s="876">
        <f t="shared" si="758"/>
        <v>0</v>
      </c>
      <c r="BU669" s="876">
        <f t="shared" si="758"/>
        <v>245</v>
      </c>
      <c r="BV669" s="876">
        <f t="shared" si="758"/>
        <v>221</v>
      </c>
      <c r="BW669" s="915">
        <f t="shared" si="758"/>
        <v>0</v>
      </c>
      <c r="BX669" s="158">
        <f t="shared" si="758"/>
        <v>0</v>
      </c>
      <c r="BY669" s="158">
        <f t="shared" si="758"/>
        <v>0</v>
      </c>
      <c r="BZ669" s="857">
        <v>0</v>
      </c>
      <c r="CA669" s="857">
        <v>0</v>
      </c>
      <c r="CB669" s="857">
        <v>0</v>
      </c>
      <c r="CC669" s="117"/>
    </row>
    <row r="670" spans="1:81" x14ac:dyDescent="0.55000000000000004">
      <c r="A670" s="117" t="s">
        <v>108</v>
      </c>
      <c r="B670" s="87"/>
      <c r="C670" s="117">
        <f t="shared" ref="C670:AH670" si="759">C855</f>
        <v>0</v>
      </c>
      <c r="D670" s="117">
        <f t="shared" si="759"/>
        <v>0</v>
      </c>
      <c r="E670" s="117">
        <f t="shared" si="759"/>
        <v>0</v>
      </c>
      <c r="F670" s="117">
        <f t="shared" si="759"/>
        <v>0</v>
      </c>
      <c r="G670" s="117">
        <f t="shared" si="759"/>
        <v>0</v>
      </c>
      <c r="H670" s="117">
        <f t="shared" si="759"/>
        <v>0</v>
      </c>
      <c r="I670" s="117">
        <f t="shared" si="759"/>
        <v>0</v>
      </c>
      <c r="J670" s="117">
        <f t="shared" si="759"/>
        <v>0</v>
      </c>
      <c r="K670" s="117">
        <f t="shared" si="759"/>
        <v>0</v>
      </c>
      <c r="L670" s="117">
        <f t="shared" si="759"/>
        <v>0</v>
      </c>
      <c r="M670" s="117">
        <f t="shared" si="759"/>
        <v>0</v>
      </c>
      <c r="N670" s="117">
        <f t="shared" si="759"/>
        <v>0</v>
      </c>
      <c r="O670" s="117">
        <f t="shared" si="759"/>
        <v>0</v>
      </c>
      <c r="P670" s="117">
        <f t="shared" si="759"/>
        <v>0</v>
      </c>
      <c r="Q670" s="117">
        <f t="shared" si="759"/>
        <v>0</v>
      </c>
      <c r="R670" s="117">
        <f t="shared" si="759"/>
        <v>0</v>
      </c>
      <c r="S670" s="117">
        <f t="shared" si="759"/>
        <v>0</v>
      </c>
      <c r="T670" s="117">
        <f t="shared" si="759"/>
        <v>0</v>
      </c>
      <c r="U670" s="117">
        <f t="shared" si="759"/>
        <v>0</v>
      </c>
      <c r="V670" s="117">
        <f t="shared" si="759"/>
        <v>0</v>
      </c>
      <c r="W670" s="117">
        <f t="shared" si="759"/>
        <v>0</v>
      </c>
      <c r="X670" s="117">
        <f t="shared" si="759"/>
        <v>0</v>
      </c>
      <c r="Y670" s="117">
        <f t="shared" si="759"/>
        <v>0</v>
      </c>
      <c r="Z670" s="117">
        <f t="shared" si="759"/>
        <v>0</v>
      </c>
      <c r="AA670" s="117">
        <f t="shared" si="759"/>
        <v>0</v>
      </c>
      <c r="AB670" s="117">
        <f t="shared" si="759"/>
        <v>0</v>
      </c>
      <c r="AC670" s="117">
        <f t="shared" si="759"/>
        <v>0</v>
      </c>
      <c r="AD670" s="117">
        <f t="shared" si="759"/>
        <v>0</v>
      </c>
      <c r="AE670" s="117">
        <f t="shared" si="759"/>
        <v>0</v>
      </c>
      <c r="AF670" s="117">
        <f t="shared" si="759"/>
        <v>0</v>
      </c>
      <c r="AG670" s="117">
        <f t="shared" si="759"/>
        <v>0</v>
      </c>
      <c r="AH670" s="117">
        <f t="shared" si="759"/>
        <v>0</v>
      </c>
      <c r="AI670" s="117">
        <f t="shared" ref="AI670:AY670" si="760">AI855</f>
        <v>0</v>
      </c>
      <c r="AJ670" s="117">
        <f t="shared" si="760"/>
        <v>0</v>
      </c>
      <c r="AK670" s="117">
        <f t="shared" si="760"/>
        <v>0</v>
      </c>
      <c r="AL670" s="117">
        <f t="shared" si="760"/>
        <v>0</v>
      </c>
      <c r="AM670" s="117">
        <f t="shared" si="760"/>
        <v>0</v>
      </c>
      <c r="AN670" s="117">
        <f t="shared" si="760"/>
        <v>0</v>
      </c>
      <c r="AO670" s="117">
        <f t="shared" si="760"/>
        <v>0</v>
      </c>
      <c r="AP670" s="117">
        <f t="shared" si="760"/>
        <v>0</v>
      </c>
      <c r="AQ670" s="117">
        <f t="shared" si="760"/>
        <v>0</v>
      </c>
      <c r="AR670" s="117">
        <f t="shared" si="760"/>
        <v>0</v>
      </c>
      <c r="AS670" s="117">
        <f t="shared" si="760"/>
        <v>0</v>
      </c>
      <c r="AT670" s="117">
        <f t="shared" si="760"/>
        <v>0</v>
      </c>
      <c r="AU670" s="117">
        <f t="shared" si="760"/>
        <v>-1273</v>
      </c>
      <c r="AV670" s="117">
        <f t="shared" si="760"/>
        <v>-1266</v>
      </c>
      <c r="AW670" s="117">
        <f t="shared" si="760"/>
        <v>-1263</v>
      </c>
      <c r="AX670" s="117">
        <f t="shared" si="760"/>
        <v>-1270</v>
      </c>
      <c r="AY670" s="273">
        <f t="shared" si="760"/>
        <v>-1329</v>
      </c>
      <c r="AZ670" s="37">
        <f t="shared" ref="AZ670:BF670" ca="1" si="761">AZ671*-AZ425</f>
        <v>-1259.3233550295859</v>
      </c>
      <c r="BA670" s="37">
        <f t="shared" ca="1" si="761"/>
        <v>-1257.9699974242603</v>
      </c>
      <c r="BB670" s="37">
        <f t="shared" ca="1" si="761"/>
        <v>-1256.6165044831741</v>
      </c>
      <c r="BC670" s="37">
        <f t="shared" ca="1" si="761"/>
        <v>-1256.0025211632083</v>
      </c>
      <c r="BD670" s="37">
        <f t="shared" ca="1" si="761"/>
        <v>-1256.1281214153246</v>
      </c>
      <c r="BE670" s="37">
        <f t="shared" ca="1" si="761"/>
        <v>-1256.2537342274659</v>
      </c>
      <c r="BF670" s="37">
        <f t="shared" ca="1" si="761"/>
        <v>-1256.3793596008886</v>
      </c>
      <c r="BG670" s="37"/>
      <c r="BH670" s="876">
        <f t="shared" ref="BH670:BY670" si="762">BH855</f>
        <v>0</v>
      </c>
      <c r="BI670" s="876">
        <f t="shared" si="762"/>
        <v>0</v>
      </c>
      <c r="BJ670" s="876">
        <f t="shared" si="762"/>
        <v>0</v>
      </c>
      <c r="BK670" s="876">
        <f t="shared" si="762"/>
        <v>0</v>
      </c>
      <c r="BL670" s="876">
        <f t="shared" si="762"/>
        <v>0</v>
      </c>
      <c r="BM670" s="876">
        <f t="shared" si="762"/>
        <v>0</v>
      </c>
      <c r="BN670" s="876">
        <f t="shared" si="762"/>
        <v>0</v>
      </c>
      <c r="BO670" s="876">
        <f t="shared" si="762"/>
        <v>0</v>
      </c>
      <c r="BP670" s="876">
        <f t="shared" si="762"/>
        <v>0</v>
      </c>
      <c r="BQ670" s="876">
        <f t="shared" si="762"/>
        <v>0</v>
      </c>
      <c r="BR670" s="876">
        <f t="shared" si="762"/>
        <v>0</v>
      </c>
      <c r="BS670" s="876">
        <f t="shared" si="762"/>
        <v>0</v>
      </c>
      <c r="BT670" s="876">
        <f t="shared" si="762"/>
        <v>0</v>
      </c>
      <c r="BU670" s="876">
        <f t="shared" si="762"/>
        <v>0</v>
      </c>
      <c r="BV670" s="876">
        <f t="shared" si="762"/>
        <v>0</v>
      </c>
      <c r="BW670" s="915">
        <f t="shared" si="762"/>
        <v>-5072</v>
      </c>
      <c r="BX670" s="158">
        <f t="shared" ca="1" si="762"/>
        <v>-5102.9098569370199</v>
      </c>
      <c r="BY670" s="158">
        <f t="shared" ca="1" si="762"/>
        <v>-5024.7637364068869</v>
      </c>
      <c r="BZ670" s="158">
        <f ca="1">BZ671*-BZ425</f>
        <v>-1253.6372291443367</v>
      </c>
      <c r="CA670" s="158">
        <f ca="1">CA671*-CA425</f>
        <v>-1248.30467153939</v>
      </c>
      <c r="CB670" s="158">
        <f ca="1">CB671*-CB425</f>
        <v>-1243.5009631049752</v>
      </c>
      <c r="CC670" s="117"/>
    </row>
    <row r="671" spans="1:81" x14ac:dyDescent="0.55000000000000004">
      <c r="A671" s="72" t="s">
        <v>109</v>
      </c>
      <c r="B671" s="250"/>
      <c r="C671" s="789">
        <v>0</v>
      </c>
      <c r="D671" s="789">
        <v>0</v>
      </c>
      <c r="E671" s="789">
        <v>0</v>
      </c>
      <c r="F671" s="789">
        <v>0</v>
      </c>
      <c r="G671" s="789">
        <v>0</v>
      </c>
      <c r="H671" s="789">
        <v>0</v>
      </c>
      <c r="I671" s="789">
        <v>0</v>
      </c>
      <c r="J671" s="789">
        <v>0</v>
      </c>
      <c r="K671" s="789">
        <v>0</v>
      </c>
      <c r="L671" s="789">
        <v>0</v>
      </c>
      <c r="M671" s="789">
        <v>0</v>
      </c>
      <c r="N671" s="789">
        <v>0</v>
      </c>
      <c r="O671" s="789">
        <v>0</v>
      </c>
      <c r="P671" s="789">
        <v>0</v>
      </c>
      <c r="Q671" s="789">
        <v>0</v>
      </c>
      <c r="R671" s="789">
        <v>0</v>
      </c>
      <c r="S671" s="789">
        <v>0</v>
      </c>
      <c r="T671" s="789">
        <v>0</v>
      </c>
      <c r="U671" s="789">
        <v>0</v>
      </c>
      <c r="V671" s="789">
        <v>0</v>
      </c>
      <c r="W671" s="789">
        <v>0</v>
      </c>
      <c r="X671" s="789">
        <v>0</v>
      </c>
      <c r="Y671" s="789">
        <v>0</v>
      </c>
      <c r="Z671" s="789">
        <v>0</v>
      </c>
      <c r="AA671" s="789">
        <v>0</v>
      </c>
      <c r="AB671" s="789">
        <v>0</v>
      </c>
      <c r="AC671" s="789">
        <v>0</v>
      </c>
      <c r="AD671" s="789">
        <v>0</v>
      </c>
      <c r="AE671" s="789">
        <v>0</v>
      </c>
      <c r="AF671" s="789">
        <v>0</v>
      </c>
      <c r="AG671" s="789">
        <v>0</v>
      </c>
      <c r="AH671" s="789">
        <v>0</v>
      </c>
      <c r="AI671" s="789">
        <v>0</v>
      </c>
      <c r="AJ671" s="789">
        <v>0</v>
      </c>
      <c r="AK671" s="789">
        <v>0</v>
      </c>
      <c r="AL671" s="789">
        <v>0</v>
      </c>
      <c r="AM671" s="789">
        <v>0</v>
      </c>
      <c r="AN671" s="789">
        <v>0</v>
      </c>
      <c r="AO671" s="789">
        <v>0</v>
      </c>
      <c r="AP671" s="789">
        <v>0</v>
      </c>
      <c r="AQ671" s="789">
        <v>0</v>
      </c>
      <c r="AR671" s="789">
        <v>0</v>
      </c>
      <c r="AS671" s="789">
        <v>0</v>
      </c>
      <c r="AT671" s="789">
        <v>0</v>
      </c>
      <c r="AU671" s="789">
        <v>0.5</v>
      </c>
      <c r="AV671" s="789">
        <v>0.5</v>
      </c>
      <c r="AW671" s="789">
        <v>0.5</v>
      </c>
      <c r="AX671" s="789">
        <v>0.5</v>
      </c>
      <c r="AY671" s="790">
        <v>0.52500000000000002</v>
      </c>
      <c r="AZ671" s="789">
        <v>0.5</v>
      </c>
      <c r="BA671" s="789">
        <v>0.5</v>
      </c>
      <c r="BB671" s="789">
        <v>0.5</v>
      </c>
      <c r="BC671" s="789">
        <v>0.5</v>
      </c>
      <c r="BD671" s="789">
        <v>0.5</v>
      </c>
      <c r="BE671" s="789">
        <v>0.5</v>
      </c>
      <c r="BF671" s="789">
        <v>0.5</v>
      </c>
      <c r="BG671" s="789"/>
      <c r="BH671" s="1000">
        <v>0</v>
      </c>
      <c r="BI671" s="1000">
        <v>0</v>
      </c>
      <c r="BJ671" s="1000">
        <v>0</v>
      </c>
      <c r="BK671" s="1000">
        <v>0</v>
      </c>
      <c r="BL671" s="1001">
        <f>SUM(C671,D671,E671,F671)</f>
        <v>0</v>
      </c>
      <c r="BM671" s="1001">
        <f>SUM(G671,H671,I671,J671)</f>
        <v>0</v>
      </c>
      <c r="BN671" s="1001">
        <f>SUM(K671,L671,M671,N671)</f>
        <v>0</v>
      </c>
      <c r="BO671" s="1001">
        <f>SUM(O671,P671,Q671,R671)</f>
        <v>0</v>
      </c>
      <c r="BP671" s="1001">
        <f>SUM(S671,T671,U671,V671)</f>
        <v>0</v>
      </c>
      <c r="BQ671" s="1001">
        <f>SUM(W671,X671,Y671,Z671)</f>
        <v>0</v>
      </c>
      <c r="BR671" s="1001">
        <f>SUM(AA671,AB671,AC671,AD671)</f>
        <v>0</v>
      </c>
      <c r="BS671" s="1001">
        <f>SUM(AE671,AF671,AG671,AH671)</f>
        <v>0</v>
      </c>
      <c r="BT671" s="1001">
        <f>SUM(AI671,AJ671,AK671,AL671)</f>
        <v>0</v>
      </c>
      <c r="BU671" s="1001">
        <f>SUM(AM671,AN671,AO671,AP671)</f>
        <v>0</v>
      </c>
      <c r="BV671" s="1001">
        <f>SUM(AQ671,AR671,AS671,AT671)</f>
        <v>0</v>
      </c>
      <c r="BW671" s="1002">
        <f>SUM(AU671,AV671,AW671,AX671)</f>
        <v>2</v>
      </c>
      <c r="BX671" s="1003">
        <f>SUM(AY671,AZ671,BA671,BB671)</f>
        <v>2.0249999999999999</v>
      </c>
      <c r="BY671" s="1003">
        <f>SUM(BC671,BD671,BE671,BF671)</f>
        <v>2</v>
      </c>
      <c r="BZ671" s="1000">
        <v>0.5</v>
      </c>
      <c r="CA671" s="1000">
        <v>0.5</v>
      </c>
      <c r="CB671" s="1000">
        <v>0.5</v>
      </c>
      <c r="CC671" s="11"/>
    </row>
    <row r="672" spans="1:81" x14ac:dyDescent="0.55000000000000004">
      <c r="A672" s="251"/>
      <c r="B672" s="250"/>
      <c r="C672" s="225"/>
      <c r="D672" s="225"/>
      <c r="E672" s="225"/>
      <c r="F672" s="225"/>
      <c r="G672" s="225"/>
      <c r="H672" s="225"/>
      <c r="I672" s="225"/>
      <c r="J672" s="225"/>
      <c r="K672" s="225"/>
      <c r="L672" s="225"/>
      <c r="M672" s="225"/>
      <c r="N672" s="225"/>
      <c r="O672" s="225"/>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25"/>
      <c r="AL672" s="225"/>
      <c r="AM672" s="225"/>
      <c r="AN672" s="225"/>
      <c r="AO672" s="225"/>
      <c r="AP672" s="225"/>
      <c r="AQ672" s="225"/>
      <c r="AR672" s="225"/>
      <c r="AS672" s="225"/>
      <c r="AT672" s="225"/>
      <c r="AU672" s="225"/>
      <c r="AV672" s="225"/>
      <c r="AW672" s="225"/>
      <c r="AX672" s="225"/>
      <c r="AY672" s="666"/>
      <c r="AZ672" s="225"/>
      <c r="BA672" s="225"/>
      <c r="BB672" s="225"/>
      <c r="BC672" s="225"/>
      <c r="BD672" s="225"/>
      <c r="BE672" s="225"/>
      <c r="BF672" s="225"/>
      <c r="BG672" s="225"/>
      <c r="BH672" s="1003"/>
      <c r="BI672" s="1003"/>
      <c r="BJ672" s="1003"/>
      <c r="BK672" s="1003"/>
      <c r="BL672" s="1003"/>
      <c r="BM672" s="1003"/>
      <c r="BN672" s="1003"/>
      <c r="BO672" s="1003"/>
      <c r="BP672" s="1003"/>
      <c r="BQ672" s="1003"/>
      <c r="BR672" s="1003"/>
      <c r="BS672" s="1003"/>
      <c r="BT672" s="1003"/>
      <c r="BU672" s="1003"/>
      <c r="BV672" s="1003"/>
      <c r="BW672" s="1004"/>
      <c r="BX672" s="1003"/>
      <c r="BY672" s="1003"/>
      <c r="BZ672" s="1003"/>
      <c r="CA672" s="1003"/>
      <c r="CB672" s="1003"/>
      <c r="CC672" s="11"/>
    </row>
    <row r="673" spans="1:81" x14ac:dyDescent="0.55000000000000004">
      <c r="A673" s="72" t="s">
        <v>416</v>
      </c>
      <c r="B673" s="250"/>
      <c r="C673" s="117">
        <f t="shared" ref="C673:AH673" si="763">C848+C849</f>
        <v>0</v>
      </c>
      <c r="D673" s="117">
        <f t="shared" si="763"/>
        <v>0</v>
      </c>
      <c r="E673" s="117">
        <f t="shared" si="763"/>
        <v>-1500</v>
      </c>
      <c r="F673" s="117">
        <f t="shared" si="763"/>
        <v>0</v>
      </c>
      <c r="G673" s="117">
        <f t="shared" si="763"/>
        <v>0</v>
      </c>
      <c r="H673" s="117">
        <f t="shared" si="763"/>
        <v>0</v>
      </c>
      <c r="I673" s="117">
        <f t="shared" si="763"/>
        <v>0</v>
      </c>
      <c r="J673" s="117">
        <f t="shared" si="763"/>
        <v>0</v>
      </c>
      <c r="K673" s="117">
        <f t="shared" si="763"/>
        <v>0</v>
      </c>
      <c r="L673" s="117">
        <f t="shared" si="763"/>
        <v>0</v>
      </c>
      <c r="M673" s="117">
        <f t="shared" si="763"/>
        <v>0</v>
      </c>
      <c r="N673" s="117">
        <f t="shared" si="763"/>
        <v>0</v>
      </c>
      <c r="O673" s="117">
        <f t="shared" si="763"/>
        <v>0</v>
      </c>
      <c r="P673" s="117">
        <f t="shared" si="763"/>
        <v>0</v>
      </c>
      <c r="Q673" s="117">
        <f t="shared" si="763"/>
        <v>0</v>
      </c>
      <c r="R673" s="117">
        <f t="shared" si="763"/>
        <v>0</v>
      </c>
      <c r="S673" s="117">
        <f t="shared" si="763"/>
        <v>0</v>
      </c>
      <c r="T673" s="117">
        <f t="shared" si="763"/>
        <v>0</v>
      </c>
      <c r="U673" s="117">
        <f t="shared" si="763"/>
        <v>0</v>
      </c>
      <c r="V673" s="117">
        <f t="shared" si="763"/>
        <v>0</v>
      </c>
      <c r="W673" s="117">
        <f t="shared" si="763"/>
        <v>0</v>
      </c>
      <c r="X673" s="117">
        <f t="shared" si="763"/>
        <v>0</v>
      </c>
      <c r="Y673" s="117">
        <f t="shared" si="763"/>
        <v>0</v>
      </c>
      <c r="Z673" s="117">
        <f t="shared" si="763"/>
        <v>0</v>
      </c>
      <c r="AA673" s="117">
        <f t="shared" si="763"/>
        <v>0</v>
      </c>
      <c r="AB673" s="117">
        <f t="shared" si="763"/>
        <v>0</v>
      </c>
      <c r="AC673" s="117">
        <f t="shared" si="763"/>
        <v>0</v>
      </c>
      <c r="AD673" s="117">
        <f t="shared" si="763"/>
        <v>0</v>
      </c>
      <c r="AE673" s="117">
        <f t="shared" si="763"/>
        <v>0</v>
      </c>
      <c r="AF673" s="117">
        <f t="shared" si="763"/>
        <v>0</v>
      </c>
      <c r="AG673" s="117">
        <f t="shared" si="763"/>
        <v>0</v>
      </c>
      <c r="AH673" s="117">
        <f t="shared" si="763"/>
        <v>0</v>
      </c>
      <c r="AI673" s="117">
        <f t="shared" ref="AI673:AY673" si="764">AI848+AI849</f>
        <v>0</v>
      </c>
      <c r="AJ673" s="117">
        <f t="shared" si="764"/>
        <v>0</v>
      </c>
      <c r="AK673" s="117">
        <f t="shared" si="764"/>
        <v>0</v>
      </c>
      <c r="AL673" s="117">
        <f t="shared" si="764"/>
        <v>0</v>
      </c>
      <c r="AM673" s="117">
        <f t="shared" si="764"/>
        <v>0</v>
      </c>
      <c r="AN673" s="117">
        <f t="shared" si="764"/>
        <v>0</v>
      </c>
      <c r="AO673" s="117">
        <f t="shared" si="764"/>
        <v>9921</v>
      </c>
      <c r="AP673" s="117">
        <f t="shared" si="764"/>
        <v>0</v>
      </c>
      <c r="AQ673" s="117">
        <f t="shared" si="764"/>
        <v>0</v>
      </c>
      <c r="AR673" s="117">
        <f t="shared" si="764"/>
        <v>8455</v>
      </c>
      <c r="AS673" s="117">
        <f t="shared" si="764"/>
        <v>0</v>
      </c>
      <c r="AT673" s="117">
        <f t="shared" si="764"/>
        <v>0</v>
      </c>
      <c r="AU673" s="117">
        <f t="shared" si="764"/>
        <v>0</v>
      </c>
      <c r="AV673" s="117">
        <f t="shared" si="764"/>
        <v>0</v>
      </c>
      <c r="AW673" s="117">
        <f t="shared" si="764"/>
        <v>10432</v>
      </c>
      <c r="AX673" s="117">
        <f t="shared" si="764"/>
        <v>0</v>
      </c>
      <c r="AY673" s="273">
        <f t="shared" si="764"/>
        <v>0</v>
      </c>
      <c r="AZ673" s="759">
        <v>0</v>
      </c>
      <c r="BA673" s="759">
        <v>0</v>
      </c>
      <c r="BB673" s="759">
        <v>0</v>
      </c>
      <c r="BC673" s="759">
        <v>0</v>
      </c>
      <c r="BD673" s="759">
        <v>0</v>
      </c>
      <c r="BE673" s="759">
        <v>0</v>
      </c>
      <c r="BF673" s="759">
        <v>0</v>
      </c>
      <c r="BG673" s="759"/>
      <c r="BH673" s="876">
        <f t="shared" ref="BH673:BY673" si="765">BH848+BH849</f>
        <v>0</v>
      </c>
      <c r="BI673" s="876">
        <f t="shared" si="765"/>
        <v>250</v>
      </c>
      <c r="BJ673" s="876">
        <f t="shared" si="765"/>
        <v>-250</v>
      </c>
      <c r="BK673" s="876">
        <f t="shared" si="765"/>
        <v>1496</v>
      </c>
      <c r="BL673" s="876">
        <f t="shared" si="765"/>
        <v>-1500</v>
      </c>
      <c r="BM673" s="876">
        <f t="shared" si="765"/>
        <v>0</v>
      </c>
      <c r="BN673" s="876">
        <f t="shared" si="765"/>
        <v>0</v>
      </c>
      <c r="BO673" s="876">
        <f t="shared" si="765"/>
        <v>0</v>
      </c>
      <c r="BP673" s="876">
        <f t="shared" si="765"/>
        <v>0</v>
      </c>
      <c r="BQ673" s="876">
        <f t="shared" si="765"/>
        <v>0</v>
      </c>
      <c r="BR673" s="876">
        <f t="shared" si="765"/>
        <v>0</v>
      </c>
      <c r="BS673" s="876">
        <f t="shared" si="765"/>
        <v>0</v>
      </c>
      <c r="BT673" s="876">
        <f t="shared" si="765"/>
        <v>0</v>
      </c>
      <c r="BU673" s="876">
        <f t="shared" si="765"/>
        <v>9921</v>
      </c>
      <c r="BV673" s="876">
        <f t="shared" si="765"/>
        <v>8455</v>
      </c>
      <c r="BW673" s="915">
        <f t="shared" si="765"/>
        <v>10432</v>
      </c>
      <c r="BX673" s="158">
        <f t="shared" si="765"/>
        <v>0</v>
      </c>
      <c r="BY673" s="158">
        <f t="shared" si="765"/>
        <v>0</v>
      </c>
      <c r="BZ673" s="857">
        <v>0</v>
      </c>
      <c r="CA673" s="857">
        <v>0</v>
      </c>
      <c r="CB673" s="857">
        <v>0</v>
      </c>
      <c r="CC673" s="11"/>
    </row>
    <row r="674" spans="1:81" x14ac:dyDescent="0.55000000000000004">
      <c r="A674" s="72" t="s">
        <v>419</v>
      </c>
      <c r="B674" s="250"/>
      <c r="C674" s="117">
        <f t="shared" ref="C674:AH674" si="766">C844+C847+C853</f>
        <v>8</v>
      </c>
      <c r="D674" s="117">
        <f t="shared" si="766"/>
        <v>2</v>
      </c>
      <c r="E674" s="117">
        <f t="shared" si="766"/>
        <v>10</v>
      </c>
      <c r="F674" s="117">
        <f t="shared" si="766"/>
        <v>1484</v>
      </c>
      <c r="G674" s="117">
        <f t="shared" si="766"/>
        <v>1</v>
      </c>
      <c r="H674" s="117">
        <f t="shared" si="766"/>
        <v>1</v>
      </c>
      <c r="I674" s="117">
        <f t="shared" si="766"/>
        <v>5</v>
      </c>
      <c r="J674" s="117">
        <f t="shared" si="766"/>
        <v>11</v>
      </c>
      <c r="K674" s="117">
        <f t="shared" si="766"/>
        <v>0</v>
      </c>
      <c r="L674" s="117">
        <f t="shared" si="766"/>
        <v>0</v>
      </c>
      <c r="M674" s="117">
        <f t="shared" si="766"/>
        <v>0</v>
      </c>
      <c r="N674" s="117">
        <f t="shared" si="766"/>
        <v>0</v>
      </c>
      <c r="O674" s="117">
        <f t="shared" si="766"/>
        <v>0</v>
      </c>
      <c r="P674" s="117">
        <f t="shared" si="766"/>
        <v>0</v>
      </c>
      <c r="Q674" s="117">
        <f t="shared" si="766"/>
        <v>0</v>
      </c>
      <c r="R674" s="117">
        <f t="shared" si="766"/>
        <v>0</v>
      </c>
      <c r="S674" s="117">
        <f t="shared" si="766"/>
        <v>-228</v>
      </c>
      <c r="T674" s="117">
        <f t="shared" si="766"/>
        <v>-150</v>
      </c>
      <c r="U674" s="117">
        <f t="shared" si="766"/>
        <v>-640</v>
      </c>
      <c r="V674" s="117">
        <f t="shared" si="766"/>
        <v>-958</v>
      </c>
      <c r="W674" s="117">
        <f t="shared" si="766"/>
        <v>-1774</v>
      </c>
      <c r="X674" s="117">
        <f t="shared" si="766"/>
        <v>-3349</v>
      </c>
      <c r="Y674" s="117">
        <f t="shared" si="766"/>
        <v>-4256</v>
      </c>
      <c r="Z674" s="117">
        <f t="shared" si="766"/>
        <v>-3500</v>
      </c>
      <c r="AA674" s="117">
        <f t="shared" si="766"/>
        <v>-613</v>
      </c>
      <c r="AB674" s="117">
        <f t="shared" si="766"/>
        <v>-1145</v>
      </c>
      <c r="AC674" s="117">
        <f t="shared" si="766"/>
        <v>-1148</v>
      </c>
      <c r="AD674" s="117">
        <f t="shared" si="766"/>
        <v>-1296</v>
      </c>
      <c r="AE674" s="117">
        <f t="shared" si="766"/>
        <v>-1250</v>
      </c>
      <c r="AF674" s="117">
        <f t="shared" si="766"/>
        <v>-1368</v>
      </c>
      <c r="AG674" s="117">
        <f t="shared" si="766"/>
        <v>-1725</v>
      </c>
      <c r="AH674" s="117">
        <f t="shared" si="766"/>
        <v>-1929</v>
      </c>
      <c r="AI674" s="117">
        <f t="shared" ref="AI674:AY674" si="767">AI844+AI847+AI853</f>
        <v>-3939</v>
      </c>
      <c r="AJ674" s="117">
        <f t="shared" si="767"/>
        <v>-7079</v>
      </c>
      <c r="AK674" s="117">
        <f t="shared" si="767"/>
        <v>-13458</v>
      </c>
      <c r="AL674" s="117">
        <f t="shared" si="767"/>
        <v>-20061</v>
      </c>
      <c r="AM674" s="117">
        <f t="shared" si="767"/>
        <v>-9506</v>
      </c>
      <c r="AN674" s="117">
        <f t="shared" si="767"/>
        <v>-5233</v>
      </c>
      <c r="AO674" s="117">
        <f t="shared" si="767"/>
        <v>-6354</v>
      </c>
      <c r="AP674" s="117">
        <f t="shared" si="767"/>
        <v>-6863</v>
      </c>
      <c r="AQ674" s="117">
        <f t="shared" si="767"/>
        <v>-9365</v>
      </c>
      <c r="AR674" s="117">
        <f t="shared" si="767"/>
        <v>-898</v>
      </c>
      <c r="AS674" s="117">
        <f t="shared" si="767"/>
        <v>-3569</v>
      </c>
      <c r="AT674" s="117">
        <f t="shared" si="767"/>
        <v>-5942</v>
      </c>
      <c r="AU674" s="117">
        <f t="shared" si="767"/>
        <v>-15008</v>
      </c>
      <c r="AV674" s="117">
        <f t="shared" si="767"/>
        <v>-6299</v>
      </c>
      <c r="AW674" s="117">
        <f t="shared" si="767"/>
        <v>-8818</v>
      </c>
      <c r="AX674" s="117">
        <f t="shared" si="767"/>
        <v>0</v>
      </c>
      <c r="AY674" s="273">
        <f t="shared" si="767"/>
        <v>-12754</v>
      </c>
      <c r="AZ674" s="759">
        <v>-2000</v>
      </c>
      <c r="BA674" s="759">
        <v>-2000</v>
      </c>
      <c r="BB674" s="759">
        <v>-2000</v>
      </c>
      <c r="BC674" s="759">
        <v>0</v>
      </c>
      <c r="BD674" s="759">
        <v>0</v>
      </c>
      <c r="BE674" s="759">
        <v>0</v>
      </c>
      <c r="BF674" s="759">
        <v>0</v>
      </c>
      <c r="BG674" s="759"/>
      <c r="BH674" s="876">
        <f t="shared" ref="BH674:BY674" si="768">BH844+BH847+BH853</f>
        <v>9</v>
      </c>
      <c r="BI674" s="876">
        <f t="shared" si="768"/>
        <v>506</v>
      </c>
      <c r="BJ674" s="876">
        <f t="shared" si="768"/>
        <v>1026</v>
      </c>
      <c r="BK674" s="876">
        <f t="shared" si="768"/>
        <v>6777</v>
      </c>
      <c r="BL674" s="876">
        <f t="shared" si="768"/>
        <v>1504</v>
      </c>
      <c r="BM674" s="876">
        <f t="shared" si="768"/>
        <v>18</v>
      </c>
      <c r="BN674" s="876">
        <f t="shared" si="768"/>
        <v>0</v>
      </c>
      <c r="BO674" s="876">
        <f t="shared" si="768"/>
        <v>0</v>
      </c>
      <c r="BP674" s="876">
        <f t="shared" si="768"/>
        <v>-1976</v>
      </c>
      <c r="BQ674" s="876">
        <f t="shared" si="768"/>
        <v>-12879</v>
      </c>
      <c r="BR674" s="876">
        <f t="shared" si="768"/>
        <v>-4202</v>
      </c>
      <c r="BS674" s="876">
        <f t="shared" si="768"/>
        <v>-6272</v>
      </c>
      <c r="BT674" s="876">
        <f t="shared" si="768"/>
        <v>-44537</v>
      </c>
      <c r="BU674" s="876">
        <f t="shared" si="768"/>
        <v>-27956</v>
      </c>
      <c r="BV674" s="876">
        <f t="shared" si="768"/>
        <v>-19774</v>
      </c>
      <c r="BW674" s="915">
        <f t="shared" si="768"/>
        <v>-30125</v>
      </c>
      <c r="BX674" s="158">
        <f t="shared" si="768"/>
        <v>-18754</v>
      </c>
      <c r="BY674" s="158">
        <f t="shared" si="768"/>
        <v>0</v>
      </c>
      <c r="BZ674" s="857">
        <v>-10000</v>
      </c>
      <c r="CA674" s="857">
        <v>-10000</v>
      </c>
      <c r="CB674" s="857">
        <v>-10000</v>
      </c>
      <c r="CC674" s="11"/>
    </row>
    <row r="675" spans="1:81" x14ac:dyDescent="0.55000000000000004">
      <c r="A675" s="203" t="s">
        <v>611</v>
      </c>
      <c r="B675" s="252"/>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c r="AA675" s="573"/>
      <c r="AB675" s="573"/>
      <c r="AC675" s="573"/>
      <c r="AD675" s="573"/>
      <c r="AE675" s="573"/>
      <c r="AF675" s="573"/>
      <c r="AG675" s="573"/>
      <c r="AH675" s="573"/>
      <c r="AI675" s="573"/>
      <c r="AJ675" s="573"/>
      <c r="AK675" s="573"/>
      <c r="AL675" s="573"/>
      <c r="AM675" s="573"/>
      <c r="AN675" s="573"/>
      <c r="AO675" s="573"/>
      <c r="AP675" s="573"/>
      <c r="AQ675" s="573"/>
      <c r="AR675" s="573"/>
      <c r="AS675" s="573"/>
      <c r="AT675" s="573"/>
      <c r="AU675" s="573"/>
      <c r="AV675" s="573"/>
      <c r="AW675" s="573"/>
      <c r="AX675" s="573"/>
      <c r="AY675" s="667"/>
      <c r="AZ675" s="791">
        <v>676</v>
      </c>
      <c r="BA675" s="791">
        <v>676</v>
      </c>
      <c r="BB675" s="791">
        <v>676</v>
      </c>
      <c r="BC675" s="791">
        <v>744</v>
      </c>
      <c r="BD675" s="791">
        <v>744</v>
      </c>
      <c r="BE675" s="791">
        <v>744</v>
      </c>
      <c r="BF675" s="791">
        <v>744</v>
      </c>
      <c r="BG675" s="791"/>
      <c r="BH675" s="1005"/>
      <c r="BI675" s="1005"/>
      <c r="BJ675" s="1005"/>
      <c r="BK675" s="1005"/>
      <c r="BL675" s="1005"/>
      <c r="BM675" s="1005"/>
      <c r="BN675" s="1005"/>
      <c r="BO675" s="1005"/>
      <c r="BP675" s="1005"/>
      <c r="BQ675" s="1005"/>
      <c r="BR675" s="1005"/>
      <c r="BS675" s="1005"/>
      <c r="BT675" s="1005"/>
      <c r="BU675" s="1005"/>
      <c r="BV675" s="1005"/>
      <c r="BW675" s="1006"/>
      <c r="BX675" s="1005">
        <f>AVERAGE(AY675,AZ675,BA675,BB675)</f>
        <v>676</v>
      </c>
      <c r="BY675" s="1005">
        <f>AVERAGE(BC675,BD675,BE675,BF675)</f>
        <v>744</v>
      </c>
      <c r="BZ675" s="1007">
        <v>818</v>
      </c>
      <c r="CA675" s="1007">
        <v>900</v>
      </c>
      <c r="CB675" s="1007">
        <v>990</v>
      </c>
      <c r="CC675" s="11"/>
    </row>
    <row r="676" spans="1:81" x14ac:dyDescent="0.55000000000000004">
      <c r="A676" s="253"/>
      <c r="B676" s="254"/>
      <c r="C676" s="614"/>
      <c r="D676" s="614"/>
      <c r="E676" s="614"/>
      <c r="F676" s="614"/>
      <c r="G676" s="614"/>
      <c r="H676" s="614"/>
      <c r="I676" s="614"/>
      <c r="J676" s="614"/>
      <c r="K676" s="614"/>
      <c r="L676" s="614"/>
      <c r="M676" s="614"/>
      <c r="N676" s="614"/>
      <c r="O676" s="614"/>
      <c r="P676" s="614"/>
      <c r="Q676" s="614"/>
      <c r="R676" s="614"/>
      <c r="S676" s="614"/>
      <c r="T676" s="614"/>
      <c r="U676" s="614"/>
      <c r="V676" s="614"/>
      <c r="W676" s="614"/>
      <c r="X676" s="614"/>
      <c r="Y676" s="614"/>
      <c r="Z676" s="614"/>
      <c r="AA676" s="614"/>
      <c r="AB676" s="614"/>
      <c r="AC676" s="614"/>
      <c r="AD676" s="614"/>
      <c r="AE676" s="614"/>
      <c r="AF676" s="614"/>
      <c r="AG676" s="614"/>
      <c r="AH676" s="614"/>
      <c r="AI676" s="614"/>
      <c r="AJ676" s="614"/>
      <c r="AK676" s="614"/>
      <c r="AL676" s="614"/>
      <c r="AM676" s="614"/>
      <c r="AN676" s="614"/>
      <c r="AO676" s="614"/>
      <c r="AP676" s="614"/>
      <c r="AQ676" s="614"/>
      <c r="AR676" s="614"/>
      <c r="AS676" s="614"/>
      <c r="AT676" s="614"/>
      <c r="AU676" s="614"/>
      <c r="AV676" s="614"/>
      <c r="AW676" s="614"/>
      <c r="AX676" s="614"/>
      <c r="AY676" s="668"/>
      <c r="AZ676" s="614"/>
      <c r="BA676" s="614"/>
      <c r="BB676" s="614"/>
      <c r="BC676" s="614"/>
      <c r="BD676" s="614"/>
      <c r="BE676" s="614"/>
      <c r="BF676" s="614"/>
      <c r="BG676" s="614"/>
      <c r="BH676" s="1008"/>
      <c r="BI676" s="1008"/>
      <c r="BJ676" s="1008"/>
      <c r="BK676" s="1008"/>
      <c r="BL676" s="1008"/>
      <c r="BM676" s="1008"/>
      <c r="BN676" s="1008"/>
      <c r="BO676" s="1008"/>
      <c r="BP676" s="1008"/>
      <c r="BQ676" s="1008"/>
      <c r="BR676" s="1008"/>
      <c r="BS676" s="1008"/>
      <c r="BT676" s="1008"/>
      <c r="BU676" s="1008"/>
      <c r="BV676" s="1008"/>
      <c r="BW676" s="1009"/>
      <c r="BX676" s="1008"/>
      <c r="BY676" s="1008"/>
      <c r="BZ676" s="1008"/>
      <c r="CA676" s="1008"/>
      <c r="CB676" s="1008"/>
      <c r="CC676" s="218"/>
    </row>
    <row r="677" spans="1:81" s="706" customFormat="1" x14ac:dyDescent="0.55000000000000004">
      <c r="A677" s="323" t="s">
        <v>517</v>
      </c>
      <c r="B677" s="87"/>
      <c r="C677" s="37">
        <f t="shared" ref="C677:AX677" si="769">+C189</f>
        <v>170</v>
      </c>
      <c r="D677" s="37">
        <f t="shared" si="769"/>
        <v>224</v>
      </c>
      <c r="E677" s="37">
        <f t="shared" si="769"/>
        <v>239</v>
      </c>
      <c r="F677" s="37">
        <f t="shared" si="769"/>
        <v>273</v>
      </c>
      <c r="G677" s="37">
        <f t="shared" si="769"/>
        <v>274</v>
      </c>
      <c r="H677" s="37">
        <f t="shared" si="769"/>
        <v>314</v>
      </c>
      <c r="I677" s="37">
        <f t="shared" si="769"/>
        <v>353</v>
      </c>
      <c r="J677" s="37">
        <f t="shared" si="769"/>
        <v>896</v>
      </c>
      <c r="K677" s="37">
        <f t="shared" si="769"/>
        <v>703</v>
      </c>
      <c r="L677" s="37">
        <f t="shared" si="769"/>
        <v>763</v>
      </c>
      <c r="M677" s="37">
        <f t="shared" si="769"/>
        <v>757</v>
      </c>
      <c r="N677" s="37">
        <f t="shared" si="769"/>
        <v>746</v>
      </c>
      <c r="O677" s="37">
        <f t="shared" si="769"/>
        <v>746</v>
      </c>
      <c r="P677" s="37">
        <f t="shared" si="769"/>
        <v>817</v>
      </c>
      <c r="Q677" s="37">
        <f t="shared" si="769"/>
        <v>824</v>
      </c>
      <c r="R677" s="37">
        <f t="shared" si="769"/>
        <v>831</v>
      </c>
      <c r="S677" s="37">
        <f t="shared" si="769"/>
        <v>867</v>
      </c>
      <c r="T677" s="37">
        <f t="shared" si="769"/>
        <v>1032</v>
      </c>
      <c r="U677" s="37">
        <f t="shared" si="769"/>
        <v>1010</v>
      </c>
      <c r="V677" s="37">
        <f t="shared" si="769"/>
        <v>814</v>
      </c>
      <c r="W677" s="37">
        <f t="shared" si="769"/>
        <v>955</v>
      </c>
      <c r="X677" s="37">
        <f t="shared" si="769"/>
        <v>1186</v>
      </c>
      <c r="Y677" s="37">
        <f t="shared" si="769"/>
        <v>1040</v>
      </c>
      <c r="Z677" s="37">
        <f t="shared" si="769"/>
        <v>971</v>
      </c>
      <c r="AA677" s="37">
        <f t="shared" si="769"/>
        <v>1010</v>
      </c>
      <c r="AB677" s="37">
        <f t="shared" si="769"/>
        <v>1303</v>
      </c>
      <c r="AC677" s="37">
        <f t="shared" si="769"/>
        <v>1249</v>
      </c>
      <c r="AD677" s="37">
        <f t="shared" si="769"/>
        <v>1274</v>
      </c>
      <c r="AE677" s="37">
        <f t="shared" si="769"/>
        <v>1335</v>
      </c>
      <c r="AF677" s="37">
        <f t="shared" si="769"/>
        <v>1695</v>
      </c>
      <c r="AG677" s="37">
        <f t="shared" si="769"/>
        <v>1722</v>
      </c>
      <c r="AH677" s="37">
        <f t="shared" si="769"/>
        <v>1784</v>
      </c>
      <c r="AI677" s="37">
        <f t="shared" si="769"/>
        <v>1830</v>
      </c>
      <c r="AJ677" s="37">
        <f t="shared" si="769"/>
        <v>2548</v>
      </c>
      <c r="AK677" s="37">
        <f t="shared" si="769"/>
        <v>2379</v>
      </c>
      <c r="AL677" s="37">
        <f t="shared" si="769"/>
        <v>2406</v>
      </c>
      <c r="AM677" s="37">
        <f t="shared" si="769"/>
        <v>2498</v>
      </c>
      <c r="AN677" s="37">
        <f t="shared" si="769"/>
        <v>3351</v>
      </c>
      <c r="AO677" s="37">
        <f t="shared" si="769"/>
        <v>3134</v>
      </c>
      <c r="AP677" s="37">
        <f t="shared" si="769"/>
        <v>3008</v>
      </c>
      <c r="AQ677" s="37">
        <f t="shared" si="769"/>
        <v>3051</v>
      </c>
      <c r="AR677" s="37">
        <f t="shared" si="769"/>
        <v>4060</v>
      </c>
      <c r="AS677" s="37">
        <f t="shared" si="769"/>
        <v>3492</v>
      </c>
      <c r="AT677" s="37">
        <f t="shared" si="769"/>
        <v>3424</v>
      </c>
      <c r="AU677" s="37">
        <f t="shared" si="769"/>
        <v>3562</v>
      </c>
      <c r="AV677" s="37">
        <f t="shared" si="769"/>
        <v>4616</v>
      </c>
      <c r="AW677" s="37">
        <f t="shared" si="769"/>
        <v>4250</v>
      </c>
      <c r="AX677" s="37">
        <f t="shared" si="769"/>
        <v>4262</v>
      </c>
      <c r="AY677" s="273">
        <f>AY808</f>
        <v>4147</v>
      </c>
      <c r="AZ677" s="37">
        <f t="shared" ref="AZ677:BF677" si="770">AZ678*AZ378</f>
        <v>4347.7475000000004</v>
      </c>
      <c r="BA677" s="37">
        <f t="shared" si="770"/>
        <v>4585.4763000000003</v>
      </c>
      <c r="BB677" s="37">
        <f t="shared" si="770"/>
        <v>5628.4650000000001</v>
      </c>
      <c r="BC677" s="37">
        <f t="shared" si="770"/>
        <v>4789.9120000000003</v>
      </c>
      <c r="BD677" s="37">
        <f t="shared" si="770"/>
        <v>4818.260150000001</v>
      </c>
      <c r="BE677" s="37">
        <f t="shared" si="770"/>
        <v>5127.5127140000004</v>
      </c>
      <c r="BF677" s="37">
        <f t="shared" si="770"/>
        <v>6451.9903980000017</v>
      </c>
      <c r="BG677" s="37"/>
      <c r="BH677" s="158">
        <f>BH808</f>
        <v>27</v>
      </c>
      <c r="BI677" s="158">
        <f>BI808</f>
        <v>20</v>
      </c>
      <c r="BJ677" s="158">
        <f t="shared" ref="BJ677:BW677" si="771">+BJ189</f>
        <v>217</v>
      </c>
      <c r="BK677" s="158">
        <f t="shared" si="771"/>
        <v>1572</v>
      </c>
      <c r="BL677" s="158">
        <f t="shared" si="771"/>
        <v>906</v>
      </c>
      <c r="BM677" s="158">
        <f t="shared" si="771"/>
        <v>1837</v>
      </c>
      <c r="BN677" s="158">
        <f t="shared" si="771"/>
        <v>2969</v>
      </c>
      <c r="BO677" s="158">
        <f t="shared" si="771"/>
        <v>3218</v>
      </c>
      <c r="BP677" s="158">
        <f t="shared" si="771"/>
        <v>3723</v>
      </c>
      <c r="BQ677" s="158">
        <f t="shared" si="771"/>
        <v>4152</v>
      </c>
      <c r="BR677" s="158">
        <f t="shared" si="771"/>
        <v>4836</v>
      </c>
      <c r="BS677" s="158">
        <f t="shared" si="771"/>
        <v>6536</v>
      </c>
      <c r="BT677" s="158">
        <f t="shared" si="771"/>
        <v>9164</v>
      </c>
      <c r="BU677" s="158">
        <f t="shared" si="771"/>
        <v>11992</v>
      </c>
      <c r="BV677" s="158">
        <f t="shared" si="771"/>
        <v>14027</v>
      </c>
      <c r="BW677" s="846">
        <f t="shared" si="771"/>
        <v>16690</v>
      </c>
      <c r="BX677" s="158">
        <f>SUM(BB677,BA677,AZ677,AY677)</f>
        <v>18708.6888</v>
      </c>
      <c r="BY677" s="158">
        <f>SUM(BF677,BE677,BD677,BC677)</f>
        <v>21187.675262000004</v>
      </c>
      <c r="BZ677" s="158">
        <f>BZ678*BZ378</f>
        <v>23579.084697054375</v>
      </c>
      <c r="CA677" s="158">
        <f>CA678*CA378</f>
        <v>24832.289351273677</v>
      </c>
      <c r="CB677" s="158">
        <f>CB678*CB378</f>
        <v>26068.033510576784</v>
      </c>
      <c r="CC677" s="117"/>
    </row>
    <row r="678" spans="1:81" s="709" customFormat="1" x14ac:dyDescent="0.55000000000000004">
      <c r="A678" s="324" t="s">
        <v>518</v>
      </c>
      <c r="B678" s="75"/>
      <c r="C678" s="54">
        <f t="shared" ref="C678:AH678" si="772">C677/C378</f>
        <v>0.11659807956104253</v>
      </c>
      <c r="D678" s="54">
        <f t="shared" si="772"/>
        <v>0.12355212355212356</v>
      </c>
      <c r="E678" s="54">
        <f t="shared" si="772"/>
        <v>0.1185515873015873</v>
      </c>
      <c r="F678" s="54">
        <f t="shared" si="772"/>
        <v>0.10560928433268858</v>
      </c>
      <c r="G678" s="54">
        <f t="shared" si="772"/>
        <v>0.10951239008792965</v>
      </c>
      <c r="H678" s="54">
        <f t="shared" si="772"/>
        <v>0.10790378006872853</v>
      </c>
      <c r="I678" s="54">
        <f t="shared" si="772"/>
        <v>0.11020917889478614</v>
      </c>
      <c r="J678" s="54">
        <f t="shared" si="772"/>
        <v>0.23266683978187483</v>
      </c>
      <c r="K678" s="54">
        <f t="shared" si="772"/>
        <v>0.19841941857183179</v>
      </c>
      <c r="L678" s="54">
        <f t="shared" si="772"/>
        <v>0.18876793666501732</v>
      </c>
      <c r="M678" s="54">
        <f t="shared" si="772"/>
        <v>0.16818484781159743</v>
      </c>
      <c r="N678" s="54">
        <f t="shared" si="772"/>
        <v>0.12771785653141585</v>
      </c>
      <c r="O678" s="54">
        <f t="shared" si="772"/>
        <v>0.13861018208844295</v>
      </c>
      <c r="P678" s="54">
        <f t="shared" si="772"/>
        <v>0.1269422001243008</v>
      </c>
      <c r="Q678" s="54">
        <f t="shared" si="772"/>
        <v>0.11752959634859507</v>
      </c>
      <c r="R678" s="54">
        <f t="shared" si="772"/>
        <v>9.4335338857986145E-2</v>
      </c>
      <c r="S678" s="54">
        <f t="shared" si="772"/>
        <v>0.10794322709163347</v>
      </c>
      <c r="T678" s="54">
        <f t="shared" si="772"/>
        <v>0.1107177341486965</v>
      </c>
      <c r="U678" s="54">
        <f t="shared" si="772"/>
        <v>9.7792408985282728E-2</v>
      </c>
      <c r="V678" s="54">
        <f t="shared" si="772"/>
        <v>6.2750539623805113E-2</v>
      </c>
      <c r="W678" s="54">
        <f t="shared" si="772"/>
        <v>7.9809460137054991E-2</v>
      </c>
      <c r="X678" s="54">
        <f t="shared" si="772"/>
        <v>8.9637971430730864E-2</v>
      </c>
      <c r="Y678" s="54">
        <f t="shared" si="772"/>
        <v>7.5763094631019157E-2</v>
      </c>
      <c r="Z678" s="54">
        <f t="shared" si="772"/>
        <v>5.7408064325410901E-2</v>
      </c>
      <c r="AA678" s="54">
        <f t="shared" si="772"/>
        <v>6.6989454135438081E-2</v>
      </c>
      <c r="AB678" s="54">
        <f t="shared" si="772"/>
        <v>7.7164514982826005E-2</v>
      </c>
      <c r="AC678" s="54">
        <f t="shared" si="772"/>
        <v>7.0756854747337408E-2</v>
      </c>
      <c r="AD678" s="54">
        <f t="shared" si="772"/>
        <v>6.043069917465136E-2</v>
      </c>
      <c r="AE678" s="54">
        <f t="shared" si="772"/>
        <v>7.5266392287309011E-2</v>
      </c>
      <c r="AF678" s="54">
        <f t="shared" si="772"/>
        <v>9.070476802054904E-2</v>
      </c>
      <c r="AG678" s="54">
        <f t="shared" si="772"/>
        <v>8.020493712156497E-2</v>
      </c>
      <c r="AH678" s="54">
        <f t="shared" si="772"/>
        <v>6.3550869193502418E-2</v>
      </c>
      <c r="AI678" s="54">
        <f t="shared" ref="AI678:AY678" si="773">AI677/AI378</f>
        <v>6.9924725841580382E-2</v>
      </c>
      <c r="AJ678" s="54">
        <f t="shared" si="773"/>
        <v>8.7629397805825904E-2</v>
      </c>
      <c r="AK678" s="54">
        <f t="shared" si="773"/>
        <v>8.2006204756980353E-2</v>
      </c>
      <c r="AL678" s="54">
        <f t="shared" si="773"/>
        <v>7.1456149208517714E-2</v>
      </c>
      <c r="AM678" s="54">
        <f t="shared" si="773"/>
        <v>8.9508384692561269E-2</v>
      </c>
      <c r="AN678" s="54">
        <f t="shared" si="773"/>
        <v>0.11626535285545764</v>
      </c>
      <c r="AO678" s="54">
        <f t="shared" si="773"/>
        <v>0.11308364003752616</v>
      </c>
      <c r="AP678" s="54">
        <f t="shared" si="773"/>
        <v>9.3517798849681325E-2</v>
      </c>
      <c r="AQ678" s="54">
        <f t="shared" si="773"/>
        <v>0.10651073485774132</v>
      </c>
      <c r="AR678" s="54">
        <f t="shared" si="773"/>
        <v>0.12687896496765524</v>
      </c>
      <c r="AS678" s="54">
        <f t="shared" si="773"/>
        <v>0.10226673695308382</v>
      </c>
      <c r="AT678" s="54">
        <f t="shared" si="773"/>
        <v>8.5363117349355533E-2</v>
      </c>
      <c r="AU678" s="54">
        <f t="shared" si="773"/>
        <v>9.7709504869016597E-2</v>
      </c>
      <c r="AV678" s="54">
        <f t="shared" si="773"/>
        <v>0.11814389188912493</v>
      </c>
      <c r="AW678" s="54">
        <f t="shared" si="773"/>
        <v>0.10470817216487226</v>
      </c>
      <c r="AX678" s="54">
        <f t="shared" si="773"/>
        <v>8.8085150356515443E-2</v>
      </c>
      <c r="AY678" s="623">
        <f t="shared" si="773"/>
        <v>9.8005388287564402E-2</v>
      </c>
      <c r="AZ678" s="760">
        <v>0.1</v>
      </c>
      <c r="BA678" s="760">
        <v>0.1</v>
      </c>
      <c r="BB678" s="760">
        <v>0.1</v>
      </c>
      <c r="BC678" s="760">
        <v>0.1</v>
      </c>
      <c r="BD678" s="760">
        <v>0.1</v>
      </c>
      <c r="BE678" s="760">
        <v>0.1</v>
      </c>
      <c r="BF678" s="760">
        <v>0.1</v>
      </c>
      <c r="BG678" s="760"/>
      <c r="BH678" s="815">
        <f t="shared" ref="BH678:BY678" si="774">BH677/BH378</f>
        <v>3.4749034749034749E-2</v>
      </c>
      <c r="BI678" s="815">
        <f t="shared" si="774"/>
        <v>1.0131712259371834E-2</v>
      </c>
      <c r="BJ678" s="815">
        <f t="shared" si="774"/>
        <v>5.8474804634869308E-2</v>
      </c>
      <c r="BK678" s="815">
        <f t="shared" si="774"/>
        <v>0.30890155236785222</v>
      </c>
      <c r="BL678" s="815">
        <f t="shared" si="774"/>
        <v>0.11509146341463415</v>
      </c>
      <c r="BM678" s="815">
        <f t="shared" si="774"/>
        <v>0.14736082143430129</v>
      </c>
      <c r="BN678" s="815">
        <f t="shared" si="774"/>
        <v>0.16560687193217313</v>
      </c>
      <c r="BO678" s="815">
        <f t="shared" si="774"/>
        <v>0.11643389536145886</v>
      </c>
      <c r="BP678" s="815">
        <f t="shared" si="774"/>
        <v>9.1579957198730716E-2</v>
      </c>
      <c r="BQ678" s="815">
        <f t="shared" si="774"/>
        <v>7.4357964110462416E-2</v>
      </c>
      <c r="BR678" s="815">
        <f t="shared" si="774"/>
        <v>6.84045999123018E-2</v>
      </c>
      <c r="BS678" s="815">
        <f t="shared" si="774"/>
        <v>7.6030942825568548E-2</v>
      </c>
      <c r="BT678" s="815">
        <f t="shared" si="774"/>
        <v>7.7707773321235657E-2</v>
      </c>
      <c r="BU678" s="815">
        <f t="shared" si="774"/>
        <v>0.10283940347657557</v>
      </c>
      <c r="BV678" s="815">
        <f t="shared" si="774"/>
        <v>0.10397918488977183</v>
      </c>
      <c r="BW678" s="816">
        <f t="shared" si="774"/>
        <v>0.10145834979726567</v>
      </c>
      <c r="BX678" s="815">
        <f t="shared" si="774"/>
        <v>9.9550898732517032E-2</v>
      </c>
      <c r="BY678" s="815">
        <f t="shared" si="774"/>
        <v>0.10000000000000002</v>
      </c>
      <c r="BZ678" s="858">
        <v>0.1</v>
      </c>
      <c r="CA678" s="858">
        <v>0.1</v>
      </c>
      <c r="CB678" s="858">
        <v>0.1</v>
      </c>
      <c r="CC678" s="83"/>
    </row>
    <row r="679" spans="1:81" x14ac:dyDescent="0.55000000000000004">
      <c r="A679" s="253"/>
      <c r="B679" s="254"/>
      <c r="C679" s="614"/>
      <c r="D679" s="614"/>
      <c r="E679" s="614"/>
      <c r="F679" s="614"/>
      <c r="G679" s="614"/>
      <c r="H679" s="614"/>
      <c r="I679" s="614"/>
      <c r="J679" s="614"/>
      <c r="K679" s="614"/>
      <c r="L679" s="614"/>
      <c r="M679" s="614"/>
      <c r="N679" s="614"/>
      <c r="O679" s="614"/>
      <c r="P679" s="614"/>
      <c r="Q679" s="614"/>
      <c r="R679" s="614"/>
      <c r="S679" s="614"/>
      <c r="T679" s="614"/>
      <c r="U679" s="614"/>
      <c r="V679" s="614"/>
      <c r="W679" s="614"/>
      <c r="X679" s="614"/>
      <c r="Y679" s="614"/>
      <c r="Z679" s="614"/>
      <c r="AA679" s="614"/>
      <c r="AB679" s="614"/>
      <c r="AC679" s="614"/>
      <c r="AD679" s="614"/>
      <c r="AE679" s="614"/>
      <c r="AF679" s="614"/>
      <c r="AG679" s="614"/>
      <c r="AH679" s="614"/>
      <c r="AI679" s="614"/>
      <c r="AJ679" s="614"/>
      <c r="AK679" s="614"/>
      <c r="AL679" s="614"/>
      <c r="AM679" s="614"/>
      <c r="AN679" s="614"/>
      <c r="AO679" s="614"/>
      <c r="AP679" s="614"/>
      <c r="AQ679" s="614"/>
      <c r="AR679" s="614"/>
      <c r="AS679" s="614"/>
      <c r="AT679" s="614"/>
      <c r="AU679" s="614"/>
      <c r="AV679" s="614"/>
      <c r="AW679" s="614"/>
      <c r="AX679" s="614"/>
      <c r="AY679" s="668"/>
      <c r="AZ679" s="614"/>
      <c r="BA679" s="614"/>
      <c r="BB679" s="614"/>
      <c r="BC679" s="614"/>
      <c r="BD679" s="614"/>
      <c r="BE679" s="614"/>
      <c r="BF679" s="614"/>
      <c r="BG679" s="614"/>
      <c r="BH679" s="1008"/>
      <c r="BI679" s="1008"/>
      <c r="BJ679" s="1008"/>
      <c r="BK679" s="1008"/>
      <c r="BL679" s="1008"/>
      <c r="BM679" s="1008"/>
      <c r="BN679" s="1008"/>
      <c r="BO679" s="1008"/>
      <c r="BP679" s="1008"/>
      <c r="BQ679" s="1008"/>
      <c r="BR679" s="1008"/>
      <c r="BS679" s="1008"/>
      <c r="BT679" s="1008"/>
      <c r="BU679" s="1008"/>
      <c r="BV679" s="1008"/>
      <c r="BW679" s="1009"/>
      <c r="BX679" s="1008"/>
      <c r="BY679" s="1008"/>
      <c r="BZ679" s="1008"/>
      <c r="CA679" s="1008"/>
      <c r="CB679" s="1008"/>
      <c r="CC679" s="218"/>
    </row>
    <row r="680" spans="1:81" outlineLevel="1" x14ac:dyDescent="0.55000000000000004">
      <c r="A680" s="37" t="s">
        <v>110</v>
      </c>
      <c r="B680" s="87"/>
      <c r="C680" s="37">
        <f t="shared" ref="C680:AH680" si="775">C659+C665</f>
        <v>302</v>
      </c>
      <c r="D680" s="37">
        <f t="shared" si="775"/>
        <v>609</v>
      </c>
      <c r="E680" s="37">
        <f t="shared" si="775"/>
        <v>717</v>
      </c>
      <c r="F680" s="37">
        <f t="shared" si="775"/>
        <v>556</v>
      </c>
      <c r="G680" s="37">
        <f t="shared" si="775"/>
        <v>809</v>
      </c>
      <c r="H680" s="37">
        <f t="shared" si="775"/>
        <v>836</v>
      </c>
      <c r="I680" s="37">
        <f t="shared" si="775"/>
        <v>964</v>
      </c>
      <c r="J680" s="37">
        <f t="shared" si="775"/>
        <v>1279</v>
      </c>
      <c r="K680" s="37">
        <f t="shared" si="775"/>
        <v>944</v>
      </c>
      <c r="L680" s="37">
        <f t="shared" si="775"/>
        <v>1327</v>
      </c>
      <c r="M680" s="37">
        <f t="shared" si="775"/>
        <v>982</v>
      </c>
      <c r="N680" s="37">
        <f t="shared" si="775"/>
        <v>2039</v>
      </c>
      <c r="O680" s="37">
        <f t="shared" si="775"/>
        <v>1840</v>
      </c>
      <c r="P680" s="37">
        <f t="shared" si="775"/>
        <v>2595</v>
      </c>
      <c r="Q680" s="37">
        <f t="shared" si="775"/>
        <v>2928</v>
      </c>
      <c r="R680" s="37">
        <f t="shared" si="775"/>
        <v>3496</v>
      </c>
      <c r="S680" s="37">
        <f t="shared" si="775"/>
        <v>3252</v>
      </c>
      <c r="T680" s="37">
        <f t="shared" si="775"/>
        <v>4245</v>
      </c>
      <c r="U680" s="37">
        <f t="shared" si="775"/>
        <v>4645</v>
      </c>
      <c r="V680" s="37">
        <f t="shared" si="775"/>
        <v>3454</v>
      </c>
      <c r="W680" s="37">
        <f t="shared" si="775"/>
        <v>4041</v>
      </c>
      <c r="X680" s="37">
        <f t="shared" si="775"/>
        <v>3976</v>
      </c>
      <c r="Y680" s="37">
        <f t="shared" si="775"/>
        <v>3971</v>
      </c>
      <c r="Z680" s="37">
        <f t="shared" si="775"/>
        <v>4898</v>
      </c>
      <c r="AA680" s="37">
        <f t="shared" si="775"/>
        <v>1021</v>
      </c>
      <c r="AB680" s="37">
        <f t="shared" si="775"/>
        <v>1655</v>
      </c>
      <c r="AC680" s="37">
        <f t="shared" si="775"/>
        <v>5284</v>
      </c>
      <c r="AD680" s="37">
        <f t="shared" si="775"/>
        <v>5450</v>
      </c>
      <c r="AE680" s="37">
        <f t="shared" si="775"/>
        <v>4659</v>
      </c>
      <c r="AF680" s="37">
        <f t="shared" si="775"/>
        <v>5470</v>
      </c>
      <c r="AG680" s="37">
        <f t="shared" si="775"/>
        <v>5889</v>
      </c>
      <c r="AH680" s="37">
        <f t="shared" si="775"/>
        <v>9733</v>
      </c>
      <c r="AI680" s="37">
        <f t="shared" ref="AI680:BF680" si="776">AI659+AI665</f>
        <v>9228</v>
      </c>
      <c r="AJ680" s="37">
        <f t="shared" si="776"/>
        <v>10402</v>
      </c>
      <c r="AK680" s="37">
        <f t="shared" si="776"/>
        <v>8162</v>
      </c>
      <c r="AL680" s="37">
        <f t="shared" si="776"/>
        <v>9947</v>
      </c>
      <c r="AM680" s="37">
        <f t="shared" si="776"/>
        <v>5661</v>
      </c>
      <c r="AN680" s="37">
        <f t="shared" si="776"/>
        <v>3962</v>
      </c>
      <c r="AO680" s="37">
        <f t="shared" si="776"/>
        <v>-414</v>
      </c>
      <c r="AP680" s="37">
        <f t="shared" si="776"/>
        <v>3302</v>
      </c>
      <c r="AQ680" s="37">
        <f t="shared" si="776"/>
        <v>4321</v>
      </c>
      <c r="AR680" s="37">
        <f t="shared" si="776"/>
        <v>7342</v>
      </c>
      <c r="AS680" s="37">
        <f t="shared" si="776"/>
        <v>14587</v>
      </c>
      <c r="AT680" s="37">
        <f t="shared" si="776"/>
        <v>12703</v>
      </c>
      <c r="AU680" s="37">
        <f t="shared" si="776"/>
        <v>12308</v>
      </c>
      <c r="AV680" s="37">
        <f t="shared" si="776"/>
        <v>11639</v>
      </c>
      <c r="AW680" s="37">
        <f t="shared" si="776"/>
        <v>13452</v>
      </c>
      <c r="AX680" s="37">
        <f t="shared" si="776"/>
        <v>13656</v>
      </c>
      <c r="AY680" s="273">
        <f t="shared" si="776"/>
        <v>9775</v>
      </c>
      <c r="AZ680" s="37">
        <f t="shared" si="776"/>
        <v>9896.4611784185508</v>
      </c>
      <c r="BA680" s="37">
        <f t="shared" ca="1" si="776"/>
        <v>12401.679482758067</v>
      </c>
      <c r="BB680" s="37">
        <f t="shared" ca="1" si="776"/>
        <v>16047.335982328921</v>
      </c>
      <c r="BC680" s="37">
        <f t="shared" ca="1" si="776"/>
        <v>24428.534464188488</v>
      </c>
      <c r="BD680" s="37">
        <f t="shared" ca="1" si="776"/>
        <v>21776.345789979467</v>
      </c>
      <c r="BE680" s="37">
        <f t="shared" ca="1" si="776"/>
        <v>23954.759835898745</v>
      </c>
      <c r="BF680" s="37">
        <f t="shared" ca="1" si="776"/>
        <v>27383.199251311846</v>
      </c>
      <c r="BG680" s="37"/>
      <c r="BH680" s="158">
        <f t="shared" ref="BH680:CB680" si="777">BH659+BH665</f>
        <v>301</v>
      </c>
      <c r="BI680" s="158">
        <f t="shared" si="777"/>
        <v>475</v>
      </c>
      <c r="BJ680" s="158">
        <f t="shared" si="777"/>
        <v>908</v>
      </c>
      <c r="BK680" s="158">
        <f t="shared" si="777"/>
        <v>876</v>
      </c>
      <c r="BL680" s="158">
        <f t="shared" si="777"/>
        <v>2184</v>
      </c>
      <c r="BM680" s="158">
        <f t="shared" si="777"/>
        <v>3888</v>
      </c>
      <c r="BN680" s="158">
        <f t="shared" si="777"/>
        <v>5292</v>
      </c>
      <c r="BO680" s="158">
        <f t="shared" si="777"/>
        <v>10859</v>
      </c>
      <c r="BP680" s="158">
        <f t="shared" si="777"/>
        <v>15596</v>
      </c>
      <c r="BQ680" s="158">
        <f t="shared" si="777"/>
        <v>16886</v>
      </c>
      <c r="BR680" s="158">
        <f t="shared" si="777"/>
        <v>13410</v>
      </c>
      <c r="BS680" s="158">
        <f t="shared" si="777"/>
        <v>25751</v>
      </c>
      <c r="BT680" s="158">
        <f t="shared" si="777"/>
        <v>37739</v>
      </c>
      <c r="BU680" s="158">
        <f t="shared" si="777"/>
        <v>12511</v>
      </c>
      <c r="BV680" s="158">
        <f t="shared" si="777"/>
        <v>38953</v>
      </c>
      <c r="BW680" s="846">
        <f t="shared" si="777"/>
        <v>51055</v>
      </c>
      <c r="BX680" s="158">
        <f t="shared" ca="1" si="777"/>
        <v>48120.476643505535</v>
      </c>
      <c r="BY680" s="158">
        <f t="shared" ca="1" si="777"/>
        <v>97542.839341378567</v>
      </c>
      <c r="BZ680" s="158">
        <f t="shared" ca="1" si="777"/>
        <v>114425.16863699688</v>
      </c>
      <c r="CA680" s="158">
        <f t="shared" ca="1" si="777"/>
        <v>122350.42362573851</v>
      </c>
      <c r="CB680" s="158">
        <f t="shared" ca="1" si="777"/>
        <v>141222.99280145092</v>
      </c>
      <c r="CC680" s="37"/>
    </row>
    <row r="681" spans="1:81" outlineLevel="1" x14ac:dyDescent="0.55000000000000004">
      <c r="A681" s="37" t="s">
        <v>111</v>
      </c>
      <c r="B681" s="87"/>
      <c r="C681" s="37">
        <f t="shared" ref="C681:AH681" si="778">C680+C670</f>
        <v>302</v>
      </c>
      <c r="D681" s="37">
        <f t="shared" si="778"/>
        <v>609</v>
      </c>
      <c r="E681" s="37">
        <f t="shared" si="778"/>
        <v>717</v>
      </c>
      <c r="F681" s="37">
        <f t="shared" si="778"/>
        <v>556</v>
      </c>
      <c r="G681" s="37">
        <f t="shared" si="778"/>
        <v>809</v>
      </c>
      <c r="H681" s="37">
        <f t="shared" si="778"/>
        <v>836</v>
      </c>
      <c r="I681" s="37">
        <f t="shared" si="778"/>
        <v>964</v>
      </c>
      <c r="J681" s="37">
        <f t="shared" si="778"/>
        <v>1279</v>
      </c>
      <c r="K681" s="37">
        <f t="shared" si="778"/>
        <v>944</v>
      </c>
      <c r="L681" s="37">
        <f t="shared" si="778"/>
        <v>1327</v>
      </c>
      <c r="M681" s="37">
        <f t="shared" si="778"/>
        <v>982</v>
      </c>
      <c r="N681" s="37">
        <f t="shared" si="778"/>
        <v>2039</v>
      </c>
      <c r="O681" s="37">
        <f t="shared" si="778"/>
        <v>1840</v>
      </c>
      <c r="P681" s="37">
        <f t="shared" si="778"/>
        <v>2595</v>
      </c>
      <c r="Q681" s="37">
        <f t="shared" si="778"/>
        <v>2928</v>
      </c>
      <c r="R681" s="37">
        <f t="shared" si="778"/>
        <v>3496</v>
      </c>
      <c r="S681" s="37">
        <f t="shared" si="778"/>
        <v>3252</v>
      </c>
      <c r="T681" s="37">
        <f t="shared" si="778"/>
        <v>4245</v>
      </c>
      <c r="U681" s="37">
        <f t="shared" si="778"/>
        <v>4645</v>
      </c>
      <c r="V681" s="37">
        <f t="shared" si="778"/>
        <v>3454</v>
      </c>
      <c r="W681" s="37">
        <f t="shared" si="778"/>
        <v>4041</v>
      </c>
      <c r="X681" s="37">
        <f t="shared" si="778"/>
        <v>3976</v>
      </c>
      <c r="Y681" s="37">
        <f t="shared" si="778"/>
        <v>3971</v>
      </c>
      <c r="Z681" s="37">
        <f t="shared" si="778"/>
        <v>4898</v>
      </c>
      <c r="AA681" s="37">
        <f t="shared" si="778"/>
        <v>1021</v>
      </c>
      <c r="AB681" s="37">
        <f t="shared" si="778"/>
        <v>1655</v>
      </c>
      <c r="AC681" s="37">
        <f t="shared" si="778"/>
        <v>5284</v>
      </c>
      <c r="AD681" s="37">
        <f t="shared" si="778"/>
        <v>5450</v>
      </c>
      <c r="AE681" s="37">
        <f t="shared" si="778"/>
        <v>4659</v>
      </c>
      <c r="AF681" s="37">
        <f t="shared" si="778"/>
        <v>5470</v>
      </c>
      <c r="AG681" s="37">
        <f t="shared" si="778"/>
        <v>5889</v>
      </c>
      <c r="AH681" s="37">
        <f t="shared" si="778"/>
        <v>9733</v>
      </c>
      <c r="AI681" s="37">
        <f t="shared" ref="AI681:BF681" si="779">AI680+AI670</f>
        <v>9228</v>
      </c>
      <c r="AJ681" s="37">
        <f t="shared" si="779"/>
        <v>10402</v>
      </c>
      <c r="AK681" s="37">
        <f t="shared" si="779"/>
        <v>8162</v>
      </c>
      <c r="AL681" s="37">
        <f t="shared" si="779"/>
        <v>9947</v>
      </c>
      <c r="AM681" s="37">
        <f t="shared" si="779"/>
        <v>5661</v>
      </c>
      <c r="AN681" s="37">
        <f t="shared" si="779"/>
        <v>3962</v>
      </c>
      <c r="AO681" s="37">
        <f t="shared" si="779"/>
        <v>-414</v>
      </c>
      <c r="AP681" s="37">
        <f t="shared" si="779"/>
        <v>3302</v>
      </c>
      <c r="AQ681" s="37">
        <f t="shared" si="779"/>
        <v>4321</v>
      </c>
      <c r="AR681" s="37">
        <f t="shared" si="779"/>
        <v>7342</v>
      </c>
      <c r="AS681" s="37">
        <f t="shared" si="779"/>
        <v>14587</v>
      </c>
      <c r="AT681" s="37">
        <f t="shared" si="779"/>
        <v>12703</v>
      </c>
      <c r="AU681" s="37">
        <f t="shared" si="779"/>
        <v>11035</v>
      </c>
      <c r="AV681" s="37">
        <f t="shared" si="779"/>
        <v>10373</v>
      </c>
      <c r="AW681" s="37">
        <f t="shared" si="779"/>
        <v>12189</v>
      </c>
      <c r="AX681" s="37">
        <f t="shared" si="779"/>
        <v>12386</v>
      </c>
      <c r="AY681" s="273">
        <f t="shared" si="779"/>
        <v>8446</v>
      </c>
      <c r="AZ681" s="37">
        <f t="shared" ca="1" si="779"/>
        <v>8637.1378233889645</v>
      </c>
      <c r="BA681" s="37">
        <f t="shared" ca="1" si="779"/>
        <v>11143.709485333806</v>
      </c>
      <c r="BB681" s="37">
        <f t="shared" ca="1" si="779"/>
        <v>14790.719477845747</v>
      </c>
      <c r="BC681" s="37">
        <f t="shared" ca="1" si="779"/>
        <v>23172.531943025278</v>
      </c>
      <c r="BD681" s="37">
        <f t="shared" ca="1" si="779"/>
        <v>20520.217668564143</v>
      </c>
      <c r="BE681" s="37">
        <f t="shared" ca="1" si="779"/>
        <v>22698.506101671279</v>
      </c>
      <c r="BF681" s="37">
        <f t="shared" ca="1" si="779"/>
        <v>26126.819891710958</v>
      </c>
      <c r="BG681" s="37"/>
      <c r="BH681" s="158">
        <f t="shared" ref="BH681:CB681" si="780">BH680+BH670</f>
        <v>301</v>
      </c>
      <c r="BI681" s="158">
        <f t="shared" si="780"/>
        <v>475</v>
      </c>
      <c r="BJ681" s="158">
        <f t="shared" si="780"/>
        <v>908</v>
      </c>
      <c r="BK681" s="158">
        <f t="shared" si="780"/>
        <v>876</v>
      </c>
      <c r="BL681" s="158">
        <f t="shared" si="780"/>
        <v>2184</v>
      </c>
      <c r="BM681" s="158">
        <f t="shared" si="780"/>
        <v>3888</v>
      </c>
      <c r="BN681" s="158">
        <f t="shared" si="780"/>
        <v>5292</v>
      </c>
      <c r="BO681" s="158">
        <f t="shared" si="780"/>
        <v>10859</v>
      </c>
      <c r="BP681" s="158">
        <f t="shared" si="780"/>
        <v>15596</v>
      </c>
      <c r="BQ681" s="158">
        <f t="shared" si="780"/>
        <v>16886</v>
      </c>
      <c r="BR681" s="158">
        <f t="shared" si="780"/>
        <v>13410</v>
      </c>
      <c r="BS681" s="158">
        <f t="shared" si="780"/>
        <v>25751</v>
      </c>
      <c r="BT681" s="158">
        <f t="shared" si="780"/>
        <v>37739</v>
      </c>
      <c r="BU681" s="158">
        <f t="shared" si="780"/>
        <v>12511</v>
      </c>
      <c r="BV681" s="158">
        <f t="shared" si="780"/>
        <v>38953</v>
      </c>
      <c r="BW681" s="846">
        <f t="shared" si="780"/>
        <v>45983</v>
      </c>
      <c r="BX681" s="158">
        <f t="shared" ca="1" si="780"/>
        <v>43017.566786568517</v>
      </c>
      <c r="BY681" s="158">
        <f t="shared" ca="1" si="780"/>
        <v>92518.075604971673</v>
      </c>
      <c r="BZ681" s="158">
        <f t="shared" ca="1" si="780"/>
        <v>113171.53140785254</v>
      </c>
      <c r="CA681" s="158">
        <f t="shared" ca="1" si="780"/>
        <v>121102.11895419912</v>
      </c>
      <c r="CB681" s="158">
        <f t="shared" ca="1" si="780"/>
        <v>139979.49183834594</v>
      </c>
      <c r="CC681" s="37"/>
    </row>
    <row r="682" spans="1:81" outlineLevel="1" x14ac:dyDescent="0.55000000000000004">
      <c r="A682" s="37" t="s">
        <v>112</v>
      </c>
      <c r="B682" s="87"/>
      <c r="C682" s="37">
        <f t="shared" ref="C682:AH682" si="781">C681+C668+C669</f>
        <v>203</v>
      </c>
      <c r="D682" s="37">
        <f t="shared" si="781"/>
        <v>487</v>
      </c>
      <c r="E682" s="37">
        <f t="shared" si="781"/>
        <v>701</v>
      </c>
      <c r="F682" s="37">
        <f t="shared" si="781"/>
        <v>425</v>
      </c>
      <c r="G682" s="37">
        <f t="shared" si="781"/>
        <v>809</v>
      </c>
      <c r="H682" s="37">
        <f t="shared" si="781"/>
        <v>817</v>
      </c>
      <c r="I682" s="37">
        <f t="shared" si="781"/>
        <v>229</v>
      </c>
      <c r="J682" s="37">
        <f t="shared" si="781"/>
        <v>-2942</v>
      </c>
      <c r="K682" s="37">
        <f t="shared" si="781"/>
        <v>687</v>
      </c>
      <c r="L682" s="37">
        <f t="shared" si="781"/>
        <v>1302</v>
      </c>
      <c r="M682" s="37">
        <f t="shared" si="781"/>
        <v>955</v>
      </c>
      <c r="N682" s="37">
        <f t="shared" si="781"/>
        <v>2035</v>
      </c>
      <c r="O682" s="37">
        <f t="shared" si="781"/>
        <v>1839</v>
      </c>
      <c r="P682" s="37">
        <f t="shared" si="781"/>
        <v>2576</v>
      </c>
      <c r="Q682" s="37">
        <f t="shared" si="781"/>
        <v>2867</v>
      </c>
      <c r="R682" s="37">
        <f t="shared" si="781"/>
        <v>3454</v>
      </c>
      <c r="S682" s="37">
        <f t="shared" si="781"/>
        <v>3252</v>
      </c>
      <c r="T682" s="37">
        <f t="shared" si="781"/>
        <v>4237</v>
      </c>
      <c r="U682" s="37">
        <f t="shared" si="781"/>
        <v>4547</v>
      </c>
      <c r="V682" s="37">
        <f t="shared" si="781"/>
        <v>3438</v>
      </c>
      <c r="W682" s="37">
        <f t="shared" si="781"/>
        <v>3992</v>
      </c>
      <c r="X682" s="37">
        <f t="shared" si="781"/>
        <v>3960</v>
      </c>
      <c r="Y682" s="37">
        <f t="shared" si="781"/>
        <v>3899</v>
      </c>
      <c r="Z682" s="37">
        <f t="shared" si="781"/>
        <v>4898</v>
      </c>
      <c r="AA682" s="37">
        <f t="shared" si="781"/>
        <v>1021</v>
      </c>
      <c r="AB682" s="37">
        <f t="shared" si="781"/>
        <v>1655</v>
      </c>
      <c r="AC682" s="37">
        <f t="shared" si="781"/>
        <v>5284</v>
      </c>
      <c r="AD682" s="37">
        <f t="shared" si="781"/>
        <v>4942</v>
      </c>
      <c r="AE682" s="37">
        <f t="shared" si="781"/>
        <v>4626</v>
      </c>
      <c r="AF682" s="37">
        <f t="shared" si="781"/>
        <v>5131</v>
      </c>
      <c r="AG682" s="37">
        <f t="shared" si="781"/>
        <v>5877</v>
      </c>
      <c r="AH682" s="37">
        <f t="shared" si="781"/>
        <v>9729</v>
      </c>
      <c r="AI682" s="37">
        <f t="shared" ref="AI682:BF682" si="782">AI681+AI668+AI669</f>
        <v>9228</v>
      </c>
      <c r="AJ682" s="37">
        <f t="shared" si="782"/>
        <v>10143</v>
      </c>
      <c r="AK682" s="37">
        <f t="shared" si="782"/>
        <v>8091</v>
      </c>
      <c r="AL682" s="37">
        <f t="shared" si="782"/>
        <v>9426</v>
      </c>
      <c r="AM682" s="37">
        <f t="shared" si="782"/>
        <v>4934</v>
      </c>
      <c r="AN682" s="37">
        <f t="shared" si="782"/>
        <v>3643</v>
      </c>
      <c r="AO682" s="37">
        <f t="shared" si="782"/>
        <v>-428</v>
      </c>
      <c r="AP682" s="37">
        <f t="shared" si="782"/>
        <v>3295</v>
      </c>
      <c r="AQ682" s="37">
        <f t="shared" si="782"/>
        <v>3896</v>
      </c>
      <c r="AR682" s="37">
        <f t="shared" si="782"/>
        <v>7341</v>
      </c>
      <c r="AS682" s="37">
        <f t="shared" si="782"/>
        <v>14596</v>
      </c>
      <c r="AT682" s="37">
        <f t="shared" si="782"/>
        <v>12712</v>
      </c>
      <c r="AU682" s="37">
        <f t="shared" si="782"/>
        <v>10963</v>
      </c>
      <c r="AV682" s="37">
        <f t="shared" si="782"/>
        <v>10316</v>
      </c>
      <c r="AW682" s="37">
        <f t="shared" si="782"/>
        <v>12057</v>
      </c>
      <c r="AX682" s="37">
        <f t="shared" si="782"/>
        <v>12377</v>
      </c>
      <c r="AY682" s="273">
        <f t="shared" si="782"/>
        <v>8356</v>
      </c>
      <c r="AZ682" s="37">
        <f t="shared" ca="1" si="782"/>
        <v>8637.1378233889645</v>
      </c>
      <c r="BA682" s="37">
        <f t="shared" ca="1" si="782"/>
        <v>11143.709485333806</v>
      </c>
      <c r="BB682" s="37">
        <f t="shared" ca="1" si="782"/>
        <v>14790.719477845747</v>
      </c>
      <c r="BC682" s="37">
        <f t="shared" ca="1" si="782"/>
        <v>23172.531943025278</v>
      </c>
      <c r="BD682" s="37">
        <f t="shared" ca="1" si="782"/>
        <v>20520.217668564143</v>
      </c>
      <c r="BE682" s="37">
        <f t="shared" ca="1" si="782"/>
        <v>22698.506101671279</v>
      </c>
      <c r="BF682" s="37">
        <f t="shared" ca="1" si="782"/>
        <v>26126.819891710958</v>
      </c>
      <c r="BG682" s="37"/>
      <c r="BH682" s="158">
        <f t="shared" ref="BH682:CB682" si="783">BH681+BH668+BH669</f>
        <v>304</v>
      </c>
      <c r="BI682" s="158">
        <f t="shared" si="783"/>
        <v>453</v>
      </c>
      <c r="BJ682" s="158">
        <f t="shared" si="783"/>
        <v>884</v>
      </c>
      <c r="BK682" s="158">
        <f t="shared" si="783"/>
        <v>-35</v>
      </c>
      <c r="BL682" s="158">
        <f t="shared" si="783"/>
        <v>1816</v>
      </c>
      <c r="BM682" s="158">
        <f t="shared" si="783"/>
        <v>-1087</v>
      </c>
      <c r="BN682" s="158">
        <f t="shared" si="783"/>
        <v>4979</v>
      </c>
      <c r="BO682" s="158">
        <f t="shared" si="783"/>
        <v>10736</v>
      </c>
      <c r="BP682" s="158">
        <f t="shared" si="783"/>
        <v>15474</v>
      </c>
      <c r="BQ682" s="158">
        <f t="shared" si="783"/>
        <v>16749</v>
      </c>
      <c r="BR682" s="158">
        <f t="shared" si="783"/>
        <v>12902</v>
      </c>
      <c r="BS682" s="158">
        <f t="shared" si="783"/>
        <v>25363</v>
      </c>
      <c r="BT682" s="158">
        <f t="shared" si="783"/>
        <v>36888</v>
      </c>
      <c r="BU682" s="158">
        <f t="shared" si="783"/>
        <v>11444</v>
      </c>
      <c r="BV682" s="158">
        <f t="shared" si="783"/>
        <v>38545</v>
      </c>
      <c r="BW682" s="846">
        <f t="shared" si="783"/>
        <v>45713</v>
      </c>
      <c r="BX682" s="158">
        <f t="shared" ca="1" si="783"/>
        <v>42927.566786568517</v>
      </c>
      <c r="BY682" s="158">
        <f t="shared" ca="1" si="783"/>
        <v>92518.075604971673</v>
      </c>
      <c r="BZ682" s="158">
        <f t="shared" ca="1" si="783"/>
        <v>113171.53140785254</v>
      </c>
      <c r="CA682" s="158">
        <f t="shared" ca="1" si="783"/>
        <v>121102.11895419912</v>
      </c>
      <c r="CB682" s="158">
        <f t="shared" ca="1" si="783"/>
        <v>139979.49183834594</v>
      </c>
      <c r="CC682" s="37"/>
    </row>
    <row r="683" spans="1:81" outlineLevel="1" x14ac:dyDescent="0.55000000000000004">
      <c r="A683" s="35" t="s">
        <v>420</v>
      </c>
      <c r="B683" s="193"/>
      <c r="C683" s="35">
        <f t="shared" ref="C683:AH683" si="784">C682+C673+C674</f>
        <v>211</v>
      </c>
      <c r="D683" s="35">
        <f t="shared" si="784"/>
        <v>489</v>
      </c>
      <c r="E683" s="35">
        <f t="shared" si="784"/>
        <v>-789</v>
      </c>
      <c r="F683" s="35">
        <f t="shared" si="784"/>
        <v>1909</v>
      </c>
      <c r="G683" s="35">
        <f t="shared" si="784"/>
        <v>810</v>
      </c>
      <c r="H683" s="35">
        <f t="shared" si="784"/>
        <v>818</v>
      </c>
      <c r="I683" s="35">
        <f t="shared" si="784"/>
        <v>234</v>
      </c>
      <c r="J683" s="35">
        <f t="shared" si="784"/>
        <v>-2931</v>
      </c>
      <c r="K683" s="35">
        <f t="shared" si="784"/>
        <v>687</v>
      </c>
      <c r="L683" s="35">
        <f t="shared" si="784"/>
        <v>1302</v>
      </c>
      <c r="M683" s="35">
        <f t="shared" si="784"/>
        <v>955</v>
      </c>
      <c r="N683" s="35">
        <f t="shared" si="784"/>
        <v>2035</v>
      </c>
      <c r="O683" s="35">
        <f t="shared" si="784"/>
        <v>1839</v>
      </c>
      <c r="P683" s="35">
        <f t="shared" si="784"/>
        <v>2576</v>
      </c>
      <c r="Q683" s="35">
        <f t="shared" si="784"/>
        <v>2867</v>
      </c>
      <c r="R683" s="35">
        <f t="shared" si="784"/>
        <v>3454</v>
      </c>
      <c r="S683" s="35">
        <f t="shared" si="784"/>
        <v>3024</v>
      </c>
      <c r="T683" s="35">
        <f t="shared" si="784"/>
        <v>4087</v>
      </c>
      <c r="U683" s="35">
        <f t="shared" si="784"/>
        <v>3907</v>
      </c>
      <c r="V683" s="35">
        <f t="shared" si="784"/>
        <v>2480</v>
      </c>
      <c r="W683" s="35">
        <f t="shared" si="784"/>
        <v>2218</v>
      </c>
      <c r="X683" s="35">
        <f t="shared" si="784"/>
        <v>611</v>
      </c>
      <c r="Y683" s="35">
        <f t="shared" si="784"/>
        <v>-357</v>
      </c>
      <c r="Z683" s="35">
        <f t="shared" si="784"/>
        <v>1398</v>
      </c>
      <c r="AA683" s="35">
        <f t="shared" si="784"/>
        <v>408</v>
      </c>
      <c r="AB683" s="35">
        <f t="shared" si="784"/>
        <v>510</v>
      </c>
      <c r="AC683" s="35">
        <f t="shared" si="784"/>
        <v>4136</v>
      </c>
      <c r="AD683" s="35">
        <f t="shared" si="784"/>
        <v>3646</v>
      </c>
      <c r="AE683" s="35">
        <f t="shared" si="784"/>
        <v>3376</v>
      </c>
      <c r="AF683" s="35">
        <f t="shared" si="784"/>
        <v>3763</v>
      </c>
      <c r="AG683" s="35">
        <f t="shared" si="784"/>
        <v>4152</v>
      </c>
      <c r="AH683" s="35">
        <f t="shared" si="784"/>
        <v>7800</v>
      </c>
      <c r="AI683" s="35">
        <f t="shared" ref="AI683:BF683" si="785">AI682+AI673+AI674</f>
        <v>5289</v>
      </c>
      <c r="AJ683" s="35">
        <f t="shared" si="785"/>
        <v>3064</v>
      </c>
      <c r="AK683" s="35">
        <f t="shared" si="785"/>
        <v>-5367</v>
      </c>
      <c r="AL683" s="35">
        <f t="shared" si="785"/>
        <v>-10635</v>
      </c>
      <c r="AM683" s="35">
        <f t="shared" si="785"/>
        <v>-4572</v>
      </c>
      <c r="AN683" s="35">
        <f t="shared" si="785"/>
        <v>-1590</v>
      </c>
      <c r="AO683" s="35">
        <f t="shared" si="785"/>
        <v>3139</v>
      </c>
      <c r="AP683" s="35">
        <f t="shared" si="785"/>
        <v>-3568</v>
      </c>
      <c r="AQ683" s="35">
        <f t="shared" si="785"/>
        <v>-5469</v>
      </c>
      <c r="AR683" s="35">
        <f t="shared" si="785"/>
        <v>14898</v>
      </c>
      <c r="AS683" s="35">
        <f t="shared" si="785"/>
        <v>11027</v>
      </c>
      <c r="AT683" s="35">
        <f t="shared" si="785"/>
        <v>6770</v>
      </c>
      <c r="AU683" s="35">
        <f t="shared" si="785"/>
        <v>-4045</v>
      </c>
      <c r="AV683" s="35">
        <f t="shared" si="785"/>
        <v>4017</v>
      </c>
      <c r="AW683" s="35">
        <f t="shared" si="785"/>
        <v>13671</v>
      </c>
      <c r="AX683" s="35">
        <f t="shared" si="785"/>
        <v>12377</v>
      </c>
      <c r="AY683" s="272">
        <f t="shared" si="785"/>
        <v>-4398</v>
      </c>
      <c r="AZ683" s="35">
        <f t="shared" ca="1" si="785"/>
        <v>6637.1378233889645</v>
      </c>
      <c r="BA683" s="35">
        <f t="shared" ca="1" si="785"/>
        <v>9143.7094853338058</v>
      </c>
      <c r="BB683" s="35">
        <f t="shared" ca="1" si="785"/>
        <v>12790.719477845747</v>
      </c>
      <c r="BC683" s="35">
        <f t="shared" ca="1" si="785"/>
        <v>23172.531943025278</v>
      </c>
      <c r="BD683" s="35">
        <f t="shared" ca="1" si="785"/>
        <v>20520.217668564143</v>
      </c>
      <c r="BE683" s="35">
        <f t="shared" ca="1" si="785"/>
        <v>22698.506101671279</v>
      </c>
      <c r="BF683" s="35">
        <f t="shared" ca="1" si="785"/>
        <v>26126.819891710958</v>
      </c>
      <c r="BG683" s="35"/>
      <c r="BH683" s="812">
        <f t="shared" ref="BH683:CB683" si="786">BH682+BH673+BH674</f>
        <v>313</v>
      </c>
      <c r="BI683" s="812">
        <f t="shared" si="786"/>
        <v>1209</v>
      </c>
      <c r="BJ683" s="812">
        <f t="shared" si="786"/>
        <v>1660</v>
      </c>
      <c r="BK683" s="812">
        <f t="shared" si="786"/>
        <v>8238</v>
      </c>
      <c r="BL683" s="812">
        <f t="shared" si="786"/>
        <v>1820</v>
      </c>
      <c r="BM683" s="812">
        <f t="shared" si="786"/>
        <v>-1069</v>
      </c>
      <c r="BN683" s="812">
        <f t="shared" si="786"/>
        <v>4979</v>
      </c>
      <c r="BO683" s="812">
        <f t="shared" si="786"/>
        <v>10736</v>
      </c>
      <c r="BP683" s="812">
        <f t="shared" si="786"/>
        <v>13498</v>
      </c>
      <c r="BQ683" s="812">
        <f t="shared" si="786"/>
        <v>3870</v>
      </c>
      <c r="BR683" s="812">
        <f t="shared" si="786"/>
        <v>8700</v>
      </c>
      <c r="BS683" s="812">
        <f t="shared" si="786"/>
        <v>19091</v>
      </c>
      <c r="BT683" s="812">
        <f t="shared" si="786"/>
        <v>-7649</v>
      </c>
      <c r="BU683" s="812">
        <f t="shared" si="786"/>
        <v>-6591</v>
      </c>
      <c r="BV683" s="812">
        <f t="shared" si="786"/>
        <v>27226</v>
      </c>
      <c r="BW683" s="814">
        <f t="shared" si="786"/>
        <v>26020</v>
      </c>
      <c r="BX683" s="812">
        <f t="shared" ca="1" si="786"/>
        <v>24173.566786568517</v>
      </c>
      <c r="BY683" s="812">
        <f t="shared" ca="1" si="786"/>
        <v>92518.075604971673</v>
      </c>
      <c r="BZ683" s="812">
        <f t="shared" ca="1" si="786"/>
        <v>103171.53140785254</v>
      </c>
      <c r="CA683" s="812">
        <f t="shared" ca="1" si="786"/>
        <v>111102.11895419912</v>
      </c>
      <c r="CB683" s="812">
        <f t="shared" ca="1" si="786"/>
        <v>129979.49183834594</v>
      </c>
      <c r="CC683" s="37"/>
    </row>
    <row r="684" spans="1:81" x14ac:dyDescent="0.55000000000000004">
      <c r="A684" s="37" t="s">
        <v>621</v>
      </c>
      <c r="B684" s="87"/>
      <c r="C684" s="37">
        <f t="shared" ref="C684:AH684" si="787">C661+C665</f>
        <v>392</v>
      </c>
      <c r="D684" s="37">
        <f t="shared" si="787"/>
        <v>1054</v>
      </c>
      <c r="E684" s="37">
        <f t="shared" si="787"/>
        <v>666</v>
      </c>
      <c r="F684" s="37">
        <f t="shared" si="787"/>
        <v>748</v>
      </c>
      <c r="G684" s="37">
        <f t="shared" si="787"/>
        <v>922</v>
      </c>
      <c r="H684" s="37">
        <f t="shared" si="787"/>
        <v>872</v>
      </c>
      <c r="I684" s="37">
        <f t="shared" si="787"/>
        <v>766</v>
      </c>
      <c r="J684" s="37">
        <f t="shared" si="787"/>
        <v>1066</v>
      </c>
      <c r="K684" s="37">
        <f t="shared" si="787"/>
        <v>1198</v>
      </c>
      <c r="L684" s="37">
        <f t="shared" si="787"/>
        <v>1331</v>
      </c>
      <c r="M684" s="37">
        <f t="shared" si="787"/>
        <v>1412</v>
      </c>
      <c r="N684" s="37">
        <f t="shared" si="787"/>
        <v>2135</v>
      </c>
      <c r="O684" s="37">
        <f t="shared" si="787"/>
        <v>2345</v>
      </c>
      <c r="P684" s="37">
        <f t="shared" si="787"/>
        <v>2670</v>
      </c>
      <c r="Q684" s="37">
        <f t="shared" si="787"/>
        <v>2941</v>
      </c>
      <c r="R684" s="37">
        <f t="shared" si="787"/>
        <v>3661</v>
      </c>
      <c r="S684" s="37">
        <f t="shared" si="787"/>
        <v>3787</v>
      </c>
      <c r="T684" s="37">
        <f t="shared" si="787"/>
        <v>3916</v>
      </c>
      <c r="U684" s="37">
        <f t="shared" si="787"/>
        <v>4372</v>
      </c>
      <c r="V684" s="37">
        <f t="shared" si="787"/>
        <v>5408</v>
      </c>
      <c r="W684" s="37">
        <f t="shared" si="787"/>
        <v>5048</v>
      </c>
      <c r="X684" s="37">
        <f t="shared" si="787"/>
        <v>2838</v>
      </c>
      <c r="Y684" s="37">
        <f t="shared" si="787"/>
        <v>4156</v>
      </c>
      <c r="Z684" s="37">
        <f t="shared" si="787"/>
        <v>3317</v>
      </c>
      <c r="AA684" s="37">
        <f t="shared" si="787"/>
        <v>5346</v>
      </c>
      <c r="AB684" s="37">
        <f t="shared" si="787"/>
        <v>4841</v>
      </c>
      <c r="AC684" s="37">
        <f t="shared" si="787"/>
        <v>5631</v>
      </c>
      <c r="AD684" s="37">
        <f t="shared" si="787"/>
        <v>4842</v>
      </c>
      <c r="AE684" s="37">
        <f t="shared" si="787"/>
        <v>7343</v>
      </c>
      <c r="AF684" s="37">
        <f t="shared" si="787"/>
        <v>513</v>
      </c>
      <c r="AG684" s="37">
        <f t="shared" si="787"/>
        <v>5951</v>
      </c>
      <c r="AH684" s="37">
        <f t="shared" si="787"/>
        <v>9221</v>
      </c>
      <c r="AI684" s="37">
        <f t="shared" ref="AI684:BF684" si="788">AI661+AI665</f>
        <v>7819</v>
      </c>
      <c r="AJ684" s="37">
        <f t="shared" si="788"/>
        <v>8512</v>
      </c>
      <c r="AK684" s="37">
        <f t="shared" si="788"/>
        <v>9545</v>
      </c>
      <c r="AL684" s="37">
        <f t="shared" si="788"/>
        <v>12563</v>
      </c>
      <c r="AM684" s="37">
        <f t="shared" si="788"/>
        <v>8402</v>
      </c>
      <c r="AN684" s="37">
        <f t="shared" si="788"/>
        <v>4405</v>
      </c>
      <c r="AO684" s="37">
        <f t="shared" si="788"/>
        <v>154</v>
      </c>
      <c r="AP684" s="37">
        <f t="shared" si="788"/>
        <v>5233</v>
      </c>
      <c r="AQ684" s="37">
        <f t="shared" si="788"/>
        <v>6892</v>
      </c>
      <c r="AR684" s="37">
        <f t="shared" si="788"/>
        <v>10873</v>
      </c>
      <c r="AS684" s="37">
        <f t="shared" si="788"/>
        <v>13592</v>
      </c>
      <c r="AT684" s="37">
        <f t="shared" si="788"/>
        <v>11432</v>
      </c>
      <c r="AU684" s="37">
        <f t="shared" si="788"/>
        <v>12531</v>
      </c>
      <c r="AV684" s="37">
        <f t="shared" si="788"/>
        <v>10898</v>
      </c>
      <c r="AW684" s="37">
        <f t="shared" si="788"/>
        <v>15522</v>
      </c>
      <c r="AX684" s="37">
        <f t="shared" si="788"/>
        <v>13152</v>
      </c>
      <c r="AY684" s="273">
        <f t="shared" si="788"/>
        <v>10334</v>
      </c>
      <c r="AZ684" s="37">
        <f t="shared" si="788"/>
        <v>9653.2166197904044</v>
      </c>
      <c r="BA684" s="37">
        <f t="shared" ca="1" si="788"/>
        <v>14079.91656506345</v>
      </c>
      <c r="BB684" s="37">
        <f t="shared" ca="1" si="788"/>
        <v>13690.556723235273</v>
      </c>
      <c r="BC684" s="37">
        <f t="shared" ca="1" si="788"/>
        <v>26558.472733154638</v>
      </c>
      <c r="BD684" s="37">
        <f t="shared" ca="1" si="788"/>
        <v>21485.181374530584</v>
      </c>
      <c r="BE684" s="37">
        <f t="shared" ca="1" si="788"/>
        <v>25826.577761882232</v>
      </c>
      <c r="BF684" s="37">
        <f t="shared" ca="1" si="788"/>
        <v>24687.650110080154</v>
      </c>
      <c r="BG684" s="37"/>
      <c r="BH684" s="158">
        <f t="shared" ref="BH684:CB684" si="789">BH661+BH665</f>
        <v>122</v>
      </c>
      <c r="BI684" s="158">
        <f t="shared" si="789"/>
        <v>405</v>
      </c>
      <c r="BJ684" s="158">
        <f t="shared" si="789"/>
        <v>943</v>
      </c>
      <c r="BK684" s="158">
        <f t="shared" si="789"/>
        <v>377</v>
      </c>
      <c r="BL684" s="158">
        <f t="shared" si="789"/>
        <v>2860</v>
      </c>
      <c r="BM684" s="158">
        <f t="shared" si="789"/>
        <v>3626</v>
      </c>
      <c r="BN684" s="158">
        <f t="shared" si="789"/>
        <v>6076</v>
      </c>
      <c r="BO684" s="158">
        <f t="shared" si="789"/>
        <v>11617</v>
      </c>
      <c r="BP684" s="158">
        <f t="shared" si="789"/>
        <v>17483</v>
      </c>
      <c r="BQ684" s="158">
        <f t="shared" si="789"/>
        <v>15359</v>
      </c>
      <c r="BR684" s="158">
        <f t="shared" si="789"/>
        <v>20660</v>
      </c>
      <c r="BS684" s="158">
        <f t="shared" si="789"/>
        <v>23028</v>
      </c>
      <c r="BT684" s="158">
        <f t="shared" si="789"/>
        <v>38439</v>
      </c>
      <c r="BU684" s="158">
        <f t="shared" si="789"/>
        <v>18194</v>
      </c>
      <c r="BV684" s="158">
        <f t="shared" si="789"/>
        <v>42789</v>
      </c>
      <c r="BW684" s="846">
        <f t="shared" si="789"/>
        <v>52103</v>
      </c>
      <c r="BX684" s="158">
        <f t="shared" ca="1" si="789"/>
        <v>47757.689908089131</v>
      </c>
      <c r="BY684" s="158">
        <f t="shared" ca="1" si="789"/>
        <v>98557.881979647616</v>
      </c>
      <c r="BZ684" s="158">
        <f t="shared" ca="1" si="789"/>
        <v>115438.8645634792</v>
      </c>
      <c r="CA684" s="158">
        <f t="shared" ca="1" si="789"/>
        <v>122881.64527035074</v>
      </c>
      <c r="CB684" s="158">
        <f t="shared" ca="1" si="789"/>
        <v>141746.81310678954</v>
      </c>
      <c r="CC684" s="37"/>
    </row>
    <row r="685" spans="1:81" x14ac:dyDescent="0.55000000000000004">
      <c r="A685" s="37" t="s">
        <v>622</v>
      </c>
      <c r="B685" s="87"/>
      <c r="C685" s="37">
        <f t="shared" ref="C685:AH685" si="790">C684+C670</f>
        <v>392</v>
      </c>
      <c r="D685" s="37">
        <f t="shared" si="790"/>
        <v>1054</v>
      </c>
      <c r="E685" s="37">
        <f t="shared" si="790"/>
        <v>666</v>
      </c>
      <c r="F685" s="37">
        <f t="shared" si="790"/>
        <v>748</v>
      </c>
      <c r="G685" s="37">
        <f t="shared" si="790"/>
        <v>922</v>
      </c>
      <c r="H685" s="37">
        <f t="shared" si="790"/>
        <v>872</v>
      </c>
      <c r="I685" s="37">
        <f t="shared" si="790"/>
        <v>766</v>
      </c>
      <c r="J685" s="37">
        <f t="shared" si="790"/>
        <v>1066</v>
      </c>
      <c r="K685" s="37">
        <f t="shared" si="790"/>
        <v>1198</v>
      </c>
      <c r="L685" s="37">
        <f t="shared" si="790"/>
        <v>1331</v>
      </c>
      <c r="M685" s="37">
        <f t="shared" si="790"/>
        <v>1412</v>
      </c>
      <c r="N685" s="37">
        <f t="shared" si="790"/>
        <v>2135</v>
      </c>
      <c r="O685" s="37">
        <f t="shared" si="790"/>
        <v>2345</v>
      </c>
      <c r="P685" s="37">
        <f t="shared" si="790"/>
        <v>2670</v>
      </c>
      <c r="Q685" s="37">
        <f t="shared" si="790"/>
        <v>2941</v>
      </c>
      <c r="R685" s="37">
        <f t="shared" si="790"/>
        <v>3661</v>
      </c>
      <c r="S685" s="37">
        <f t="shared" si="790"/>
        <v>3787</v>
      </c>
      <c r="T685" s="37">
        <f t="shared" si="790"/>
        <v>3916</v>
      </c>
      <c r="U685" s="37">
        <f t="shared" si="790"/>
        <v>4372</v>
      </c>
      <c r="V685" s="37">
        <f t="shared" si="790"/>
        <v>5408</v>
      </c>
      <c r="W685" s="37">
        <f t="shared" si="790"/>
        <v>5048</v>
      </c>
      <c r="X685" s="37">
        <f t="shared" si="790"/>
        <v>2838</v>
      </c>
      <c r="Y685" s="37">
        <f t="shared" si="790"/>
        <v>4156</v>
      </c>
      <c r="Z685" s="37">
        <f t="shared" si="790"/>
        <v>3317</v>
      </c>
      <c r="AA685" s="37">
        <f t="shared" si="790"/>
        <v>5346</v>
      </c>
      <c r="AB685" s="37">
        <f t="shared" si="790"/>
        <v>4841</v>
      </c>
      <c r="AC685" s="37">
        <f t="shared" si="790"/>
        <v>5631</v>
      </c>
      <c r="AD685" s="37">
        <f t="shared" si="790"/>
        <v>4842</v>
      </c>
      <c r="AE685" s="37">
        <f t="shared" si="790"/>
        <v>7343</v>
      </c>
      <c r="AF685" s="37">
        <f t="shared" si="790"/>
        <v>513</v>
      </c>
      <c r="AG685" s="37">
        <f t="shared" si="790"/>
        <v>5951</v>
      </c>
      <c r="AH685" s="37">
        <f t="shared" si="790"/>
        <v>9221</v>
      </c>
      <c r="AI685" s="37">
        <f t="shared" ref="AI685:BF685" si="791">AI684+AI670</f>
        <v>7819</v>
      </c>
      <c r="AJ685" s="37">
        <f t="shared" si="791"/>
        <v>8512</v>
      </c>
      <c r="AK685" s="37">
        <f t="shared" si="791"/>
        <v>9545</v>
      </c>
      <c r="AL685" s="37">
        <f t="shared" si="791"/>
        <v>12563</v>
      </c>
      <c r="AM685" s="37">
        <f t="shared" si="791"/>
        <v>8402</v>
      </c>
      <c r="AN685" s="37">
        <f t="shared" si="791"/>
        <v>4405</v>
      </c>
      <c r="AO685" s="37">
        <f t="shared" si="791"/>
        <v>154</v>
      </c>
      <c r="AP685" s="37">
        <f t="shared" si="791"/>
        <v>5233</v>
      </c>
      <c r="AQ685" s="37">
        <f t="shared" si="791"/>
        <v>6892</v>
      </c>
      <c r="AR685" s="37">
        <f t="shared" si="791"/>
        <v>10873</v>
      </c>
      <c r="AS685" s="37">
        <f t="shared" si="791"/>
        <v>13592</v>
      </c>
      <c r="AT685" s="37">
        <f t="shared" si="791"/>
        <v>11432</v>
      </c>
      <c r="AU685" s="37">
        <f t="shared" si="791"/>
        <v>11258</v>
      </c>
      <c r="AV685" s="37">
        <f t="shared" si="791"/>
        <v>9632</v>
      </c>
      <c r="AW685" s="37">
        <f t="shared" si="791"/>
        <v>14259</v>
      </c>
      <c r="AX685" s="37">
        <f t="shared" si="791"/>
        <v>11882</v>
      </c>
      <c r="AY685" s="273">
        <f t="shared" si="791"/>
        <v>9005</v>
      </c>
      <c r="AZ685" s="37">
        <f t="shared" ca="1" si="791"/>
        <v>8393.8932647608181</v>
      </c>
      <c r="BA685" s="37">
        <f t="shared" ca="1" si="791"/>
        <v>12821.946567639188</v>
      </c>
      <c r="BB685" s="37">
        <f t="shared" ca="1" si="791"/>
        <v>12433.940218752099</v>
      </c>
      <c r="BC685" s="37">
        <f t="shared" ca="1" si="791"/>
        <v>25302.470211991429</v>
      </c>
      <c r="BD685" s="37">
        <f t="shared" ca="1" si="791"/>
        <v>20229.05325311526</v>
      </c>
      <c r="BE685" s="37">
        <f t="shared" ca="1" si="791"/>
        <v>24570.324027654766</v>
      </c>
      <c r="BF685" s="37">
        <f t="shared" ca="1" si="791"/>
        <v>23431.270750479267</v>
      </c>
      <c r="BG685" s="37"/>
      <c r="BH685" s="158">
        <f t="shared" ref="BH685:CB685" si="792">BH684+BH670</f>
        <v>122</v>
      </c>
      <c r="BI685" s="158">
        <f t="shared" si="792"/>
        <v>405</v>
      </c>
      <c r="BJ685" s="158">
        <f t="shared" si="792"/>
        <v>943</v>
      </c>
      <c r="BK685" s="158">
        <f t="shared" si="792"/>
        <v>377</v>
      </c>
      <c r="BL685" s="158">
        <f t="shared" si="792"/>
        <v>2860</v>
      </c>
      <c r="BM685" s="158">
        <f t="shared" si="792"/>
        <v>3626</v>
      </c>
      <c r="BN685" s="158">
        <f t="shared" si="792"/>
        <v>6076</v>
      </c>
      <c r="BO685" s="158">
        <f t="shared" si="792"/>
        <v>11617</v>
      </c>
      <c r="BP685" s="158">
        <f t="shared" si="792"/>
        <v>17483</v>
      </c>
      <c r="BQ685" s="158">
        <f t="shared" si="792"/>
        <v>15359</v>
      </c>
      <c r="BR685" s="158">
        <f t="shared" si="792"/>
        <v>20660</v>
      </c>
      <c r="BS685" s="158">
        <f t="shared" si="792"/>
        <v>23028</v>
      </c>
      <c r="BT685" s="158">
        <f t="shared" si="792"/>
        <v>38439</v>
      </c>
      <c r="BU685" s="158">
        <f t="shared" si="792"/>
        <v>18194</v>
      </c>
      <c r="BV685" s="158">
        <f t="shared" si="792"/>
        <v>42789</v>
      </c>
      <c r="BW685" s="846">
        <f t="shared" si="792"/>
        <v>47031</v>
      </c>
      <c r="BX685" s="158">
        <f t="shared" ca="1" si="792"/>
        <v>42654.780051152113</v>
      </c>
      <c r="BY685" s="158">
        <f t="shared" ca="1" si="792"/>
        <v>93533.118243240722</v>
      </c>
      <c r="BZ685" s="158">
        <f t="shared" ca="1" si="792"/>
        <v>114185.22733433486</v>
      </c>
      <c r="CA685" s="158">
        <f t="shared" ca="1" si="792"/>
        <v>121633.34059881135</v>
      </c>
      <c r="CB685" s="158">
        <f t="shared" ca="1" si="792"/>
        <v>140503.31214368457</v>
      </c>
      <c r="CC685" s="37"/>
    </row>
    <row r="686" spans="1:81" x14ac:dyDescent="0.55000000000000004">
      <c r="A686" s="37" t="s">
        <v>623</v>
      </c>
      <c r="B686" s="87"/>
      <c r="C686" s="37">
        <f t="shared" ref="C686:AH686" si="793">C685+C668+C669</f>
        <v>293</v>
      </c>
      <c r="D686" s="37">
        <f t="shared" si="793"/>
        <v>932</v>
      </c>
      <c r="E686" s="37">
        <f t="shared" si="793"/>
        <v>650</v>
      </c>
      <c r="F686" s="37">
        <f t="shared" si="793"/>
        <v>617</v>
      </c>
      <c r="G686" s="37">
        <f t="shared" si="793"/>
        <v>922</v>
      </c>
      <c r="H686" s="37">
        <f t="shared" si="793"/>
        <v>853</v>
      </c>
      <c r="I686" s="37">
        <f t="shared" si="793"/>
        <v>31</v>
      </c>
      <c r="J686" s="37">
        <f t="shared" si="793"/>
        <v>-3155</v>
      </c>
      <c r="K686" s="37">
        <f t="shared" si="793"/>
        <v>941</v>
      </c>
      <c r="L686" s="37">
        <f t="shared" si="793"/>
        <v>1306</v>
      </c>
      <c r="M686" s="37">
        <f t="shared" si="793"/>
        <v>1385</v>
      </c>
      <c r="N686" s="37">
        <f t="shared" si="793"/>
        <v>2131</v>
      </c>
      <c r="O686" s="37">
        <f t="shared" si="793"/>
        <v>2344</v>
      </c>
      <c r="P686" s="37">
        <f t="shared" si="793"/>
        <v>2651</v>
      </c>
      <c r="Q686" s="37">
        <f t="shared" si="793"/>
        <v>2880</v>
      </c>
      <c r="R686" s="37">
        <f t="shared" si="793"/>
        <v>3619</v>
      </c>
      <c r="S686" s="37">
        <f t="shared" si="793"/>
        <v>3787</v>
      </c>
      <c r="T686" s="37">
        <f t="shared" si="793"/>
        <v>3908</v>
      </c>
      <c r="U686" s="37">
        <f t="shared" si="793"/>
        <v>4274</v>
      </c>
      <c r="V686" s="37">
        <f t="shared" si="793"/>
        <v>5392</v>
      </c>
      <c r="W686" s="37">
        <f t="shared" si="793"/>
        <v>4999</v>
      </c>
      <c r="X686" s="37">
        <f t="shared" si="793"/>
        <v>2822</v>
      </c>
      <c r="Y686" s="37">
        <f t="shared" si="793"/>
        <v>4084</v>
      </c>
      <c r="Z686" s="37">
        <f t="shared" si="793"/>
        <v>3317</v>
      </c>
      <c r="AA686" s="37">
        <f t="shared" si="793"/>
        <v>5346</v>
      </c>
      <c r="AB686" s="37">
        <f t="shared" si="793"/>
        <v>4841</v>
      </c>
      <c r="AC686" s="37">
        <f t="shared" si="793"/>
        <v>5631</v>
      </c>
      <c r="AD686" s="37">
        <f t="shared" si="793"/>
        <v>4334</v>
      </c>
      <c r="AE686" s="37">
        <f t="shared" si="793"/>
        <v>7310</v>
      </c>
      <c r="AF686" s="37">
        <f t="shared" si="793"/>
        <v>174</v>
      </c>
      <c r="AG686" s="37">
        <f t="shared" si="793"/>
        <v>5939</v>
      </c>
      <c r="AH686" s="37">
        <f t="shared" si="793"/>
        <v>9217</v>
      </c>
      <c r="AI686" s="37">
        <f t="shared" ref="AI686:BF686" si="794">AI685+AI668+AI669</f>
        <v>7819</v>
      </c>
      <c r="AJ686" s="37">
        <f t="shared" si="794"/>
        <v>8253</v>
      </c>
      <c r="AK686" s="37">
        <f t="shared" si="794"/>
        <v>9474</v>
      </c>
      <c r="AL686" s="37">
        <f t="shared" si="794"/>
        <v>12042</v>
      </c>
      <c r="AM686" s="37">
        <f t="shared" si="794"/>
        <v>7675</v>
      </c>
      <c r="AN686" s="37">
        <f t="shared" si="794"/>
        <v>4086</v>
      </c>
      <c r="AO686" s="37">
        <f t="shared" si="794"/>
        <v>140</v>
      </c>
      <c r="AP686" s="37">
        <f t="shared" si="794"/>
        <v>5226</v>
      </c>
      <c r="AQ686" s="37">
        <f t="shared" si="794"/>
        <v>6467</v>
      </c>
      <c r="AR686" s="37">
        <f t="shared" si="794"/>
        <v>10872</v>
      </c>
      <c r="AS686" s="37">
        <f t="shared" si="794"/>
        <v>13601</v>
      </c>
      <c r="AT686" s="37">
        <f t="shared" si="794"/>
        <v>11441</v>
      </c>
      <c r="AU686" s="37">
        <f t="shared" si="794"/>
        <v>11186</v>
      </c>
      <c r="AV686" s="37">
        <f t="shared" si="794"/>
        <v>9575</v>
      </c>
      <c r="AW686" s="37">
        <f t="shared" si="794"/>
        <v>14127</v>
      </c>
      <c r="AX686" s="37">
        <f t="shared" si="794"/>
        <v>11873</v>
      </c>
      <c r="AY686" s="273">
        <f t="shared" si="794"/>
        <v>8915</v>
      </c>
      <c r="AZ686" s="37">
        <f t="shared" ca="1" si="794"/>
        <v>8393.8932647608181</v>
      </c>
      <c r="BA686" s="37">
        <f t="shared" ca="1" si="794"/>
        <v>12821.946567639188</v>
      </c>
      <c r="BB686" s="37">
        <f t="shared" ca="1" si="794"/>
        <v>12433.940218752099</v>
      </c>
      <c r="BC686" s="37">
        <f t="shared" ca="1" si="794"/>
        <v>25302.470211991429</v>
      </c>
      <c r="BD686" s="37">
        <f t="shared" ca="1" si="794"/>
        <v>20229.05325311526</v>
      </c>
      <c r="BE686" s="37">
        <f t="shared" ca="1" si="794"/>
        <v>24570.324027654766</v>
      </c>
      <c r="BF686" s="37">
        <f t="shared" ca="1" si="794"/>
        <v>23431.270750479267</v>
      </c>
      <c r="BG686" s="37"/>
      <c r="BH686" s="158">
        <f t="shared" ref="BH686:CB686" si="795">BH685+BH668+BH669</f>
        <v>125</v>
      </c>
      <c r="BI686" s="158">
        <f t="shared" si="795"/>
        <v>383</v>
      </c>
      <c r="BJ686" s="158">
        <f t="shared" si="795"/>
        <v>919</v>
      </c>
      <c r="BK686" s="158">
        <f t="shared" si="795"/>
        <v>-534</v>
      </c>
      <c r="BL686" s="158">
        <f t="shared" si="795"/>
        <v>2492</v>
      </c>
      <c r="BM686" s="158">
        <f t="shared" si="795"/>
        <v>-1349</v>
      </c>
      <c r="BN686" s="158">
        <f t="shared" si="795"/>
        <v>5763</v>
      </c>
      <c r="BO686" s="158">
        <f t="shared" si="795"/>
        <v>11494</v>
      </c>
      <c r="BP686" s="158">
        <f t="shared" si="795"/>
        <v>17361</v>
      </c>
      <c r="BQ686" s="158">
        <f t="shared" si="795"/>
        <v>15222</v>
      </c>
      <c r="BR686" s="158">
        <f t="shared" si="795"/>
        <v>20152</v>
      </c>
      <c r="BS686" s="158">
        <f t="shared" si="795"/>
        <v>22640</v>
      </c>
      <c r="BT686" s="158">
        <f t="shared" si="795"/>
        <v>37588</v>
      </c>
      <c r="BU686" s="158">
        <f t="shared" si="795"/>
        <v>17127</v>
      </c>
      <c r="BV686" s="158">
        <f t="shared" si="795"/>
        <v>42381</v>
      </c>
      <c r="BW686" s="846">
        <f t="shared" si="795"/>
        <v>46761</v>
      </c>
      <c r="BX686" s="158">
        <f t="shared" ca="1" si="795"/>
        <v>42564.780051152113</v>
      </c>
      <c r="BY686" s="158">
        <f t="shared" ca="1" si="795"/>
        <v>93533.118243240722</v>
      </c>
      <c r="BZ686" s="158">
        <f t="shared" ca="1" si="795"/>
        <v>114185.22733433486</v>
      </c>
      <c r="CA686" s="158">
        <f t="shared" ca="1" si="795"/>
        <v>121633.34059881135</v>
      </c>
      <c r="CB686" s="158">
        <f t="shared" ca="1" si="795"/>
        <v>140503.31214368457</v>
      </c>
      <c r="CC686" s="37"/>
    </row>
    <row r="687" spans="1:81" x14ac:dyDescent="0.55000000000000004">
      <c r="A687" s="35" t="s">
        <v>624</v>
      </c>
      <c r="B687" s="193"/>
      <c r="C687" s="35">
        <f t="shared" ref="C687:AH687" si="796">C686+C673+C674</f>
        <v>301</v>
      </c>
      <c r="D687" s="35">
        <f t="shared" si="796"/>
        <v>934</v>
      </c>
      <c r="E687" s="35">
        <f t="shared" si="796"/>
        <v>-840</v>
      </c>
      <c r="F687" s="35">
        <f t="shared" si="796"/>
        <v>2101</v>
      </c>
      <c r="G687" s="35">
        <f t="shared" si="796"/>
        <v>923</v>
      </c>
      <c r="H687" s="35">
        <f t="shared" si="796"/>
        <v>854</v>
      </c>
      <c r="I687" s="35">
        <f t="shared" si="796"/>
        <v>36</v>
      </c>
      <c r="J687" s="35">
        <f t="shared" si="796"/>
        <v>-3144</v>
      </c>
      <c r="K687" s="35">
        <f t="shared" si="796"/>
        <v>941</v>
      </c>
      <c r="L687" s="35">
        <f t="shared" si="796"/>
        <v>1306</v>
      </c>
      <c r="M687" s="35">
        <f t="shared" si="796"/>
        <v>1385</v>
      </c>
      <c r="N687" s="35">
        <f t="shared" si="796"/>
        <v>2131</v>
      </c>
      <c r="O687" s="35">
        <f t="shared" si="796"/>
        <v>2344</v>
      </c>
      <c r="P687" s="35">
        <f t="shared" si="796"/>
        <v>2651</v>
      </c>
      <c r="Q687" s="35">
        <f t="shared" si="796"/>
        <v>2880</v>
      </c>
      <c r="R687" s="35">
        <f t="shared" si="796"/>
        <v>3619</v>
      </c>
      <c r="S687" s="35">
        <f t="shared" si="796"/>
        <v>3559</v>
      </c>
      <c r="T687" s="35">
        <f t="shared" si="796"/>
        <v>3758</v>
      </c>
      <c r="U687" s="35">
        <f t="shared" si="796"/>
        <v>3634</v>
      </c>
      <c r="V687" s="35">
        <f t="shared" si="796"/>
        <v>4434</v>
      </c>
      <c r="W687" s="35">
        <f t="shared" si="796"/>
        <v>3225</v>
      </c>
      <c r="X687" s="35">
        <f t="shared" si="796"/>
        <v>-527</v>
      </c>
      <c r="Y687" s="35">
        <f t="shared" si="796"/>
        <v>-172</v>
      </c>
      <c r="Z687" s="35">
        <f t="shared" si="796"/>
        <v>-183</v>
      </c>
      <c r="AA687" s="35">
        <f t="shared" si="796"/>
        <v>4733</v>
      </c>
      <c r="AB687" s="35">
        <f t="shared" si="796"/>
        <v>3696</v>
      </c>
      <c r="AC687" s="35">
        <f t="shared" si="796"/>
        <v>4483</v>
      </c>
      <c r="AD687" s="35">
        <f t="shared" si="796"/>
        <v>3038</v>
      </c>
      <c r="AE687" s="35">
        <f t="shared" si="796"/>
        <v>6060</v>
      </c>
      <c r="AF687" s="35">
        <f t="shared" si="796"/>
        <v>-1194</v>
      </c>
      <c r="AG687" s="35">
        <f t="shared" si="796"/>
        <v>4214</v>
      </c>
      <c r="AH687" s="35">
        <f t="shared" si="796"/>
        <v>7288</v>
      </c>
      <c r="AI687" s="35">
        <f t="shared" ref="AI687:BF687" si="797">AI686+AI673+AI674</f>
        <v>3880</v>
      </c>
      <c r="AJ687" s="35">
        <f t="shared" si="797"/>
        <v>1174</v>
      </c>
      <c r="AK687" s="35">
        <f t="shared" si="797"/>
        <v>-3984</v>
      </c>
      <c r="AL687" s="35">
        <f t="shared" si="797"/>
        <v>-8019</v>
      </c>
      <c r="AM687" s="35">
        <f t="shared" si="797"/>
        <v>-1831</v>
      </c>
      <c r="AN687" s="35">
        <f t="shared" si="797"/>
        <v>-1147</v>
      </c>
      <c r="AO687" s="35">
        <f t="shared" si="797"/>
        <v>3707</v>
      </c>
      <c r="AP687" s="35">
        <f t="shared" si="797"/>
        <v>-1637</v>
      </c>
      <c r="AQ687" s="35">
        <f t="shared" si="797"/>
        <v>-2898</v>
      </c>
      <c r="AR687" s="35">
        <f t="shared" si="797"/>
        <v>18429</v>
      </c>
      <c r="AS687" s="35">
        <f t="shared" si="797"/>
        <v>10032</v>
      </c>
      <c r="AT687" s="35">
        <f t="shared" si="797"/>
        <v>5499</v>
      </c>
      <c r="AU687" s="35">
        <f t="shared" si="797"/>
        <v>-3822</v>
      </c>
      <c r="AV687" s="35">
        <f t="shared" si="797"/>
        <v>3276</v>
      </c>
      <c r="AW687" s="35">
        <f t="shared" si="797"/>
        <v>15741</v>
      </c>
      <c r="AX687" s="35">
        <f t="shared" si="797"/>
        <v>11873</v>
      </c>
      <c r="AY687" s="272">
        <f t="shared" si="797"/>
        <v>-3839</v>
      </c>
      <c r="AZ687" s="35">
        <f t="shared" ca="1" si="797"/>
        <v>6393.8932647608181</v>
      </c>
      <c r="BA687" s="35">
        <f t="shared" ca="1" si="797"/>
        <v>10821.946567639188</v>
      </c>
      <c r="BB687" s="35">
        <f t="shared" ca="1" si="797"/>
        <v>10433.940218752099</v>
      </c>
      <c r="BC687" s="35">
        <f t="shared" ca="1" si="797"/>
        <v>25302.470211991429</v>
      </c>
      <c r="BD687" s="35">
        <f t="shared" ca="1" si="797"/>
        <v>20229.05325311526</v>
      </c>
      <c r="BE687" s="35">
        <f t="shared" ca="1" si="797"/>
        <v>24570.324027654766</v>
      </c>
      <c r="BF687" s="35">
        <f t="shared" ca="1" si="797"/>
        <v>23431.270750479267</v>
      </c>
      <c r="BG687" s="35"/>
      <c r="BH687" s="812">
        <f t="shared" ref="BH687:CB687" si="798">BH686+BH673+BH674</f>
        <v>134</v>
      </c>
      <c r="BI687" s="812">
        <f t="shared" si="798"/>
        <v>1139</v>
      </c>
      <c r="BJ687" s="812">
        <f t="shared" si="798"/>
        <v>1695</v>
      </c>
      <c r="BK687" s="812">
        <f t="shared" si="798"/>
        <v>7739</v>
      </c>
      <c r="BL687" s="812">
        <f t="shared" si="798"/>
        <v>2496</v>
      </c>
      <c r="BM687" s="812">
        <f t="shared" si="798"/>
        <v>-1331</v>
      </c>
      <c r="BN687" s="812">
        <f t="shared" si="798"/>
        <v>5763</v>
      </c>
      <c r="BO687" s="812">
        <f t="shared" si="798"/>
        <v>11494</v>
      </c>
      <c r="BP687" s="812">
        <f t="shared" si="798"/>
        <v>15385</v>
      </c>
      <c r="BQ687" s="812">
        <f t="shared" si="798"/>
        <v>2343</v>
      </c>
      <c r="BR687" s="812">
        <f t="shared" si="798"/>
        <v>15950</v>
      </c>
      <c r="BS687" s="812">
        <f t="shared" si="798"/>
        <v>16368</v>
      </c>
      <c r="BT687" s="812">
        <f t="shared" si="798"/>
        <v>-6949</v>
      </c>
      <c r="BU687" s="812">
        <f t="shared" si="798"/>
        <v>-908</v>
      </c>
      <c r="BV687" s="812">
        <f t="shared" si="798"/>
        <v>31062</v>
      </c>
      <c r="BW687" s="814">
        <f t="shared" si="798"/>
        <v>27068</v>
      </c>
      <c r="BX687" s="812">
        <f t="shared" ca="1" si="798"/>
        <v>23810.780051152113</v>
      </c>
      <c r="BY687" s="812">
        <f t="shared" ca="1" si="798"/>
        <v>93533.118243240722</v>
      </c>
      <c r="BZ687" s="812">
        <f t="shared" ca="1" si="798"/>
        <v>104185.22733433486</v>
      </c>
      <c r="CA687" s="812">
        <f t="shared" ca="1" si="798"/>
        <v>111633.34059881135</v>
      </c>
      <c r="CB687" s="812">
        <f t="shared" ca="1" si="798"/>
        <v>130503.31214368457</v>
      </c>
      <c r="CC687" s="37"/>
    </row>
    <row r="688" spans="1:81" x14ac:dyDescent="0.55000000000000004">
      <c r="A688" s="600"/>
      <c r="B688" s="241"/>
      <c r="C688" s="600"/>
      <c r="D688" s="600"/>
      <c r="E688" s="600"/>
      <c r="F688" s="600"/>
      <c r="G688" s="600"/>
      <c r="H688" s="600"/>
      <c r="I688" s="600"/>
      <c r="J688" s="600"/>
      <c r="K688" s="600"/>
      <c r="L688" s="600"/>
      <c r="M688" s="600"/>
      <c r="N688" s="600"/>
      <c r="O688" s="600"/>
      <c r="P688" s="600"/>
      <c r="Q688" s="600"/>
      <c r="R688" s="600"/>
      <c r="S688" s="600"/>
      <c r="T688" s="600"/>
      <c r="U688" s="600"/>
      <c r="V688" s="600"/>
      <c r="W688" s="600"/>
      <c r="X688" s="600"/>
      <c r="Y688" s="600"/>
      <c r="Z688" s="600"/>
      <c r="AA688" s="600"/>
      <c r="AB688" s="600"/>
      <c r="AC688" s="600"/>
      <c r="AD688" s="600"/>
      <c r="AE688" s="600"/>
      <c r="AF688" s="600"/>
      <c r="AG688" s="600"/>
      <c r="AH688" s="600"/>
      <c r="AI688" s="600"/>
      <c r="AJ688" s="600"/>
      <c r="AK688" s="600"/>
      <c r="AL688" s="600"/>
      <c r="AM688" s="600"/>
      <c r="AN688" s="600"/>
      <c r="AO688" s="600"/>
      <c r="AP688" s="600"/>
      <c r="AQ688" s="600"/>
      <c r="AR688" s="600"/>
      <c r="AS688" s="600"/>
      <c r="AT688" s="600"/>
      <c r="AU688" s="600"/>
      <c r="AV688" s="600"/>
      <c r="AW688" s="600"/>
      <c r="AX688" s="600"/>
      <c r="AY688" s="604"/>
      <c r="AZ688" s="600"/>
      <c r="BA688" s="600"/>
      <c r="BB688" s="600"/>
      <c r="BC688" s="600"/>
      <c r="BD688" s="600"/>
      <c r="BE688" s="600"/>
      <c r="BF688" s="600"/>
      <c r="BG688" s="600"/>
      <c r="BH688" s="186"/>
      <c r="BI688" s="186"/>
      <c r="BJ688" s="186"/>
      <c r="BK688" s="186"/>
      <c r="BL688" s="186"/>
      <c r="BM688" s="186"/>
      <c r="BN688" s="186"/>
      <c r="BO688" s="186"/>
      <c r="BP688" s="186"/>
      <c r="BQ688" s="186"/>
      <c r="BR688" s="186"/>
      <c r="BS688" s="186"/>
      <c r="BT688" s="186"/>
      <c r="BU688" s="186"/>
      <c r="BV688" s="186"/>
      <c r="BW688" s="909"/>
      <c r="BX688" s="186"/>
      <c r="BY688" s="186"/>
      <c r="BZ688" s="186"/>
      <c r="CA688" s="186"/>
      <c r="CB688" s="186"/>
      <c r="CC688" s="358"/>
    </row>
    <row r="689" spans="1:81" x14ac:dyDescent="0.55000000000000004">
      <c r="A689" s="598" t="s">
        <v>113</v>
      </c>
      <c r="B689" s="598"/>
      <c r="C689" s="598"/>
      <c r="D689" s="598"/>
      <c r="E689" s="598"/>
      <c r="F689" s="598"/>
      <c r="G689" s="598"/>
      <c r="H689" s="598"/>
      <c r="I689" s="598"/>
      <c r="J689" s="598"/>
      <c r="K689" s="598"/>
      <c r="L689" s="598"/>
      <c r="M689" s="598"/>
      <c r="N689" s="598"/>
      <c r="O689" s="598"/>
      <c r="P689" s="598"/>
      <c r="Q689" s="598"/>
      <c r="R689" s="598"/>
      <c r="S689" s="598"/>
      <c r="T689" s="598"/>
      <c r="U689" s="598"/>
      <c r="V689" s="598"/>
      <c r="W689" s="598"/>
      <c r="X689" s="598"/>
      <c r="Y689" s="598"/>
      <c r="Z689" s="598"/>
      <c r="AA689" s="598"/>
      <c r="AB689" s="598"/>
      <c r="AC689" s="598"/>
      <c r="AD689" s="598"/>
      <c r="AE689" s="598"/>
      <c r="AF689" s="598"/>
      <c r="AG689" s="598"/>
      <c r="AH689" s="598"/>
      <c r="AI689" s="598"/>
      <c r="AJ689" s="598"/>
      <c r="AK689" s="598"/>
      <c r="AL689" s="598"/>
      <c r="AM689" s="598"/>
      <c r="AN689" s="598"/>
      <c r="AO689" s="598"/>
      <c r="AP689" s="598"/>
      <c r="AQ689" s="598"/>
      <c r="AR689" s="598"/>
      <c r="AS689" s="598"/>
      <c r="AT689" s="598"/>
      <c r="AU689" s="598"/>
      <c r="AV689" s="598"/>
      <c r="AW689" s="598"/>
      <c r="AX689" s="598"/>
      <c r="AY689" s="599"/>
      <c r="AZ689" s="598"/>
      <c r="BA689" s="598"/>
      <c r="BB689" s="598"/>
      <c r="BC689" s="598"/>
      <c r="BD689" s="598"/>
      <c r="BE689" s="598"/>
      <c r="BF689" s="598"/>
      <c r="BG689" s="598"/>
      <c r="BH689" s="598"/>
      <c r="BI689" s="598"/>
      <c r="BJ689" s="598"/>
      <c r="BK689" s="598"/>
      <c r="BL689" s="598"/>
      <c r="BM689" s="598"/>
      <c r="BN689" s="598"/>
      <c r="BO689" s="598"/>
      <c r="BP689" s="598"/>
      <c r="BQ689" s="598"/>
      <c r="BR689" s="598"/>
      <c r="BS689" s="598"/>
      <c r="BT689" s="598"/>
      <c r="BU689" s="598"/>
      <c r="BV689" s="598"/>
      <c r="BW689" s="599"/>
      <c r="BX689" s="598"/>
      <c r="BY689" s="598"/>
      <c r="BZ689" s="598"/>
      <c r="CA689" s="598"/>
      <c r="CB689" s="598"/>
      <c r="CC689" s="217"/>
    </row>
    <row r="690" spans="1:81" x14ac:dyDescent="0.55000000000000004">
      <c r="A690" s="117" t="s">
        <v>114</v>
      </c>
      <c r="B690" s="87"/>
      <c r="C690" s="117">
        <f t="shared" ref="C690:AH690" si="799">C903+C904+C907+C917</f>
        <v>9472</v>
      </c>
      <c r="D690" s="117">
        <f t="shared" si="799"/>
        <v>10252</v>
      </c>
      <c r="E690" s="117">
        <f t="shared" si="799"/>
        <v>9328</v>
      </c>
      <c r="F690" s="117">
        <f t="shared" si="799"/>
        <v>11449</v>
      </c>
      <c r="G690" s="117">
        <f t="shared" si="799"/>
        <v>12629</v>
      </c>
      <c r="H690" s="117">
        <f t="shared" si="799"/>
        <v>13956</v>
      </c>
      <c r="I690" s="117">
        <f t="shared" si="799"/>
        <v>14250</v>
      </c>
      <c r="J690" s="117">
        <f t="shared" si="799"/>
        <v>11199</v>
      </c>
      <c r="K690" s="117">
        <f t="shared" si="799"/>
        <v>12413</v>
      </c>
      <c r="L690" s="117">
        <f t="shared" si="799"/>
        <v>14125</v>
      </c>
      <c r="M690" s="117">
        <f t="shared" si="799"/>
        <v>15834</v>
      </c>
      <c r="N690" s="117">
        <f t="shared" si="799"/>
        <v>18434</v>
      </c>
      <c r="O690" s="117">
        <f t="shared" si="799"/>
        <v>20621</v>
      </c>
      <c r="P690" s="117">
        <f t="shared" si="799"/>
        <v>23293</v>
      </c>
      <c r="Q690" s="117">
        <f t="shared" si="799"/>
        <v>26140</v>
      </c>
      <c r="R690" s="37">
        <f t="shared" si="799"/>
        <v>29449</v>
      </c>
      <c r="S690" s="117">
        <f t="shared" si="799"/>
        <v>32306</v>
      </c>
      <c r="T690" s="117">
        <f t="shared" si="799"/>
        <v>35452</v>
      </c>
      <c r="U690" s="117">
        <f t="shared" si="799"/>
        <v>38289</v>
      </c>
      <c r="V690" s="37">
        <f t="shared" si="799"/>
        <v>41711</v>
      </c>
      <c r="W690" s="117">
        <f t="shared" si="799"/>
        <v>44084</v>
      </c>
      <c r="X690" s="117">
        <f t="shared" si="799"/>
        <v>42425</v>
      </c>
      <c r="Y690" s="117">
        <f t="shared" si="799"/>
        <v>41313</v>
      </c>
      <c r="Z690" s="37">
        <f t="shared" si="799"/>
        <v>41219</v>
      </c>
      <c r="AA690" s="117">
        <f t="shared" si="799"/>
        <v>45364</v>
      </c>
      <c r="AB690" s="117">
        <f t="shared" si="799"/>
        <v>48717</v>
      </c>
      <c r="AC690" s="117">
        <f t="shared" si="799"/>
        <v>52370</v>
      </c>
      <c r="AD690" s="37">
        <f t="shared" si="799"/>
        <v>55055</v>
      </c>
      <c r="AE690" s="117">
        <f t="shared" si="799"/>
        <v>60598</v>
      </c>
      <c r="AF690" s="117">
        <f t="shared" si="799"/>
        <v>58764</v>
      </c>
      <c r="AG690" s="117">
        <f t="shared" si="799"/>
        <v>55982</v>
      </c>
      <c r="AH690" s="37">
        <f t="shared" si="799"/>
        <v>62332</v>
      </c>
      <c r="AI690" s="117">
        <f t="shared" ref="AI690:BF690" si="800">AI903+AI904+AI907+AI917</f>
        <v>64597</v>
      </c>
      <c r="AJ690" s="117">
        <f t="shared" si="800"/>
        <v>64405</v>
      </c>
      <c r="AK690" s="117">
        <f t="shared" si="800"/>
        <v>58383</v>
      </c>
      <c r="AL690" s="37">
        <f t="shared" si="800"/>
        <v>48262</v>
      </c>
      <c r="AM690" s="117">
        <f t="shared" si="800"/>
        <v>44357</v>
      </c>
      <c r="AN690" s="117">
        <f t="shared" si="800"/>
        <v>41286</v>
      </c>
      <c r="AO690" s="117">
        <f t="shared" si="800"/>
        <v>42719</v>
      </c>
      <c r="AP690" s="37">
        <f t="shared" si="800"/>
        <v>41653</v>
      </c>
      <c r="AQ690" s="117">
        <f t="shared" si="800"/>
        <v>38308</v>
      </c>
      <c r="AR690" s="117">
        <f t="shared" si="800"/>
        <v>54465</v>
      </c>
      <c r="AS690" s="117">
        <f t="shared" si="800"/>
        <v>62133</v>
      </c>
      <c r="AT690" s="37">
        <f t="shared" si="800"/>
        <v>66368</v>
      </c>
      <c r="AU690" s="117">
        <f t="shared" si="800"/>
        <v>59097</v>
      </c>
      <c r="AV690" s="117">
        <f t="shared" si="800"/>
        <v>59061</v>
      </c>
      <c r="AW690" s="117">
        <f t="shared" si="800"/>
        <v>72175</v>
      </c>
      <c r="AX690" s="37">
        <f t="shared" si="800"/>
        <v>79364</v>
      </c>
      <c r="AY690" s="273">
        <f t="shared" si="800"/>
        <v>71551</v>
      </c>
      <c r="AZ690" s="37">
        <f t="shared" ca="1" si="800"/>
        <v>77944.893264760816</v>
      </c>
      <c r="BA690" s="37">
        <f t="shared" ca="1" si="800"/>
        <v>88766.839832400001</v>
      </c>
      <c r="BB690" s="37">
        <f t="shared" ca="1" si="800"/>
        <v>99200.780051152105</v>
      </c>
      <c r="BC690" s="37">
        <f t="shared" ca="1" si="800"/>
        <v>124503.25026314353</v>
      </c>
      <c r="BD690" s="37">
        <f t="shared" ca="1" si="800"/>
        <v>144732.30351625878</v>
      </c>
      <c r="BE690" s="37">
        <f t="shared" ca="1" si="800"/>
        <v>169302.62754391355</v>
      </c>
      <c r="BF690" s="37">
        <f t="shared" ca="1" si="800"/>
        <v>192733.8982943928</v>
      </c>
      <c r="BG690" s="37"/>
      <c r="BH690" s="876">
        <f t="shared" ref="BH690:CB690" si="801">BH903+BH904+BH907+BH917</f>
        <v>0</v>
      </c>
      <c r="BI690" s="876">
        <f t="shared" si="801"/>
        <v>1785</v>
      </c>
      <c r="BJ690" s="876">
        <f t="shared" si="801"/>
        <v>3908</v>
      </c>
      <c r="BK690" s="876">
        <f t="shared" si="801"/>
        <v>9626</v>
      </c>
      <c r="BL690" s="876">
        <f t="shared" si="801"/>
        <v>11449</v>
      </c>
      <c r="BM690" s="876">
        <f t="shared" si="801"/>
        <v>11199</v>
      </c>
      <c r="BN690" s="876">
        <f t="shared" si="801"/>
        <v>18434</v>
      </c>
      <c r="BO690" s="158">
        <f t="shared" si="801"/>
        <v>29449</v>
      </c>
      <c r="BP690" s="158">
        <f t="shared" si="801"/>
        <v>41711</v>
      </c>
      <c r="BQ690" s="158">
        <f t="shared" si="801"/>
        <v>41219</v>
      </c>
      <c r="BR690" s="158">
        <f t="shared" si="801"/>
        <v>55055</v>
      </c>
      <c r="BS690" s="158">
        <f t="shared" si="801"/>
        <v>62332</v>
      </c>
      <c r="BT690" s="158">
        <f t="shared" si="801"/>
        <v>48262</v>
      </c>
      <c r="BU690" s="158">
        <f t="shared" si="801"/>
        <v>41653</v>
      </c>
      <c r="BV690" s="158">
        <f t="shared" si="801"/>
        <v>66368</v>
      </c>
      <c r="BW690" s="846">
        <f t="shared" si="801"/>
        <v>79364</v>
      </c>
      <c r="BX690" s="158">
        <f t="shared" ca="1" si="801"/>
        <v>99200.780051152105</v>
      </c>
      <c r="BY690" s="158">
        <f t="shared" ca="1" si="801"/>
        <v>192733.8982943928</v>
      </c>
      <c r="BZ690" s="158">
        <f t="shared" ca="1" si="801"/>
        <v>296919.12562872766</v>
      </c>
      <c r="CA690" s="158">
        <f t="shared" ca="1" si="801"/>
        <v>408552.466227539</v>
      </c>
      <c r="CB690" s="158">
        <f t="shared" ca="1" si="801"/>
        <v>539055.7783712236</v>
      </c>
      <c r="CC690" s="117"/>
    </row>
    <row r="691" spans="1:81" x14ac:dyDescent="0.55000000000000004">
      <c r="A691" s="116" t="s">
        <v>414</v>
      </c>
      <c r="B691" s="87"/>
      <c r="C691" s="117">
        <f t="shared" ref="C691:AH691" si="802">C934</f>
        <v>338</v>
      </c>
      <c r="D691" s="117">
        <f t="shared" si="802"/>
        <v>316</v>
      </c>
      <c r="E691" s="117">
        <f t="shared" si="802"/>
        <v>288</v>
      </c>
      <c r="F691" s="117">
        <f t="shared" si="802"/>
        <v>239</v>
      </c>
      <c r="G691" s="117">
        <f t="shared" si="802"/>
        <v>201</v>
      </c>
      <c r="H691" s="117">
        <f t="shared" si="802"/>
        <v>173</v>
      </c>
      <c r="I691" s="117">
        <f t="shared" si="802"/>
        <v>149</v>
      </c>
      <c r="J691" s="117">
        <f t="shared" si="802"/>
        <v>114</v>
      </c>
      <c r="K691" s="117">
        <f t="shared" si="802"/>
        <v>73</v>
      </c>
      <c r="L691" s="117">
        <f t="shared" si="802"/>
        <v>39</v>
      </c>
      <c r="M691" s="117">
        <f t="shared" si="802"/>
        <v>17</v>
      </c>
      <c r="N691" s="117">
        <f t="shared" si="802"/>
        <v>7</v>
      </c>
      <c r="O691" s="117">
        <f t="shared" si="802"/>
        <v>0</v>
      </c>
      <c r="P691" s="117">
        <f t="shared" si="802"/>
        <v>0</v>
      </c>
      <c r="Q691" s="117">
        <f t="shared" si="802"/>
        <v>0</v>
      </c>
      <c r="R691" s="37">
        <f t="shared" si="802"/>
        <v>0</v>
      </c>
      <c r="S691" s="117">
        <f t="shared" si="802"/>
        <v>0</v>
      </c>
      <c r="T691" s="117">
        <f t="shared" si="802"/>
        <v>0</v>
      </c>
      <c r="U691" s="117">
        <f t="shared" si="802"/>
        <v>0</v>
      </c>
      <c r="V691" s="37">
        <f t="shared" si="802"/>
        <v>0</v>
      </c>
      <c r="W691" s="117">
        <f t="shared" si="802"/>
        <v>0</v>
      </c>
      <c r="X691" s="117">
        <f t="shared" si="802"/>
        <v>0</v>
      </c>
      <c r="Y691" s="117">
        <f t="shared" si="802"/>
        <v>0</v>
      </c>
      <c r="Z691" s="37">
        <f t="shared" si="802"/>
        <v>0</v>
      </c>
      <c r="AA691" s="117">
        <f t="shared" si="802"/>
        <v>0</v>
      </c>
      <c r="AB691" s="117">
        <f t="shared" si="802"/>
        <v>0</v>
      </c>
      <c r="AC691" s="117">
        <f t="shared" si="802"/>
        <v>0</v>
      </c>
      <c r="AD691" s="37">
        <f t="shared" si="802"/>
        <v>0</v>
      </c>
      <c r="AE691" s="117">
        <f t="shared" si="802"/>
        <v>0</v>
      </c>
      <c r="AF691" s="117">
        <f t="shared" si="802"/>
        <v>0</v>
      </c>
      <c r="AG691" s="117">
        <f t="shared" si="802"/>
        <v>0</v>
      </c>
      <c r="AH691" s="37">
        <f t="shared" si="802"/>
        <v>0</v>
      </c>
      <c r="AI691" s="117">
        <f t="shared" ref="AI691:AY691" si="803">AI934</f>
        <v>0</v>
      </c>
      <c r="AJ691" s="117">
        <f t="shared" si="803"/>
        <v>0</v>
      </c>
      <c r="AK691" s="117">
        <f t="shared" si="803"/>
        <v>0</v>
      </c>
      <c r="AL691" s="37">
        <f t="shared" si="803"/>
        <v>0</v>
      </c>
      <c r="AM691" s="117">
        <f t="shared" si="803"/>
        <v>0</v>
      </c>
      <c r="AN691" s="117">
        <f t="shared" si="803"/>
        <v>0</v>
      </c>
      <c r="AO691" s="117">
        <f t="shared" si="803"/>
        <v>0</v>
      </c>
      <c r="AP691" s="37">
        <f t="shared" si="803"/>
        <v>0</v>
      </c>
      <c r="AQ691" s="117">
        <f t="shared" si="803"/>
        <v>0</v>
      </c>
      <c r="AR691" s="117">
        <f t="shared" si="803"/>
        <v>0</v>
      </c>
      <c r="AS691" s="117">
        <f t="shared" si="803"/>
        <v>0</v>
      </c>
      <c r="AT691" s="37">
        <f t="shared" si="803"/>
        <v>0</v>
      </c>
      <c r="AU691" s="117">
        <f t="shared" si="803"/>
        <v>0</v>
      </c>
      <c r="AV691" s="117">
        <f t="shared" si="803"/>
        <v>0</v>
      </c>
      <c r="AW691" s="117">
        <f t="shared" si="803"/>
        <v>0</v>
      </c>
      <c r="AX691" s="37">
        <f t="shared" si="803"/>
        <v>0</v>
      </c>
      <c r="AY691" s="273">
        <f t="shared" si="803"/>
        <v>0</v>
      </c>
      <c r="AZ691" s="37">
        <f t="shared" ref="AZ691:BF691" si="804">AZ693-AZ692</f>
        <v>0</v>
      </c>
      <c r="BA691" s="37">
        <f t="shared" si="804"/>
        <v>0</v>
      </c>
      <c r="BB691" s="37">
        <f t="shared" si="804"/>
        <v>0</v>
      </c>
      <c r="BC691" s="37">
        <f t="shared" si="804"/>
        <v>0</v>
      </c>
      <c r="BD691" s="37">
        <f t="shared" si="804"/>
        <v>0</v>
      </c>
      <c r="BE691" s="37">
        <f t="shared" si="804"/>
        <v>0</v>
      </c>
      <c r="BF691" s="37">
        <f t="shared" si="804"/>
        <v>0</v>
      </c>
      <c r="BG691" s="37"/>
      <c r="BH691" s="876">
        <f t="shared" ref="BH691:BY691" si="805">BH934</f>
        <v>0</v>
      </c>
      <c r="BI691" s="876">
        <f t="shared" si="805"/>
        <v>106</v>
      </c>
      <c r="BJ691" s="876">
        <f t="shared" si="805"/>
        <v>279</v>
      </c>
      <c r="BK691" s="876">
        <f t="shared" si="805"/>
        <v>365</v>
      </c>
      <c r="BL691" s="876">
        <f t="shared" si="805"/>
        <v>239</v>
      </c>
      <c r="BM691" s="876">
        <f t="shared" si="805"/>
        <v>114</v>
      </c>
      <c r="BN691" s="876">
        <f t="shared" si="805"/>
        <v>7</v>
      </c>
      <c r="BO691" s="158">
        <f t="shared" si="805"/>
        <v>0</v>
      </c>
      <c r="BP691" s="158">
        <f t="shared" si="805"/>
        <v>0</v>
      </c>
      <c r="BQ691" s="158">
        <f t="shared" si="805"/>
        <v>0</v>
      </c>
      <c r="BR691" s="158">
        <f t="shared" si="805"/>
        <v>0</v>
      </c>
      <c r="BS691" s="158">
        <f t="shared" si="805"/>
        <v>0</v>
      </c>
      <c r="BT691" s="158">
        <f t="shared" si="805"/>
        <v>0</v>
      </c>
      <c r="BU691" s="158">
        <f t="shared" si="805"/>
        <v>0</v>
      </c>
      <c r="BV691" s="158">
        <f t="shared" si="805"/>
        <v>0</v>
      </c>
      <c r="BW691" s="846">
        <f t="shared" si="805"/>
        <v>0</v>
      </c>
      <c r="BX691" s="158">
        <f t="shared" si="805"/>
        <v>0</v>
      </c>
      <c r="BY691" s="158">
        <f t="shared" si="805"/>
        <v>0</v>
      </c>
      <c r="BZ691" s="158">
        <f>BZ693-BZ692</f>
        <v>0</v>
      </c>
      <c r="CA691" s="158">
        <f>CA693-CA692</f>
        <v>0</v>
      </c>
      <c r="CB691" s="158">
        <f>CB693-CB692</f>
        <v>0</v>
      </c>
      <c r="CC691" s="117"/>
    </row>
    <row r="692" spans="1:81" x14ac:dyDescent="0.55000000000000004">
      <c r="A692" s="118" t="s">
        <v>415</v>
      </c>
      <c r="B692" s="255"/>
      <c r="C692" s="119">
        <f t="shared" ref="C692:AH692" si="806">C940+C938</f>
        <v>1920</v>
      </c>
      <c r="D692" s="119">
        <f t="shared" si="806"/>
        <v>1851</v>
      </c>
      <c r="E692" s="119">
        <f t="shared" si="806"/>
        <v>287</v>
      </c>
      <c r="F692" s="119">
        <f t="shared" si="806"/>
        <v>237</v>
      </c>
      <c r="G692" s="119">
        <f t="shared" si="806"/>
        <v>191</v>
      </c>
      <c r="H692" s="119">
        <f t="shared" si="806"/>
        <v>153</v>
      </c>
      <c r="I692" s="119">
        <f t="shared" si="806"/>
        <v>129</v>
      </c>
      <c r="J692" s="119">
        <f t="shared" si="806"/>
        <v>119</v>
      </c>
      <c r="K692" s="119">
        <f t="shared" si="806"/>
        <v>113</v>
      </c>
      <c r="L692" s="119">
        <f t="shared" si="806"/>
        <v>110</v>
      </c>
      <c r="M692" s="119">
        <f t="shared" si="806"/>
        <v>109</v>
      </c>
      <c r="N692" s="119">
        <f t="shared" si="806"/>
        <v>107</v>
      </c>
      <c r="O692" s="119">
        <f t="shared" si="806"/>
        <v>0</v>
      </c>
      <c r="P692" s="119">
        <f t="shared" si="806"/>
        <v>0</v>
      </c>
      <c r="Q692" s="119">
        <f t="shared" si="806"/>
        <v>0</v>
      </c>
      <c r="R692" s="202">
        <f t="shared" si="806"/>
        <v>0</v>
      </c>
      <c r="S692" s="119">
        <f t="shared" si="806"/>
        <v>0</v>
      </c>
      <c r="T692" s="119">
        <f t="shared" si="806"/>
        <v>0</v>
      </c>
      <c r="U692" s="119">
        <f t="shared" si="806"/>
        <v>0</v>
      </c>
      <c r="V692" s="202">
        <f t="shared" si="806"/>
        <v>0</v>
      </c>
      <c r="W692" s="119">
        <f t="shared" si="806"/>
        <v>0</v>
      </c>
      <c r="X692" s="119">
        <f t="shared" si="806"/>
        <v>0</v>
      </c>
      <c r="Y692" s="119">
        <f t="shared" si="806"/>
        <v>0</v>
      </c>
      <c r="Z692" s="202">
        <f t="shared" si="806"/>
        <v>0</v>
      </c>
      <c r="AA692" s="119">
        <f t="shared" si="806"/>
        <v>0</v>
      </c>
      <c r="AB692" s="119">
        <f t="shared" si="806"/>
        <v>0</v>
      </c>
      <c r="AC692" s="119">
        <f t="shared" si="806"/>
        <v>0</v>
      </c>
      <c r="AD692" s="202">
        <f t="shared" si="806"/>
        <v>0</v>
      </c>
      <c r="AE692" s="119">
        <f t="shared" si="806"/>
        <v>0</v>
      </c>
      <c r="AF692" s="119">
        <f t="shared" si="806"/>
        <v>0</v>
      </c>
      <c r="AG692" s="119">
        <f t="shared" si="806"/>
        <v>0</v>
      </c>
      <c r="AH692" s="202">
        <f t="shared" si="806"/>
        <v>0</v>
      </c>
      <c r="AI692" s="119">
        <f t="shared" ref="AI692:AY692" si="807">AI940+AI938</f>
        <v>0</v>
      </c>
      <c r="AJ692" s="119">
        <f t="shared" si="807"/>
        <v>0</v>
      </c>
      <c r="AK692" s="119">
        <f t="shared" si="807"/>
        <v>0</v>
      </c>
      <c r="AL692" s="202">
        <f t="shared" si="807"/>
        <v>0</v>
      </c>
      <c r="AM692" s="119">
        <f t="shared" si="807"/>
        <v>0</v>
      </c>
      <c r="AN692" s="119">
        <f t="shared" si="807"/>
        <v>0</v>
      </c>
      <c r="AO692" s="119">
        <f t="shared" si="807"/>
        <v>9922</v>
      </c>
      <c r="AP692" s="202">
        <f t="shared" si="807"/>
        <v>9923</v>
      </c>
      <c r="AQ692" s="119">
        <f t="shared" si="807"/>
        <v>9925</v>
      </c>
      <c r="AR692" s="119">
        <f t="shared" si="807"/>
        <v>18382</v>
      </c>
      <c r="AS692" s="119">
        <f t="shared" si="807"/>
        <v>18383</v>
      </c>
      <c r="AT692" s="202">
        <f t="shared" si="807"/>
        <v>18385</v>
      </c>
      <c r="AU692" s="119">
        <f t="shared" si="807"/>
        <v>18387</v>
      </c>
      <c r="AV692" s="119">
        <f t="shared" si="807"/>
        <v>18389</v>
      </c>
      <c r="AW692" s="119">
        <f t="shared" si="807"/>
        <v>28823</v>
      </c>
      <c r="AX692" s="202">
        <f t="shared" si="807"/>
        <v>28826</v>
      </c>
      <c r="AY692" s="1163">
        <f t="shared" si="807"/>
        <v>28829</v>
      </c>
      <c r="AZ692" s="202">
        <f>MAX(0,AY692+AZ673)</f>
        <v>28829</v>
      </c>
      <c r="BA692" s="202">
        <f>MAX(0,AZ692+BA673)</f>
        <v>28829</v>
      </c>
      <c r="BB692" s="202">
        <f>MAX(0,BA692+BB673)</f>
        <v>28829</v>
      </c>
      <c r="BC692" s="202">
        <f>MAX(0,BX692+BC673)</f>
        <v>28829</v>
      </c>
      <c r="BD692" s="202">
        <f>MAX(0,BC692+BD673)</f>
        <v>28829</v>
      </c>
      <c r="BE692" s="202">
        <f>MAX(0,BD692+BE673)</f>
        <v>28829</v>
      </c>
      <c r="BF692" s="202">
        <f>MAX(0,BE692+BF673)</f>
        <v>28829</v>
      </c>
      <c r="BG692" s="202"/>
      <c r="BH692" s="1010">
        <f t="shared" ref="BH692:BY692" si="808">BH940+BH938</f>
        <v>0</v>
      </c>
      <c r="BI692" s="1010">
        <f t="shared" si="808"/>
        <v>367</v>
      </c>
      <c r="BJ692" s="1010">
        <f t="shared" si="808"/>
        <v>398</v>
      </c>
      <c r="BK692" s="1010">
        <f t="shared" si="808"/>
        <v>1991</v>
      </c>
      <c r="BL692" s="1010">
        <f t="shared" si="808"/>
        <v>237</v>
      </c>
      <c r="BM692" s="1010">
        <f t="shared" si="808"/>
        <v>119</v>
      </c>
      <c r="BN692" s="1010">
        <f t="shared" si="808"/>
        <v>107</v>
      </c>
      <c r="BO692" s="1011">
        <f t="shared" si="808"/>
        <v>0</v>
      </c>
      <c r="BP692" s="1011">
        <f t="shared" si="808"/>
        <v>0</v>
      </c>
      <c r="BQ692" s="1011">
        <f t="shared" si="808"/>
        <v>0</v>
      </c>
      <c r="BR692" s="1011">
        <f t="shared" si="808"/>
        <v>0</v>
      </c>
      <c r="BS692" s="1011">
        <f t="shared" si="808"/>
        <v>0</v>
      </c>
      <c r="BT692" s="1011">
        <f t="shared" si="808"/>
        <v>0</v>
      </c>
      <c r="BU692" s="1011">
        <f t="shared" si="808"/>
        <v>9923</v>
      </c>
      <c r="BV692" s="1011">
        <f t="shared" si="808"/>
        <v>18385</v>
      </c>
      <c r="BW692" s="1012">
        <f t="shared" si="808"/>
        <v>28826</v>
      </c>
      <c r="BX692" s="1011">
        <f t="shared" si="808"/>
        <v>28829</v>
      </c>
      <c r="BY692" s="1011">
        <f t="shared" si="808"/>
        <v>28829</v>
      </c>
      <c r="BZ692" s="1011">
        <f>MAX(0,BY692+BZ673)</f>
        <v>28829</v>
      </c>
      <c r="CA692" s="1011">
        <f>MAX(0,BZ692+CA673)</f>
        <v>28829</v>
      </c>
      <c r="CB692" s="1011">
        <f>MAX(0,CA692+CB673)</f>
        <v>28829</v>
      </c>
      <c r="CC692" s="117"/>
    </row>
    <row r="693" spans="1:81" x14ac:dyDescent="0.55000000000000004">
      <c r="A693" s="117" t="s">
        <v>115</v>
      </c>
      <c r="B693" s="87"/>
      <c r="C693" s="117">
        <f t="shared" ref="C693:Z693" si="809">C940+C938+C934</f>
        <v>2258</v>
      </c>
      <c r="D693" s="117">
        <f t="shared" si="809"/>
        <v>2167</v>
      </c>
      <c r="E693" s="117">
        <f t="shared" si="809"/>
        <v>575</v>
      </c>
      <c r="F693" s="117">
        <f t="shared" si="809"/>
        <v>476</v>
      </c>
      <c r="G693" s="117">
        <f t="shared" si="809"/>
        <v>392</v>
      </c>
      <c r="H693" s="117">
        <f t="shared" si="809"/>
        <v>326</v>
      </c>
      <c r="I693" s="117">
        <f t="shared" si="809"/>
        <v>278</v>
      </c>
      <c r="J693" s="117">
        <f t="shared" si="809"/>
        <v>233</v>
      </c>
      <c r="K693" s="117">
        <f t="shared" si="809"/>
        <v>186</v>
      </c>
      <c r="L693" s="117">
        <f t="shared" si="809"/>
        <v>149</v>
      </c>
      <c r="M693" s="117">
        <f t="shared" si="809"/>
        <v>126</v>
      </c>
      <c r="N693" s="117">
        <f t="shared" si="809"/>
        <v>114</v>
      </c>
      <c r="O693" s="117">
        <f t="shared" si="809"/>
        <v>0</v>
      </c>
      <c r="P693" s="117">
        <f t="shared" si="809"/>
        <v>0</v>
      </c>
      <c r="Q693" s="117">
        <f t="shared" si="809"/>
        <v>0</v>
      </c>
      <c r="R693" s="37">
        <f t="shared" si="809"/>
        <v>0</v>
      </c>
      <c r="S693" s="117">
        <f t="shared" si="809"/>
        <v>0</v>
      </c>
      <c r="T693" s="117">
        <f t="shared" si="809"/>
        <v>0</v>
      </c>
      <c r="U693" s="117">
        <f t="shared" si="809"/>
        <v>0</v>
      </c>
      <c r="V693" s="37">
        <f t="shared" si="809"/>
        <v>0</v>
      </c>
      <c r="W693" s="117">
        <f t="shared" si="809"/>
        <v>0</v>
      </c>
      <c r="X693" s="117">
        <f t="shared" si="809"/>
        <v>0</v>
      </c>
      <c r="Y693" s="117">
        <f t="shared" si="809"/>
        <v>0</v>
      </c>
      <c r="Z693" s="37">
        <f t="shared" si="809"/>
        <v>0</v>
      </c>
      <c r="AA693" s="117">
        <f>AA940+AA934+AA938</f>
        <v>0</v>
      </c>
      <c r="AB693" s="117">
        <f>AB940+AB938+AB934</f>
        <v>0</v>
      </c>
      <c r="AC693" s="117">
        <f>AC940+AC938+AC934</f>
        <v>0</v>
      </c>
      <c r="AD693" s="37">
        <f>AD940+AD938+AD934</f>
        <v>0</v>
      </c>
      <c r="AE693" s="117">
        <f>AE940+AE934+AE938</f>
        <v>0</v>
      </c>
      <c r="AF693" s="117">
        <f>AF940+AF938+AF934</f>
        <v>0</v>
      </c>
      <c r="AG693" s="117">
        <f>AG940+AG938+AG934</f>
        <v>0</v>
      </c>
      <c r="AH693" s="37">
        <f>AH940+AH938+AH934</f>
        <v>0</v>
      </c>
      <c r="AI693" s="117">
        <f>AI940+AI934+AI938</f>
        <v>0</v>
      </c>
      <c r="AJ693" s="117">
        <f>AJ940+AJ938+AJ934</f>
        <v>0</v>
      </c>
      <c r="AK693" s="117">
        <f>AK940+AK938+AK934</f>
        <v>0</v>
      </c>
      <c r="AL693" s="37">
        <f>AL940+AL938+AL934</f>
        <v>0</v>
      </c>
      <c r="AM693" s="117">
        <f>AM940+AM934+AM938</f>
        <v>0</v>
      </c>
      <c r="AN693" s="117">
        <f>AN940+AN938+AN934</f>
        <v>0</v>
      </c>
      <c r="AO693" s="117">
        <f>AO940+AO938+AO934</f>
        <v>9922</v>
      </c>
      <c r="AP693" s="37">
        <f>AP940+AP938+AP934</f>
        <v>9923</v>
      </c>
      <c r="AQ693" s="117">
        <f>AQ940+AQ934+AQ938</f>
        <v>9925</v>
      </c>
      <c r="AR693" s="117">
        <f>AR940+AR938+AR934</f>
        <v>18382</v>
      </c>
      <c r="AS693" s="117">
        <f>AS940+AS938+AS934</f>
        <v>18383</v>
      </c>
      <c r="AT693" s="37">
        <f>AT940+AT938+AT934</f>
        <v>18385</v>
      </c>
      <c r="AU693" s="117">
        <f>AU940+AU934+AU938</f>
        <v>18387</v>
      </c>
      <c r="AV693" s="117">
        <f>AV940+AV938+AV934</f>
        <v>18389</v>
      </c>
      <c r="AW693" s="117">
        <f>AW940+AW938+AW934</f>
        <v>28823</v>
      </c>
      <c r="AX693" s="37">
        <f>AX940+AX938+AX934</f>
        <v>28826</v>
      </c>
      <c r="AY693" s="273">
        <f>AY940+AY934+AY938</f>
        <v>28829</v>
      </c>
      <c r="AZ693" s="37">
        <f>AY693+AZ673</f>
        <v>28829</v>
      </c>
      <c r="BA693" s="37">
        <f>AZ693+BA673</f>
        <v>28829</v>
      </c>
      <c r="BB693" s="37">
        <f>BA693+BB673</f>
        <v>28829</v>
      </c>
      <c r="BC693" s="37">
        <f>BX693+BC673</f>
        <v>28829</v>
      </c>
      <c r="BD693" s="37">
        <f>BC693+BD673</f>
        <v>28829</v>
      </c>
      <c r="BE693" s="37">
        <f>BD693+BE673</f>
        <v>28829</v>
      </c>
      <c r="BF693" s="37">
        <f>BE693+BF673</f>
        <v>28829</v>
      </c>
      <c r="BG693" s="37"/>
      <c r="BH693" s="876">
        <f t="shared" ref="BH693:BY693" si="810">BH940+BH938+BH934</f>
        <v>0</v>
      </c>
      <c r="BI693" s="876">
        <f t="shared" si="810"/>
        <v>473</v>
      </c>
      <c r="BJ693" s="876">
        <f t="shared" si="810"/>
        <v>677</v>
      </c>
      <c r="BK693" s="876">
        <f t="shared" si="810"/>
        <v>2356</v>
      </c>
      <c r="BL693" s="876">
        <f t="shared" si="810"/>
        <v>476</v>
      </c>
      <c r="BM693" s="876">
        <f t="shared" si="810"/>
        <v>233</v>
      </c>
      <c r="BN693" s="876">
        <f t="shared" si="810"/>
        <v>114</v>
      </c>
      <c r="BO693" s="158">
        <f t="shared" si="810"/>
        <v>0</v>
      </c>
      <c r="BP693" s="158">
        <f t="shared" si="810"/>
        <v>0</v>
      </c>
      <c r="BQ693" s="158">
        <f t="shared" si="810"/>
        <v>0</v>
      </c>
      <c r="BR693" s="158">
        <f t="shared" si="810"/>
        <v>0</v>
      </c>
      <c r="BS693" s="158">
        <f t="shared" si="810"/>
        <v>0</v>
      </c>
      <c r="BT693" s="158">
        <f t="shared" si="810"/>
        <v>0</v>
      </c>
      <c r="BU693" s="158">
        <f t="shared" si="810"/>
        <v>9923</v>
      </c>
      <c r="BV693" s="158">
        <f t="shared" si="810"/>
        <v>18385</v>
      </c>
      <c r="BW693" s="846">
        <f t="shared" si="810"/>
        <v>28826</v>
      </c>
      <c r="BX693" s="158">
        <f t="shared" si="810"/>
        <v>28829</v>
      </c>
      <c r="BY693" s="158">
        <f t="shared" si="810"/>
        <v>28829</v>
      </c>
      <c r="BZ693" s="158">
        <f>BY693+BZ673</f>
        <v>28829</v>
      </c>
      <c r="CA693" s="158">
        <f>BZ693+CA673</f>
        <v>28829</v>
      </c>
      <c r="CB693" s="158">
        <f>CA693+CB673</f>
        <v>28829</v>
      </c>
      <c r="CC693" s="117"/>
    </row>
    <row r="694" spans="1:81" x14ac:dyDescent="0.55000000000000004">
      <c r="A694" s="117" t="s">
        <v>384</v>
      </c>
      <c r="B694" s="87"/>
      <c r="C694" s="117">
        <f t="shared" ref="C694:AH694" si="811">C939+C925</f>
        <v>0</v>
      </c>
      <c r="D694" s="117">
        <f t="shared" si="811"/>
        <v>0</v>
      </c>
      <c r="E694" s="117">
        <f t="shared" si="811"/>
        <v>0</v>
      </c>
      <c r="F694" s="117">
        <f t="shared" si="811"/>
        <v>0</v>
      </c>
      <c r="G694" s="117">
        <f t="shared" si="811"/>
        <v>0</v>
      </c>
      <c r="H694" s="117">
        <f t="shared" si="811"/>
        <v>0</v>
      </c>
      <c r="I694" s="117">
        <f t="shared" si="811"/>
        <v>0</v>
      </c>
      <c r="J694" s="117">
        <f t="shared" si="811"/>
        <v>0</v>
      </c>
      <c r="K694" s="117">
        <f t="shared" si="811"/>
        <v>0</v>
      </c>
      <c r="L694" s="117">
        <f t="shared" si="811"/>
        <v>0</v>
      </c>
      <c r="M694" s="117">
        <f t="shared" si="811"/>
        <v>0</v>
      </c>
      <c r="N694" s="117">
        <f t="shared" si="811"/>
        <v>0</v>
      </c>
      <c r="O694" s="117">
        <f t="shared" si="811"/>
        <v>0</v>
      </c>
      <c r="P694" s="117">
        <f t="shared" si="811"/>
        <v>0</v>
      </c>
      <c r="Q694" s="117">
        <f t="shared" si="811"/>
        <v>0</v>
      </c>
      <c r="R694" s="37">
        <f t="shared" si="811"/>
        <v>0</v>
      </c>
      <c r="S694" s="117">
        <f t="shared" si="811"/>
        <v>0</v>
      </c>
      <c r="T694" s="117">
        <f t="shared" si="811"/>
        <v>0</v>
      </c>
      <c r="U694" s="117">
        <f t="shared" si="811"/>
        <v>0</v>
      </c>
      <c r="V694" s="37">
        <f t="shared" si="811"/>
        <v>0</v>
      </c>
      <c r="W694" s="117">
        <f t="shared" si="811"/>
        <v>0</v>
      </c>
      <c r="X694" s="117">
        <f t="shared" si="811"/>
        <v>0</v>
      </c>
      <c r="Y694" s="117">
        <f t="shared" si="811"/>
        <v>0</v>
      </c>
      <c r="Z694" s="37">
        <f t="shared" si="811"/>
        <v>0</v>
      </c>
      <c r="AA694" s="117">
        <f t="shared" si="811"/>
        <v>7210</v>
      </c>
      <c r="AB694" s="117">
        <f t="shared" si="811"/>
        <v>7810</v>
      </c>
      <c r="AC694" s="117">
        <f t="shared" si="811"/>
        <v>9132</v>
      </c>
      <c r="AD694" s="37">
        <f t="shared" si="811"/>
        <v>10324</v>
      </c>
      <c r="AE694" s="117">
        <f t="shared" si="811"/>
        <v>10344</v>
      </c>
      <c r="AF694" s="117">
        <f t="shared" si="811"/>
        <v>10532</v>
      </c>
      <c r="AG694" s="117">
        <f t="shared" si="811"/>
        <v>10616</v>
      </c>
      <c r="AH694" s="37">
        <f t="shared" si="811"/>
        <v>10654</v>
      </c>
      <c r="AI694" s="117">
        <f t="shared" ref="AI694:BF694" si="812">AI939+AI925</f>
        <v>11614</v>
      </c>
      <c r="AJ694" s="117">
        <f t="shared" si="812"/>
        <v>12007</v>
      </c>
      <c r="AK694" s="117">
        <f t="shared" si="812"/>
        <v>12640</v>
      </c>
      <c r="AL694" s="37">
        <f t="shared" si="812"/>
        <v>13873</v>
      </c>
      <c r="AM694" s="117">
        <f t="shared" si="812"/>
        <v>14053</v>
      </c>
      <c r="AN694" s="117">
        <f t="shared" si="812"/>
        <v>16067</v>
      </c>
      <c r="AO694" s="117">
        <f t="shared" si="812"/>
        <v>15978</v>
      </c>
      <c r="AP694" s="37">
        <f t="shared" si="812"/>
        <v>16668</v>
      </c>
      <c r="AQ694" s="117">
        <f t="shared" si="812"/>
        <v>17650</v>
      </c>
      <c r="AR694" s="117">
        <f t="shared" si="812"/>
        <v>17836</v>
      </c>
      <c r="AS694" s="117">
        <f t="shared" si="812"/>
        <v>17834</v>
      </c>
      <c r="AT694" s="37">
        <f t="shared" si="812"/>
        <v>18849</v>
      </c>
      <c r="AU694" s="117">
        <f t="shared" si="812"/>
        <v>19246</v>
      </c>
      <c r="AV694" s="117">
        <f t="shared" si="812"/>
        <v>19602</v>
      </c>
      <c r="AW694" s="117">
        <f t="shared" si="812"/>
        <v>20224</v>
      </c>
      <c r="AX694" s="37">
        <f t="shared" si="812"/>
        <v>20234</v>
      </c>
      <c r="AY694" s="273">
        <f t="shared" si="812"/>
        <v>20690</v>
      </c>
      <c r="AZ694" s="37">
        <f t="shared" si="812"/>
        <v>20690</v>
      </c>
      <c r="BA694" s="37">
        <f t="shared" si="812"/>
        <v>20690</v>
      </c>
      <c r="BB694" s="37">
        <f t="shared" si="812"/>
        <v>20690</v>
      </c>
      <c r="BC694" s="37">
        <f t="shared" si="812"/>
        <v>20690</v>
      </c>
      <c r="BD694" s="37">
        <f t="shared" si="812"/>
        <v>20690</v>
      </c>
      <c r="BE694" s="37">
        <f t="shared" si="812"/>
        <v>20690</v>
      </c>
      <c r="BF694" s="37">
        <f t="shared" si="812"/>
        <v>20690</v>
      </c>
      <c r="BG694" s="37"/>
      <c r="BH694" s="876">
        <f t="shared" ref="BH694:CB694" si="813">BH939+BH925</f>
        <v>0</v>
      </c>
      <c r="BI694" s="876">
        <f t="shared" si="813"/>
        <v>0</v>
      </c>
      <c r="BJ694" s="876">
        <f t="shared" si="813"/>
        <v>0</v>
      </c>
      <c r="BK694" s="876">
        <f t="shared" si="813"/>
        <v>0</v>
      </c>
      <c r="BL694" s="876">
        <f t="shared" si="813"/>
        <v>0</v>
      </c>
      <c r="BM694" s="876">
        <f t="shared" si="813"/>
        <v>0</v>
      </c>
      <c r="BN694" s="876">
        <f t="shared" si="813"/>
        <v>0</v>
      </c>
      <c r="BO694" s="158">
        <f t="shared" si="813"/>
        <v>0</v>
      </c>
      <c r="BP694" s="158">
        <f t="shared" si="813"/>
        <v>0</v>
      </c>
      <c r="BQ694" s="158">
        <f t="shared" si="813"/>
        <v>0</v>
      </c>
      <c r="BR694" s="158">
        <f t="shared" si="813"/>
        <v>10324</v>
      </c>
      <c r="BS694" s="158">
        <f t="shared" si="813"/>
        <v>10654</v>
      </c>
      <c r="BT694" s="158">
        <f t="shared" si="813"/>
        <v>13873</v>
      </c>
      <c r="BU694" s="158">
        <f t="shared" si="813"/>
        <v>16668</v>
      </c>
      <c r="BV694" s="158">
        <f t="shared" si="813"/>
        <v>18849</v>
      </c>
      <c r="BW694" s="846">
        <f t="shared" si="813"/>
        <v>20234</v>
      </c>
      <c r="BX694" s="158">
        <f t="shared" si="813"/>
        <v>20690</v>
      </c>
      <c r="BY694" s="158">
        <f t="shared" si="813"/>
        <v>20690</v>
      </c>
      <c r="BZ694" s="158">
        <f t="shared" si="813"/>
        <v>20690</v>
      </c>
      <c r="CA694" s="158">
        <f t="shared" si="813"/>
        <v>20690</v>
      </c>
      <c r="CB694" s="158">
        <f t="shared" si="813"/>
        <v>20690</v>
      </c>
      <c r="CC694" s="117"/>
    </row>
    <row r="695" spans="1:81" x14ac:dyDescent="0.55000000000000004">
      <c r="A695" s="117" t="s">
        <v>116</v>
      </c>
      <c r="B695" s="87"/>
      <c r="C695" s="117">
        <f t="shared" ref="C695:AH695" si="814">C693+C694-C690</f>
        <v>-7214</v>
      </c>
      <c r="D695" s="117">
        <f t="shared" si="814"/>
        <v>-8085</v>
      </c>
      <c r="E695" s="117">
        <f t="shared" si="814"/>
        <v>-8753</v>
      </c>
      <c r="F695" s="117">
        <f t="shared" si="814"/>
        <v>-10973</v>
      </c>
      <c r="G695" s="117">
        <f t="shared" si="814"/>
        <v>-12237</v>
      </c>
      <c r="H695" s="117">
        <f t="shared" si="814"/>
        <v>-13630</v>
      </c>
      <c r="I695" s="117">
        <f t="shared" si="814"/>
        <v>-13972</v>
      </c>
      <c r="J695" s="117">
        <f t="shared" si="814"/>
        <v>-10966</v>
      </c>
      <c r="K695" s="117">
        <f t="shared" si="814"/>
        <v>-12227</v>
      </c>
      <c r="L695" s="117">
        <f t="shared" si="814"/>
        <v>-13976</v>
      </c>
      <c r="M695" s="117">
        <f t="shared" si="814"/>
        <v>-15708</v>
      </c>
      <c r="N695" s="117">
        <f t="shared" si="814"/>
        <v>-18320</v>
      </c>
      <c r="O695" s="117">
        <f t="shared" si="814"/>
        <v>-20621</v>
      </c>
      <c r="P695" s="117">
        <f t="shared" si="814"/>
        <v>-23293</v>
      </c>
      <c r="Q695" s="117">
        <f t="shared" si="814"/>
        <v>-26140</v>
      </c>
      <c r="R695" s="37">
        <f t="shared" si="814"/>
        <v>-29449</v>
      </c>
      <c r="S695" s="117">
        <f t="shared" si="814"/>
        <v>-32306</v>
      </c>
      <c r="T695" s="117">
        <f t="shared" si="814"/>
        <v>-35452</v>
      </c>
      <c r="U695" s="117">
        <f t="shared" si="814"/>
        <v>-38289</v>
      </c>
      <c r="V695" s="37">
        <f t="shared" si="814"/>
        <v>-41711</v>
      </c>
      <c r="W695" s="117">
        <f t="shared" si="814"/>
        <v>-44084</v>
      </c>
      <c r="X695" s="117">
        <f t="shared" si="814"/>
        <v>-42425</v>
      </c>
      <c r="Y695" s="117">
        <f t="shared" si="814"/>
        <v>-41313</v>
      </c>
      <c r="Z695" s="37">
        <f t="shared" si="814"/>
        <v>-41219</v>
      </c>
      <c r="AA695" s="117">
        <f t="shared" si="814"/>
        <v>-38154</v>
      </c>
      <c r="AB695" s="117">
        <f t="shared" si="814"/>
        <v>-40907</v>
      </c>
      <c r="AC695" s="117">
        <f t="shared" si="814"/>
        <v>-43238</v>
      </c>
      <c r="AD695" s="37">
        <f t="shared" si="814"/>
        <v>-44731</v>
      </c>
      <c r="AE695" s="117">
        <f t="shared" si="814"/>
        <v>-50254</v>
      </c>
      <c r="AF695" s="117">
        <f t="shared" si="814"/>
        <v>-48232</v>
      </c>
      <c r="AG695" s="117">
        <f t="shared" si="814"/>
        <v>-45366</v>
      </c>
      <c r="AH695" s="37">
        <f t="shared" si="814"/>
        <v>-51678</v>
      </c>
      <c r="AI695" s="117">
        <f t="shared" ref="AI695:BF695" si="815">AI693+AI694-AI690</f>
        <v>-52983</v>
      </c>
      <c r="AJ695" s="117">
        <f t="shared" si="815"/>
        <v>-52398</v>
      </c>
      <c r="AK695" s="117">
        <f t="shared" si="815"/>
        <v>-45743</v>
      </c>
      <c r="AL695" s="37">
        <f t="shared" si="815"/>
        <v>-34389</v>
      </c>
      <c r="AM695" s="117">
        <f t="shared" si="815"/>
        <v>-30304</v>
      </c>
      <c r="AN695" s="117">
        <f t="shared" si="815"/>
        <v>-25219</v>
      </c>
      <c r="AO695" s="117">
        <f t="shared" si="815"/>
        <v>-16819</v>
      </c>
      <c r="AP695" s="37">
        <f t="shared" si="815"/>
        <v>-15062</v>
      </c>
      <c r="AQ695" s="117">
        <f t="shared" si="815"/>
        <v>-10733</v>
      </c>
      <c r="AR695" s="117">
        <f t="shared" si="815"/>
        <v>-18247</v>
      </c>
      <c r="AS695" s="117">
        <f t="shared" si="815"/>
        <v>-25916</v>
      </c>
      <c r="AT695" s="37">
        <f t="shared" si="815"/>
        <v>-29134</v>
      </c>
      <c r="AU695" s="117">
        <f t="shared" si="815"/>
        <v>-21464</v>
      </c>
      <c r="AV695" s="117">
        <f t="shared" si="815"/>
        <v>-21070</v>
      </c>
      <c r="AW695" s="117">
        <f t="shared" si="815"/>
        <v>-23128</v>
      </c>
      <c r="AX695" s="37">
        <f t="shared" si="815"/>
        <v>-30304</v>
      </c>
      <c r="AY695" s="273">
        <f t="shared" si="815"/>
        <v>-22032</v>
      </c>
      <c r="AZ695" s="37">
        <f t="shared" ca="1" si="815"/>
        <v>-28425.893264760816</v>
      </c>
      <c r="BA695" s="37">
        <f t="shared" ca="1" si="815"/>
        <v>-39247.839832400001</v>
      </c>
      <c r="BB695" s="37">
        <f t="shared" ca="1" si="815"/>
        <v>-49681.780051152105</v>
      </c>
      <c r="BC695" s="37">
        <f t="shared" ca="1" si="815"/>
        <v>-74984.250263143535</v>
      </c>
      <c r="BD695" s="37">
        <f t="shared" ca="1" si="815"/>
        <v>-95213.303516258777</v>
      </c>
      <c r="BE695" s="37">
        <f t="shared" ca="1" si="815"/>
        <v>-119783.62754391355</v>
      </c>
      <c r="BF695" s="37">
        <f t="shared" ca="1" si="815"/>
        <v>-143214.8982943928</v>
      </c>
      <c r="BG695" s="37"/>
      <c r="BH695" s="876">
        <f t="shared" ref="BH695:CB695" si="816">BH693+BH694-BH690</f>
        <v>0</v>
      </c>
      <c r="BI695" s="876">
        <f t="shared" si="816"/>
        <v>-1312</v>
      </c>
      <c r="BJ695" s="876">
        <f t="shared" si="816"/>
        <v>-3231</v>
      </c>
      <c r="BK695" s="876">
        <f t="shared" si="816"/>
        <v>-7270</v>
      </c>
      <c r="BL695" s="876">
        <f t="shared" si="816"/>
        <v>-10973</v>
      </c>
      <c r="BM695" s="876">
        <f t="shared" si="816"/>
        <v>-10966</v>
      </c>
      <c r="BN695" s="876">
        <f t="shared" si="816"/>
        <v>-18320</v>
      </c>
      <c r="BO695" s="158">
        <f t="shared" si="816"/>
        <v>-29449</v>
      </c>
      <c r="BP695" s="158">
        <f t="shared" si="816"/>
        <v>-41711</v>
      </c>
      <c r="BQ695" s="158">
        <f t="shared" si="816"/>
        <v>-41219</v>
      </c>
      <c r="BR695" s="158">
        <f t="shared" si="816"/>
        <v>-44731</v>
      </c>
      <c r="BS695" s="158">
        <f t="shared" si="816"/>
        <v>-51678</v>
      </c>
      <c r="BT695" s="158">
        <f t="shared" si="816"/>
        <v>-34389</v>
      </c>
      <c r="BU695" s="158">
        <f t="shared" si="816"/>
        <v>-15062</v>
      </c>
      <c r="BV695" s="158">
        <f t="shared" si="816"/>
        <v>-29134</v>
      </c>
      <c r="BW695" s="846">
        <f t="shared" si="816"/>
        <v>-30304</v>
      </c>
      <c r="BX695" s="158">
        <f t="shared" ca="1" si="816"/>
        <v>-49681.780051152105</v>
      </c>
      <c r="BY695" s="158">
        <f t="shared" ca="1" si="816"/>
        <v>-143214.8982943928</v>
      </c>
      <c r="BZ695" s="158">
        <f t="shared" ca="1" si="816"/>
        <v>-247400.12562872766</v>
      </c>
      <c r="CA695" s="158">
        <f t="shared" ca="1" si="816"/>
        <v>-359033.466227539</v>
      </c>
      <c r="CB695" s="158">
        <f t="shared" ca="1" si="816"/>
        <v>-489536.7783712236</v>
      </c>
      <c r="CC695" s="117"/>
    </row>
    <row r="696" spans="1:81" x14ac:dyDescent="0.55000000000000004">
      <c r="A696" s="37"/>
      <c r="B696" s="8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c r="AF696" s="37"/>
      <c r="AG696" s="37"/>
      <c r="AH696" s="37"/>
      <c r="AI696" s="37"/>
      <c r="AJ696" s="37"/>
      <c r="AK696" s="37"/>
      <c r="AL696" s="37"/>
      <c r="AM696" s="37"/>
      <c r="AN696" s="37"/>
      <c r="AO696" s="37"/>
      <c r="AP696" s="37"/>
      <c r="AQ696" s="37"/>
      <c r="AR696" s="37"/>
      <c r="AS696" s="37"/>
      <c r="AT696" s="37"/>
      <c r="AU696" s="37"/>
      <c r="AV696" s="37"/>
      <c r="AW696" s="37"/>
      <c r="AX696" s="37"/>
      <c r="AY696" s="273"/>
      <c r="AZ696" s="37"/>
      <c r="BA696" s="37"/>
      <c r="BB696" s="37"/>
      <c r="BC696" s="37"/>
      <c r="BD696" s="37"/>
      <c r="BE696" s="37"/>
      <c r="BF696" s="37"/>
      <c r="BG696" s="37"/>
      <c r="BH696" s="158"/>
      <c r="BI696" s="158"/>
      <c r="BJ696" s="158"/>
      <c r="BK696" s="158"/>
      <c r="BL696" s="158"/>
      <c r="BM696" s="158"/>
      <c r="BN696" s="158"/>
      <c r="BO696" s="158"/>
      <c r="BP696" s="158"/>
      <c r="BQ696" s="158"/>
      <c r="BR696" s="158"/>
      <c r="BS696" s="158"/>
      <c r="BT696" s="158"/>
      <c r="BU696" s="158"/>
      <c r="BV696" s="158"/>
      <c r="BW696" s="846"/>
      <c r="BX696" s="158"/>
      <c r="BY696" s="158"/>
      <c r="BZ696" s="158"/>
      <c r="CA696" s="158"/>
      <c r="CB696" s="158"/>
      <c r="CC696" s="117"/>
    </row>
    <row r="697" spans="1:81" x14ac:dyDescent="0.55000000000000004">
      <c r="A697" s="117" t="s">
        <v>407</v>
      </c>
      <c r="B697" s="87"/>
      <c r="C697" s="200"/>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200"/>
      <c r="AD697" s="200"/>
      <c r="AE697" s="200"/>
      <c r="AF697" s="200"/>
      <c r="AG697" s="200"/>
      <c r="AH697" s="200"/>
      <c r="AI697" s="200"/>
      <c r="AJ697" s="200"/>
      <c r="AK697" s="200"/>
      <c r="AL697" s="200"/>
      <c r="AM697" s="200">
        <f t="shared" ref="AM697:AY697" si="817">-AM347</f>
        <v>5</v>
      </c>
      <c r="AN697" s="200">
        <f t="shared" si="817"/>
        <v>5</v>
      </c>
      <c r="AO697" s="200">
        <f t="shared" si="817"/>
        <v>65</v>
      </c>
      <c r="AP697" s="200">
        <f t="shared" si="817"/>
        <v>110</v>
      </c>
      <c r="AQ697" s="200">
        <f t="shared" si="817"/>
        <v>55</v>
      </c>
      <c r="AR697" s="200">
        <f t="shared" si="817"/>
        <v>116</v>
      </c>
      <c r="AS697" s="200">
        <f t="shared" si="817"/>
        <v>139</v>
      </c>
      <c r="AT697" s="200">
        <f t="shared" si="817"/>
        <v>136</v>
      </c>
      <c r="AU697" s="200">
        <f t="shared" si="817"/>
        <v>127</v>
      </c>
      <c r="AV697" s="200">
        <f t="shared" si="817"/>
        <v>128</v>
      </c>
      <c r="AW697" s="200">
        <f t="shared" si="817"/>
        <v>208</v>
      </c>
      <c r="AX697" s="200">
        <f t="shared" si="817"/>
        <v>252</v>
      </c>
      <c r="AY697" s="407">
        <f t="shared" si="817"/>
        <v>250</v>
      </c>
      <c r="AZ697" s="200">
        <f>MAX(0,AZ698*AVERAGE(AY693,AZ693)*AZ3/BX3)</f>
        <v>215.62512328767122</v>
      </c>
      <c r="BA697" s="200">
        <f>MAX(0,BA698*AVERAGE(AZ693,BA693)*BA3/BX3)</f>
        <v>217.99463013698627</v>
      </c>
      <c r="BB697" s="200">
        <f>MAX(0,BB698*AVERAGE(BA693,BB693)*BB3/BX3)</f>
        <v>217.99463013698627</v>
      </c>
      <c r="BC697" s="200">
        <f>MAX(0,BC698*AVERAGE(BX693,BC693)*BC3/BY3)</f>
        <v>213.25561643835618</v>
      </c>
      <c r="BD697" s="200">
        <f>MAX(0,BD698*AVERAGE(BC693,BD693)*BD3/BY3)</f>
        <v>215.62512328767122</v>
      </c>
      <c r="BE697" s="200">
        <f>MAX(0,BE698*AVERAGE(BD693,BE693)*BE3/BY3)</f>
        <v>217.99463013698627</v>
      </c>
      <c r="BF697" s="200">
        <f>MAX(0,BF698*AVERAGE(BE693,BF693)*BF3/BY3)</f>
        <v>217.99463013698627</v>
      </c>
      <c r="BG697" s="200"/>
      <c r="BH697" s="841"/>
      <c r="BI697" s="841"/>
      <c r="BJ697" s="841"/>
      <c r="BK697" s="841"/>
      <c r="BL697" s="841"/>
      <c r="BM697" s="841"/>
      <c r="BN697" s="841"/>
      <c r="BO697" s="841"/>
      <c r="BP697" s="841"/>
      <c r="BQ697" s="841"/>
      <c r="BR697" s="841"/>
      <c r="BS697" s="841"/>
      <c r="BT697" s="841"/>
      <c r="BU697" s="841">
        <f>-BU347</f>
        <v>185</v>
      </c>
      <c r="BV697" s="841">
        <f>-BV347</f>
        <v>446</v>
      </c>
      <c r="BW697" s="842">
        <f>-BW347</f>
        <v>715</v>
      </c>
      <c r="BX697" s="841">
        <f>IF(OR(ISBLANK(AY697),ISBLANK(AZ697),ISBLANK(BA697),ISBLANK(BB697)),"n/a",SUM(AY697,AZ697,BA697,BB697))</f>
        <v>901.61438356164376</v>
      </c>
      <c r="BY697" s="841">
        <f>IF(OR(ISBLANK(BC697),ISBLANK(BD697),ISBLANK(BE697),ISBLANK(BF697)),"n/a",SUM(BC697,BD697,BE697,BF697))</f>
        <v>864.87</v>
      </c>
      <c r="BZ697" s="841">
        <f>MAX(0,BZ698*AVERAGE(BY693,BZ693))</f>
        <v>864.87</v>
      </c>
      <c r="CA697" s="841">
        <f>MAX(0,CA698*AVERAGE(BZ693,CA693))</f>
        <v>864.87</v>
      </c>
      <c r="CB697" s="841">
        <f>MAX(0,CB698*AVERAGE(CA693,CB693))</f>
        <v>864.87</v>
      </c>
      <c r="CC697" s="117"/>
    </row>
    <row r="698" spans="1:81" x14ac:dyDescent="0.55000000000000004">
      <c r="A698" s="6" t="s">
        <v>408</v>
      </c>
      <c r="B698" s="193"/>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c r="AF698" s="50"/>
      <c r="AG698" s="50"/>
      <c r="AH698" s="50"/>
      <c r="AI698" s="50"/>
      <c r="AJ698" s="50"/>
      <c r="AK698" s="50"/>
      <c r="AL698" s="50"/>
      <c r="AM698" s="50" t="str">
        <f>IFERROR(AM697/AVERAGE(BT693,AM693)*BU3/AM3,"n/a")</f>
        <v>n/a</v>
      </c>
      <c r="AN698" s="50" t="str">
        <f>IFERROR(AN697/AVERAGE(AM693,AN693)*BU3/AN3,"n/a")</f>
        <v>n/a</v>
      </c>
      <c r="AO698" s="50">
        <f>IFERROR(AO697/AVERAGE(AN693,AO693)*BU3/AO3,"n/a")</f>
        <v>5.198154299185824E-2</v>
      </c>
      <c r="AP698" s="50">
        <f>IFERROR(AP697/AVERAGE(AO693,AP693)*BU3/AP3,"n/a")</f>
        <v>4.3982166135375242E-2</v>
      </c>
      <c r="AQ698" s="50">
        <f>IFERROR(AQ697/AVERAGE(BU693,AQ693)*BV3/AQ3,"n/a")</f>
        <v>2.2476376013256305E-2</v>
      </c>
      <c r="AR698" s="50">
        <f>IFERROR(AR697/AVERAGE(AQ693,AR693)*BV3/AR3,"n/a")</f>
        <v>3.287347477830397E-2</v>
      </c>
      <c r="AS698" s="50">
        <f>IFERROR(AS697/AVERAGE(AR693,AS693)*BV3/AS3,"n/a")</f>
        <v>2.9999586090267798E-2</v>
      </c>
      <c r="AT698" s="50">
        <f>IFERROR(AT697/AVERAGE(AS693,AT693)*BV3/AT3,"n/a")</f>
        <v>2.9349718091345973E-2</v>
      </c>
      <c r="AU698" s="50">
        <f>IFERROR(AU697/AVERAGE(BV693,AU693)*BW3/AU3,"n/a")</f>
        <v>2.778152990270906E-2</v>
      </c>
      <c r="AV698" s="50">
        <f>IFERROR(AV697/AVERAGE(AU693,AV693)*BW3/AV3,"n/a")</f>
        <v>2.7997236611550295E-2</v>
      </c>
      <c r="AW698" s="50">
        <f>IFERROR(AW697/AVERAGE(AV693,AW693)*BW3/AW3,"n/a")</f>
        <v>3.5053726208148998E-2</v>
      </c>
      <c r="AX698" s="50">
        <f>IFERROR(AX697/AVERAGE(AW693,AX693)*AY3/AX3,"n/a")</f>
        <v>8.5525070384719522E-3</v>
      </c>
      <c r="AY698" s="642">
        <f>IFERROR(AY697/AVERAGE(BW693,AY693)*BX3/AY3,"n/a")</f>
        <v>3.5170891991636075E-2</v>
      </c>
      <c r="AZ698" s="792">
        <v>0.03</v>
      </c>
      <c r="BA698" s="792">
        <v>0.03</v>
      </c>
      <c r="BB698" s="792">
        <v>0.03</v>
      </c>
      <c r="BC698" s="792">
        <v>0.03</v>
      </c>
      <c r="BD698" s="792">
        <v>0.03</v>
      </c>
      <c r="BE698" s="792">
        <v>0.03</v>
      </c>
      <c r="BF698" s="792">
        <v>0.03</v>
      </c>
      <c r="BG698" s="792"/>
      <c r="BH698" s="898"/>
      <c r="BI698" s="898"/>
      <c r="BJ698" s="898"/>
      <c r="BK698" s="898"/>
      <c r="BL698" s="898"/>
      <c r="BM698" s="898"/>
      <c r="BN698" s="898"/>
      <c r="BO698" s="898"/>
      <c r="BP698" s="898"/>
      <c r="BQ698" s="898"/>
      <c r="BR698" s="898"/>
      <c r="BS698" s="898"/>
      <c r="BT698" s="898"/>
      <c r="BU698" s="898">
        <f>IFERROR(BU697/AVERAGE(BU693,BT693),"n/a")</f>
        <v>3.7287110752796532E-2</v>
      </c>
      <c r="BV698" s="898">
        <f>IFERROR(BV697/AVERAGE(BV693,BU693),"n/a")</f>
        <v>3.1510527059488487E-2</v>
      </c>
      <c r="BW698" s="901">
        <f>IFERROR(BW697/AVERAGE(AX693,BW693)*AZ3/BW3,"n/a")</f>
        <v>6.1671138570636181E-3</v>
      </c>
      <c r="BX698" s="898">
        <f>IFERROR(BX697/AVERAGE(AY693,AZ693,BA693,BB693),"n/a")</f>
        <v>3.1274563237075295E-2</v>
      </c>
      <c r="BY698" s="898">
        <f>IFERROR(BY697/AVERAGE(BC693,BD693,BE693,BF693),"n/a")</f>
        <v>0.03</v>
      </c>
      <c r="BZ698" s="1013">
        <v>0.03</v>
      </c>
      <c r="CA698" s="1013">
        <v>0.03</v>
      </c>
      <c r="CB698" s="1013">
        <v>0.03</v>
      </c>
      <c r="CC698" s="117"/>
    </row>
    <row r="699" spans="1:81" x14ac:dyDescent="0.55000000000000004">
      <c r="A699" s="37" t="s">
        <v>409</v>
      </c>
      <c r="B699" s="87"/>
      <c r="C699" s="200"/>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200"/>
      <c r="AD699" s="200"/>
      <c r="AE699" s="200"/>
      <c r="AF699" s="200"/>
      <c r="AG699" s="200"/>
      <c r="AH699" s="200"/>
      <c r="AI699" s="200"/>
      <c r="AJ699" s="200"/>
      <c r="AK699" s="200"/>
      <c r="AL699" s="200"/>
      <c r="AM699" s="200">
        <f t="shared" ref="AM699:AY699" si="818">AM346</f>
        <v>81</v>
      </c>
      <c r="AN699" s="200">
        <f t="shared" si="818"/>
        <v>96</v>
      </c>
      <c r="AO699" s="200">
        <f t="shared" si="818"/>
        <v>142</v>
      </c>
      <c r="AP699" s="200">
        <f t="shared" si="818"/>
        <v>142</v>
      </c>
      <c r="AQ699" s="200">
        <f t="shared" si="818"/>
        <v>193</v>
      </c>
      <c r="AR699" s="200">
        <f t="shared" si="818"/>
        <v>323</v>
      </c>
      <c r="AS699" s="200">
        <f t="shared" si="818"/>
        <v>534</v>
      </c>
      <c r="AT699" s="200">
        <f t="shared" si="818"/>
        <v>589</v>
      </c>
      <c r="AU699" s="200">
        <f t="shared" si="818"/>
        <v>585</v>
      </c>
      <c r="AV699" s="200">
        <f t="shared" si="818"/>
        <v>540</v>
      </c>
      <c r="AW699" s="200">
        <f t="shared" si="818"/>
        <v>661</v>
      </c>
      <c r="AX699" s="200">
        <f t="shared" si="818"/>
        <v>731</v>
      </c>
      <c r="AY699" s="407">
        <f t="shared" si="818"/>
        <v>700</v>
      </c>
      <c r="AZ699" s="200">
        <f>MAX(0,AZ700*AY690*AZ3/BX3)</f>
        <v>624.35598630136997</v>
      </c>
      <c r="BA699" s="200">
        <f ca="1">MAX(0,BA700*AZ690*BA3/BX3)</f>
        <v>687.62344195213666</v>
      </c>
      <c r="BB699" s="200">
        <f ca="1">MAX(0,BB700*BA690*BB3/BX3)</f>
        <v>671.22322722581919</v>
      </c>
      <c r="BC699" s="200">
        <f ca="1">MAX(0,BC700*BX690*BC3/BY3)</f>
        <v>856.11632098939492</v>
      </c>
      <c r="BD699" s="200">
        <f ca="1">MAX(0,BD700*BC690*BD3/BY3)</f>
        <v>1086.4187728441429</v>
      </c>
      <c r="BE699" s="200">
        <f ca="1">MAX(0,BE700*BD690*BE3/BY3)</f>
        <v>1276.8164858146665</v>
      </c>
      <c r="BF699" s="200">
        <f ca="1">MAX(0,BF700*BE690*BF3/BY3)</f>
        <v>1280.2061699210997</v>
      </c>
      <c r="BG699" s="200"/>
      <c r="BH699" s="841"/>
      <c r="BI699" s="841"/>
      <c r="BJ699" s="841"/>
      <c r="BK699" s="841"/>
      <c r="BL699" s="841"/>
      <c r="BM699" s="841"/>
      <c r="BN699" s="841"/>
      <c r="BO699" s="841"/>
      <c r="BP699" s="841"/>
      <c r="BQ699" s="841"/>
      <c r="BR699" s="841"/>
      <c r="BS699" s="841"/>
      <c r="BT699" s="841"/>
      <c r="BU699" s="841">
        <f>BU346</f>
        <v>461</v>
      </c>
      <c r="BV699" s="841">
        <f>BV346</f>
        <v>1639</v>
      </c>
      <c r="BW699" s="842">
        <f>BW346</f>
        <v>2517</v>
      </c>
      <c r="BX699" s="841">
        <f ca="1">IF(OR(ISBLANK(AY699),ISBLANK(AZ699),ISBLANK(BA699),ISBLANK(BB699)),"n/a",SUM(AY699,AZ699,BA699,BB699))</f>
        <v>2683.202655479326</v>
      </c>
      <c r="BY699" s="841">
        <f ca="1">IF(OR(ISBLANK(BC699),ISBLANK(BD699),ISBLANK(BE699),ISBLANK(BF699)),"n/a",SUM(BC699,BD699,BE699,BF699))</f>
        <v>4499.5577495693042</v>
      </c>
      <c r="BZ699" s="841">
        <f ca="1">MAX(0,BZ700*BY690)</f>
        <v>5782.0169488317833</v>
      </c>
      <c r="CA699" s="841">
        <f ca="1">MAX(0,CA700*BZ690)</f>
        <v>8907.5737688618301</v>
      </c>
      <c r="CB699" s="841">
        <f ca="1">MAX(0,CB700*CA690)</f>
        <v>12256.57398682617</v>
      </c>
      <c r="CC699" s="117"/>
    </row>
    <row r="700" spans="1:81" x14ac:dyDescent="0.55000000000000004">
      <c r="A700" s="35" t="s">
        <v>410</v>
      </c>
      <c r="B700" s="193"/>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c r="AF700" s="50"/>
      <c r="AG700" s="50"/>
      <c r="AH700" s="50"/>
      <c r="AI700" s="50"/>
      <c r="AJ700" s="50"/>
      <c r="AK700" s="50"/>
      <c r="AL700" s="50"/>
      <c r="AM700" s="50">
        <f>IFERROR(AM699/AVERAGE(BT690,AM690)*BU3/AM3,"n/a")</f>
        <v>7.0935769118647355E-3</v>
      </c>
      <c r="AN700" s="50">
        <f>IFERROR(AN699/AVERAGE(AM690,AN690)*BU3/AN3,"n/a")</f>
        <v>8.9920938093001196E-3</v>
      </c>
      <c r="AO700" s="50">
        <f>IFERROR(AO699/AVERAGE(AN690,AO690)*BU3/AO3,"n/a")</f>
        <v>1.3412762697872537E-2</v>
      </c>
      <c r="AP700" s="50">
        <f>IFERROR(AP699/AVERAGE(AO690,AP690)*BU3/AP3,"n/a")</f>
        <v>1.3354420073422257E-2</v>
      </c>
      <c r="AQ700" s="50">
        <f>IFERROR(AQ699/AVERAGE(BU690,AQ690)*BV3/AQ3,"n/a")</f>
        <v>1.9577599635377804E-2</v>
      </c>
      <c r="AR700" s="50">
        <f>IFERROR(AR699/AVERAGE(AQ690,AR690)*BV3/AR3,"n/a")</f>
        <v>2.7929450390726841E-2</v>
      </c>
      <c r="AS700" s="50">
        <f>IFERROR(AS699/AVERAGE(AR690,AS690)*BV3/AS3,"n/a")</f>
        <v>3.6340022239176296E-2</v>
      </c>
      <c r="AT700" s="50">
        <f>IFERROR(AT699/AVERAGE(AS690,AT690)*BV3/AT3,"n/a")</f>
        <v>3.6370043474539024E-2</v>
      </c>
      <c r="AU700" s="50">
        <f>IFERROR(AU699/AVERAGE(BV690,AU690)*BW3/AU3,"n/a")</f>
        <v>3.7506191254248485E-2</v>
      </c>
      <c r="AV700" s="50">
        <f>IFERROR(AV699/AVERAGE(AU690,AV690)*BW3/AV3,"n/a")</f>
        <v>3.6762100439549271E-2</v>
      </c>
      <c r="AW700" s="50">
        <f>IFERROR(AW699/AVERAGE(AV690,AW690)*BW3/AW3,"n/a")</f>
        <v>4.0074833655134395E-2</v>
      </c>
      <c r="AX700" s="50">
        <f>IFERROR(AX699/AVERAGE(AW690,AX690)*AY3/AX3,"n/a")</f>
        <v>9.437949249396841E-3</v>
      </c>
      <c r="AY700" s="642">
        <f>IFERROR(AY699/AVERAGE(BW690,AY690)*BX3/AY3,"n/a")</f>
        <v>3.7622355483403092E-2</v>
      </c>
      <c r="AZ700" s="792">
        <v>3.5000000000000003E-2</v>
      </c>
      <c r="BA700" s="792">
        <v>3.5000000000000003E-2</v>
      </c>
      <c r="BB700" s="792">
        <v>0.03</v>
      </c>
      <c r="BC700" s="792">
        <v>3.5000000000000003E-2</v>
      </c>
      <c r="BD700" s="792">
        <v>3.5000000000000003E-2</v>
      </c>
      <c r="BE700" s="792">
        <v>3.5000000000000003E-2</v>
      </c>
      <c r="BF700" s="792">
        <v>0.03</v>
      </c>
      <c r="BG700" s="792"/>
      <c r="BH700" s="898"/>
      <c r="BI700" s="898"/>
      <c r="BJ700" s="898"/>
      <c r="BK700" s="898"/>
      <c r="BL700" s="898"/>
      <c r="BM700" s="898"/>
      <c r="BN700" s="898"/>
      <c r="BO700" s="898"/>
      <c r="BP700" s="898"/>
      <c r="BQ700" s="898"/>
      <c r="BR700" s="898"/>
      <c r="BS700" s="898"/>
      <c r="BT700" s="898"/>
      <c r="BU700" s="898">
        <f>IFERROR(BU699/AVERAGE(BU690,BT690),"n/a")</f>
        <v>1.0254128899516209E-2</v>
      </c>
      <c r="BV700" s="898">
        <f>IFERROR(BV699/AVERAGE(BV690,BU690),"n/a")</f>
        <v>3.0345951250219865E-2</v>
      </c>
      <c r="BW700" s="901">
        <f>IFERROR(BW699/AVERAGE(AX690,BW690)*AZ3/BW3,"n/a")</f>
        <v>7.88533183067683E-3</v>
      </c>
      <c r="BX700" s="898">
        <f ca="1">IFERROR(BX699/AVERAGE(AY690,AZ690,BA690,BB690),"n/a")</f>
        <v>3.1804358704700345E-2</v>
      </c>
      <c r="BY700" s="898">
        <f ca="1">IFERROR(BY699/AVERAGE(BC690,BD690,BE690,BF690),"n/a")</f>
        <v>2.85110518576661E-2</v>
      </c>
      <c r="BZ700" s="1013">
        <v>0.03</v>
      </c>
      <c r="CA700" s="1013">
        <v>0.03</v>
      </c>
      <c r="CB700" s="1013">
        <v>0.03</v>
      </c>
      <c r="CC700" s="117"/>
    </row>
    <row r="701" spans="1:81" x14ac:dyDescent="0.55000000000000004">
      <c r="A701" s="37" t="s">
        <v>411</v>
      </c>
      <c r="B701" s="87"/>
      <c r="C701" s="200">
        <f t="shared" ref="C701:AL701" si="819">C399</f>
        <v>10</v>
      </c>
      <c r="D701" s="200">
        <f t="shared" si="819"/>
        <v>9</v>
      </c>
      <c r="E701" s="200">
        <f t="shared" si="819"/>
        <v>16</v>
      </c>
      <c r="F701" s="200">
        <f t="shared" si="819"/>
        <v>2</v>
      </c>
      <c r="G701" s="200">
        <f t="shared" si="819"/>
        <v>0</v>
      </c>
      <c r="H701" s="200">
        <f t="shared" si="819"/>
        <v>0</v>
      </c>
      <c r="I701" s="200">
        <f t="shared" si="819"/>
        <v>-4</v>
      </c>
      <c r="J701" s="200">
        <f t="shared" si="819"/>
        <v>0</v>
      </c>
      <c r="K701" s="200">
        <f t="shared" si="819"/>
        <v>-2</v>
      </c>
      <c r="L701" s="200">
        <f t="shared" si="819"/>
        <v>-5</v>
      </c>
      <c r="M701" s="200">
        <f t="shared" si="819"/>
        <v>-7</v>
      </c>
      <c r="N701" s="200">
        <f t="shared" si="819"/>
        <v>-15</v>
      </c>
      <c r="O701" s="200">
        <f t="shared" si="819"/>
        <v>-27</v>
      </c>
      <c r="P701" s="200">
        <f t="shared" si="819"/>
        <v>-32</v>
      </c>
      <c r="Q701" s="200">
        <f t="shared" si="819"/>
        <v>-50</v>
      </c>
      <c r="R701" s="200">
        <f t="shared" si="819"/>
        <v>-56</v>
      </c>
      <c r="S701" s="200">
        <f t="shared" si="819"/>
        <v>-67</v>
      </c>
      <c r="T701" s="200">
        <f t="shared" si="819"/>
        <v>-91</v>
      </c>
      <c r="U701" s="200">
        <f t="shared" si="819"/>
        <v>-108</v>
      </c>
      <c r="V701" s="200">
        <f t="shared" si="819"/>
        <v>-126</v>
      </c>
      <c r="W701" s="200">
        <f t="shared" si="819"/>
        <v>-145</v>
      </c>
      <c r="X701" s="200">
        <f t="shared" si="819"/>
        <v>-143</v>
      </c>
      <c r="Y701" s="200">
        <f t="shared" si="819"/>
        <v>-176</v>
      </c>
      <c r="Z701" s="200">
        <f t="shared" si="819"/>
        <v>-188</v>
      </c>
      <c r="AA701" s="200">
        <f t="shared" si="819"/>
        <v>-198</v>
      </c>
      <c r="AB701" s="200">
        <f t="shared" si="819"/>
        <v>-219</v>
      </c>
      <c r="AC701" s="200">
        <f t="shared" si="819"/>
        <v>-258</v>
      </c>
      <c r="AD701" s="200">
        <f t="shared" si="819"/>
        <v>-229</v>
      </c>
      <c r="AE701" s="200">
        <f t="shared" si="819"/>
        <v>-228</v>
      </c>
      <c r="AF701" s="200">
        <f t="shared" si="819"/>
        <v>-162</v>
      </c>
      <c r="AG701" s="200">
        <f t="shared" si="819"/>
        <v>-146</v>
      </c>
      <c r="AH701" s="200">
        <f t="shared" si="819"/>
        <v>-136</v>
      </c>
      <c r="AI701" s="200">
        <f t="shared" si="819"/>
        <v>-118</v>
      </c>
      <c r="AJ701" s="200">
        <f t="shared" si="819"/>
        <v>-121</v>
      </c>
      <c r="AK701" s="200">
        <f t="shared" si="819"/>
        <v>-120</v>
      </c>
      <c r="AL701" s="200">
        <f t="shared" si="819"/>
        <v>-102</v>
      </c>
      <c r="AM701" s="200">
        <f t="shared" ref="AM701:AY701" si="820">AM697-AM699</f>
        <v>-76</v>
      </c>
      <c r="AN701" s="200">
        <f t="shared" si="820"/>
        <v>-91</v>
      </c>
      <c r="AO701" s="200">
        <f t="shared" si="820"/>
        <v>-77</v>
      </c>
      <c r="AP701" s="200">
        <f t="shared" si="820"/>
        <v>-32</v>
      </c>
      <c r="AQ701" s="200">
        <f t="shared" si="820"/>
        <v>-138</v>
      </c>
      <c r="AR701" s="200">
        <f t="shared" si="820"/>
        <v>-207</v>
      </c>
      <c r="AS701" s="200">
        <f t="shared" si="820"/>
        <v>-395</v>
      </c>
      <c r="AT701" s="200">
        <f t="shared" si="820"/>
        <v>-453</v>
      </c>
      <c r="AU701" s="200">
        <f t="shared" si="820"/>
        <v>-458</v>
      </c>
      <c r="AV701" s="200">
        <f t="shared" si="820"/>
        <v>-412</v>
      </c>
      <c r="AW701" s="200">
        <f t="shared" si="820"/>
        <v>-453</v>
      </c>
      <c r="AX701" s="200">
        <f t="shared" si="820"/>
        <v>-479</v>
      </c>
      <c r="AY701" s="407">
        <f t="shared" si="820"/>
        <v>-450</v>
      </c>
      <c r="AZ701" s="200">
        <f t="shared" ref="AZ701:BF701" si="821">IFERROR(AZ697-AZ699,"n/a")</f>
        <v>-408.73086301369875</v>
      </c>
      <c r="BA701" s="200">
        <f t="shared" ca="1" si="821"/>
        <v>-469.62881181515036</v>
      </c>
      <c r="BB701" s="200">
        <f t="shared" ca="1" si="821"/>
        <v>-453.22859708883288</v>
      </c>
      <c r="BC701" s="200">
        <f t="shared" ca="1" si="821"/>
        <v>-642.86070455103868</v>
      </c>
      <c r="BD701" s="200">
        <f t="shared" ca="1" si="821"/>
        <v>-870.79364955647179</v>
      </c>
      <c r="BE701" s="200">
        <f t="shared" ca="1" si="821"/>
        <v>-1058.8218556776803</v>
      </c>
      <c r="BF701" s="200">
        <f t="shared" ca="1" si="821"/>
        <v>-1062.2115397841135</v>
      </c>
      <c r="BG701" s="200"/>
      <c r="BH701" s="841">
        <f t="shared" ref="BH701:BT701" si="822">BH399</f>
        <v>10</v>
      </c>
      <c r="BI701" s="841">
        <f t="shared" si="822"/>
        <v>22</v>
      </c>
      <c r="BJ701" s="841">
        <f t="shared" si="822"/>
        <v>42</v>
      </c>
      <c r="BK701" s="841">
        <f t="shared" si="822"/>
        <v>51</v>
      </c>
      <c r="BL701" s="841">
        <f t="shared" si="822"/>
        <v>37</v>
      </c>
      <c r="BM701" s="841">
        <f t="shared" si="822"/>
        <v>-4</v>
      </c>
      <c r="BN701" s="841">
        <f t="shared" si="822"/>
        <v>-29</v>
      </c>
      <c r="BO701" s="841">
        <f t="shared" si="822"/>
        <v>-166</v>
      </c>
      <c r="BP701" s="841">
        <f t="shared" si="822"/>
        <v>-392</v>
      </c>
      <c r="BQ701" s="841">
        <f t="shared" si="822"/>
        <v>-652</v>
      </c>
      <c r="BR701" s="841">
        <f t="shared" si="822"/>
        <v>-904</v>
      </c>
      <c r="BS701" s="841">
        <f t="shared" si="822"/>
        <v>-672</v>
      </c>
      <c r="BT701" s="841">
        <f t="shared" si="822"/>
        <v>-461</v>
      </c>
      <c r="BU701" s="841">
        <f>BU697-BU699</f>
        <v>-276</v>
      </c>
      <c r="BV701" s="841">
        <f>BV697-BV699</f>
        <v>-1193</v>
      </c>
      <c r="BW701" s="842">
        <f>BW697-BW699</f>
        <v>-1802</v>
      </c>
      <c r="BX701" s="841">
        <f ca="1">SUM(AY701,AZ701,BA701,BB701)</f>
        <v>-1781.5882719176821</v>
      </c>
      <c r="BY701" s="841">
        <f ca="1">SUM(BC701,BD701,BE701,BF701)</f>
        <v>-3634.6877495693043</v>
      </c>
      <c r="BZ701" s="841">
        <f ca="1">IFERROR(BZ697-BZ699,"n/a")</f>
        <v>-4917.1469488317834</v>
      </c>
      <c r="CA701" s="841">
        <f ca="1">IFERROR(CA697-CA699,"n/a")</f>
        <v>-8042.7037688618302</v>
      </c>
      <c r="CB701" s="841">
        <f ca="1">IFERROR(CB697-CB699,"n/a")</f>
        <v>-11391.703986826169</v>
      </c>
      <c r="CC701" s="117"/>
    </row>
    <row r="702" spans="1:81" x14ac:dyDescent="0.55000000000000004">
      <c r="A702" s="35" t="s">
        <v>412</v>
      </c>
      <c r="B702" s="193"/>
      <c r="C702" s="50">
        <f>IFERROR(IF(C701/AVERAGE(BK693,C693)&lt;0,"n/a",C701/AVERAGE(BK693,C693)*BL3/C3),"n/a")</f>
        <v>1.7579347878437603E-2</v>
      </c>
      <c r="D702" s="50">
        <f>IFERROR(IF(D701/AVERAGE(C693,D693)&lt;0,"n/a",D701/AVERAGE(C693,D693)*BL3/D3),"n/a")</f>
        <v>1.631588750232818E-2</v>
      </c>
      <c r="E702" s="50">
        <f>IFERROR(IF(E701/AVERAGE(D693,E693)&lt;0,"n/a",E701/AVERAGE(D693,E693)*BL3/E3),"n/a")</f>
        <v>4.6300700853074563E-2</v>
      </c>
      <c r="F702" s="50">
        <f>IFERROR(IF(F701/AVERAGE(E693,F693)&lt;0,"n/a",F701/AVERAGE(E693,F693)*BL3/F3),"n/a")</f>
        <v>1.509949116783188E-2</v>
      </c>
      <c r="G702" s="50">
        <f>IFERROR(IF(G701/AVERAGE(BL693,G693)&lt;0,"n/a",G701/AVERAGE(BL693,G693)*BM3/G3),"n/a")</f>
        <v>0</v>
      </c>
      <c r="H702" s="50">
        <f>IFERROR(IF(H701/AVERAGE(G693,H693)&lt;0,"n/a",H701/AVERAGE(G693,H693)*BM3/H3),"n/a")</f>
        <v>0</v>
      </c>
      <c r="I702" s="50" t="str">
        <f>IFERROR(IF(I701/AVERAGE(H693,I693)&lt;0,"n/a",I701/AVERAGE(H693,I693)*BM3/I3),"n/a")</f>
        <v>n/a</v>
      </c>
      <c r="J702" s="50">
        <f>IFERROR(IF(J701/AVERAGE(I693,J693)&lt;0,"n/a",J701/AVERAGE(I693,J693)*BM3/J3),"n/a")</f>
        <v>0</v>
      </c>
      <c r="K702" s="50" t="str">
        <f>IFERROR(IF(K701/AVERAGE(BM693,K693)&lt;0,"n/a",K701/AVERAGE(BM693,K693)*BN3/K3),"n/a")</f>
        <v>n/a</v>
      </c>
      <c r="L702" s="50" t="str">
        <f>IFERROR(IF(L701/AVERAGE(K693,L693)&lt;0,"n/a",L701/AVERAGE(K693,L693)*BN3/L3),"n/a")</f>
        <v>n/a</v>
      </c>
      <c r="M702" s="50" t="str">
        <f>IFERROR(IF(M701/AVERAGE(L693,M693)&lt;0,"n/a",M701/AVERAGE(L693,M693)*BN3/M3),"n/a")</f>
        <v>n/a</v>
      </c>
      <c r="N702" s="50" t="str">
        <f>IFERROR(IF(N701/AVERAGE(M693,N693)&lt;0,"n/a",N701/AVERAGE(M693,N693)*BN3/N3),"n/a")</f>
        <v>n/a</v>
      </c>
      <c r="O702" s="50" t="str">
        <f>IFERROR(IF(O701/AVERAGE(BN693,O693)&lt;0,"n/a",O701/AVERAGE(BN693,O693)*BO3/O3),"n/a")</f>
        <v>n/a</v>
      </c>
      <c r="P702" s="50" t="str">
        <f>IFERROR(IF(P701/AVERAGE(O693,P693)&lt;0,"n/a",P701/AVERAGE(O693,P693)*BO3/P3),"n/a")</f>
        <v>n/a</v>
      </c>
      <c r="Q702" s="50" t="str">
        <f>IFERROR(IF(Q701/AVERAGE(P693,Q693)&lt;0,"n/a",Q701/AVERAGE(P693,Q693)*BO3/Q3),"n/a")</f>
        <v>n/a</v>
      </c>
      <c r="R702" s="50" t="str">
        <f>IFERROR(IF(R701/AVERAGE(Q693,R693)&lt;0,"n/a",R701/AVERAGE(Q693,R693)*BO3/R3),"n/a")</f>
        <v>n/a</v>
      </c>
      <c r="S702" s="50" t="str">
        <f>IFERROR(IF(S701/AVERAGE(BO693,S693)&lt;0,"n/a",S701/AVERAGE(BO693,S693)*BP3/S3),"n/a")</f>
        <v>n/a</v>
      </c>
      <c r="T702" s="50" t="str">
        <f>IFERROR(IF(T701/AVERAGE(S693,T693)&lt;0,"n/a",T701/AVERAGE(S693,T693)*BP3/T3),"n/a")</f>
        <v>n/a</v>
      </c>
      <c r="U702" s="50" t="str">
        <f>IFERROR(IF(U701/AVERAGE(T693,U693)&lt;0,"n/a",U701/AVERAGE(T693,U693)*BP3/U3),"n/a")</f>
        <v>n/a</v>
      </c>
      <c r="V702" s="50" t="str">
        <f>IFERROR(IF(V701/AVERAGE(U693,V693)&lt;0,"n/a",V701/AVERAGE(U693,V693)*BP3/V3),"n/a")</f>
        <v>n/a</v>
      </c>
      <c r="W702" s="50" t="str">
        <f>IFERROR(IF(W701/AVERAGE(BP693,W693)&lt;0,"n/a",W701/AVERAGE(BP693,W693)*BQ3/W3),"n/a")</f>
        <v>n/a</v>
      </c>
      <c r="X702" s="50" t="str">
        <f>IFERROR(IF(X701/AVERAGE(W693,X693)&lt;0,"n/a",X701/AVERAGE(W693,X693)*BQ3/X3),"n/a")</f>
        <v>n/a</v>
      </c>
      <c r="Y702" s="50" t="str">
        <f>IFERROR(IF(Y701/AVERAGE(X693,Y693)&lt;0,"n/a",Y701/AVERAGE(X693,Y693)*BQ3/Y3),"n/a")</f>
        <v>n/a</v>
      </c>
      <c r="Z702" s="50" t="str">
        <f>IFERROR(IF(Z701/AVERAGE(Y693,Z693)&lt;0,"n/a",Z701/AVERAGE(Y693,Z693)*BQ3/Z3),"n/a")</f>
        <v>n/a</v>
      </c>
      <c r="AA702" s="50" t="str">
        <f>IFERROR(IF(AA701/AVERAGE(BQ693,AA693)&lt;0,"n/a",AA701/AVERAGE(BQ693,AA693)*BR3/AA3),"n/a")</f>
        <v>n/a</v>
      </c>
      <c r="AB702" s="50" t="str">
        <f>IFERROR(IF(AB701/AVERAGE(AA693,AB693)&lt;0,"n/a",AB701/AVERAGE(AA693,AB693)*BR3/AB3),"n/a")</f>
        <v>n/a</v>
      </c>
      <c r="AC702" s="50" t="str">
        <f>IFERROR(IF(AC701/AVERAGE(AB693,AC693)&lt;0,"n/a",AC701/AVERAGE(AB693,AC693)*BR3/AC3),"n/a")</f>
        <v>n/a</v>
      </c>
      <c r="AD702" s="50" t="str">
        <f>IFERROR(IF(AD701/AVERAGE(AC693,AD693)&lt;0,"n/a",AD701/AVERAGE(AC693,AD693)*BR3/AD3),"n/a")</f>
        <v>n/a</v>
      </c>
      <c r="AE702" s="50" t="str">
        <f>IFERROR(IF(AE701/AVERAGE(BR693,AE693)&lt;0,"n/a",AE701/AVERAGE(BR693,AE693)*BS3/AE3),"n/a")</f>
        <v>n/a</v>
      </c>
      <c r="AF702" s="50" t="str">
        <f>IFERROR(IF(AF701/AVERAGE(AE693,AF693)&lt;0,"n/a",AF701/AVERAGE(AE693,AF693)*BS3/AF3),"n/a")</f>
        <v>n/a</v>
      </c>
      <c r="AG702" s="50" t="str">
        <f>IFERROR(IF(AG701/AVERAGE(AF693,AG693)&lt;0,"n/a",AG701/AVERAGE(AF693,AG693)*BS3/AG3),"n/a")</f>
        <v>n/a</v>
      </c>
      <c r="AH702" s="50" t="str">
        <f>IFERROR(IF(AH701/AVERAGE(AG693,AH693)&lt;0,"n/a",AH701/AVERAGE(AG693,AH693)*BS3/AH3),"n/a")</f>
        <v>n/a</v>
      </c>
      <c r="AI702" s="50" t="str">
        <f>IFERROR(IF(AI701/AVERAGE(BS693,AI693)&lt;0,"n/a",AI701/AVERAGE(BS693,AI693)*BT3/AI3),"n/a")</f>
        <v>n/a</v>
      </c>
      <c r="AJ702" s="50" t="str">
        <f>IFERROR(IF(AJ701/AVERAGE(AI693,AJ693)&lt;0,"n/a",AJ701/AVERAGE(AI693,AJ693)*BT3/AJ3),"n/a")</f>
        <v>n/a</v>
      </c>
      <c r="AK702" s="50" t="str">
        <f>IFERROR(IF(AK701/AVERAGE(AJ693,AK693)&lt;0,"n/a",AK701/AVERAGE(AJ693,AK693)*BT3/AK3),"n/a")</f>
        <v>n/a</v>
      </c>
      <c r="AL702" s="50" t="str">
        <f>IFERROR(IF(AL701/AVERAGE(AK693,AL693)&lt;0,"n/a",AL701/AVERAGE(AK693,AL693)*BT3/AL3),"n/a")</f>
        <v>n/a</v>
      </c>
      <c r="AM702" s="50" t="str">
        <f>IFERROR(IF(AM701/AVERAGE(BT693,AM693)&lt;0,"n/a",AM701/AVERAGE(BT693,AM693)*BU3/AM3),"n/a")</f>
        <v>n/a</v>
      </c>
      <c r="AN702" s="50" t="str">
        <f>IFERROR(IF(AN701/AVERAGE(AM693,AN693)&lt;0,"n/a",AN701/AVERAGE(AM693,AN693)*BU3/AN3),"n/a")</f>
        <v>n/a</v>
      </c>
      <c r="AO702" s="50" t="str">
        <f>IFERROR(IF(AO701/AVERAGE(AN693,AO693)&lt;0,"n/a",AO701/AVERAGE(AN693,AO693)*BU3/AO3),"n/a")</f>
        <v>n/a</v>
      </c>
      <c r="AP702" s="50" t="str">
        <f>IFERROR(IF(AP701/AVERAGE(AO693,AP693)&lt;0,"n/a",AP701/AVERAGE(AO693,AP693)*BU3/AP3),"n/a")</f>
        <v>n/a</v>
      </c>
      <c r="AQ702" s="50" t="str">
        <f>IFERROR(IF(AQ701/AVERAGE(BU693,AQ693)&lt;0,"n/a",AQ701/AVERAGE(BU693,AQ693)*BV3/AQ3),"n/a")</f>
        <v>n/a</v>
      </c>
      <c r="AR702" s="50" t="str">
        <f>IFERROR(IF(AR701/AVERAGE(AQ693,AR693)&lt;0,"n/a",AR701/AVERAGE(AQ693,AR693)*BV3/AR3),"n/a")</f>
        <v>n/a</v>
      </c>
      <c r="AS702" s="50" t="str">
        <f>IFERROR(IF(AS701/AVERAGE(AR693,AS693)&lt;0,"n/a",AS701/AVERAGE(AR693,AS693)*BV3/AS3),"n/a")</f>
        <v>n/a</v>
      </c>
      <c r="AT702" s="50" t="str">
        <f>IFERROR(IF(AT701/AVERAGE(AS693,AT693)&lt;0,"n/a",AT701/AVERAGE(AS693,AT693)*BV3/AT3),"n/a")</f>
        <v>n/a</v>
      </c>
      <c r="AU702" s="50" t="str">
        <f>IFERROR(IF(AU701/AVERAGE(BV693,AU693)&lt;0,"n/a",AU701/AVERAGE(BV693,AU693)*BW3/AU3),"n/a")</f>
        <v>n/a</v>
      </c>
      <c r="AV702" s="50" t="str">
        <f>IFERROR(IF(AV701/AVERAGE(AU693,AV693)&lt;0,"n/a",AV701/AVERAGE(AU693,AV693)*BW3/AV3),"n/a")</f>
        <v>n/a</v>
      </c>
      <c r="AW702" s="50" t="str">
        <f>IFERROR(IF(AW701/AVERAGE(AV693,AW693)&lt;0,"n/a",AW701/AVERAGE(AV693,AW693)*BW3/AW3),"n/a")</f>
        <v>n/a</v>
      </c>
      <c r="AX702" s="50" t="str">
        <f>IFERROR(IF(AX701/AVERAGE(AW693,AX693)&lt;0,"n/a",AX701/AVERAGE(AW693,AX693)*AY3/AX3),"n/a")</f>
        <v>n/a</v>
      </c>
      <c r="AY702" s="642" t="str">
        <f>IFERROR(IF(AY701/AVERAGE(BW693,AY693)&lt;0,"n/a",AY701/AVERAGE(BW693,AY693)*BX3/AY3),"n/a")</f>
        <v>n/a</v>
      </c>
      <c r="AZ702" s="50" t="str">
        <f>IFERROR(IF(AZ701/AVERAGE(AY693,AZ693)&lt;0,"n/a",AZ701/AVERAGE(AY693,AZ693)*BX3/AZ3),"n/a")</f>
        <v>n/a</v>
      </c>
      <c r="BA702" s="50" t="str">
        <f ca="1">IFERROR(IF(BA701/AVERAGE(AZ693,BA693)&lt;0,"n/a",BA701/AVERAGE(AZ693,BA693)*BX3/BA3),"n/a")</f>
        <v>n/a</v>
      </c>
      <c r="BB702" s="50" t="str">
        <f ca="1">IFERROR(IF(BB701/AVERAGE(BA693,BB693)&lt;0,"n/a",BB701/AVERAGE(BA693,BB693)*BX3/BB3),"n/a")</f>
        <v>n/a</v>
      </c>
      <c r="BC702" s="50" t="str">
        <f ca="1">IFERROR(IF(BC701/AVERAGE(BX693,BC693)&lt;0,"n/a",BC701/AVERAGE(BX693,BC693)*BY3/BC3),"n/a")</f>
        <v>n/a</v>
      </c>
      <c r="BD702" s="50" t="str">
        <f ca="1">IFERROR(IF(BD701/AVERAGE(BC693,BD693)&lt;0,"n/a",BD701/AVERAGE(BC693,BD693)*BY3/BD3),"n/a")</f>
        <v>n/a</v>
      </c>
      <c r="BE702" s="50" t="str">
        <f ca="1">IFERROR(IF(BE701/AVERAGE(BD693,BE693)&lt;0,"n/a",BE701/AVERAGE(BD693,BE693)*BY3/BE3),"n/a")</f>
        <v>n/a</v>
      </c>
      <c r="BF702" s="50" t="str">
        <f ca="1">IFERROR(IF(BF701/AVERAGE(BE693,BF693)&lt;0,"n/a",BF701/AVERAGE(BE693,BF693)*BY3/BF3),"n/a")</f>
        <v>n/a</v>
      </c>
      <c r="BG702" s="50"/>
      <c r="BH702" s="898"/>
      <c r="BI702" s="898">
        <f>IFERROR(IF(BI701/AVERAGE(BH693,BI693)&lt;0,"n/a",BI701/AVERAGE(BH693,BI693)),"n/a")</f>
        <v>9.3023255813953487E-2</v>
      </c>
      <c r="BJ702" s="898">
        <f>IFERROR(IF(BJ701/AVERAGE(BI693,BJ693)&lt;0,"n/a",BJ701/AVERAGE(BI693,BJ693)),"n/a")</f>
        <v>7.3043478260869571E-2</v>
      </c>
      <c r="BK702" s="898">
        <f>IFERROR(IF(BK701/AVERAGE(BJ693,BK693)&lt;0,"n/a",BK701/AVERAGE(BJ693,BK693)),"n/a")</f>
        <v>3.3630069238377844E-2</v>
      </c>
      <c r="BL702" s="898">
        <f>IFERROR(IF(BL701/AVERAGE(C693,D693,E693,F693)&lt;0,"n/a",BL701/AVERAGE(C693,D693,E693,F693)),"n/a")</f>
        <v>2.7027027027027029E-2</v>
      </c>
      <c r="BM702" s="898" t="str">
        <f>IFERROR(IF(BM701/AVERAGE(G693,H693,I693,J693)&lt;0,"n/a",BM701/AVERAGE(G693,H693,I693,J693)),"n/a")</f>
        <v>n/a</v>
      </c>
      <c r="BN702" s="898" t="str">
        <f>IFERROR(IF(BN701/AVERAGE(K693,L693,M693,N693)&lt;0,"n/a",BN701/AVERAGE(K693,L693,M693,N693)),"n/a")</f>
        <v>n/a</v>
      </c>
      <c r="BO702" s="898" t="str">
        <f>IFERROR(IF(BO701/AVERAGE(O693,P693,Q693,R693)&lt;0,"n/a",BO701/AVERAGE(O693,P693,Q693,R693)),"n/a")</f>
        <v>n/a</v>
      </c>
      <c r="BP702" s="898" t="str">
        <f>IFERROR(IF(BP701/AVERAGE(S693,T693,U693,V693)&lt;0,"n/a",BP701/AVERAGE(S693,T693,U693,V693)),"n/a")</f>
        <v>n/a</v>
      </c>
      <c r="BQ702" s="898" t="str">
        <f>IFERROR(IF(BQ701/AVERAGE(W693,X693,Y693,Z693)&lt;0,"n/a",BQ701/AVERAGE(W693,X693,Y693,Z693)),"n/a")</f>
        <v>n/a</v>
      </c>
      <c r="BR702" s="898" t="str">
        <f>IFERROR(IF(BR701/AVERAGE(AA693,AB693,AC693,AD693)&lt;0,"n/a",BR701/AVERAGE(AA693,AB693,AC693,AD693)),"n/a")</f>
        <v>n/a</v>
      </c>
      <c r="BS702" s="898" t="str">
        <f>IFERROR(IF(BS701/AVERAGE(AE693,AF693,AG693,AH693)&lt;0,"n/a",BS701/AVERAGE(AE693,AF693,AG693,AH693)),"n/a")</f>
        <v>n/a</v>
      </c>
      <c r="BT702" s="898" t="str">
        <f>IFERROR(IF(BT701/AVERAGE(AI693,AJ693,AK693,AL693)&lt;0,"n/a",BT701/AVERAGE(AI693,AJ693,AK693,AL693)),"n/a")</f>
        <v>n/a</v>
      </c>
      <c r="BU702" s="898" t="str">
        <f>IFERROR(IF(BU701/AVERAGE(AM693,AN693,AO693,AP693)&lt;0,"n/a",BU701/AVERAGE(AM693,AN693,AO693,AP693)),"n/a")</f>
        <v>n/a</v>
      </c>
      <c r="BV702" s="898" t="str">
        <f>IFERROR(IF(BV701/AVERAGE(AQ693,AR693,AS693,AT693)&lt;0,"n/a",BV701/AVERAGE(AQ693,AR693,AS693,AT693)),"n/a")</f>
        <v>n/a</v>
      </c>
      <c r="BW702" s="901" t="str">
        <f>IFERROR(IF(BW701/AVERAGE(AX693,BW693)&lt;0,"n/a",BW701/AVERAGE(AX693,BW693)*AZ3/BW3),"n/a")</f>
        <v>n/a</v>
      </c>
      <c r="BX702" s="898" t="str">
        <f ca="1">IFERROR(IF(BX701/AVERAGE(AY693,AZ693,BA693,BB693)&lt;0,"n/a",BX701/AVERAGE(AY693,AZ693,BA693,BB693)),"n/a")</f>
        <v>n/a</v>
      </c>
      <c r="BY702" s="898" t="str">
        <f ca="1">IFERROR(IF(BY701/AVERAGE(BC693,BD693,BE693,BF693)&lt;0,"n/a",BY701/AVERAGE(BC693,BD693,BE693,BF693)),"n/a")</f>
        <v>n/a</v>
      </c>
      <c r="BZ702" s="898" t="str">
        <f ca="1">IFERROR(IF(BZ701/AVERAGE(BY693,BZ693)&lt;0,"n/a",BZ701/AVERAGE(BY693,BZ693)),"n/a")</f>
        <v>n/a</v>
      </c>
      <c r="CA702" s="898" t="str">
        <f ca="1">IFERROR(IF(CA701/AVERAGE(BZ693,CA693)&lt;0,"n/a",CA701/AVERAGE(BZ693,CA693)),"n/a")</f>
        <v>n/a</v>
      </c>
      <c r="CB702" s="898" t="str">
        <f ca="1">IFERROR(IF(CB701/AVERAGE(CA693,CB693)&lt;0,"n/a",CB701/AVERAGE(CA693,CB693)),"n/a")</f>
        <v>n/a</v>
      </c>
      <c r="CC702" s="117"/>
    </row>
    <row r="703" spans="1:81" x14ac:dyDescent="0.55000000000000004">
      <c r="A703" s="35"/>
      <c r="B703" s="193"/>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c r="AF703" s="50"/>
      <c r="AG703" s="50"/>
      <c r="AH703" s="50"/>
      <c r="AI703" s="50"/>
      <c r="AJ703" s="50"/>
      <c r="AK703" s="50"/>
      <c r="AL703" s="50"/>
      <c r="AM703" s="50"/>
      <c r="AN703" s="50"/>
      <c r="AO703" s="50"/>
      <c r="AP703" s="50"/>
      <c r="AQ703" s="50"/>
      <c r="AR703" s="50"/>
      <c r="AS703" s="50"/>
      <c r="AT703" s="50"/>
      <c r="AU703" s="50"/>
      <c r="AV703" s="50"/>
      <c r="AW703" s="50"/>
      <c r="AX703" s="50"/>
      <c r="AY703" s="642"/>
      <c r="AZ703" s="50"/>
      <c r="BA703" s="50"/>
      <c r="BB703" s="50"/>
      <c r="BC703" s="50"/>
      <c r="BD703" s="50"/>
      <c r="BE703" s="50"/>
      <c r="BF703" s="50"/>
      <c r="BG703" s="50"/>
      <c r="BH703" s="898"/>
      <c r="BI703" s="898"/>
      <c r="BJ703" s="898"/>
      <c r="BK703" s="898"/>
      <c r="BL703" s="898"/>
      <c r="BM703" s="898"/>
      <c r="BN703" s="898"/>
      <c r="BO703" s="898"/>
      <c r="BP703" s="898"/>
      <c r="BQ703" s="898"/>
      <c r="BR703" s="898"/>
      <c r="BS703" s="898"/>
      <c r="BT703" s="898"/>
      <c r="BU703" s="898"/>
      <c r="BV703" s="898"/>
      <c r="BW703" s="901"/>
      <c r="BX703" s="898"/>
      <c r="BY703" s="898"/>
      <c r="BZ703" s="898"/>
      <c r="CA703" s="898"/>
      <c r="CB703" s="898"/>
      <c r="CC703" s="117"/>
    </row>
    <row r="704" spans="1:81" x14ac:dyDescent="0.55000000000000004">
      <c r="A704" s="35" t="s">
        <v>413</v>
      </c>
      <c r="B704" s="193"/>
      <c r="C704" s="201">
        <f t="shared" ref="C704:AH704" si="823">IFERROR(IF(OR(C396&lt;0,C701&lt;0),"n/a",C396/C701),"n/a")</f>
        <v>77.599999999999994</v>
      </c>
      <c r="D704" s="201">
        <f t="shared" si="823"/>
        <v>112.88888888888889</v>
      </c>
      <c r="E704" s="201">
        <f t="shared" si="823"/>
        <v>78.0625</v>
      </c>
      <c r="F704" s="201">
        <f t="shared" si="823"/>
        <v>840</v>
      </c>
      <c r="G704" s="201" t="str">
        <f t="shared" si="823"/>
        <v>n/a</v>
      </c>
      <c r="H704" s="201" t="str">
        <f t="shared" si="823"/>
        <v>n/a</v>
      </c>
      <c r="I704" s="201" t="str">
        <f t="shared" si="823"/>
        <v>n/a</v>
      </c>
      <c r="J704" s="201" t="str">
        <f t="shared" si="823"/>
        <v>n/a</v>
      </c>
      <c r="K704" s="201" t="str">
        <f t="shared" si="823"/>
        <v>n/a</v>
      </c>
      <c r="L704" s="201" t="str">
        <f t="shared" si="823"/>
        <v>n/a</v>
      </c>
      <c r="M704" s="201" t="str">
        <f t="shared" si="823"/>
        <v>n/a</v>
      </c>
      <c r="N704" s="201" t="str">
        <f t="shared" si="823"/>
        <v>n/a</v>
      </c>
      <c r="O704" s="201" t="str">
        <f t="shared" si="823"/>
        <v>n/a</v>
      </c>
      <c r="P704" s="201" t="str">
        <f t="shared" si="823"/>
        <v>n/a</v>
      </c>
      <c r="Q704" s="201" t="str">
        <f t="shared" si="823"/>
        <v>n/a</v>
      </c>
      <c r="R704" s="201" t="str">
        <f t="shared" si="823"/>
        <v>n/a</v>
      </c>
      <c r="S704" s="201" t="str">
        <f t="shared" si="823"/>
        <v>n/a</v>
      </c>
      <c r="T704" s="201" t="str">
        <f t="shared" si="823"/>
        <v>n/a</v>
      </c>
      <c r="U704" s="201" t="str">
        <f t="shared" si="823"/>
        <v>n/a</v>
      </c>
      <c r="V704" s="201" t="str">
        <f t="shared" si="823"/>
        <v>n/a</v>
      </c>
      <c r="W704" s="201" t="str">
        <f t="shared" si="823"/>
        <v>n/a</v>
      </c>
      <c r="X704" s="201" t="str">
        <f t="shared" si="823"/>
        <v>n/a</v>
      </c>
      <c r="Y704" s="201" t="str">
        <f t="shared" si="823"/>
        <v>n/a</v>
      </c>
      <c r="Z704" s="201" t="str">
        <f t="shared" si="823"/>
        <v>n/a</v>
      </c>
      <c r="AA704" s="201" t="str">
        <f t="shared" si="823"/>
        <v>n/a</v>
      </c>
      <c r="AB704" s="201" t="str">
        <f t="shared" si="823"/>
        <v>n/a</v>
      </c>
      <c r="AC704" s="201" t="str">
        <f t="shared" si="823"/>
        <v>n/a</v>
      </c>
      <c r="AD704" s="201" t="str">
        <f t="shared" si="823"/>
        <v>n/a</v>
      </c>
      <c r="AE704" s="201" t="str">
        <f t="shared" si="823"/>
        <v>n/a</v>
      </c>
      <c r="AF704" s="201" t="str">
        <f t="shared" si="823"/>
        <v>n/a</v>
      </c>
      <c r="AG704" s="201" t="str">
        <f t="shared" si="823"/>
        <v>n/a</v>
      </c>
      <c r="AH704" s="201" t="str">
        <f t="shared" si="823"/>
        <v>n/a</v>
      </c>
      <c r="AI704" s="201" t="str">
        <f t="shared" ref="AI704:BF704" si="824">IFERROR(IF(OR(AI396&lt;0,AI701&lt;0),"n/a",AI396/AI701),"n/a")</f>
        <v>n/a</v>
      </c>
      <c r="AJ704" s="201" t="str">
        <f t="shared" si="824"/>
        <v>n/a</v>
      </c>
      <c r="AK704" s="201" t="str">
        <f t="shared" si="824"/>
        <v>n/a</v>
      </c>
      <c r="AL704" s="201" t="str">
        <f t="shared" si="824"/>
        <v>n/a</v>
      </c>
      <c r="AM704" s="201" t="str">
        <f t="shared" si="824"/>
        <v>n/a</v>
      </c>
      <c r="AN704" s="201" t="str">
        <f t="shared" si="824"/>
        <v>n/a</v>
      </c>
      <c r="AO704" s="201" t="str">
        <f t="shared" si="824"/>
        <v>n/a</v>
      </c>
      <c r="AP704" s="201" t="str">
        <f t="shared" si="824"/>
        <v>n/a</v>
      </c>
      <c r="AQ704" s="201" t="str">
        <f t="shared" si="824"/>
        <v>n/a</v>
      </c>
      <c r="AR704" s="201" t="str">
        <f t="shared" si="824"/>
        <v>n/a</v>
      </c>
      <c r="AS704" s="201" t="str">
        <f t="shared" si="824"/>
        <v>n/a</v>
      </c>
      <c r="AT704" s="201" t="str">
        <f t="shared" si="824"/>
        <v>n/a</v>
      </c>
      <c r="AU704" s="201" t="str">
        <f t="shared" si="824"/>
        <v>n/a</v>
      </c>
      <c r="AV704" s="201" t="str">
        <f t="shared" si="824"/>
        <v>n/a</v>
      </c>
      <c r="AW704" s="201" t="str">
        <f t="shared" si="824"/>
        <v>n/a</v>
      </c>
      <c r="AX704" s="201" t="str">
        <f t="shared" si="824"/>
        <v>n/a</v>
      </c>
      <c r="AY704" s="669" t="str">
        <f t="shared" si="824"/>
        <v>n/a</v>
      </c>
      <c r="AZ704" s="201" t="str">
        <f t="shared" si="824"/>
        <v>n/a</v>
      </c>
      <c r="BA704" s="201" t="str">
        <f t="shared" ca="1" si="824"/>
        <v>n/a</v>
      </c>
      <c r="BB704" s="201" t="str">
        <f t="shared" ca="1" si="824"/>
        <v>n/a</v>
      </c>
      <c r="BC704" s="201" t="str">
        <f t="shared" ca="1" si="824"/>
        <v>n/a</v>
      </c>
      <c r="BD704" s="201" t="str">
        <f t="shared" ca="1" si="824"/>
        <v>n/a</v>
      </c>
      <c r="BE704" s="201" t="str">
        <f t="shared" ca="1" si="824"/>
        <v>n/a</v>
      </c>
      <c r="BF704" s="201" t="str">
        <f t="shared" ca="1" si="824"/>
        <v>n/a</v>
      </c>
      <c r="BG704" s="201"/>
      <c r="BH704" s="1014">
        <f t="shared" ref="BH704:CB704" si="825">IFERROR(IF(OR(BH396&lt;0,BH701&lt;0),"n/a",BH396/BH701),"n/a")</f>
        <v>36.700000000000003</v>
      </c>
      <c r="BI704" s="1014">
        <f t="shared" si="825"/>
        <v>54.136363636363633</v>
      </c>
      <c r="BJ704" s="1014">
        <f t="shared" si="825"/>
        <v>54.666666666666664</v>
      </c>
      <c r="BK704" s="1014">
        <f t="shared" si="825"/>
        <v>54.098039215686278</v>
      </c>
      <c r="BL704" s="1014">
        <f t="shared" si="825"/>
        <v>127.5945945945946</v>
      </c>
      <c r="BM704" s="1014" t="str">
        <f t="shared" si="825"/>
        <v>n/a</v>
      </c>
      <c r="BN704" s="1014" t="str">
        <f t="shared" si="825"/>
        <v>n/a</v>
      </c>
      <c r="BO704" s="1014" t="str">
        <f t="shared" si="825"/>
        <v>n/a</v>
      </c>
      <c r="BP704" s="1014" t="str">
        <f t="shared" si="825"/>
        <v>n/a</v>
      </c>
      <c r="BQ704" s="1014" t="str">
        <f t="shared" si="825"/>
        <v>n/a</v>
      </c>
      <c r="BR704" s="1014" t="str">
        <f t="shared" si="825"/>
        <v>n/a</v>
      </c>
      <c r="BS704" s="1014" t="str">
        <f t="shared" si="825"/>
        <v>n/a</v>
      </c>
      <c r="BT704" s="1014" t="str">
        <f t="shared" si="825"/>
        <v>n/a</v>
      </c>
      <c r="BU704" s="1014" t="str">
        <f t="shared" si="825"/>
        <v>n/a</v>
      </c>
      <c r="BV704" s="1014" t="str">
        <f t="shared" si="825"/>
        <v>n/a</v>
      </c>
      <c r="BW704" s="1015" t="str">
        <f t="shared" si="825"/>
        <v>n/a</v>
      </c>
      <c r="BX704" s="1014" t="str">
        <f t="shared" ca="1" si="825"/>
        <v>n/a</v>
      </c>
      <c r="BY704" s="1014" t="str">
        <f t="shared" ca="1" si="825"/>
        <v>n/a</v>
      </c>
      <c r="BZ704" s="1014" t="str">
        <f t="shared" ca="1" si="825"/>
        <v>n/a</v>
      </c>
      <c r="CA704" s="1014" t="str">
        <f t="shared" ca="1" si="825"/>
        <v>n/a</v>
      </c>
      <c r="CB704" s="1014" t="str">
        <f t="shared" ca="1" si="825"/>
        <v>n/a</v>
      </c>
      <c r="CC704" s="117"/>
    </row>
    <row r="705" spans="1:81" x14ac:dyDescent="0.55000000000000004">
      <c r="A705" s="27" t="s">
        <v>117</v>
      </c>
      <c r="B705" s="256"/>
      <c r="C705" s="201"/>
      <c r="D705" s="201"/>
      <c r="E705" s="201"/>
      <c r="F705" s="201"/>
      <c r="G705" s="201"/>
      <c r="H705" s="201"/>
      <c r="I705" s="201"/>
      <c r="J705" s="201"/>
      <c r="K705" s="201"/>
      <c r="L705" s="201"/>
      <c r="M705" s="201"/>
      <c r="N705" s="201"/>
      <c r="O705" s="201"/>
      <c r="P705" s="257"/>
      <c r="Q705" s="257"/>
      <c r="R705" s="257"/>
      <c r="S705" s="201"/>
      <c r="T705" s="257"/>
      <c r="U705" s="257"/>
      <c r="V705" s="257"/>
      <c r="W705" s="201"/>
      <c r="X705" s="257"/>
      <c r="Y705" s="257"/>
      <c r="Z705" s="257"/>
      <c r="AA705" s="201"/>
      <c r="AB705" s="257"/>
      <c r="AC705" s="257"/>
      <c r="AD705" s="257"/>
      <c r="AE705" s="201"/>
      <c r="AF705" s="257"/>
      <c r="AG705" s="257"/>
      <c r="AH705" s="257"/>
      <c r="AI705" s="201"/>
      <c r="AJ705" s="257"/>
      <c r="AK705" s="257"/>
      <c r="AL705" s="257"/>
      <c r="AM705" s="201"/>
      <c r="AN705" s="257"/>
      <c r="AO705" s="257"/>
      <c r="AP705" s="257"/>
      <c r="AQ705" s="201"/>
      <c r="AR705" s="257"/>
      <c r="AS705" s="257"/>
      <c r="AT705" s="257"/>
      <c r="AU705" s="201"/>
      <c r="AV705" s="257"/>
      <c r="AW705" s="257"/>
      <c r="AX705" s="257"/>
      <c r="AY705" s="669"/>
      <c r="AZ705" s="257"/>
      <c r="BA705" s="257"/>
      <c r="BB705" s="257"/>
      <c r="BC705" s="257"/>
      <c r="BD705" s="257"/>
      <c r="BE705" s="257"/>
      <c r="BF705" s="257"/>
      <c r="BG705" s="257"/>
      <c r="BH705" s="1014"/>
      <c r="BI705" s="1016" t="str">
        <f t="shared" ref="BI705:CB705" si="826">IF(BI695&lt;0,"n/a",BI695/BI396)</f>
        <v>n/a</v>
      </c>
      <c r="BJ705" s="1016" t="str">
        <f t="shared" si="826"/>
        <v>n/a</v>
      </c>
      <c r="BK705" s="1016" t="str">
        <f t="shared" si="826"/>
        <v>n/a</v>
      </c>
      <c r="BL705" s="1016" t="str">
        <f t="shared" si="826"/>
        <v>n/a</v>
      </c>
      <c r="BM705" s="1016" t="str">
        <f t="shared" si="826"/>
        <v>n/a</v>
      </c>
      <c r="BN705" s="1016" t="str">
        <f t="shared" si="826"/>
        <v>n/a</v>
      </c>
      <c r="BO705" s="1014" t="str">
        <f t="shared" si="826"/>
        <v>n/a</v>
      </c>
      <c r="BP705" s="1014" t="str">
        <f t="shared" si="826"/>
        <v>n/a</v>
      </c>
      <c r="BQ705" s="1014" t="str">
        <f t="shared" si="826"/>
        <v>n/a</v>
      </c>
      <c r="BR705" s="1014" t="str">
        <f t="shared" si="826"/>
        <v>n/a</v>
      </c>
      <c r="BS705" s="1014" t="str">
        <f t="shared" si="826"/>
        <v>n/a</v>
      </c>
      <c r="BT705" s="1014" t="str">
        <f t="shared" si="826"/>
        <v>n/a</v>
      </c>
      <c r="BU705" s="1014" t="str">
        <f t="shared" si="826"/>
        <v>n/a</v>
      </c>
      <c r="BV705" s="1014" t="str">
        <f t="shared" si="826"/>
        <v>n/a</v>
      </c>
      <c r="BW705" s="1015" t="str">
        <f t="shared" si="826"/>
        <v>n/a</v>
      </c>
      <c r="BX705" s="1014" t="str">
        <f t="shared" ca="1" si="826"/>
        <v>n/a</v>
      </c>
      <c r="BY705" s="1014" t="str">
        <f t="shared" ca="1" si="826"/>
        <v>n/a</v>
      </c>
      <c r="BZ705" s="1014" t="str">
        <f t="shared" ca="1" si="826"/>
        <v>n/a</v>
      </c>
      <c r="CA705" s="1014" t="str">
        <f t="shared" ca="1" si="826"/>
        <v>n/a</v>
      </c>
      <c r="CB705" s="1014" t="str">
        <f t="shared" ca="1" si="826"/>
        <v>n/a</v>
      </c>
      <c r="CC705" s="15"/>
    </row>
    <row r="706" spans="1:81" x14ac:dyDescent="0.55000000000000004">
      <c r="A706" s="27" t="s">
        <v>118</v>
      </c>
      <c r="B706" s="256"/>
      <c r="C706" s="201"/>
      <c r="D706" s="201"/>
      <c r="E706" s="201"/>
      <c r="F706" s="201"/>
      <c r="G706" s="201"/>
      <c r="H706" s="201"/>
      <c r="I706" s="201"/>
      <c r="J706" s="201"/>
      <c r="K706" s="201"/>
      <c r="L706" s="201"/>
      <c r="M706" s="201"/>
      <c r="N706" s="201"/>
      <c r="O706" s="201"/>
      <c r="P706" s="257"/>
      <c r="Q706" s="257"/>
      <c r="R706" s="257"/>
      <c r="S706" s="201"/>
      <c r="T706" s="257"/>
      <c r="U706" s="257"/>
      <c r="V706" s="257"/>
      <c r="W706" s="201"/>
      <c r="X706" s="257"/>
      <c r="Y706" s="257"/>
      <c r="Z706" s="257"/>
      <c r="AA706" s="201"/>
      <c r="AB706" s="257"/>
      <c r="AC706" s="257"/>
      <c r="AD706" s="257"/>
      <c r="AE706" s="201"/>
      <c r="AF706" s="257"/>
      <c r="AG706" s="257"/>
      <c r="AH706" s="257"/>
      <c r="AI706" s="201"/>
      <c r="AJ706" s="257"/>
      <c r="AK706" s="257"/>
      <c r="AL706" s="257"/>
      <c r="AM706" s="201"/>
      <c r="AN706" s="257"/>
      <c r="AO706" s="257"/>
      <c r="AP706" s="257"/>
      <c r="AQ706" s="201"/>
      <c r="AR706" s="257"/>
      <c r="AS706" s="257"/>
      <c r="AT706" s="257"/>
      <c r="AU706" s="201"/>
      <c r="AV706" s="257"/>
      <c r="AW706" s="257"/>
      <c r="AX706" s="257"/>
      <c r="AY706" s="669"/>
      <c r="AZ706" s="257"/>
      <c r="BA706" s="257"/>
      <c r="BB706" s="257"/>
      <c r="BC706" s="257"/>
      <c r="BD706" s="257"/>
      <c r="BE706" s="257"/>
      <c r="BF706" s="257"/>
      <c r="BG706" s="257"/>
      <c r="BH706" s="1016">
        <f t="shared" ref="BH706:CB706" si="827">IF(BH695&lt;0,"n/a",BH695/BH661)</f>
        <v>0</v>
      </c>
      <c r="BI706" s="1016" t="str">
        <f t="shared" si="827"/>
        <v>n/a</v>
      </c>
      <c r="BJ706" s="1016" t="str">
        <f t="shared" si="827"/>
        <v>n/a</v>
      </c>
      <c r="BK706" s="1016" t="str">
        <f t="shared" si="827"/>
        <v>n/a</v>
      </c>
      <c r="BL706" s="1016" t="str">
        <f t="shared" si="827"/>
        <v>n/a</v>
      </c>
      <c r="BM706" s="1016" t="str">
        <f t="shared" si="827"/>
        <v>n/a</v>
      </c>
      <c r="BN706" s="1016" t="str">
        <f t="shared" si="827"/>
        <v>n/a</v>
      </c>
      <c r="BO706" s="1014" t="str">
        <f t="shared" si="827"/>
        <v>n/a</v>
      </c>
      <c r="BP706" s="1014" t="str">
        <f t="shared" si="827"/>
        <v>n/a</v>
      </c>
      <c r="BQ706" s="1014" t="str">
        <f t="shared" si="827"/>
        <v>n/a</v>
      </c>
      <c r="BR706" s="1014" t="str">
        <f t="shared" si="827"/>
        <v>n/a</v>
      </c>
      <c r="BS706" s="1014" t="str">
        <f t="shared" si="827"/>
        <v>n/a</v>
      </c>
      <c r="BT706" s="1014" t="str">
        <f t="shared" si="827"/>
        <v>n/a</v>
      </c>
      <c r="BU706" s="1014" t="str">
        <f t="shared" si="827"/>
        <v>n/a</v>
      </c>
      <c r="BV706" s="1014" t="str">
        <f t="shared" si="827"/>
        <v>n/a</v>
      </c>
      <c r="BW706" s="1015" t="str">
        <f t="shared" si="827"/>
        <v>n/a</v>
      </c>
      <c r="BX706" s="1014" t="str">
        <f t="shared" ca="1" si="827"/>
        <v>n/a</v>
      </c>
      <c r="BY706" s="1014" t="str">
        <f t="shared" ca="1" si="827"/>
        <v>n/a</v>
      </c>
      <c r="BZ706" s="1014" t="str">
        <f t="shared" ca="1" si="827"/>
        <v>n/a</v>
      </c>
      <c r="CA706" s="1014" t="str">
        <f t="shared" ca="1" si="827"/>
        <v>n/a</v>
      </c>
      <c r="CB706" s="1014" t="str">
        <f t="shared" ca="1" si="827"/>
        <v>n/a</v>
      </c>
      <c r="CC706" s="15"/>
    </row>
    <row r="707" spans="1:81" x14ac:dyDescent="0.55000000000000004">
      <c r="A707" s="258"/>
      <c r="B707" s="258"/>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c r="AT707" s="126"/>
      <c r="AU707" s="126"/>
      <c r="AV707" s="126"/>
      <c r="AW707" s="126"/>
      <c r="AX707" s="126"/>
      <c r="AY707" s="276"/>
      <c r="AZ707" s="126"/>
      <c r="BA707" s="126"/>
      <c r="BB707" s="126"/>
      <c r="BC707" s="126"/>
      <c r="BD707" s="126"/>
      <c r="BE707" s="126"/>
      <c r="BF707" s="126"/>
      <c r="BG707" s="126"/>
      <c r="BH707" s="154"/>
      <c r="BI707" s="154"/>
      <c r="BJ707" s="154"/>
      <c r="BK707" s="154"/>
      <c r="BL707" s="154"/>
      <c r="BM707" s="154"/>
      <c r="BN707" s="154"/>
      <c r="BO707" s="154"/>
      <c r="BP707" s="154"/>
      <c r="BQ707" s="154"/>
      <c r="BR707" s="154"/>
      <c r="BS707" s="154"/>
      <c r="BT707" s="154"/>
      <c r="BU707" s="154"/>
      <c r="BV707" s="154"/>
      <c r="BW707" s="1017"/>
      <c r="BX707" s="154"/>
      <c r="BY707" s="154"/>
      <c r="BZ707" s="154"/>
      <c r="CA707" s="154"/>
      <c r="CB707" s="154"/>
      <c r="CC707" s="115"/>
    </row>
    <row r="708" spans="1:81" x14ac:dyDescent="0.55000000000000004">
      <c r="A708" s="598" t="s">
        <v>119</v>
      </c>
      <c r="B708" s="598"/>
      <c r="C708" s="598"/>
      <c r="D708" s="598"/>
      <c r="E708" s="598"/>
      <c r="F708" s="598"/>
      <c r="G708" s="598"/>
      <c r="H708" s="598"/>
      <c r="I708" s="598"/>
      <c r="J708" s="598"/>
      <c r="K708" s="598"/>
      <c r="L708" s="598"/>
      <c r="M708" s="598"/>
      <c r="N708" s="598"/>
      <c r="O708" s="598"/>
      <c r="P708" s="598"/>
      <c r="Q708" s="598"/>
      <c r="R708" s="598"/>
      <c r="S708" s="598"/>
      <c r="T708" s="598"/>
      <c r="U708" s="598"/>
      <c r="V708" s="598"/>
      <c r="W708" s="598"/>
      <c r="X708" s="598"/>
      <c r="Y708" s="598"/>
      <c r="Z708" s="598"/>
      <c r="AA708" s="598"/>
      <c r="AB708" s="598"/>
      <c r="AC708" s="598"/>
      <c r="AD708" s="598"/>
      <c r="AE708" s="598"/>
      <c r="AF708" s="598"/>
      <c r="AG708" s="598"/>
      <c r="AH708" s="598"/>
      <c r="AI708" s="598"/>
      <c r="AJ708" s="598"/>
      <c r="AK708" s="598"/>
      <c r="AL708" s="598"/>
      <c r="AM708" s="598"/>
      <c r="AN708" s="598"/>
      <c r="AO708" s="598"/>
      <c r="AP708" s="598"/>
      <c r="AQ708" s="598"/>
      <c r="AR708" s="598"/>
      <c r="AS708" s="598"/>
      <c r="AT708" s="598"/>
      <c r="AU708" s="598"/>
      <c r="AV708" s="598"/>
      <c r="AW708" s="598"/>
      <c r="AX708" s="598"/>
      <c r="AY708" s="599"/>
      <c r="AZ708" s="598"/>
      <c r="BA708" s="598"/>
      <c r="BB708" s="598"/>
      <c r="BC708" s="598"/>
      <c r="BD708" s="598"/>
      <c r="BE708" s="598"/>
      <c r="BF708" s="598"/>
      <c r="BG708" s="598"/>
      <c r="BH708" s="598"/>
      <c r="BI708" s="598"/>
      <c r="BJ708" s="598"/>
      <c r="BK708" s="598"/>
      <c r="BL708" s="598"/>
      <c r="BM708" s="598"/>
      <c r="BN708" s="598"/>
      <c r="BO708" s="598"/>
      <c r="BP708" s="598"/>
      <c r="BQ708" s="598"/>
      <c r="BR708" s="598"/>
      <c r="BS708" s="598"/>
      <c r="BT708" s="598"/>
      <c r="BU708" s="598"/>
      <c r="BV708" s="598"/>
      <c r="BW708" s="599"/>
      <c r="BX708" s="598"/>
      <c r="BY708" s="598"/>
      <c r="BZ708" s="598"/>
      <c r="CA708" s="598"/>
      <c r="CB708" s="598"/>
      <c r="CC708" s="217"/>
    </row>
    <row r="709" spans="1:81" x14ac:dyDescent="0.55000000000000004">
      <c r="A709" s="365" t="str">
        <f>"Stock Price (Reporting Cur.) - "&amp;MO.ValuationToggle&amp;", "&amp;MO.ReportCurrency</f>
        <v>Stock Price (Reporting Cur.) - EoP, USD</v>
      </c>
      <c r="B709" s="793" t="s">
        <v>642</v>
      </c>
      <c r="C709" s="574">
        <f t="shared" ref="C709:AH709" si="828">IF(MO.ValuationToggle="EoP",INDEX(MO_VA_StockPrice_TradingCurrency,1,COLUMN())/INDEX(MO_VA_FX_EoP,1,COLUMN()),INDEX(MO_VA_StockPrice_TradingCurrency,1,COLUMN())/INDEX(MO_VA_FX_Average,1,COLUMN()))</f>
        <v>25.58</v>
      </c>
      <c r="D709" s="574">
        <f t="shared" si="828"/>
        <v>24.88</v>
      </c>
      <c r="E709" s="574">
        <f t="shared" si="828"/>
        <v>51.24</v>
      </c>
      <c r="F709" s="574">
        <f t="shared" si="828"/>
        <v>53.71</v>
      </c>
      <c r="G709" s="574">
        <f t="shared" si="828"/>
        <v>60.01</v>
      </c>
      <c r="H709" s="574">
        <f t="shared" si="828"/>
        <v>67.599999999999994</v>
      </c>
      <c r="I709" s="574">
        <f t="shared" si="828"/>
        <v>79</v>
      </c>
      <c r="J709" s="574">
        <f t="shared" si="828"/>
        <v>79.22</v>
      </c>
      <c r="K709" s="574">
        <f t="shared" si="828"/>
        <v>83.194999999999993</v>
      </c>
      <c r="L709" s="574">
        <f t="shared" si="828"/>
        <v>85.8</v>
      </c>
      <c r="M709" s="574">
        <f t="shared" si="828"/>
        <v>86.67</v>
      </c>
      <c r="N709" s="574">
        <f t="shared" si="828"/>
        <v>106.22</v>
      </c>
      <c r="O709" s="574">
        <f t="shared" si="828"/>
        <v>114.7</v>
      </c>
      <c r="P709" s="574">
        <f t="shared" si="828"/>
        <v>114.16</v>
      </c>
      <c r="Q709" s="574">
        <f t="shared" si="828"/>
        <v>128.09</v>
      </c>
      <c r="R709" s="574">
        <f t="shared" si="828"/>
        <v>115.05</v>
      </c>
      <c r="S709" s="574">
        <f t="shared" si="828"/>
        <v>142.41</v>
      </c>
      <c r="T709" s="574">
        <f t="shared" si="828"/>
        <v>151.04</v>
      </c>
      <c r="U709" s="574">
        <f t="shared" si="828"/>
        <v>170.87</v>
      </c>
      <c r="V709" s="574">
        <f t="shared" si="828"/>
        <v>176.46</v>
      </c>
      <c r="W709" s="574">
        <f t="shared" si="828"/>
        <v>159.79</v>
      </c>
      <c r="X709" s="574">
        <f t="shared" si="828"/>
        <v>194.32</v>
      </c>
      <c r="Y709" s="574">
        <f t="shared" si="828"/>
        <v>164.46</v>
      </c>
      <c r="Z709" s="574">
        <f t="shared" si="828"/>
        <v>133.19999999999999</v>
      </c>
      <c r="AA709" s="574">
        <f t="shared" si="828"/>
        <v>166.69</v>
      </c>
      <c r="AB709" s="574">
        <f t="shared" si="828"/>
        <v>193</v>
      </c>
      <c r="AC709" s="574">
        <f t="shared" si="828"/>
        <v>177.1</v>
      </c>
      <c r="AD709" s="574">
        <f t="shared" si="828"/>
        <v>204.41</v>
      </c>
      <c r="AE709" s="574">
        <f t="shared" si="828"/>
        <v>165.95</v>
      </c>
      <c r="AF709" s="574">
        <f t="shared" si="828"/>
        <v>220.64</v>
      </c>
      <c r="AG709" s="574">
        <f t="shared" si="828"/>
        <v>261.79000000000002</v>
      </c>
      <c r="AH709" s="574">
        <f t="shared" si="828"/>
        <v>271.87</v>
      </c>
      <c r="AI709" s="574">
        <f t="shared" ref="AI709:BF709" si="829">IF(MO.ValuationToggle="EoP",INDEX(MO_VA_StockPrice_TradingCurrency,1,COLUMN())/INDEX(MO_VA_FX_EoP,1,COLUMN()),INDEX(MO_VA_StockPrice_TradingCurrency,1,COLUMN())/INDEX(MO_VA_FX_Average,1,COLUMN()))</f>
        <v>288</v>
      </c>
      <c r="AJ709" s="574">
        <f t="shared" si="829"/>
        <v>351.89</v>
      </c>
      <c r="AK709" s="574">
        <f t="shared" si="829"/>
        <v>339.61</v>
      </c>
      <c r="AL709" s="574">
        <f t="shared" si="829"/>
        <v>344.36</v>
      </c>
      <c r="AM709" s="574">
        <f t="shared" si="829"/>
        <v>227.85</v>
      </c>
      <c r="AN709" s="574">
        <f t="shared" si="829"/>
        <v>163.94</v>
      </c>
      <c r="AO709" s="574">
        <f t="shared" si="829"/>
        <v>136.41</v>
      </c>
      <c r="AP709" s="574">
        <f t="shared" si="829"/>
        <v>120.34</v>
      </c>
      <c r="AQ709" s="574">
        <f t="shared" si="829"/>
        <v>207.84</v>
      </c>
      <c r="AR709" s="574">
        <f t="shared" si="829"/>
        <v>281.52999999999997</v>
      </c>
      <c r="AS709" s="574">
        <f t="shared" si="829"/>
        <v>300.20999999999998</v>
      </c>
      <c r="AT709" s="574">
        <f t="shared" si="829"/>
        <v>353.96</v>
      </c>
      <c r="AU709" s="574">
        <f t="shared" si="829"/>
        <v>485.58</v>
      </c>
      <c r="AV709" s="574">
        <f t="shared" si="829"/>
        <v>504.22</v>
      </c>
      <c r="AW709" s="574">
        <f t="shared" si="829"/>
        <v>567.36</v>
      </c>
      <c r="AX709" s="574">
        <f t="shared" si="829"/>
        <v>591.24</v>
      </c>
      <c r="AY709" s="1164">
        <f t="shared" si="829"/>
        <v>576.74</v>
      </c>
      <c r="AZ709" s="368">
        <f t="shared" ca="1" si="829"/>
        <v>554.44000000000005</v>
      </c>
      <c r="BA709" s="368">
        <f t="shared" ca="1" si="829"/>
        <v>554.44000000000005</v>
      </c>
      <c r="BB709" s="368">
        <f t="shared" ca="1" si="829"/>
        <v>554.44000000000005</v>
      </c>
      <c r="BC709" s="368">
        <f t="shared" ca="1" si="829"/>
        <v>554.44000000000005</v>
      </c>
      <c r="BD709" s="368">
        <f t="shared" ca="1" si="829"/>
        <v>554.44000000000005</v>
      </c>
      <c r="BE709" s="368">
        <f t="shared" ca="1" si="829"/>
        <v>554.44000000000005</v>
      </c>
      <c r="BF709" s="368">
        <f t="shared" ca="1" si="829"/>
        <v>554.44000000000005</v>
      </c>
      <c r="BG709" s="368"/>
      <c r="BH709" s="1018"/>
      <c r="BI709" s="1018"/>
      <c r="BJ709" s="1018"/>
      <c r="BK709" s="1019">
        <f t="shared" ref="BK709:CB709" si="830">IF(MO.ValuationToggle="EoP",INDEX(MO_VA_StockPrice_TradingCurrency,1,COLUMN())/INDEX(MO_VA_FX_EoP,1,COLUMN()),INDEX(MO_VA_StockPrice_TradingCurrency,1,COLUMN())/INDEX(MO_VA_FX_Average,1,COLUMN()))</f>
        <v>25.911200000000001</v>
      </c>
      <c r="BL709" s="1019">
        <f t="shared" si="830"/>
        <v>53.71</v>
      </c>
      <c r="BM709" s="1019">
        <f t="shared" si="830"/>
        <v>79.22</v>
      </c>
      <c r="BN709" s="1019">
        <f t="shared" si="830"/>
        <v>106.22</v>
      </c>
      <c r="BO709" s="1005">
        <f t="shared" si="830"/>
        <v>115.05</v>
      </c>
      <c r="BP709" s="1005">
        <f t="shared" si="830"/>
        <v>176.46</v>
      </c>
      <c r="BQ709" s="1005">
        <f t="shared" si="830"/>
        <v>133.19999999999999</v>
      </c>
      <c r="BR709" s="1005">
        <f t="shared" si="830"/>
        <v>204.41</v>
      </c>
      <c r="BS709" s="1005">
        <f t="shared" si="830"/>
        <v>271.87</v>
      </c>
      <c r="BT709" s="1005">
        <f t="shared" si="830"/>
        <v>344.36</v>
      </c>
      <c r="BU709" s="1005">
        <f t="shared" si="830"/>
        <v>120.34</v>
      </c>
      <c r="BV709" s="1005">
        <f t="shared" si="830"/>
        <v>353.96</v>
      </c>
      <c r="BW709" s="1006">
        <f t="shared" si="830"/>
        <v>591.24</v>
      </c>
      <c r="BX709" s="1005">
        <f t="shared" ca="1" si="830"/>
        <v>554.44000000000005</v>
      </c>
      <c r="BY709" s="1005">
        <f t="shared" ca="1" si="830"/>
        <v>554.44000000000005</v>
      </c>
      <c r="BZ709" s="1005">
        <f t="shared" ca="1" si="830"/>
        <v>554.44000000000005</v>
      </c>
      <c r="CA709" s="1005">
        <f t="shared" ca="1" si="830"/>
        <v>554.44000000000005</v>
      </c>
      <c r="CB709" s="1005">
        <f t="shared" ca="1" si="830"/>
        <v>554.44000000000005</v>
      </c>
      <c r="CC709" s="138"/>
    </row>
    <row r="710" spans="1:81" x14ac:dyDescent="0.55000000000000004">
      <c r="A710" s="117" t="str">
        <f>"Market Cap - "&amp;MO.ValuationToggle</f>
        <v>Market Cap - EoP</v>
      </c>
      <c r="B710" s="87"/>
      <c r="C710" s="117">
        <f t="shared" ref="C710:AH710" si="831">INDEX(MO_VA_StockPrice,0,COLUMN())*INDEX(MO_SCA_ShareCount_EoP_Diluted,0,COLUMN())</f>
        <v>64130.296792999994</v>
      </c>
      <c r="D710" s="117">
        <f t="shared" si="831"/>
        <v>62470.62408912</v>
      </c>
      <c r="E710" s="117">
        <f t="shared" si="831"/>
        <v>130047.12000000001</v>
      </c>
      <c r="F710" s="117">
        <f t="shared" si="831"/>
        <v>141503.51158132</v>
      </c>
      <c r="G710" s="117">
        <f t="shared" si="831"/>
        <v>157046.16999999998</v>
      </c>
      <c r="H710" s="117">
        <f t="shared" si="831"/>
        <v>177111.99999999997</v>
      </c>
      <c r="I710" s="117">
        <f t="shared" si="831"/>
        <v>209587</v>
      </c>
      <c r="J710" s="117">
        <f t="shared" si="831"/>
        <v>224422.75057776002</v>
      </c>
      <c r="K710" s="117">
        <f t="shared" si="831"/>
        <v>236356.99499999997</v>
      </c>
      <c r="L710" s="117">
        <f t="shared" si="831"/>
        <v>244873.19999999998</v>
      </c>
      <c r="M710" s="117">
        <f t="shared" si="831"/>
        <v>248656.23</v>
      </c>
      <c r="N710" s="117">
        <f t="shared" si="831"/>
        <v>306657.14</v>
      </c>
      <c r="O710" s="117">
        <f t="shared" si="831"/>
        <v>334006.40000000002</v>
      </c>
      <c r="P710" s="117">
        <f t="shared" si="831"/>
        <v>334146.32</v>
      </c>
      <c r="Q710" s="117">
        <f t="shared" si="831"/>
        <v>373894.71</v>
      </c>
      <c r="R710" s="117">
        <f t="shared" si="831"/>
        <v>338477.1</v>
      </c>
      <c r="S710" s="117">
        <f t="shared" si="831"/>
        <v>419539.86</v>
      </c>
      <c r="T710" s="117">
        <f t="shared" si="831"/>
        <v>445719.03999999998</v>
      </c>
      <c r="U710" s="117">
        <f t="shared" si="831"/>
        <v>505091.72000000003</v>
      </c>
      <c r="V710" s="117">
        <f t="shared" si="831"/>
        <v>521086.38</v>
      </c>
      <c r="W710" s="117">
        <f t="shared" si="831"/>
        <v>469942.38999999996</v>
      </c>
      <c r="X710" s="117">
        <f t="shared" si="831"/>
        <v>568580.31999999995</v>
      </c>
      <c r="Y710" s="117">
        <f t="shared" si="831"/>
        <v>477098.46</v>
      </c>
      <c r="Z710" s="117">
        <f t="shared" si="831"/>
        <v>382017.6</v>
      </c>
      <c r="AA710" s="117">
        <f t="shared" si="831"/>
        <v>478233.61</v>
      </c>
      <c r="AB710" s="117">
        <f t="shared" si="831"/>
        <v>554682</v>
      </c>
      <c r="AC710" s="117">
        <f t="shared" si="831"/>
        <v>508985.39999999997</v>
      </c>
      <c r="AD710" s="117">
        <f t="shared" si="831"/>
        <v>586656.69999999995</v>
      </c>
      <c r="AE710" s="117">
        <f t="shared" si="831"/>
        <v>475944.6</v>
      </c>
      <c r="AF710" s="117">
        <f t="shared" si="831"/>
        <v>635222.55999999994</v>
      </c>
      <c r="AG710" s="117">
        <f t="shared" si="831"/>
        <v>756834.89</v>
      </c>
      <c r="AH710" s="117">
        <f t="shared" si="831"/>
        <v>785432.43</v>
      </c>
      <c r="AI710" s="117">
        <f t="shared" ref="AI710:BF710" si="832">INDEX(MO_VA_StockPrice,0,COLUMN())*INDEX(MO_SCA_ShareCount_EoP_Diluted,0,COLUMN())</f>
        <v>828288</v>
      </c>
      <c r="AJ710" s="117">
        <f t="shared" si="832"/>
        <v>1009572.4099999999</v>
      </c>
      <c r="AK710" s="117">
        <f t="shared" si="832"/>
        <v>963813.18</v>
      </c>
      <c r="AL710" s="117">
        <f t="shared" si="832"/>
        <v>955599</v>
      </c>
      <c r="AM710" s="117">
        <f t="shared" si="832"/>
        <v>622258.35</v>
      </c>
      <c r="AN710" s="117">
        <f t="shared" si="832"/>
        <v>443621.64</v>
      </c>
      <c r="AO710" s="117">
        <f t="shared" si="832"/>
        <v>364214.7</v>
      </c>
      <c r="AP710" s="117">
        <f t="shared" si="832"/>
        <v>314809.44</v>
      </c>
      <c r="AQ710" s="117">
        <f t="shared" si="832"/>
        <v>535188</v>
      </c>
      <c r="AR710" s="117">
        <f t="shared" si="832"/>
        <v>736764.00999999989</v>
      </c>
      <c r="AS710" s="117">
        <f t="shared" si="832"/>
        <v>791353.55999999994</v>
      </c>
      <c r="AT710" s="117">
        <f t="shared" si="832"/>
        <v>929145</v>
      </c>
      <c r="AU710" s="117">
        <f t="shared" si="832"/>
        <v>1270762.8599999999</v>
      </c>
      <c r="AV710" s="117">
        <f t="shared" si="832"/>
        <v>1315509.98</v>
      </c>
      <c r="AW710" s="117">
        <f t="shared" si="832"/>
        <v>1472299.2</v>
      </c>
      <c r="AX710" s="117">
        <f t="shared" si="832"/>
        <v>1539588.96</v>
      </c>
      <c r="AY710" s="273">
        <f t="shared" si="832"/>
        <v>1489719.42</v>
      </c>
      <c r="AZ710" s="37">
        <f t="shared" ca="1" si="832"/>
        <v>1437564.3187863128</v>
      </c>
      <c r="BA710" s="37">
        <f t="shared" ca="1" si="832"/>
        <v>1436018.5030617802</v>
      </c>
      <c r="BB710" s="37">
        <f t="shared" ca="1" si="832"/>
        <v>1434472.5327556753</v>
      </c>
      <c r="BC710" s="37">
        <f t="shared" ca="1" si="832"/>
        <v>1434615.9800089507</v>
      </c>
      <c r="BD710" s="37">
        <f t="shared" ca="1" si="832"/>
        <v>1434759.4416069516</v>
      </c>
      <c r="BE710" s="37">
        <f t="shared" ca="1" si="832"/>
        <v>1434902.9175511124</v>
      </c>
      <c r="BF710" s="37">
        <f t="shared" ca="1" si="832"/>
        <v>1435046.4078428675</v>
      </c>
      <c r="BG710" s="37"/>
      <c r="BH710" s="158"/>
      <c r="BI710" s="158"/>
      <c r="BJ710" s="158"/>
      <c r="BK710" s="876">
        <f t="shared" ref="BK710:CB710" si="833">INDEX(MO_VA_StockPrice,0,COLUMN())*INDEX(MO_SCA_ShareCount_EoP_Diluted,0,COLUMN())</f>
        <v>65288.585248684001</v>
      </c>
      <c r="BL710" s="876">
        <f t="shared" si="833"/>
        <v>141503.51158132</v>
      </c>
      <c r="BM710" s="876">
        <f t="shared" si="833"/>
        <v>224422.75057776002</v>
      </c>
      <c r="BN710" s="876">
        <f t="shared" si="833"/>
        <v>306657.14</v>
      </c>
      <c r="BO710" s="158">
        <f t="shared" si="833"/>
        <v>338477.1</v>
      </c>
      <c r="BP710" s="158">
        <f t="shared" si="833"/>
        <v>521086.38</v>
      </c>
      <c r="BQ710" s="158">
        <f t="shared" si="833"/>
        <v>382017.6</v>
      </c>
      <c r="BR710" s="158">
        <f t="shared" si="833"/>
        <v>586656.69999999995</v>
      </c>
      <c r="BS710" s="158">
        <f t="shared" si="833"/>
        <v>785432.43</v>
      </c>
      <c r="BT710" s="158">
        <f t="shared" si="833"/>
        <v>955599</v>
      </c>
      <c r="BU710" s="158">
        <f t="shared" si="833"/>
        <v>314809.44</v>
      </c>
      <c r="BV710" s="158">
        <f t="shared" si="833"/>
        <v>929145</v>
      </c>
      <c r="BW710" s="846">
        <f t="shared" si="833"/>
        <v>1539588.96</v>
      </c>
      <c r="BX710" s="158">
        <f t="shared" ca="1" si="833"/>
        <v>1434472.5327556753</v>
      </c>
      <c r="BY710" s="158">
        <f t="shared" ca="1" si="833"/>
        <v>1435046.4078428675</v>
      </c>
      <c r="BZ710" s="158">
        <f t="shared" ca="1" si="833"/>
        <v>1428639.0646839144</v>
      </c>
      <c r="CA710" s="158">
        <f t="shared" ca="1" si="833"/>
        <v>1422865.2382112662</v>
      </c>
      <c r="CB710" s="158">
        <f t="shared" ca="1" si="833"/>
        <v>1417665.9460351672</v>
      </c>
      <c r="CC710" s="117"/>
    </row>
    <row r="711" spans="1:81" x14ac:dyDescent="0.55000000000000004">
      <c r="A711" s="117" t="str">
        <f>"Enterprise Value - "&amp;MO.ValuationToggle</f>
        <v>Enterprise Value - EoP</v>
      </c>
      <c r="B711" s="87"/>
      <c r="C711" s="117">
        <f t="shared" ref="C711:AH711" si="834">C695+C710+C728+C729+C730</f>
        <v>56916.296792999994</v>
      </c>
      <c r="D711" s="117">
        <f t="shared" si="834"/>
        <v>54385.62408912</v>
      </c>
      <c r="E711" s="117">
        <f t="shared" si="834"/>
        <v>121294.12000000001</v>
      </c>
      <c r="F711" s="117">
        <f t="shared" si="834"/>
        <v>130530.51158132</v>
      </c>
      <c r="G711" s="117">
        <f t="shared" si="834"/>
        <v>144809.16999999998</v>
      </c>
      <c r="H711" s="117">
        <f t="shared" si="834"/>
        <v>163481.99999999997</v>
      </c>
      <c r="I711" s="117">
        <f t="shared" si="834"/>
        <v>195615</v>
      </c>
      <c r="J711" s="117">
        <f t="shared" si="834"/>
        <v>213456.75057776002</v>
      </c>
      <c r="K711" s="117">
        <f t="shared" si="834"/>
        <v>224129.99499999997</v>
      </c>
      <c r="L711" s="117">
        <f t="shared" si="834"/>
        <v>230897.19999999998</v>
      </c>
      <c r="M711" s="117">
        <f t="shared" si="834"/>
        <v>232948.23</v>
      </c>
      <c r="N711" s="117">
        <f t="shared" si="834"/>
        <v>288337.14</v>
      </c>
      <c r="O711" s="117">
        <f t="shared" si="834"/>
        <v>313385.40000000002</v>
      </c>
      <c r="P711" s="117">
        <f t="shared" si="834"/>
        <v>310853.32</v>
      </c>
      <c r="Q711" s="117">
        <f t="shared" si="834"/>
        <v>347754.71</v>
      </c>
      <c r="R711" s="117">
        <f t="shared" si="834"/>
        <v>309028.09999999998</v>
      </c>
      <c r="S711" s="117">
        <f t="shared" si="834"/>
        <v>387233.86</v>
      </c>
      <c r="T711" s="117">
        <f t="shared" si="834"/>
        <v>410267.04</v>
      </c>
      <c r="U711" s="117">
        <f t="shared" si="834"/>
        <v>466802.72000000003</v>
      </c>
      <c r="V711" s="117">
        <f t="shared" si="834"/>
        <v>479375.38</v>
      </c>
      <c r="W711" s="117">
        <f t="shared" si="834"/>
        <v>425858.38999999996</v>
      </c>
      <c r="X711" s="117">
        <f t="shared" si="834"/>
        <v>526155.31999999995</v>
      </c>
      <c r="Y711" s="117">
        <f t="shared" si="834"/>
        <v>435785.46</v>
      </c>
      <c r="Z711" s="117">
        <f t="shared" si="834"/>
        <v>340798.6</v>
      </c>
      <c r="AA711" s="117">
        <f t="shared" si="834"/>
        <v>440079.61</v>
      </c>
      <c r="AB711" s="117">
        <f t="shared" si="834"/>
        <v>513775</v>
      </c>
      <c r="AC711" s="117">
        <f t="shared" si="834"/>
        <v>465747.39999999997</v>
      </c>
      <c r="AD711" s="117">
        <f t="shared" si="834"/>
        <v>541925.69999999995</v>
      </c>
      <c r="AE711" s="117">
        <f t="shared" si="834"/>
        <v>425690.6</v>
      </c>
      <c r="AF711" s="117">
        <f t="shared" si="834"/>
        <v>586990.55999999994</v>
      </c>
      <c r="AG711" s="117">
        <f t="shared" si="834"/>
        <v>711468.89</v>
      </c>
      <c r="AH711" s="117">
        <f t="shared" si="834"/>
        <v>733754.43</v>
      </c>
      <c r="AI711" s="117">
        <f t="shared" ref="AI711:BF711" si="835">AI695+AI710+AI728+AI729+AI730</f>
        <v>775305</v>
      </c>
      <c r="AJ711" s="117">
        <f t="shared" si="835"/>
        <v>957174.40999999992</v>
      </c>
      <c r="AK711" s="117">
        <f t="shared" si="835"/>
        <v>918070.18</v>
      </c>
      <c r="AL711" s="117">
        <f t="shared" si="835"/>
        <v>921210</v>
      </c>
      <c r="AM711" s="117">
        <f t="shared" si="835"/>
        <v>591954.35</v>
      </c>
      <c r="AN711" s="117">
        <f t="shared" si="835"/>
        <v>418402.64</v>
      </c>
      <c r="AO711" s="117">
        <f t="shared" si="835"/>
        <v>347395.7</v>
      </c>
      <c r="AP711" s="117">
        <f t="shared" si="835"/>
        <v>299747.44</v>
      </c>
      <c r="AQ711" s="117">
        <f t="shared" si="835"/>
        <v>524455</v>
      </c>
      <c r="AR711" s="117">
        <f t="shared" si="835"/>
        <v>718517.00999999989</v>
      </c>
      <c r="AS711" s="117">
        <f t="shared" si="835"/>
        <v>765437.55999999994</v>
      </c>
      <c r="AT711" s="117">
        <f t="shared" si="835"/>
        <v>900011</v>
      </c>
      <c r="AU711" s="117">
        <f t="shared" si="835"/>
        <v>1249298.8599999999</v>
      </c>
      <c r="AV711" s="117">
        <f t="shared" si="835"/>
        <v>1294439.98</v>
      </c>
      <c r="AW711" s="117">
        <f t="shared" si="835"/>
        <v>1449171.2</v>
      </c>
      <c r="AX711" s="117">
        <f t="shared" si="835"/>
        <v>1509284.96</v>
      </c>
      <c r="AY711" s="273">
        <f t="shared" si="835"/>
        <v>1467687.42</v>
      </c>
      <c r="AZ711" s="37">
        <f t="shared" ca="1" si="835"/>
        <v>1409138.4255215521</v>
      </c>
      <c r="BA711" s="37">
        <f t="shared" ca="1" si="835"/>
        <v>1396770.6632293803</v>
      </c>
      <c r="BB711" s="37">
        <f t="shared" ca="1" si="835"/>
        <v>1384790.752704523</v>
      </c>
      <c r="BC711" s="37">
        <f t="shared" ca="1" si="835"/>
        <v>1359631.7297458071</v>
      </c>
      <c r="BD711" s="37">
        <f t="shared" ca="1" si="835"/>
        <v>1339546.1380906929</v>
      </c>
      <c r="BE711" s="37">
        <f t="shared" ca="1" si="835"/>
        <v>1315119.2900071987</v>
      </c>
      <c r="BF711" s="37">
        <f t="shared" ca="1" si="835"/>
        <v>1291831.5095484748</v>
      </c>
      <c r="BG711" s="37"/>
      <c r="BH711" s="158"/>
      <c r="BI711" s="158"/>
      <c r="BJ711" s="158"/>
      <c r="BK711" s="876">
        <f t="shared" ref="BK711:CB711" si="836">BK695+BK710+BK728+BK729+BK730</f>
        <v>58018.585248684001</v>
      </c>
      <c r="BL711" s="876">
        <f t="shared" si="836"/>
        <v>130530.51158132</v>
      </c>
      <c r="BM711" s="876">
        <f t="shared" si="836"/>
        <v>213456.75057776002</v>
      </c>
      <c r="BN711" s="876">
        <f t="shared" si="836"/>
        <v>288337.14</v>
      </c>
      <c r="BO711" s="158">
        <f t="shared" si="836"/>
        <v>309028.09999999998</v>
      </c>
      <c r="BP711" s="158">
        <f t="shared" si="836"/>
        <v>479375.38</v>
      </c>
      <c r="BQ711" s="158">
        <f t="shared" si="836"/>
        <v>340798.6</v>
      </c>
      <c r="BR711" s="158">
        <f t="shared" si="836"/>
        <v>541925.69999999995</v>
      </c>
      <c r="BS711" s="158">
        <f t="shared" si="836"/>
        <v>733754.43</v>
      </c>
      <c r="BT711" s="158">
        <f t="shared" si="836"/>
        <v>921210</v>
      </c>
      <c r="BU711" s="158">
        <f t="shared" si="836"/>
        <v>299747.44</v>
      </c>
      <c r="BV711" s="158">
        <f t="shared" si="836"/>
        <v>900011</v>
      </c>
      <c r="BW711" s="846">
        <f t="shared" si="836"/>
        <v>1509284.96</v>
      </c>
      <c r="BX711" s="158">
        <f t="shared" ca="1" si="836"/>
        <v>1384790.752704523</v>
      </c>
      <c r="BY711" s="158">
        <f t="shared" ca="1" si="836"/>
        <v>1291831.5095484748</v>
      </c>
      <c r="BZ711" s="158">
        <f t="shared" ca="1" si="836"/>
        <v>1181238.9390551867</v>
      </c>
      <c r="CA711" s="158">
        <f t="shared" ca="1" si="836"/>
        <v>1063831.7719837273</v>
      </c>
      <c r="CB711" s="158">
        <f t="shared" ca="1" si="836"/>
        <v>928129.1676639436</v>
      </c>
      <c r="CC711" s="117"/>
    </row>
    <row r="712" spans="1:81" x14ac:dyDescent="0.55000000000000004">
      <c r="A712" s="259"/>
      <c r="B712" s="260"/>
      <c r="C712" s="575"/>
      <c r="D712" s="575"/>
      <c r="E712" s="575"/>
      <c r="F712" s="575"/>
      <c r="G712" s="575"/>
      <c r="H712" s="575"/>
      <c r="I712" s="575"/>
      <c r="J712" s="575"/>
      <c r="K712" s="575"/>
      <c r="L712" s="575"/>
      <c r="M712" s="575"/>
      <c r="N712" s="575"/>
      <c r="O712" s="575"/>
      <c r="P712" s="261"/>
      <c r="Q712" s="261"/>
      <c r="R712" s="261"/>
      <c r="S712" s="575"/>
      <c r="T712" s="261"/>
      <c r="U712" s="261"/>
      <c r="V712" s="261"/>
      <c r="W712" s="575"/>
      <c r="X712" s="261"/>
      <c r="Y712" s="261"/>
      <c r="Z712" s="261"/>
      <c r="AA712" s="575"/>
      <c r="AB712" s="261"/>
      <c r="AC712" s="261"/>
      <c r="AD712" s="261"/>
      <c r="AE712" s="575"/>
      <c r="AF712" s="261"/>
      <c r="AG712" s="261"/>
      <c r="AH712" s="261"/>
      <c r="AI712" s="575"/>
      <c r="AJ712" s="261"/>
      <c r="AK712" s="261"/>
      <c r="AL712" s="261"/>
      <c r="AM712" s="575"/>
      <c r="AN712" s="261"/>
      <c r="AO712" s="261"/>
      <c r="AP712" s="261"/>
      <c r="AQ712" s="575"/>
      <c r="AR712" s="261"/>
      <c r="AS712" s="261"/>
      <c r="AT712" s="261"/>
      <c r="AU712" s="575"/>
      <c r="AV712" s="261"/>
      <c r="AW712" s="261"/>
      <c r="AX712" s="261"/>
      <c r="AY712" s="670"/>
      <c r="AZ712" s="261"/>
      <c r="BA712" s="261"/>
      <c r="BB712" s="261"/>
      <c r="BC712" s="261"/>
      <c r="BD712" s="261"/>
      <c r="BE712" s="261"/>
      <c r="BF712" s="261"/>
      <c r="BG712" s="261"/>
      <c r="BH712" s="1020"/>
      <c r="BI712" s="1020"/>
      <c r="BJ712" s="1020"/>
      <c r="BK712" s="1020"/>
      <c r="BL712" s="1020"/>
      <c r="BM712" s="1020"/>
      <c r="BN712" s="1020"/>
      <c r="BO712" s="1020"/>
      <c r="BP712" s="1020"/>
      <c r="BQ712" s="1020"/>
      <c r="BR712" s="1020"/>
      <c r="BS712" s="1020"/>
      <c r="BT712" s="1020"/>
      <c r="BU712" s="1020"/>
      <c r="BV712" s="1020"/>
      <c r="BW712" s="1021"/>
      <c r="BX712" s="1020"/>
      <c r="BY712" s="1020"/>
      <c r="BZ712" s="1020"/>
      <c r="CA712" s="1020"/>
      <c r="CB712" s="1020"/>
      <c r="CC712" s="16"/>
    </row>
    <row r="713" spans="1:81" x14ac:dyDescent="0.55000000000000004">
      <c r="A713" s="73" t="str">
        <f>"P/E - "&amp;MO.ValuationToggle</f>
        <v>P/E - EoP</v>
      </c>
      <c r="B713" s="260"/>
      <c r="C713" s="575"/>
      <c r="D713" s="575"/>
      <c r="E713" s="575"/>
      <c r="F713" s="575"/>
      <c r="G713" s="575"/>
      <c r="H713" s="575"/>
      <c r="I713" s="575"/>
      <c r="J713" s="575"/>
      <c r="K713" s="575"/>
      <c r="L713" s="575"/>
      <c r="M713" s="575"/>
      <c r="N713" s="575"/>
      <c r="O713" s="575"/>
      <c r="P713" s="261"/>
      <c r="Q713" s="261"/>
      <c r="R713" s="261"/>
      <c r="S713" s="575"/>
      <c r="T713" s="261"/>
      <c r="U713" s="261"/>
      <c r="V713" s="261"/>
      <c r="W713" s="575"/>
      <c r="X713" s="261"/>
      <c r="Y713" s="261"/>
      <c r="Z713" s="261"/>
      <c r="AA713" s="575"/>
      <c r="AB713" s="261"/>
      <c r="AC713" s="261"/>
      <c r="AD713" s="261"/>
      <c r="AE713" s="575"/>
      <c r="AF713" s="261"/>
      <c r="AG713" s="261"/>
      <c r="AH713" s="261"/>
      <c r="AI713" s="575"/>
      <c r="AJ713" s="261"/>
      <c r="AK713" s="261"/>
      <c r="AL713" s="261"/>
      <c r="AM713" s="575"/>
      <c r="AN713" s="261"/>
      <c r="AO713" s="261"/>
      <c r="AP713" s="261"/>
      <c r="AQ713" s="575"/>
      <c r="AR713" s="261"/>
      <c r="AS713" s="261"/>
      <c r="AT713" s="261"/>
      <c r="AU713" s="575"/>
      <c r="AV713" s="261"/>
      <c r="AW713" s="261"/>
      <c r="AX713" s="261"/>
      <c r="AY713" s="670"/>
      <c r="AZ713" s="261"/>
      <c r="BA713" s="261"/>
      <c r="BB713" s="261"/>
      <c r="BC713" s="261"/>
      <c r="BD713" s="261"/>
      <c r="BE713" s="261"/>
      <c r="BF713" s="261"/>
      <c r="BG713" s="261"/>
      <c r="BH713" s="1020"/>
      <c r="BI713" s="1020"/>
      <c r="BJ713" s="1020"/>
      <c r="BK713" s="1022">
        <f t="shared" ref="BK713:CB713" si="837">BK709/BK422</f>
        <v>48.772866211085798</v>
      </c>
      <c r="BL713" s="1022">
        <f t="shared" si="837"/>
        <v>57.921195372750645</v>
      </c>
      <c r="BM713" s="1022">
        <f t="shared" si="837"/>
        <v>44.778714194780392</v>
      </c>
      <c r="BN713" s="1022">
        <f t="shared" si="837"/>
        <v>46.493657563669842</v>
      </c>
      <c r="BO713" s="1020">
        <f t="shared" si="837"/>
        <v>32.937383772144464</v>
      </c>
      <c r="BP713" s="1020">
        <f t="shared" si="837"/>
        <v>32.736021086983811</v>
      </c>
      <c r="BQ713" s="1020">
        <f t="shared" si="837"/>
        <v>17.595748914616497</v>
      </c>
      <c r="BR713" s="1020">
        <f t="shared" si="837"/>
        <v>31.803254530700567</v>
      </c>
      <c r="BS713" s="1020">
        <f t="shared" si="837"/>
        <v>26.938878748370271</v>
      </c>
      <c r="BT713" s="1020">
        <f t="shared" si="837"/>
        <v>25.006991109982224</v>
      </c>
      <c r="BU713" s="1020">
        <f t="shared" si="837"/>
        <v>14.015460344827586</v>
      </c>
      <c r="BV713" s="1020">
        <f t="shared" si="837"/>
        <v>23.800727402936211</v>
      </c>
      <c r="BW713" s="1021">
        <f t="shared" si="837"/>
        <v>24.78353688261706</v>
      </c>
      <c r="BX713" s="1020">
        <f t="shared" ca="1" si="837"/>
        <v>18.46870380057371</v>
      </c>
      <c r="BY713" s="1020">
        <f t="shared" ca="1" si="837"/>
        <v>14.784137210415862</v>
      </c>
      <c r="BZ713" s="1020">
        <f t="shared" ca="1" si="837"/>
        <v>12.966389979769666</v>
      </c>
      <c r="CA713" s="1020">
        <f t="shared" ca="1" si="837"/>
        <v>12.373782639958453</v>
      </c>
      <c r="CB713" s="1020">
        <f t="shared" ca="1" si="837"/>
        <v>10.810483342406371</v>
      </c>
      <c r="CC713" s="16"/>
    </row>
    <row r="714" spans="1:81" x14ac:dyDescent="0.55000000000000004">
      <c r="A714" s="73" t="str">
        <f>"EV/EBITDA - "&amp;MO.ValuationToggle</f>
        <v>EV/EBITDA - EoP</v>
      </c>
      <c r="B714" s="260"/>
      <c r="C714" s="575"/>
      <c r="D714" s="575"/>
      <c r="E714" s="575"/>
      <c r="F714" s="575"/>
      <c r="G714" s="575"/>
      <c r="H714" s="575"/>
      <c r="I714" s="575"/>
      <c r="J714" s="575"/>
      <c r="K714" s="575"/>
      <c r="L714" s="575"/>
      <c r="M714" s="575"/>
      <c r="N714" s="575"/>
      <c r="O714" s="575"/>
      <c r="P714" s="261"/>
      <c r="Q714" s="261"/>
      <c r="R714" s="261"/>
      <c r="S714" s="575"/>
      <c r="T714" s="261"/>
      <c r="U714" s="261"/>
      <c r="V714" s="261"/>
      <c r="W714" s="575"/>
      <c r="X714" s="261"/>
      <c r="Y714" s="261"/>
      <c r="Z714" s="261"/>
      <c r="AA714" s="575"/>
      <c r="AB714" s="261"/>
      <c r="AC714" s="261"/>
      <c r="AD714" s="261"/>
      <c r="AE714" s="575"/>
      <c r="AF714" s="261"/>
      <c r="AG714" s="261"/>
      <c r="AH714" s="261"/>
      <c r="AI714" s="575"/>
      <c r="AJ714" s="261"/>
      <c r="AK714" s="261"/>
      <c r="AL714" s="261"/>
      <c r="AM714" s="575"/>
      <c r="AN714" s="261"/>
      <c r="AO714" s="261"/>
      <c r="AP714" s="261"/>
      <c r="AQ714" s="575"/>
      <c r="AR714" s="261"/>
      <c r="AS714" s="261"/>
      <c r="AT714" s="261"/>
      <c r="AU714" s="575"/>
      <c r="AV714" s="261"/>
      <c r="AW714" s="261"/>
      <c r="AX714" s="261"/>
      <c r="AY714" s="670"/>
      <c r="AZ714" s="261"/>
      <c r="BA714" s="261"/>
      <c r="BB714" s="261"/>
      <c r="BC714" s="261"/>
      <c r="BD714" s="261"/>
      <c r="BE714" s="261"/>
      <c r="BF714" s="261"/>
      <c r="BG714" s="261"/>
      <c r="BH714" s="1020"/>
      <c r="BI714" s="1020"/>
      <c r="BJ714" s="1020"/>
      <c r="BK714" s="1022">
        <f t="shared" ref="BK714:CB714" si="838">BK711/BK396</f>
        <v>21.028845686366076</v>
      </c>
      <c r="BL714" s="1022">
        <f t="shared" si="838"/>
        <v>27.64891158257149</v>
      </c>
      <c r="BM714" s="1022">
        <f t="shared" si="838"/>
        <v>26.437546516938323</v>
      </c>
      <c r="BN714" s="1022">
        <f t="shared" si="838"/>
        <v>25.885370320495557</v>
      </c>
      <c r="BO714" s="1020">
        <f t="shared" si="838"/>
        <v>17.180636014899648</v>
      </c>
      <c r="BP714" s="1020">
        <f t="shared" si="838"/>
        <v>17.786923676301438</v>
      </c>
      <c r="BQ714" s="1020">
        <f t="shared" si="838"/>
        <v>10.209664469742361</v>
      </c>
      <c r="BR714" s="1020">
        <f t="shared" si="838"/>
        <v>15.679359430604981</v>
      </c>
      <c r="BS714" s="1020">
        <f t="shared" si="838"/>
        <v>15.927292322385988</v>
      </c>
      <c r="BT714" s="1020">
        <f t="shared" si="838"/>
        <v>14.420042577171122</v>
      </c>
      <c r="BU714" s="1020">
        <f t="shared" si="838"/>
        <v>6.0406158558703797</v>
      </c>
      <c r="BV714" s="1020">
        <f t="shared" si="838"/>
        <v>12.507796431152371</v>
      </c>
      <c r="BW714" s="1021">
        <f t="shared" si="838"/>
        <v>14.859847195967234</v>
      </c>
      <c r="BX714" s="1020">
        <f t="shared" ca="1" si="838"/>
        <v>12.731440649465274</v>
      </c>
      <c r="BY714" s="1020">
        <f t="shared" ca="1" si="838"/>
        <v>9.2181203487851704</v>
      </c>
      <c r="BZ714" s="1020">
        <f t="shared" ca="1" si="838"/>
        <v>7.2093934127404893</v>
      </c>
      <c r="CA714" s="1020">
        <f t="shared" ca="1" si="838"/>
        <v>5.8192970588727091</v>
      </c>
      <c r="CB714" s="1020">
        <f t="shared" ca="1" si="838"/>
        <v>4.5884558961425421</v>
      </c>
      <c r="CC714" s="16"/>
    </row>
    <row r="715" spans="1:81" x14ac:dyDescent="0.55000000000000004">
      <c r="A715" s="73" t="str">
        <f>"P/CF - "&amp;MO.ValuationToggle</f>
        <v>P/CF - EoP</v>
      </c>
      <c r="B715" s="260"/>
      <c r="C715" s="575"/>
      <c r="D715" s="575"/>
      <c r="E715" s="575"/>
      <c r="F715" s="575"/>
      <c r="G715" s="575"/>
      <c r="H715" s="575"/>
      <c r="I715" s="575"/>
      <c r="J715" s="575"/>
      <c r="K715" s="575"/>
      <c r="L715" s="575"/>
      <c r="M715" s="575"/>
      <c r="N715" s="575"/>
      <c r="O715" s="575"/>
      <c r="P715" s="261"/>
      <c r="Q715" s="261"/>
      <c r="R715" s="261"/>
      <c r="S715" s="575"/>
      <c r="T715" s="261"/>
      <c r="U715" s="261"/>
      <c r="V715" s="261"/>
      <c r="W715" s="575"/>
      <c r="X715" s="261"/>
      <c r="Y715" s="261"/>
      <c r="Z715" s="261"/>
      <c r="AA715" s="575"/>
      <c r="AB715" s="261"/>
      <c r="AC715" s="261"/>
      <c r="AD715" s="261"/>
      <c r="AE715" s="575"/>
      <c r="AF715" s="261"/>
      <c r="AG715" s="261"/>
      <c r="AH715" s="261"/>
      <c r="AI715" s="575"/>
      <c r="AJ715" s="261"/>
      <c r="AK715" s="261"/>
      <c r="AL715" s="261"/>
      <c r="AM715" s="575"/>
      <c r="AN715" s="261"/>
      <c r="AO715" s="261"/>
      <c r="AP715" s="261"/>
      <c r="AQ715" s="575"/>
      <c r="AR715" s="261"/>
      <c r="AS715" s="261"/>
      <c r="AT715" s="261"/>
      <c r="AU715" s="575"/>
      <c r="AV715" s="261"/>
      <c r="AW715" s="261"/>
      <c r="AX715" s="261"/>
      <c r="AY715" s="670"/>
      <c r="AZ715" s="261"/>
      <c r="BA715" s="261"/>
      <c r="BB715" s="261"/>
      <c r="BC715" s="261"/>
      <c r="BD715" s="261"/>
      <c r="BE715" s="261"/>
      <c r="BF715" s="261"/>
      <c r="BG715" s="261"/>
      <c r="BH715" s="1020"/>
      <c r="BI715" s="1020"/>
      <c r="BJ715" s="1020"/>
      <c r="BK715" s="1022">
        <f t="shared" ref="BK715:CB715" si="839">BK709/BK663</f>
        <v>34.816165756823821</v>
      </c>
      <c r="BL715" s="1022">
        <f t="shared" si="839"/>
        <v>32.019912363808622</v>
      </c>
      <c r="BM715" s="1022">
        <f t="shared" si="839"/>
        <v>38.673644859813081</v>
      </c>
      <c r="BN715" s="1022">
        <f t="shared" si="839"/>
        <v>35.241965344807532</v>
      </c>
      <c r="BO715" s="1020">
        <f t="shared" si="839"/>
        <v>20.891560094363051</v>
      </c>
      <c r="BP715" s="1020">
        <f t="shared" si="839"/>
        <v>21.540128840436079</v>
      </c>
      <c r="BQ715" s="1020">
        <f t="shared" si="839"/>
        <v>13.290879278540682</v>
      </c>
      <c r="BR715" s="1020">
        <f t="shared" si="839"/>
        <v>16.188884727653246</v>
      </c>
      <c r="BS715" s="1020">
        <f t="shared" si="839"/>
        <v>20.263776808527112</v>
      </c>
      <c r="BT715" s="1020">
        <f t="shared" si="839"/>
        <v>17.067857774387601</v>
      </c>
      <c r="BU715" s="1020">
        <f t="shared" si="839"/>
        <v>6.4419748390292231</v>
      </c>
      <c r="BV715" s="1020">
        <f t="shared" si="839"/>
        <v>13.085664224544034</v>
      </c>
      <c r="BW715" s="1021">
        <f t="shared" si="839"/>
        <v>16.922535914505957</v>
      </c>
      <c r="BX715" s="1020">
        <f t="shared" ca="1" si="839"/>
        <v>13.258277945586718</v>
      </c>
      <c r="BY715" s="1020">
        <f t="shared" ca="1" si="839"/>
        <v>10.325148941785157</v>
      </c>
      <c r="BZ715" s="1020">
        <f t="shared" ca="1" si="839"/>
        <v>9.1879695111622564</v>
      </c>
      <c r="CA715" s="1020">
        <f t="shared" ca="1" si="839"/>
        <v>8.7318580670039552</v>
      </c>
      <c r="CB715" s="1020">
        <f t="shared" ca="1" si="839"/>
        <v>7.7973672330491981</v>
      </c>
      <c r="CC715" s="16"/>
    </row>
    <row r="716" spans="1:81" x14ac:dyDescent="0.55000000000000004">
      <c r="A716" s="28" t="str">
        <f>"FCF Yield % to "&amp;MO.ValuationToggle&amp;" Market Cap"</f>
        <v>FCF Yield % to EoP Market Cap</v>
      </c>
      <c r="B716" s="96"/>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408"/>
      <c r="AZ716" s="61"/>
      <c r="BA716" s="61"/>
      <c r="BB716" s="61"/>
      <c r="BC716" s="61"/>
      <c r="BD716" s="61"/>
      <c r="BE716" s="61"/>
      <c r="BF716" s="61"/>
      <c r="BG716" s="61"/>
      <c r="BH716" s="831"/>
      <c r="BI716" s="831"/>
      <c r="BJ716" s="831"/>
      <c r="BK716" s="1023">
        <f t="shared" ref="BK716:CB716" si="840">BK684/BK710</f>
        <v>5.7743631381199064E-3</v>
      </c>
      <c r="BL716" s="1023">
        <f t="shared" si="840"/>
        <v>2.0211512548622513E-2</v>
      </c>
      <c r="BM716" s="1023">
        <f t="shared" si="840"/>
        <v>1.6157007213685456E-2</v>
      </c>
      <c r="BN716" s="1023">
        <f t="shared" si="840"/>
        <v>1.981365899388483E-2</v>
      </c>
      <c r="BO716" s="831">
        <f t="shared" si="840"/>
        <v>3.432137654216489E-2</v>
      </c>
      <c r="BP716" s="831">
        <f t="shared" si="840"/>
        <v>3.3551059231292903E-2</v>
      </c>
      <c r="BQ716" s="831">
        <f t="shared" si="840"/>
        <v>4.0204953907882778E-2</v>
      </c>
      <c r="BR716" s="831">
        <f t="shared" si="840"/>
        <v>3.5216507371346822E-2</v>
      </c>
      <c r="BS716" s="831">
        <f t="shared" si="840"/>
        <v>2.9318881065300548E-2</v>
      </c>
      <c r="BT716" s="831">
        <f t="shared" si="840"/>
        <v>4.0225031629375921E-2</v>
      </c>
      <c r="BU716" s="831">
        <f t="shared" si="840"/>
        <v>5.7793692590666912E-2</v>
      </c>
      <c r="BV716" s="831">
        <f t="shared" si="840"/>
        <v>4.6052015562694733E-2</v>
      </c>
      <c r="BW716" s="832">
        <f t="shared" si="840"/>
        <v>3.3842149660517185E-2</v>
      </c>
      <c r="BX716" s="831">
        <f t="shared" ca="1" si="840"/>
        <v>3.3292857700345665E-2</v>
      </c>
      <c r="BY716" s="831">
        <f t="shared" ca="1" si="840"/>
        <v>6.8679229773340789E-2</v>
      </c>
      <c r="BZ716" s="831">
        <f t="shared" ca="1" si="840"/>
        <v>8.0803379535908174E-2</v>
      </c>
      <c r="CA716" s="831">
        <f t="shared" ca="1" si="840"/>
        <v>8.6362110739896608E-2</v>
      </c>
      <c r="CB716" s="831">
        <f t="shared" ca="1" si="840"/>
        <v>9.9986046433024292E-2</v>
      </c>
      <c r="CC716" s="24"/>
    </row>
    <row r="717" spans="1:81" x14ac:dyDescent="0.55000000000000004">
      <c r="A717" s="28" t="str">
        <f>"FCF Yield % to "&amp;MO.ValuationToggle&amp;" Enterprise Value"</f>
        <v>FCF Yield % to EoP Enterprise Value</v>
      </c>
      <c r="B717" s="96"/>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408"/>
      <c r="AZ717" s="61"/>
      <c r="BA717" s="61"/>
      <c r="BB717" s="61"/>
      <c r="BC717" s="61"/>
      <c r="BD717" s="61"/>
      <c r="BE717" s="61"/>
      <c r="BF717" s="61"/>
      <c r="BG717" s="61"/>
      <c r="BH717" s="831"/>
      <c r="BI717" s="831"/>
      <c r="BJ717" s="831"/>
      <c r="BK717" s="1023">
        <f t="shared" ref="BK717:CB717" si="841">BK684/BK711</f>
        <v>6.4979178376044812E-3</v>
      </c>
      <c r="BL717" s="1023">
        <f t="shared" si="841"/>
        <v>2.1910586002861339E-2</v>
      </c>
      <c r="BM717" s="1023">
        <f t="shared" si="841"/>
        <v>1.6987047681488465E-2</v>
      </c>
      <c r="BN717" s="1023">
        <f t="shared" si="841"/>
        <v>2.1072554163504568E-2</v>
      </c>
      <c r="BO717" s="831">
        <f t="shared" si="841"/>
        <v>3.7592050690535915E-2</v>
      </c>
      <c r="BP717" s="831">
        <f t="shared" si="841"/>
        <v>3.6470375262075409E-2</v>
      </c>
      <c r="BQ717" s="831">
        <f t="shared" si="841"/>
        <v>4.5067673400066788E-2</v>
      </c>
      <c r="BR717" s="831">
        <f t="shared" si="841"/>
        <v>3.8123307309470653E-2</v>
      </c>
      <c r="BS717" s="831">
        <f t="shared" si="841"/>
        <v>3.1383796892374465E-2</v>
      </c>
      <c r="BT717" s="831">
        <f t="shared" si="841"/>
        <v>4.1726642133715443E-2</v>
      </c>
      <c r="BU717" s="831">
        <f t="shared" si="841"/>
        <v>6.0697766092681224E-2</v>
      </c>
      <c r="BV717" s="831">
        <f t="shared" si="841"/>
        <v>4.754275225525021E-2</v>
      </c>
      <c r="BW717" s="832">
        <f t="shared" si="841"/>
        <v>3.4521645269691155E-2</v>
      </c>
      <c r="BX717" s="831">
        <f t="shared" ca="1" si="841"/>
        <v>3.448729695429973E-2</v>
      </c>
      <c r="BY717" s="831">
        <f t="shared" ca="1" si="841"/>
        <v>7.6293139818284728E-2</v>
      </c>
      <c r="BZ717" s="831">
        <f t="shared" ca="1" si="841"/>
        <v>9.7726938002748981E-2</v>
      </c>
      <c r="CA717" s="831">
        <f t="shared" ca="1" si="841"/>
        <v>0.11550853105394034</v>
      </c>
      <c r="CB717" s="831">
        <f t="shared" ca="1" si="841"/>
        <v>0.15272315324768798</v>
      </c>
      <c r="CC717" s="24"/>
    </row>
    <row r="718" spans="1:81" outlineLevel="1" x14ac:dyDescent="0.55000000000000004">
      <c r="A718" s="262"/>
      <c r="B718" s="96"/>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408"/>
      <c r="AZ718" s="61"/>
      <c r="BA718" s="61"/>
      <c r="BB718" s="61"/>
      <c r="BC718" s="61"/>
      <c r="BD718" s="61"/>
      <c r="BE718" s="61"/>
      <c r="BF718" s="61"/>
      <c r="BG718" s="61"/>
      <c r="BH718" s="831"/>
      <c r="BI718" s="831"/>
      <c r="BJ718" s="831"/>
      <c r="BK718" s="831"/>
      <c r="BL718" s="831"/>
      <c r="BM718" s="831"/>
      <c r="BN718" s="831"/>
      <c r="BO718" s="831"/>
      <c r="BP718" s="831"/>
      <c r="BQ718" s="831"/>
      <c r="BR718" s="831"/>
      <c r="BS718" s="831"/>
      <c r="BT718" s="831"/>
      <c r="BU718" s="831"/>
      <c r="BV718" s="831"/>
      <c r="BW718" s="832"/>
      <c r="BX718" s="831"/>
      <c r="BY718" s="831"/>
      <c r="BZ718" s="831"/>
      <c r="CA718" s="831"/>
      <c r="CB718" s="831"/>
      <c r="CC718" s="24"/>
    </row>
    <row r="719" spans="1:81" outlineLevel="1" x14ac:dyDescent="0.55000000000000004">
      <c r="A719" s="136" t="str">
        <f ca="1">"Stock High, "&amp;HP.TradeCurrency</f>
        <v>Stock High, USD</v>
      </c>
      <c r="B719" s="263"/>
      <c r="C719" s="576">
        <f t="shared" ref="C719:AH719" ca="1" si="842">IF(INDEX(MO_SNA_IsHistoricalPeriod,1,COLUMN())=FALSE,0,INDEX(MO_SPT_StockHigh,1,COLUMN()))</f>
        <v>32.51</v>
      </c>
      <c r="D719" s="576">
        <f t="shared" ca="1" si="842"/>
        <v>29.07</v>
      </c>
      <c r="E719" s="576">
        <f t="shared" ca="1" si="842"/>
        <v>51.6</v>
      </c>
      <c r="F719" s="576">
        <f t="shared" ca="1" si="842"/>
        <v>58.58</v>
      </c>
      <c r="G719" s="576">
        <f t="shared" ca="1" si="842"/>
        <v>72.59</v>
      </c>
      <c r="H719" s="576">
        <f t="shared" ca="1" si="842"/>
        <v>68</v>
      </c>
      <c r="I719" s="576">
        <f t="shared" ca="1" si="842"/>
        <v>79.709999999999994</v>
      </c>
      <c r="J719" s="576">
        <f t="shared" ca="1" si="842"/>
        <v>82.17</v>
      </c>
      <c r="K719" s="576">
        <f t="shared" ca="1" si="842"/>
        <v>86.07</v>
      </c>
      <c r="L719" s="576">
        <f t="shared" ca="1" si="842"/>
        <v>89.4</v>
      </c>
      <c r="M719" s="576">
        <f t="shared" ca="1" si="842"/>
        <v>99.24</v>
      </c>
      <c r="N719" s="576">
        <f t="shared" ca="1" si="842"/>
        <v>110.65</v>
      </c>
      <c r="O719" s="576">
        <f t="shared" ca="1" si="842"/>
        <v>117.59</v>
      </c>
      <c r="P719" s="576">
        <f t="shared" ca="1" si="842"/>
        <v>121.08</v>
      </c>
      <c r="Q719" s="576">
        <f t="shared" ca="1" si="842"/>
        <v>131.97999999999999</v>
      </c>
      <c r="R719" s="576">
        <f t="shared" ca="1" si="842"/>
        <v>133.5</v>
      </c>
      <c r="S719" s="576">
        <f t="shared" ca="1" si="842"/>
        <v>142.94999999999999</v>
      </c>
      <c r="T719" s="576">
        <f t="shared" ca="1" si="842"/>
        <v>156.5</v>
      </c>
      <c r="U719" s="576">
        <f t="shared" ca="1" si="842"/>
        <v>175.49</v>
      </c>
      <c r="V719" s="576">
        <f t="shared" ca="1" si="842"/>
        <v>184.25</v>
      </c>
      <c r="W719" s="576">
        <f t="shared" ca="1" si="842"/>
        <v>193.09</v>
      </c>
      <c r="X719" s="576">
        <f t="shared" ca="1" si="842"/>
        <v>202</v>
      </c>
      <c r="Y719" s="576">
        <f t="shared" ca="1" si="842"/>
        <v>217.5</v>
      </c>
      <c r="Z719" s="576">
        <f t="shared" ca="1" si="842"/>
        <v>162.44</v>
      </c>
      <c r="AA719" s="576">
        <f t="shared" ca="1" si="842"/>
        <v>173.37</v>
      </c>
      <c r="AB719" s="576">
        <f t="shared" ca="1" si="842"/>
        <v>195.47</v>
      </c>
      <c r="AC719" s="576">
        <f t="shared" ca="1" si="842"/>
        <v>204.87</v>
      </c>
      <c r="AD719" s="576">
        <f t="shared" ca="1" si="842"/>
        <v>208.1</v>
      </c>
      <c r="AE719" s="576">
        <f t="shared" ca="1" si="842"/>
        <v>223.23</v>
      </c>
      <c r="AF719" s="576">
        <f t="shared" ca="1" si="842"/>
        <v>242.24</v>
      </c>
      <c r="AG719" s="576">
        <f t="shared" ca="1" si="842"/>
        <v>303.91000000000003</v>
      </c>
      <c r="AH719" s="576">
        <f t="shared" ca="1" si="842"/>
        <v>294.68</v>
      </c>
      <c r="AI719" s="576">
        <f t="shared" ref="AI719:BF719" ca="1" si="843">IF(INDEX(MO_SNA_IsHistoricalPeriod,1,COLUMN())=FALSE,0,INDEX(MO_SPT_StockHigh,1,COLUMN()))</f>
        <v>294.52999999999997</v>
      </c>
      <c r="AJ719" s="576">
        <f t="shared" ca="1" si="843"/>
        <v>355.64</v>
      </c>
      <c r="AK719" s="576">
        <f t="shared" ca="1" si="843"/>
        <v>382.18</v>
      </c>
      <c r="AL719" s="576">
        <f t="shared" ca="1" si="843"/>
        <v>347.56</v>
      </c>
      <c r="AM719" s="576">
        <f t="shared" ca="1" si="843"/>
        <v>338.54</v>
      </c>
      <c r="AN719" s="576">
        <f t="shared" ca="1" si="843"/>
        <v>233.89</v>
      </c>
      <c r="AO719" s="576">
        <f t="shared" ca="1" si="843"/>
        <v>183.17</v>
      </c>
      <c r="AP719" s="576">
        <f t="shared" ca="1" si="843"/>
        <v>140.28</v>
      </c>
      <c r="AQ719" s="576">
        <f t="shared" ca="1" si="843"/>
        <v>211.94</v>
      </c>
      <c r="AR719" s="576">
        <f t="shared" ca="1" si="843"/>
        <v>288.73</v>
      </c>
      <c r="AS719" s="576">
        <f t="shared" ca="1" si="843"/>
        <v>325.48</v>
      </c>
      <c r="AT719" s="576">
        <f t="shared" ca="1" si="843"/>
        <v>358.32</v>
      </c>
      <c r="AU719" s="576">
        <f t="shared" ca="1" si="843"/>
        <v>512.19000000000005</v>
      </c>
      <c r="AV719" s="576">
        <f t="shared" ca="1" si="843"/>
        <v>527.34</v>
      </c>
      <c r="AW719" s="576">
        <f t="shared" ca="1" si="843"/>
        <v>572.44000000000005</v>
      </c>
      <c r="AX719" s="576">
        <f t="shared" ca="1" si="843"/>
        <v>632.67999999999995</v>
      </c>
      <c r="AY719" s="1165">
        <f t="shared" ca="1" si="843"/>
        <v>736.67</v>
      </c>
      <c r="AZ719" s="369">
        <f t="shared" si="843"/>
        <v>0</v>
      </c>
      <c r="BA719" s="369">
        <f t="shared" si="843"/>
        <v>0</v>
      </c>
      <c r="BB719" s="369">
        <f t="shared" si="843"/>
        <v>0</v>
      </c>
      <c r="BC719" s="369">
        <f t="shared" si="843"/>
        <v>0</v>
      </c>
      <c r="BD719" s="369">
        <f t="shared" si="843"/>
        <v>0</v>
      </c>
      <c r="BE719" s="369">
        <f t="shared" si="843"/>
        <v>0</v>
      </c>
      <c r="BF719" s="369">
        <f t="shared" si="843"/>
        <v>0</v>
      </c>
      <c r="BG719" s="369"/>
      <c r="BH719" s="1024">
        <f t="shared" ref="BH719:CB719" ca="1" si="844">IF(INDEX(MO_SNA_IsHistoricalPeriod,1,COLUMN())=FALSE,0,INDEX(MO_SPT_StockHigh,1,COLUMN()))</f>
        <v>0</v>
      </c>
      <c r="BI719" s="1024">
        <f t="shared" ca="1" si="844"/>
        <v>0</v>
      </c>
      <c r="BJ719" s="1024">
        <f t="shared" ca="1" si="844"/>
        <v>0</v>
      </c>
      <c r="BK719" s="1024">
        <f t="shared" ca="1" si="844"/>
        <v>45</v>
      </c>
      <c r="BL719" s="1024">
        <f t="shared" ca="1" si="844"/>
        <v>58.58</v>
      </c>
      <c r="BM719" s="1024">
        <f t="shared" ca="1" si="844"/>
        <v>82.17</v>
      </c>
      <c r="BN719" s="1024">
        <f t="shared" ca="1" si="844"/>
        <v>110.65</v>
      </c>
      <c r="BO719" s="963">
        <f t="shared" ca="1" si="844"/>
        <v>133.5</v>
      </c>
      <c r="BP719" s="963">
        <f t="shared" ca="1" si="844"/>
        <v>184.25</v>
      </c>
      <c r="BQ719" s="963">
        <f t="shared" ca="1" si="844"/>
        <v>217.5</v>
      </c>
      <c r="BR719" s="963">
        <f t="shared" ca="1" si="844"/>
        <v>208.1</v>
      </c>
      <c r="BS719" s="963">
        <f t="shared" ca="1" si="844"/>
        <v>303.91000000000003</v>
      </c>
      <c r="BT719" s="963">
        <f t="shared" ca="1" si="844"/>
        <v>382.18</v>
      </c>
      <c r="BU719" s="963">
        <f t="shared" ca="1" si="844"/>
        <v>338.54</v>
      </c>
      <c r="BV719" s="963">
        <f t="shared" ca="1" si="844"/>
        <v>358.32</v>
      </c>
      <c r="BW719" s="964">
        <f t="shared" ca="1" si="844"/>
        <v>632.67999999999995</v>
      </c>
      <c r="BX719" s="963">
        <f t="shared" si="844"/>
        <v>0</v>
      </c>
      <c r="BY719" s="963">
        <f t="shared" si="844"/>
        <v>0</v>
      </c>
      <c r="BZ719" s="963">
        <f t="shared" si="844"/>
        <v>0</v>
      </c>
      <c r="CA719" s="963">
        <f t="shared" si="844"/>
        <v>0</v>
      </c>
      <c r="CB719" s="963">
        <f t="shared" si="844"/>
        <v>0</v>
      </c>
      <c r="CC719" s="113"/>
    </row>
    <row r="720" spans="1:81" outlineLevel="1" x14ac:dyDescent="0.55000000000000004">
      <c r="A720" s="136" t="str">
        <f ca="1">"Stock Low, "&amp;HP.TradeCurrency</f>
        <v>Stock Low, USD</v>
      </c>
      <c r="B720" s="263"/>
      <c r="C720" s="576">
        <f t="shared" ref="C720:AH720" ca="1" si="845">IF(INDEX(MO_SNA_IsHistoricalPeriod,1,COLUMN())=FALSE,0,INDEX(MO_SPT_StockLow,1,COLUMN()))</f>
        <v>24.72</v>
      </c>
      <c r="D720" s="576">
        <f t="shared" ca="1" si="845"/>
        <v>22.67</v>
      </c>
      <c r="E720" s="576">
        <f t="shared" ca="1" si="845"/>
        <v>24.15</v>
      </c>
      <c r="F720" s="576">
        <f t="shared" ca="1" si="845"/>
        <v>43.55</v>
      </c>
      <c r="G720" s="576">
        <f t="shared" ca="1" si="845"/>
        <v>51.85</v>
      </c>
      <c r="H720" s="576">
        <f t="shared" ca="1" si="845"/>
        <v>54.66</v>
      </c>
      <c r="I720" s="576">
        <f t="shared" ca="1" si="845"/>
        <v>62.21</v>
      </c>
      <c r="J720" s="576">
        <f t="shared" ca="1" si="845"/>
        <v>70.319999999999993</v>
      </c>
      <c r="K720" s="576">
        <f t="shared" ca="1" si="845"/>
        <v>73.45</v>
      </c>
      <c r="L720" s="576">
        <f t="shared" ca="1" si="845"/>
        <v>76.790000000000006</v>
      </c>
      <c r="M720" s="576">
        <f t="shared" ca="1" si="845"/>
        <v>72</v>
      </c>
      <c r="N720" s="576">
        <f t="shared" ca="1" si="845"/>
        <v>88.36</v>
      </c>
      <c r="O720" s="576">
        <f t="shared" ca="1" si="845"/>
        <v>89.37</v>
      </c>
      <c r="P720" s="576">
        <f t="shared" ca="1" si="845"/>
        <v>106.31</v>
      </c>
      <c r="Q720" s="576">
        <f t="shared" ca="1" si="845"/>
        <v>112.97</v>
      </c>
      <c r="R720" s="576">
        <f t="shared" ca="1" si="845"/>
        <v>113.55</v>
      </c>
      <c r="S720" s="576">
        <f t="shared" ca="1" si="845"/>
        <v>115.51</v>
      </c>
      <c r="T720" s="576">
        <f t="shared" ca="1" si="845"/>
        <v>138.81</v>
      </c>
      <c r="U720" s="576">
        <f t="shared" ca="1" si="845"/>
        <v>147.80000000000001</v>
      </c>
      <c r="V720" s="576">
        <f t="shared" ca="1" si="845"/>
        <v>168.29</v>
      </c>
      <c r="W720" s="576">
        <f t="shared" ca="1" si="845"/>
        <v>152.22</v>
      </c>
      <c r="X720" s="576">
        <f t="shared" ca="1" si="845"/>
        <v>155.1</v>
      </c>
      <c r="Y720" s="576">
        <f t="shared" ca="1" si="845"/>
        <v>160.30000000000001</v>
      </c>
      <c r="Z720" s="576">
        <f t="shared" ca="1" si="845"/>
        <v>124.06</v>
      </c>
      <c r="AA720" s="576">
        <f t="shared" ca="1" si="845"/>
        <v>131.74</v>
      </c>
      <c r="AB720" s="576">
        <f t="shared" ca="1" si="845"/>
        <v>164.15</v>
      </c>
      <c r="AC720" s="576">
        <f t="shared" ca="1" si="845"/>
        <v>177.1</v>
      </c>
      <c r="AD720" s="576">
        <f t="shared" ca="1" si="845"/>
        <v>174.6</v>
      </c>
      <c r="AE720" s="576">
        <f t="shared" ca="1" si="845"/>
        <v>146.01</v>
      </c>
      <c r="AF720" s="576">
        <f t="shared" ca="1" si="845"/>
        <v>154.18</v>
      </c>
      <c r="AG720" s="576">
        <f t="shared" ca="1" si="845"/>
        <v>230.12</v>
      </c>
      <c r="AH720" s="576">
        <f t="shared" ca="1" si="845"/>
        <v>258.12</v>
      </c>
      <c r="AI720" s="576">
        <f t="shared" ref="AI720:BF720" ca="1" si="846">IF(INDEX(MO_SNA_IsHistoricalPeriod,1,COLUMN())=FALSE,0,INDEX(MO_SPT_StockLow,1,COLUMN()))</f>
        <v>245.64</v>
      </c>
      <c r="AJ720" s="576">
        <f t="shared" ca="1" si="846"/>
        <v>296.52</v>
      </c>
      <c r="AK720" s="576">
        <f t="shared" ca="1" si="846"/>
        <v>336.95</v>
      </c>
      <c r="AL720" s="576">
        <f t="shared" ca="1" si="846"/>
        <v>306.83999999999997</v>
      </c>
      <c r="AM720" s="576">
        <f t="shared" ca="1" si="846"/>
        <v>186.63</v>
      </c>
      <c r="AN720" s="576">
        <f t="shared" ca="1" si="846"/>
        <v>155.85</v>
      </c>
      <c r="AO720" s="576">
        <f t="shared" ca="1" si="846"/>
        <v>134.4</v>
      </c>
      <c r="AP720" s="576">
        <f t="shared" ca="1" si="846"/>
        <v>88.91</v>
      </c>
      <c r="AQ720" s="576">
        <f t="shared" ca="1" si="846"/>
        <v>124.74</v>
      </c>
      <c r="AR720" s="576">
        <f t="shared" ca="1" si="846"/>
        <v>207.55</v>
      </c>
      <c r="AS720" s="576">
        <f t="shared" ca="1" si="846"/>
        <v>283.25</v>
      </c>
      <c r="AT720" s="576">
        <f t="shared" ca="1" si="846"/>
        <v>288.35000000000002</v>
      </c>
      <c r="AU720" s="576">
        <f t="shared" ca="1" si="846"/>
        <v>344.47</v>
      </c>
      <c r="AV720" s="576">
        <f t="shared" ca="1" si="846"/>
        <v>430.17</v>
      </c>
      <c r="AW720" s="576">
        <f t="shared" ca="1" si="846"/>
        <v>453.41</v>
      </c>
      <c r="AX720" s="576">
        <f t="shared" ca="1" si="846"/>
        <v>554.08000000000004</v>
      </c>
      <c r="AY720" s="1165">
        <f t="shared" ca="1" si="846"/>
        <v>576.36</v>
      </c>
      <c r="AZ720" s="369">
        <f t="shared" si="846"/>
        <v>0</v>
      </c>
      <c r="BA720" s="369">
        <f t="shared" si="846"/>
        <v>0</v>
      </c>
      <c r="BB720" s="369">
        <f t="shared" si="846"/>
        <v>0</v>
      </c>
      <c r="BC720" s="369">
        <f t="shared" si="846"/>
        <v>0</v>
      </c>
      <c r="BD720" s="369">
        <f t="shared" si="846"/>
        <v>0</v>
      </c>
      <c r="BE720" s="369">
        <f t="shared" si="846"/>
        <v>0</v>
      </c>
      <c r="BF720" s="369">
        <f t="shared" si="846"/>
        <v>0</v>
      </c>
      <c r="BG720" s="369"/>
      <c r="BH720" s="1024">
        <f t="shared" ref="BH720:CB720" ca="1" si="847">IF(INDEX(MO_SNA_IsHistoricalPeriod,1,COLUMN())=FALSE,0,INDEX(MO_SPT_StockLow,1,COLUMN()))</f>
        <v>0</v>
      </c>
      <c r="BI720" s="1024">
        <f t="shared" ca="1" si="847"/>
        <v>0</v>
      </c>
      <c r="BJ720" s="1024">
        <f t="shared" ca="1" si="847"/>
        <v>0</v>
      </c>
      <c r="BK720" s="1024">
        <f t="shared" ca="1" si="847"/>
        <v>17.55</v>
      </c>
      <c r="BL720" s="1024">
        <f t="shared" ca="1" si="847"/>
        <v>22.67</v>
      </c>
      <c r="BM720" s="1024">
        <f t="shared" ca="1" si="847"/>
        <v>51.85</v>
      </c>
      <c r="BN720" s="1024">
        <f t="shared" ca="1" si="847"/>
        <v>72</v>
      </c>
      <c r="BO720" s="963">
        <f t="shared" ca="1" si="847"/>
        <v>89.37</v>
      </c>
      <c r="BP720" s="963">
        <f t="shared" ca="1" si="847"/>
        <v>115.51</v>
      </c>
      <c r="BQ720" s="963">
        <f t="shared" ca="1" si="847"/>
        <v>124.06</v>
      </c>
      <c r="BR720" s="963">
        <f t="shared" ca="1" si="847"/>
        <v>131.74</v>
      </c>
      <c r="BS720" s="963">
        <f t="shared" ca="1" si="847"/>
        <v>146.01</v>
      </c>
      <c r="BT720" s="963">
        <f t="shared" ca="1" si="847"/>
        <v>245.64</v>
      </c>
      <c r="BU720" s="963">
        <f t="shared" ca="1" si="847"/>
        <v>88.91</v>
      </c>
      <c r="BV720" s="963">
        <f t="shared" ca="1" si="847"/>
        <v>124.74</v>
      </c>
      <c r="BW720" s="964">
        <f t="shared" ca="1" si="847"/>
        <v>344.47</v>
      </c>
      <c r="BX720" s="963">
        <f t="shared" si="847"/>
        <v>0</v>
      </c>
      <c r="BY720" s="963">
        <f t="shared" si="847"/>
        <v>0</v>
      </c>
      <c r="BZ720" s="963">
        <f t="shared" si="847"/>
        <v>0</v>
      </c>
      <c r="CA720" s="963">
        <f t="shared" si="847"/>
        <v>0</v>
      </c>
      <c r="CB720" s="963">
        <f t="shared" si="847"/>
        <v>0</v>
      </c>
      <c r="CC720" s="113"/>
    </row>
    <row r="721" spans="1:81" outlineLevel="1" x14ac:dyDescent="0.55000000000000004">
      <c r="A721" s="136" t="str">
        <f ca="1">"Stock Average, "&amp;HP.TradeCurrency</f>
        <v>Stock Average, USD</v>
      </c>
      <c r="B721" s="263"/>
      <c r="C721" s="576">
        <f t="shared" ref="C721:AH721" ca="1" si="848">IF(INDEX(MO_SNA_IsHistoricalPeriod,1,COLUMN())=FALSE,0,INDEX(MO_SPT_StockAverage,1,COLUMN()))</f>
        <v>28.614999999999998</v>
      </c>
      <c r="D721" s="576">
        <f t="shared" ca="1" si="848"/>
        <v>25.87</v>
      </c>
      <c r="E721" s="576">
        <f t="shared" ca="1" si="848"/>
        <v>37.875</v>
      </c>
      <c r="F721" s="576">
        <f t="shared" ca="1" si="848"/>
        <v>51.064999999999998</v>
      </c>
      <c r="G721" s="576">
        <f t="shared" ca="1" si="848"/>
        <v>62.22</v>
      </c>
      <c r="H721" s="576">
        <f t="shared" ca="1" si="848"/>
        <v>61.33</v>
      </c>
      <c r="I721" s="576">
        <f t="shared" ca="1" si="848"/>
        <v>70.959999999999994</v>
      </c>
      <c r="J721" s="576">
        <f t="shared" ca="1" si="848"/>
        <v>76.245000000000005</v>
      </c>
      <c r="K721" s="576">
        <f t="shared" ca="1" si="848"/>
        <v>79.760000000000005</v>
      </c>
      <c r="L721" s="576">
        <f t="shared" ca="1" si="848"/>
        <v>83.094999999999999</v>
      </c>
      <c r="M721" s="576">
        <f t="shared" ca="1" si="848"/>
        <v>85.62</v>
      </c>
      <c r="N721" s="576">
        <f t="shared" ca="1" si="848"/>
        <v>99.504999999999995</v>
      </c>
      <c r="O721" s="576">
        <f t="shared" ca="1" si="848"/>
        <v>103.48</v>
      </c>
      <c r="P721" s="576">
        <f t="shared" ca="1" si="848"/>
        <v>113.69499999999999</v>
      </c>
      <c r="Q721" s="576">
        <f t="shared" ca="1" si="848"/>
        <v>122.47499999999999</v>
      </c>
      <c r="R721" s="576">
        <f t="shared" ca="1" si="848"/>
        <v>123.52500000000001</v>
      </c>
      <c r="S721" s="576">
        <f t="shared" ca="1" si="848"/>
        <v>129.22999999999999</v>
      </c>
      <c r="T721" s="576">
        <f t="shared" ca="1" si="848"/>
        <v>147.655</v>
      </c>
      <c r="U721" s="576">
        <f t="shared" ca="1" si="848"/>
        <v>161.64500000000001</v>
      </c>
      <c r="V721" s="576">
        <f t="shared" ca="1" si="848"/>
        <v>176.27</v>
      </c>
      <c r="W721" s="576">
        <f t="shared" ca="1" si="848"/>
        <v>179.551147540984</v>
      </c>
      <c r="X721" s="576">
        <f t="shared" ca="1" si="848"/>
        <v>180.70468750000001</v>
      </c>
      <c r="Y721" s="576">
        <f t="shared" ca="1" si="848"/>
        <v>181.028492063492</v>
      </c>
      <c r="Z721" s="576">
        <f t="shared" ca="1" si="848"/>
        <v>144.86873015872999</v>
      </c>
      <c r="AA721" s="576">
        <f t="shared" ca="1" si="848"/>
        <v>159.03245901639301</v>
      </c>
      <c r="AB721" s="576">
        <f t="shared" ca="1" si="848"/>
        <v>182.71</v>
      </c>
      <c r="AC721" s="576">
        <f t="shared" ca="1" si="848"/>
        <v>190.07421875</v>
      </c>
      <c r="AD721" s="576">
        <f t="shared" ca="1" si="848"/>
        <v>193.69046875000001</v>
      </c>
      <c r="AE721" s="576">
        <f t="shared" ca="1" si="848"/>
        <v>195.78322580645201</v>
      </c>
      <c r="AF721" s="576">
        <f t="shared" ca="1" si="848"/>
        <v>208.77888888888901</v>
      </c>
      <c r="AG721" s="576">
        <f t="shared" ca="1" si="848"/>
        <v>257.88671875</v>
      </c>
      <c r="AH721" s="576">
        <f t="shared" ca="1" si="848"/>
        <v>274.14046875000003</v>
      </c>
      <c r="AI721" s="576">
        <f t="shared" ref="AI721:BF721" ca="1" si="849">IF(INDEX(MO_SNA_IsHistoricalPeriod,1,COLUMN())=FALSE,0,INDEX(MO_SPT_StockAverage,1,COLUMN()))</f>
        <v>269.256639344262</v>
      </c>
      <c r="AJ721" s="576">
        <f t="shared" ca="1" si="849"/>
        <v>320.80825396825401</v>
      </c>
      <c r="AK721" s="576">
        <f t="shared" ca="1" si="849"/>
        <v>360.16562499999998</v>
      </c>
      <c r="AL721" s="576">
        <f t="shared" ca="1" si="849"/>
        <v>331.99546874999999</v>
      </c>
      <c r="AM721" s="576">
        <f t="shared" ca="1" si="849"/>
        <v>249.926290322581</v>
      </c>
      <c r="AN721" s="576">
        <f t="shared" ca="1" si="849"/>
        <v>192.91548387096799</v>
      </c>
      <c r="AO721" s="576">
        <f t="shared" ca="1" si="849"/>
        <v>162.08000000000001</v>
      </c>
      <c r="AP721" s="576">
        <f t="shared" ca="1" si="849"/>
        <v>117.425396825397</v>
      </c>
      <c r="AQ721" s="576">
        <f t="shared" ca="1" si="849"/>
        <v>170.30322580645199</v>
      </c>
      <c r="AR721" s="576">
        <f t="shared" ca="1" si="849"/>
        <v>246.75991935483901</v>
      </c>
      <c r="AS721" s="576">
        <f t="shared" ca="1" si="849"/>
        <v>301.30031746031699</v>
      </c>
      <c r="AT721" s="576">
        <f t="shared" ca="1" si="849"/>
        <v>325.65444444444398</v>
      </c>
      <c r="AU721" s="576">
        <f t="shared" ca="1" si="849"/>
        <v>446.07409836065602</v>
      </c>
      <c r="AV721" s="576">
        <f t="shared" ca="1" si="849"/>
        <v>486.094285714286</v>
      </c>
      <c r="AW721" s="576">
        <f t="shared" ca="1" si="849"/>
        <v>514.54695312499996</v>
      </c>
      <c r="AX721" s="576">
        <f t="shared" ca="1" si="849"/>
        <v>586.97515625000005</v>
      </c>
      <c r="AY721" s="1165">
        <f t="shared" ca="1" si="849"/>
        <v>645.17049999999995</v>
      </c>
      <c r="AZ721" s="369">
        <f t="shared" si="849"/>
        <v>0</v>
      </c>
      <c r="BA721" s="369">
        <f t="shared" si="849"/>
        <v>0</v>
      </c>
      <c r="BB721" s="369">
        <f t="shared" si="849"/>
        <v>0</v>
      </c>
      <c r="BC721" s="369">
        <f t="shared" si="849"/>
        <v>0</v>
      </c>
      <c r="BD721" s="369">
        <f t="shared" si="849"/>
        <v>0</v>
      </c>
      <c r="BE721" s="369">
        <f t="shared" si="849"/>
        <v>0</v>
      </c>
      <c r="BF721" s="369">
        <f t="shared" si="849"/>
        <v>0</v>
      </c>
      <c r="BG721" s="369"/>
      <c r="BH721" s="1024">
        <f t="shared" ref="BH721:CB721" ca="1" si="850">IF(INDEX(MO_SNA_IsHistoricalPeriod,1,COLUMN())=FALSE,0,INDEX(MO_SPT_StockAverage,1,COLUMN()))</f>
        <v>0</v>
      </c>
      <c r="BI721" s="1024">
        <f t="shared" ca="1" si="850"/>
        <v>0</v>
      </c>
      <c r="BJ721" s="1024">
        <f t="shared" ca="1" si="850"/>
        <v>0</v>
      </c>
      <c r="BK721" s="1024">
        <f t="shared" ca="1" si="850"/>
        <v>28.105</v>
      </c>
      <c r="BL721" s="1024">
        <f t="shared" ca="1" si="850"/>
        <v>35.856250000000003</v>
      </c>
      <c r="BM721" s="1024">
        <f t="shared" ca="1" si="850"/>
        <v>67.688749999999999</v>
      </c>
      <c r="BN721" s="1024">
        <f t="shared" ca="1" si="850"/>
        <v>86.995000000000005</v>
      </c>
      <c r="BO721" s="963">
        <f t="shared" ca="1" si="850"/>
        <v>115.79375</v>
      </c>
      <c r="BP721" s="963">
        <f t="shared" ca="1" si="850"/>
        <v>153.69999999999999</v>
      </c>
      <c r="BQ721" s="963">
        <f t="shared" ca="1" si="850"/>
        <v>171.51093625498001</v>
      </c>
      <c r="BR721" s="963">
        <f t="shared" ca="1" si="850"/>
        <v>181.63749999999999</v>
      </c>
      <c r="BS721" s="963">
        <f t="shared" ca="1" si="850"/>
        <v>234.550869565217</v>
      </c>
      <c r="BT721" s="963">
        <f t="shared" ca="1" si="850"/>
        <v>321.16621031746001</v>
      </c>
      <c r="BU721" s="963">
        <f t="shared" ca="1" si="850"/>
        <v>180.18768924302799</v>
      </c>
      <c r="BV721" s="963">
        <f t="shared" ca="1" si="850"/>
        <v>261.42426</v>
      </c>
      <c r="BW721" s="964">
        <f t="shared" ca="1" si="850"/>
        <v>509.253472222222</v>
      </c>
      <c r="BX721" s="963">
        <f t="shared" si="850"/>
        <v>0</v>
      </c>
      <c r="BY721" s="963">
        <f t="shared" si="850"/>
        <v>0</v>
      </c>
      <c r="BZ721" s="963">
        <f t="shared" si="850"/>
        <v>0</v>
      </c>
      <c r="CA721" s="963">
        <f t="shared" si="850"/>
        <v>0</v>
      </c>
      <c r="CB721" s="963">
        <f t="shared" si="850"/>
        <v>0</v>
      </c>
      <c r="CC721" s="113"/>
    </row>
    <row r="722" spans="1:81" outlineLevel="1" x14ac:dyDescent="0.55000000000000004">
      <c r="A722" s="136" t="str">
        <f ca="1">"Stock EoP, "&amp;HP.TradeCurrency</f>
        <v>Stock EoP, USD</v>
      </c>
      <c r="B722" s="263"/>
      <c r="C722" s="577">
        <f t="shared" ref="C722:AH722" si="851">IF(INDEX(MO_SNA_IsHistoricalPeriod,1,COLUMN())=FALSE,MO.LastPrice,INDEX(MO_SPT_StockEoP,1,COLUMN()))</f>
        <v>25.58</v>
      </c>
      <c r="D722" s="577">
        <f t="shared" si="851"/>
        <v>24.88</v>
      </c>
      <c r="E722" s="577">
        <f t="shared" si="851"/>
        <v>51.24</v>
      </c>
      <c r="F722" s="577">
        <f t="shared" si="851"/>
        <v>53.71</v>
      </c>
      <c r="G722" s="577">
        <f t="shared" si="851"/>
        <v>60.01</v>
      </c>
      <c r="H722" s="577">
        <f t="shared" si="851"/>
        <v>67.599999999999994</v>
      </c>
      <c r="I722" s="577">
        <f t="shared" si="851"/>
        <v>79</v>
      </c>
      <c r="J722" s="577">
        <f t="shared" si="851"/>
        <v>79.22</v>
      </c>
      <c r="K722" s="577">
        <f t="shared" si="851"/>
        <v>83.194999999999993</v>
      </c>
      <c r="L722" s="577">
        <f t="shared" si="851"/>
        <v>85.8</v>
      </c>
      <c r="M722" s="577">
        <f t="shared" si="851"/>
        <v>86.67</v>
      </c>
      <c r="N722" s="577">
        <f t="shared" si="851"/>
        <v>106.22</v>
      </c>
      <c r="O722" s="577">
        <f t="shared" si="851"/>
        <v>114.7</v>
      </c>
      <c r="P722" s="577">
        <f t="shared" si="851"/>
        <v>114.16</v>
      </c>
      <c r="Q722" s="577">
        <f t="shared" si="851"/>
        <v>128.09</v>
      </c>
      <c r="R722" s="577">
        <f t="shared" si="851"/>
        <v>115.05</v>
      </c>
      <c r="S722" s="577">
        <f t="shared" si="851"/>
        <v>142.41</v>
      </c>
      <c r="T722" s="577">
        <f t="shared" si="851"/>
        <v>151.04</v>
      </c>
      <c r="U722" s="577">
        <f t="shared" si="851"/>
        <v>170.87</v>
      </c>
      <c r="V722" s="577">
        <f t="shared" si="851"/>
        <v>176.46</v>
      </c>
      <c r="W722" s="577">
        <f t="shared" si="851"/>
        <v>159.79</v>
      </c>
      <c r="X722" s="577">
        <f t="shared" si="851"/>
        <v>194.32</v>
      </c>
      <c r="Y722" s="577">
        <f t="shared" si="851"/>
        <v>164.46</v>
      </c>
      <c r="Z722" s="577">
        <f t="shared" si="851"/>
        <v>133.19999999999999</v>
      </c>
      <c r="AA722" s="577">
        <f t="shared" si="851"/>
        <v>166.69</v>
      </c>
      <c r="AB722" s="577">
        <f t="shared" si="851"/>
        <v>193</v>
      </c>
      <c r="AC722" s="577">
        <f t="shared" si="851"/>
        <v>177.1</v>
      </c>
      <c r="AD722" s="577">
        <f t="shared" si="851"/>
        <v>204.41</v>
      </c>
      <c r="AE722" s="577">
        <f t="shared" si="851"/>
        <v>165.95</v>
      </c>
      <c r="AF722" s="577">
        <f t="shared" si="851"/>
        <v>220.64</v>
      </c>
      <c r="AG722" s="577">
        <f t="shared" si="851"/>
        <v>261.79000000000002</v>
      </c>
      <c r="AH722" s="577">
        <f t="shared" si="851"/>
        <v>271.87</v>
      </c>
      <c r="AI722" s="577">
        <f t="shared" ref="AI722:BF722" si="852">IF(INDEX(MO_SNA_IsHistoricalPeriod,1,COLUMN())=FALSE,MO.LastPrice,INDEX(MO_SPT_StockEoP,1,COLUMN()))</f>
        <v>288</v>
      </c>
      <c r="AJ722" s="577">
        <f t="shared" si="852"/>
        <v>351.89</v>
      </c>
      <c r="AK722" s="577">
        <f t="shared" si="852"/>
        <v>339.61</v>
      </c>
      <c r="AL722" s="577">
        <f t="shared" si="852"/>
        <v>344.36</v>
      </c>
      <c r="AM722" s="577">
        <f t="shared" si="852"/>
        <v>227.85</v>
      </c>
      <c r="AN722" s="577">
        <f t="shared" si="852"/>
        <v>163.94</v>
      </c>
      <c r="AO722" s="577">
        <f t="shared" si="852"/>
        <v>136.41</v>
      </c>
      <c r="AP722" s="577">
        <f t="shared" si="852"/>
        <v>120.34</v>
      </c>
      <c r="AQ722" s="577">
        <f t="shared" si="852"/>
        <v>207.84</v>
      </c>
      <c r="AR722" s="577">
        <f t="shared" si="852"/>
        <v>281.52999999999997</v>
      </c>
      <c r="AS722" s="577">
        <f t="shared" si="852"/>
        <v>300.20999999999998</v>
      </c>
      <c r="AT722" s="577">
        <f t="shared" si="852"/>
        <v>353.96</v>
      </c>
      <c r="AU722" s="577">
        <f t="shared" si="852"/>
        <v>485.58</v>
      </c>
      <c r="AV722" s="577">
        <f t="shared" si="852"/>
        <v>504.22</v>
      </c>
      <c r="AW722" s="577">
        <f t="shared" si="852"/>
        <v>567.36</v>
      </c>
      <c r="AX722" s="577">
        <f t="shared" si="852"/>
        <v>591.24</v>
      </c>
      <c r="AY722" s="1166">
        <f t="shared" si="852"/>
        <v>576.74</v>
      </c>
      <c r="AZ722" s="370">
        <f t="shared" ca="1" si="852"/>
        <v>554.44000000000005</v>
      </c>
      <c r="BA722" s="370">
        <f t="shared" ca="1" si="852"/>
        <v>554.44000000000005</v>
      </c>
      <c r="BB722" s="370">
        <f t="shared" ca="1" si="852"/>
        <v>554.44000000000005</v>
      </c>
      <c r="BC722" s="370">
        <f t="shared" ca="1" si="852"/>
        <v>554.44000000000005</v>
      </c>
      <c r="BD722" s="370">
        <f t="shared" ca="1" si="852"/>
        <v>554.44000000000005</v>
      </c>
      <c r="BE722" s="370">
        <f t="shared" ca="1" si="852"/>
        <v>554.44000000000005</v>
      </c>
      <c r="BF722" s="370">
        <f t="shared" ca="1" si="852"/>
        <v>554.44000000000005</v>
      </c>
      <c r="BG722" s="370"/>
      <c r="BH722" s="1025">
        <f t="shared" ref="BH722:CB722" si="853">IF(INDEX(MO_SNA_IsHistoricalPeriod,1,COLUMN())=FALSE,MO.LastPrice,INDEX(MO_SPT_StockEoP,1,COLUMN()))</f>
        <v>0</v>
      </c>
      <c r="BI722" s="1025">
        <f t="shared" si="853"/>
        <v>0</v>
      </c>
      <c r="BJ722" s="1025">
        <f t="shared" si="853"/>
        <v>0</v>
      </c>
      <c r="BK722" s="1025">
        <f t="shared" si="853"/>
        <v>25.911200000000001</v>
      </c>
      <c r="BL722" s="1025">
        <f t="shared" si="853"/>
        <v>53.71</v>
      </c>
      <c r="BM722" s="1025">
        <f t="shared" si="853"/>
        <v>79.22</v>
      </c>
      <c r="BN722" s="1025">
        <f t="shared" si="853"/>
        <v>106.22</v>
      </c>
      <c r="BO722" s="1026">
        <f t="shared" si="853"/>
        <v>115.05</v>
      </c>
      <c r="BP722" s="1026">
        <f t="shared" si="853"/>
        <v>176.46</v>
      </c>
      <c r="BQ722" s="1026">
        <f t="shared" si="853"/>
        <v>133.19999999999999</v>
      </c>
      <c r="BR722" s="1026">
        <f t="shared" si="853"/>
        <v>204.41</v>
      </c>
      <c r="BS722" s="1026">
        <f t="shared" si="853"/>
        <v>271.87</v>
      </c>
      <c r="BT722" s="1026">
        <f t="shared" si="853"/>
        <v>344.36</v>
      </c>
      <c r="BU722" s="1026">
        <f t="shared" si="853"/>
        <v>120.34</v>
      </c>
      <c r="BV722" s="1026">
        <f t="shared" si="853"/>
        <v>353.96</v>
      </c>
      <c r="BW722" s="1027">
        <f t="shared" si="853"/>
        <v>591.24</v>
      </c>
      <c r="BX722" s="1026">
        <f t="shared" ca="1" si="853"/>
        <v>554.44000000000005</v>
      </c>
      <c r="BY722" s="1026">
        <f t="shared" ca="1" si="853"/>
        <v>554.44000000000005</v>
      </c>
      <c r="BZ722" s="1026">
        <f t="shared" ca="1" si="853"/>
        <v>554.44000000000005</v>
      </c>
      <c r="CA722" s="1026">
        <f t="shared" ca="1" si="853"/>
        <v>554.44000000000005</v>
      </c>
      <c r="CB722" s="1026">
        <f t="shared" ca="1" si="853"/>
        <v>554.44000000000005</v>
      </c>
      <c r="CC722" s="113"/>
    </row>
    <row r="723" spans="1:81" outlineLevel="1" x14ac:dyDescent="0.55000000000000004">
      <c r="A723" s="137" t="str">
        <f ca="1">"Average FX Rate, "&amp;HP.TradeCurrency&amp;"/"&amp;MO.ReportCurrency</f>
        <v>Average FX Rate, USD/USD</v>
      </c>
      <c r="B723" s="264"/>
      <c r="C723" s="578">
        <f t="shared" ref="C723:AH723" ca="1" si="854">IF(INDEX(MO_SPT_FXAverage,1,COLUMN())=0,1,INDEX(MO_SPT_FXAverage,1,COLUMN()))</f>
        <v>1</v>
      </c>
      <c r="D723" s="578">
        <f t="shared" ca="1" si="854"/>
        <v>1</v>
      </c>
      <c r="E723" s="578">
        <f t="shared" ca="1" si="854"/>
        <v>1</v>
      </c>
      <c r="F723" s="578">
        <f t="shared" ca="1" si="854"/>
        <v>1</v>
      </c>
      <c r="G723" s="578">
        <f t="shared" ca="1" si="854"/>
        <v>1</v>
      </c>
      <c r="H723" s="578">
        <f t="shared" ca="1" si="854"/>
        <v>1</v>
      </c>
      <c r="I723" s="578">
        <f t="shared" ca="1" si="854"/>
        <v>1</v>
      </c>
      <c r="J723" s="578">
        <f t="shared" ca="1" si="854"/>
        <v>1</v>
      </c>
      <c r="K723" s="578">
        <f t="shared" ca="1" si="854"/>
        <v>1</v>
      </c>
      <c r="L723" s="578">
        <f t="shared" ca="1" si="854"/>
        <v>1</v>
      </c>
      <c r="M723" s="578">
        <f t="shared" ca="1" si="854"/>
        <v>1</v>
      </c>
      <c r="N723" s="578">
        <f t="shared" ca="1" si="854"/>
        <v>1</v>
      </c>
      <c r="O723" s="578">
        <f t="shared" ca="1" si="854"/>
        <v>1</v>
      </c>
      <c r="P723" s="578">
        <f t="shared" ca="1" si="854"/>
        <v>1</v>
      </c>
      <c r="Q723" s="578">
        <f t="shared" ca="1" si="854"/>
        <v>1</v>
      </c>
      <c r="R723" s="578">
        <f t="shared" ca="1" si="854"/>
        <v>1</v>
      </c>
      <c r="S723" s="578">
        <f t="shared" ca="1" si="854"/>
        <v>1</v>
      </c>
      <c r="T723" s="578">
        <f t="shared" ca="1" si="854"/>
        <v>1</v>
      </c>
      <c r="U723" s="578">
        <f t="shared" ca="1" si="854"/>
        <v>1</v>
      </c>
      <c r="V723" s="578">
        <f t="shared" ca="1" si="854"/>
        <v>1</v>
      </c>
      <c r="W723" s="578">
        <f t="shared" ca="1" si="854"/>
        <v>1</v>
      </c>
      <c r="X723" s="578">
        <f t="shared" ca="1" si="854"/>
        <v>1</v>
      </c>
      <c r="Y723" s="578">
        <f t="shared" ca="1" si="854"/>
        <v>1</v>
      </c>
      <c r="Z723" s="578">
        <f t="shared" ca="1" si="854"/>
        <v>1</v>
      </c>
      <c r="AA723" s="578">
        <f t="shared" ca="1" si="854"/>
        <v>1</v>
      </c>
      <c r="AB723" s="578">
        <f t="shared" ca="1" si="854"/>
        <v>1</v>
      </c>
      <c r="AC723" s="578">
        <f t="shared" ca="1" si="854"/>
        <v>1</v>
      </c>
      <c r="AD723" s="578">
        <f t="shared" ca="1" si="854"/>
        <v>1</v>
      </c>
      <c r="AE723" s="578">
        <f t="shared" ca="1" si="854"/>
        <v>1</v>
      </c>
      <c r="AF723" s="578">
        <f t="shared" ca="1" si="854"/>
        <v>1</v>
      </c>
      <c r="AG723" s="578">
        <f t="shared" ca="1" si="854"/>
        <v>1</v>
      </c>
      <c r="AH723" s="578">
        <f t="shared" ca="1" si="854"/>
        <v>1</v>
      </c>
      <c r="AI723" s="578">
        <f t="shared" ref="AI723:BF723" ca="1" si="855">IF(INDEX(MO_SPT_FXAverage,1,COLUMN())=0,1,INDEX(MO_SPT_FXAverage,1,COLUMN()))</f>
        <v>1</v>
      </c>
      <c r="AJ723" s="578">
        <f t="shared" ca="1" si="855"/>
        <v>1</v>
      </c>
      <c r="AK723" s="578">
        <f t="shared" ca="1" si="855"/>
        <v>1</v>
      </c>
      <c r="AL723" s="578">
        <f t="shared" ca="1" si="855"/>
        <v>1</v>
      </c>
      <c r="AM723" s="578">
        <f t="shared" ca="1" si="855"/>
        <v>1</v>
      </c>
      <c r="AN723" s="578">
        <f t="shared" ca="1" si="855"/>
        <v>1</v>
      </c>
      <c r="AO723" s="578">
        <f t="shared" ca="1" si="855"/>
        <v>1</v>
      </c>
      <c r="AP723" s="578">
        <f t="shared" ca="1" si="855"/>
        <v>1</v>
      </c>
      <c r="AQ723" s="578">
        <f t="shared" ca="1" si="855"/>
        <v>1</v>
      </c>
      <c r="AR723" s="578">
        <f t="shared" ca="1" si="855"/>
        <v>1</v>
      </c>
      <c r="AS723" s="578">
        <f t="shared" ca="1" si="855"/>
        <v>1</v>
      </c>
      <c r="AT723" s="578">
        <f t="shared" ca="1" si="855"/>
        <v>1</v>
      </c>
      <c r="AU723" s="578">
        <f t="shared" ca="1" si="855"/>
        <v>1</v>
      </c>
      <c r="AV723" s="578">
        <f t="shared" ca="1" si="855"/>
        <v>1</v>
      </c>
      <c r="AW723" s="578">
        <f t="shared" ca="1" si="855"/>
        <v>1</v>
      </c>
      <c r="AX723" s="578">
        <f t="shared" ca="1" si="855"/>
        <v>1</v>
      </c>
      <c r="AY723" s="1167">
        <f t="shared" ca="1" si="855"/>
        <v>1</v>
      </c>
      <c r="AZ723" s="371">
        <f t="shared" ca="1" si="855"/>
        <v>1</v>
      </c>
      <c r="BA723" s="371">
        <f t="shared" ca="1" si="855"/>
        <v>1</v>
      </c>
      <c r="BB723" s="371">
        <f t="shared" ca="1" si="855"/>
        <v>1</v>
      </c>
      <c r="BC723" s="371">
        <f t="shared" ca="1" si="855"/>
        <v>1</v>
      </c>
      <c r="BD723" s="371">
        <f t="shared" ca="1" si="855"/>
        <v>1</v>
      </c>
      <c r="BE723" s="371">
        <f t="shared" ca="1" si="855"/>
        <v>1</v>
      </c>
      <c r="BF723" s="371">
        <f t="shared" ca="1" si="855"/>
        <v>1</v>
      </c>
      <c r="BG723" s="371"/>
      <c r="BH723" s="1028">
        <f t="shared" ref="BH723:CB723" ca="1" si="856">IF(INDEX(MO_SPT_FXAverage,1,COLUMN())=0,1,INDEX(MO_SPT_FXAverage,1,COLUMN()))</f>
        <v>1</v>
      </c>
      <c r="BI723" s="1028">
        <f t="shared" ca="1" si="856"/>
        <v>1</v>
      </c>
      <c r="BJ723" s="1028">
        <f t="shared" ca="1" si="856"/>
        <v>1</v>
      </c>
      <c r="BK723" s="1028">
        <f t="shared" ca="1" si="856"/>
        <v>1</v>
      </c>
      <c r="BL723" s="1028">
        <f t="shared" ca="1" si="856"/>
        <v>1</v>
      </c>
      <c r="BM723" s="1028">
        <f t="shared" ca="1" si="856"/>
        <v>1</v>
      </c>
      <c r="BN723" s="1028">
        <f t="shared" ca="1" si="856"/>
        <v>1</v>
      </c>
      <c r="BO723" s="1029">
        <f t="shared" ca="1" si="856"/>
        <v>1</v>
      </c>
      <c r="BP723" s="1029">
        <f t="shared" ca="1" si="856"/>
        <v>1</v>
      </c>
      <c r="BQ723" s="1029">
        <f t="shared" ca="1" si="856"/>
        <v>1</v>
      </c>
      <c r="BR723" s="1029">
        <f t="shared" ca="1" si="856"/>
        <v>1</v>
      </c>
      <c r="BS723" s="1029">
        <f t="shared" ca="1" si="856"/>
        <v>1</v>
      </c>
      <c r="BT723" s="1029">
        <f t="shared" ca="1" si="856"/>
        <v>1</v>
      </c>
      <c r="BU723" s="1029">
        <f t="shared" ca="1" si="856"/>
        <v>1</v>
      </c>
      <c r="BV723" s="1029">
        <f t="shared" ca="1" si="856"/>
        <v>1</v>
      </c>
      <c r="BW723" s="1030">
        <f t="shared" ca="1" si="856"/>
        <v>1</v>
      </c>
      <c r="BX723" s="1029">
        <f t="shared" ca="1" si="856"/>
        <v>1</v>
      </c>
      <c r="BY723" s="1029">
        <f t="shared" ca="1" si="856"/>
        <v>1</v>
      </c>
      <c r="BZ723" s="1029">
        <f t="shared" ca="1" si="856"/>
        <v>1</v>
      </c>
      <c r="CA723" s="1029">
        <f t="shared" ca="1" si="856"/>
        <v>1</v>
      </c>
      <c r="CB723" s="1029">
        <f t="shared" ca="1" si="856"/>
        <v>1</v>
      </c>
      <c r="CC723" s="135"/>
    </row>
    <row r="724" spans="1:81" outlineLevel="1" x14ac:dyDescent="0.55000000000000004">
      <c r="A724" s="137" t="str">
        <f ca="1">"EoP FX Rate, "&amp;HP.TradeCurrency&amp;"/"&amp;MO.ReportCurrency</f>
        <v>EoP FX Rate, USD/USD</v>
      </c>
      <c r="B724" s="264"/>
      <c r="C724" s="578">
        <f t="shared" ref="C724:AH724" si="857">IF(INDEX(MO_SNA_IsHistoricalPeriod,1,COLUMN())=FALSE,HP.MRFX,INDEX(MO_SPT_FXEoP,1,COLUMN()))</f>
        <v>1</v>
      </c>
      <c r="D724" s="578">
        <f t="shared" si="857"/>
        <v>1</v>
      </c>
      <c r="E724" s="578">
        <f t="shared" si="857"/>
        <v>1</v>
      </c>
      <c r="F724" s="578">
        <f t="shared" si="857"/>
        <v>1</v>
      </c>
      <c r="G724" s="578">
        <f t="shared" si="857"/>
        <v>1</v>
      </c>
      <c r="H724" s="578">
        <f t="shared" si="857"/>
        <v>1</v>
      </c>
      <c r="I724" s="578">
        <f t="shared" si="857"/>
        <v>1</v>
      </c>
      <c r="J724" s="578">
        <f t="shared" si="857"/>
        <v>1</v>
      </c>
      <c r="K724" s="578">
        <f t="shared" si="857"/>
        <v>1</v>
      </c>
      <c r="L724" s="578">
        <f t="shared" si="857"/>
        <v>1</v>
      </c>
      <c r="M724" s="578">
        <f t="shared" si="857"/>
        <v>1</v>
      </c>
      <c r="N724" s="578">
        <f t="shared" si="857"/>
        <v>1</v>
      </c>
      <c r="O724" s="578">
        <f t="shared" si="857"/>
        <v>1</v>
      </c>
      <c r="P724" s="578">
        <f t="shared" si="857"/>
        <v>1</v>
      </c>
      <c r="Q724" s="578">
        <f t="shared" si="857"/>
        <v>1</v>
      </c>
      <c r="R724" s="578">
        <f t="shared" si="857"/>
        <v>1</v>
      </c>
      <c r="S724" s="578">
        <f t="shared" si="857"/>
        <v>1</v>
      </c>
      <c r="T724" s="578">
        <f t="shared" si="857"/>
        <v>1</v>
      </c>
      <c r="U724" s="578">
        <f t="shared" si="857"/>
        <v>1</v>
      </c>
      <c r="V724" s="578">
        <f t="shared" si="857"/>
        <v>1</v>
      </c>
      <c r="W724" s="578">
        <f t="shared" si="857"/>
        <v>1</v>
      </c>
      <c r="X724" s="578">
        <f t="shared" si="857"/>
        <v>1</v>
      </c>
      <c r="Y724" s="578">
        <f t="shared" si="857"/>
        <v>1</v>
      </c>
      <c r="Z724" s="578">
        <f t="shared" si="857"/>
        <v>1</v>
      </c>
      <c r="AA724" s="578">
        <f t="shared" si="857"/>
        <v>1</v>
      </c>
      <c r="AB724" s="578">
        <f t="shared" si="857"/>
        <v>1</v>
      </c>
      <c r="AC724" s="578">
        <f t="shared" si="857"/>
        <v>1</v>
      </c>
      <c r="AD724" s="578">
        <f t="shared" si="857"/>
        <v>1</v>
      </c>
      <c r="AE724" s="578">
        <f t="shared" si="857"/>
        <v>1</v>
      </c>
      <c r="AF724" s="578">
        <f t="shared" si="857"/>
        <v>1</v>
      </c>
      <c r="AG724" s="578">
        <f t="shared" si="857"/>
        <v>1</v>
      </c>
      <c r="AH724" s="578">
        <f t="shared" si="857"/>
        <v>1</v>
      </c>
      <c r="AI724" s="578">
        <f t="shared" ref="AI724:BF724" si="858">IF(INDEX(MO_SNA_IsHistoricalPeriod,1,COLUMN())=FALSE,HP.MRFX,INDEX(MO_SPT_FXEoP,1,COLUMN()))</f>
        <v>1</v>
      </c>
      <c r="AJ724" s="578">
        <f t="shared" si="858"/>
        <v>1</v>
      </c>
      <c r="AK724" s="578">
        <f t="shared" si="858"/>
        <v>1</v>
      </c>
      <c r="AL724" s="578">
        <f t="shared" si="858"/>
        <v>1</v>
      </c>
      <c r="AM724" s="578">
        <f t="shared" si="858"/>
        <v>1</v>
      </c>
      <c r="AN724" s="578">
        <f t="shared" si="858"/>
        <v>1</v>
      </c>
      <c r="AO724" s="578">
        <f t="shared" si="858"/>
        <v>1</v>
      </c>
      <c r="AP724" s="578">
        <f t="shared" si="858"/>
        <v>1</v>
      </c>
      <c r="AQ724" s="578">
        <f t="shared" si="858"/>
        <v>1</v>
      </c>
      <c r="AR724" s="578">
        <f t="shared" si="858"/>
        <v>1</v>
      </c>
      <c r="AS724" s="578">
        <f t="shared" si="858"/>
        <v>1</v>
      </c>
      <c r="AT724" s="578">
        <f t="shared" si="858"/>
        <v>1</v>
      </c>
      <c r="AU724" s="578">
        <f t="shared" si="858"/>
        <v>1</v>
      </c>
      <c r="AV724" s="578">
        <f t="shared" si="858"/>
        <v>1</v>
      </c>
      <c r="AW724" s="578">
        <f t="shared" si="858"/>
        <v>1</v>
      </c>
      <c r="AX724" s="578">
        <f t="shared" si="858"/>
        <v>1</v>
      </c>
      <c r="AY724" s="1167">
        <f t="shared" si="858"/>
        <v>1</v>
      </c>
      <c r="AZ724" s="371">
        <f t="shared" ca="1" si="858"/>
        <v>1</v>
      </c>
      <c r="BA724" s="371">
        <f t="shared" ca="1" si="858"/>
        <v>1</v>
      </c>
      <c r="BB724" s="371">
        <f t="shared" ca="1" si="858"/>
        <v>1</v>
      </c>
      <c r="BC724" s="371">
        <f t="shared" ca="1" si="858"/>
        <v>1</v>
      </c>
      <c r="BD724" s="371">
        <f t="shared" ca="1" si="858"/>
        <v>1</v>
      </c>
      <c r="BE724" s="371">
        <f t="shared" ca="1" si="858"/>
        <v>1</v>
      </c>
      <c r="BF724" s="371">
        <f t="shared" ca="1" si="858"/>
        <v>1</v>
      </c>
      <c r="BG724" s="371"/>
      <c r="BH724" s="1028">
        <f t="shared" ref="BH724:CB724" si="859">IF(INDEX(MO_SNA_IsHistoricalPeriod,1,COLUMN())=FALSE,HP.MRFX,INDEX(MO_SPT_FXEoP,1,COLUMN()))</f>
        <v>1</v>
      </c>
      <c r="BI724" s="1028">
        <f t="shared" si="859"/>
        <v>1</v>
      </c>
      <c r="BJ724" s="1028">
        <f t="shared" si="859"/>
        <v>1</v>
      </c>
      <c r="BK724" s="1028">
        <f t="shared" si="859"/>
        <v>1</v>
      </c>
      <c r="BL724" s="1028">
        <f t="shared" si="859"/>
        <v>1</v>
      </c>
      <c r="BM724" s="1028">
        <f t="shared" si="859"/>
        <v>1</v>
      </c>
      <c r="BN724" s="1028">
        <f t="shared" si="859"/>
        <v>1</v>
      </c>
      <c r="BO724" s="1029">
        <f t="shared" si="859"/>
        <v>1</v>
      </c>
      <c r="BP724" s="1029">
        <f t="shared" si="859"/>
        <v>1</v>
      </c>
      <c r="BQ724" s="1029">
        <f t="shared" si="859"/>
        <v>1</v>
      </c>
      <c r="BR724" s="1029">
        <f t="shared" si="859"/>
        <v>1</v>
      </c>
      <c r="BS724" s="1029">
        <f t="shared" si="859"/>
        <v>1</v>
      </c>
      <c r="BT724" s="1029">
        <f t="shared" si="859"/>
        <v>1</v>
      </c>
      <c r="BU724" s="1029">
        <f t="shared" si="859"/>
        <v>1</v>
      </c>
      <c r="BV724" s="1029">
        <f t="shared" si="859"/>
        <v>1</v>
      </c>
      <c r="BW724" s="1030">
        <f t="shared" si="859"/>
        <v>1</v>
      </c>
      <c r="BX724" s="1029">
        <f t="shared" ca="1" si="859"/>
        <v>1</v>
      </c>
      <c r="BY724" s="1029">
        <f t="shared" ca="1" si="859"/>
        <v>1</v>
      </c>
      <c r="BZ724" s="1029">
        <f t="shared" ca="1" si="859"/>
        <v>1</v>
      </c>
      <c r="CA724" s="1029">
        <f t="shared" ca="1" si="859"/>
        <v>1</v>
      </c>
      <c r="CB724" s="1029">
        <f t="shared" ca="1" si="859"/>
        <v>1</v>
      </c>
      <c r="CC724" s="135"/>
    </row>
    <row r="725" spans="1:81" outlineLevel="1" x14ac:dyDescent="0.55000000000000004">
      <c r="A725" s="136" t="str">
        <f ca="1">"Stock Price (Trading Cur.) - "&amp;MO.ValuationToggle&amp;", "&amp;HP.TradeCurrency</f>
        <v>Stock Price (Trading Cur.) - EoP, USD</v>
      </c>
      <c r="B725" s="263"/>
      <c r="C725" s="576">
        <f t="shared" ref="C725:AH725" si="860">IF(INDEX(MO_SNA_IsHistoricalPeriod,1,COLUMN())=FALSE,MO.LastPrice,CHOOSE(VLOOKUP(MO.ValuationToggle,tb_ValuationToggle,COLUMNS(tb_ValuationToggle),FALSE),C719,C720,C721,C722))</f>
        <v>25.58</v>
      </c>
      <c r="D725" s="576">
        <f t="shared" si="860"/>
        <v>24.88</v>
      </c>
      <c r="E725" s="576">
        <f t="shared" si="860"/>
        <v>51.24</v>
      </c>
      <c r="F725" s="576">
        <f t="shared" si="860"/>
        <v>53.71</v>
      </c>
      <c r="G725" s="576">
        <f t="shared" si="860"/>
        <v>60.01</v>
      </c>
      <c r="H725" s="576">
        <f t="shared" si="860"/>
        <v>67.599999999999994</v>
      </c>
      <c r="I725" s="576">
        <f t="shared" si="860"/>
        <v>79</v>
      </c>
      <c r="J725" s="576">
        <f t="shared" si="860"/>
        <v>79.22</v>
      </c>
      <c r="K725" s="576">
        <f t="shared" si="860"/>
        <v>83.194999999999993</v>
      </c>
      <c r="L725" s="576">
        <f t="shared" si="860"/>
        <v>85.8</v>
      </c>
      <c r="M725" s="576">
        <f t="shared" si="860"/>
        <v>86.67</v>
      </c>
      <c r="N725" s="576">
        <f t="shared" si="860"/>
        <v>106.22</v>
      </c>
      <c r="O725" s="576">
        <f t="shared" si="860"/>
        <v>114.7</v>
      </c>
      <c r="P725" s="576">
        <f t="shared" si="860"/>
        <v>114.16</v>
      </c>
      <c r="Q725" s="576">
        <f t="shared" si="860"/>
        <v>128.09</v>
      </c>
      <c r="R725" s="576">
        <f t="shared" si="860"/>
        <v>115.05</v>
      </c>
      <c r="S725" s="576">
        <f t="shared" si="860"/>
        <v>142.41</v>
      </c>
      <c r="T725" s="576">
        <f t="shared" si="860"/>
        <v>151.04</v>
      </c>
      <c r="U725" s="576">
        <f t="shared" si="860"/>
        <v>170.87</v>
      </c>
      <c r="V725" s="576">
        <f t="shared" si="860"/>
        <v>176.46</v>
      </c>
      <c r="W725" s="576">
        <f t="shared" si="860"/>
        <v>159.79</v>
      </c>
      <c r="X725" s="576">
        <f t="shared" si="860"/>
        <v>194.32</v>
      </c>
      <c r="Y725" s="576">
        <f t="shared" si="860"/>
        <v>164.46</v>
      </c>
      <c r="Z725" s="576">
        <f t="shared" si="860"/>
        <v>133.19999999999999</v>
      </c>
      <c r="AA725" s="576">
        <f t="shared" si="860"/>
        <v>166.69</v>
      </c>
      <c r="AB725" s="576">
        <f t="shared" si="860"/>
        <v>193</v>
      </c>
      <c r="AC725" s="576">
        <f t="shared" si="860"/>
        <v>177.1</v>
      </c>
      <c r="AD725" s="576">
        <f t="shared" si="860"/>
        <v>204.41</v>
      </c>
      <c r="AE725" s="576">
        <f t="shared" si="860"/>
        <v>165.95</v>
      </c>
      <c r="AF725" s="576">
        <f t="shared" si="860"/>
        <v>220.64</v>
      </c>
      <c r="AG725" s="576">
        <f t="shared" si="860"/>
        <v>261.79000000000002</v>
      </c>
      <c r="AH725" s="576">
        <f t="shared" si="860"/>
        <v>271.87</v>
      </c>
      <c r="AI725" s="576">
        <f t="shared" ref="AI725:BF725" si="861">IF(INDEX(MO_SNA_IsHistoricalPeriod,1,COLUMN())=FALSE,MO.LastPrice,CHOOSE(VLOOKUP(MO.ValuationToggle,tb_ValuationToggle,COLUMNS(tb_ValuationToggle),FALSE),AI719,AI720,AI721,AI722))</f>
        <v>288</v>
      </c>
      <c r="AJ725" s="576">
        <f t="shared" si="861"/>
        <v>351.89</v>
      </c>
      <c r="AK725" s="576">
        <f t="shared" si="861"/>
        <v>339.61</v>
      </c>
      <c r="AL725" s="576">
        <f t="shared" si="861"/>
        <v>344.36</v>
      </c>
      <c r="AM725" s="576">
        <f t="shared" si="861"/>
        <v>227.85</v>
      </c>
      <c r="AN725" s="576">
        <f t="shared" si="861"/>
        <v>163.94</v>
      </c>
      <c r="AO725" s="576">
        <f t="shared" si="861"/>
        <v>136.41</v>
      </c>
      <c r="AP725" s="576">
        <f t="shared" si="861"/>
        <v>120.34</v>
      </c>
      <c r="AQ725" s="576">
        <f t="shared" si="861"/>
        <v>207.84</v>
      </c>
      <c r="AR725" s="576">
        <f t="shared" si="861"/>
        <v>281.52999999999997</v>
      </c>
      <c r="AS725" s="576">
        <f t="shared" si="861"/>
        <v>300.20999999999998</v>
      </c>
      <c r="AT725" s="576">
        <f t="shared" si="861"/>
        <v>353.96</v>
      </c>
      <c r="AU725" s="576">
        <f t="shared" si="861"/>
        <v>485.58</v>
      </c>
      <c r="AV725" s="576">
        <f t="shared" si="861"/>
        <v>504.22</v>
      </c>
      <c r="AW725" s="576">
        <f t="shared" si="861"/>
        <v>567.36</v>
      </c>
      <c r="AX725" s="576">
        <f t="shared" si="861"/>
        <v>591.24</v>
      </c>
      <c r="AY725" s="1165">
        <f t="shared" si="861"/>
        <v>576.74</v>
      </c>
      <c r="AZ725" s="369">
        <f t="shared" ca="1" si="861"/>
        <v>554.44000000000005</v>
      </c>
      <c r="BA725" s="369">
        <f t="shared" ca="1" si="861"/>
        <v>554.44000000000005</v>
      </c>
      <c r="BB725" s="369">
        <f t="shared" ca="1" si="861"/>
        <v>554.44000000000005</v>
      </c>
      <c r="BC725" s="369">
        <f t="shared" ca="1" si="861"/>
        <v>554.44000000000005</v>
      </c>
      <c r="BD725" s="369">
        <f t="shared" ca="1" si="861"/>
        <v>554.44000000000005</v>
      </c>
      <c r="BE725" s="369">
        <f t="shared" ca="1" si="861"/>
        <v>554.44000000000005</v>
      </c>
      <c r="BF725" s="369">
        <f t="shared" ca="1" si="861"/>
        <v>554.44000000000005</v>
      </c>
      <c r="BG725" s="369"/>
      <c r="BH725" s="1024">
        <f t="shared" ref="BH725:CB725" si="862">IF(INDEX(MO_SNA_IsHistoricalPeriod,1,COLUMN())=FALSE,MO.LastPrice,CHOOSE(VLOOKUP(MO.ValuationToggle,tb_ValuationToggle,COLUMNS(tb_ValuationToggle),FALSE),BH719,BH720,BH721,BH722))</f>
        <v>0</v>
      </c>
      <c r="BI725" s="1024">
        <f t="shared" si="862"/>
        <v>0</v>
      </c>
      <c r="BJ725" s="1024">
        <f t="shared" si="862"/>
        <v>0</v>
      </c>
      <c r="BK725" s="1024">
        <f t="shared" si="862"/>
        <v>25.911200000000001</v>
      </c>
      <c r="BL725" s="1024">
        <f t="shared" si="862"/>
        <v>53.71</v>
      </c>
      <c r="BM725" s="1024">
        <f t="shared" si="862"/>
        <v>79.22</v>
      </c>
      <c r="BN725" s="1024">
        <f t="shared" si="862"/>
        <v>106.22</v>
      </c>
      <c r="BO725" s="963">
        <f t="shared" si="862"/>
        <v>115.05</v>
      </c>
      <c r="BP725" s="963">
        <f t="shared" si="862"/>
        <v>176.46</v>
      </c>
      <c r="BQ725" s="963">
        <f t="shared" si="862"/>
        <v>133.19999999999999</v>
      </c>
      <c r="BR725" s="963">
        <f t="shared" si="862"/>
        <v>204.41</v>
      </c>
      <c r="BS725" s="963">
        <f t="shared" si="862"/>
        <v>271.87</v>
      </c>
      <c r="BT725" s="963">
        <f t="shared" si="862"/>
        <v>344.36</v>
      </c>
      <c r="BU725" s="963">
        <f t="shared" si="862"/>
        <v>120.34</v>
      </c>
      <c r="BV725" s="963">
        <f t="shared" si="862"/>
        <v>353.96</v>
      </c>
      <c r="BW725" s="964">
        <f t="shared" si="862"/>
        <v>591.24</v>
      </c>
      <c r="BX725" s="963">
        <f t="shared" ca="1" si="862"/>
        <v>554.44000000000005</v>
      </c>
      <c r="BY725" s="963">
        <f t="shared" ca="1" si="862"/>
        <v>554.44000000000005</v>
      </c>
      <c r="BZ725" s="963">
        <f t="shared" ca="1" si="862"/>
        <v>554.44000000000005</v>
      </c>
      <c r="CA725" s="963">
        <f t="shared" ca="1" si="862"/>
        <v>554.44000000000005</v>
      </c>
      <c r="CB725" s="963">
        <f t="shared" ca="1" si="862"/>
        <v>554.44000000000005</v>
      </c>
      <c r="CC725" s="113"/>
    </row>
    <row r="726" spans="1:81" outlineLevel="1" x14ac:dyDescent="0.55000000000000004">
      <c r="A726" s="240"/>
      <c r="B726" s="241"/>
      <c r="C726" s="600"/>
      <c r="D726" s="600"/>
      <c r="E726" s="600"/>
      <c r="F726" s="600"/>
      <c r="G726" s="600"/>
      <c r="H726" s="600"/>
      <c r="I726" s="600"/>
      <c r="J726" s="600"/>
      <c r="K726" s="600"/>
      <c r="L726" s="600"/>
      <c r="M726" s="600"/>
      <c r="N726" s="600"/>
      <c r="O726" s="600"/>
      <c r="P726" s="600"/>
      <c r="Q726" s="600"/>
      <c r="R726" s="600"/>
      <c r="S726" s="600"/>
      <c r="T726" s="600"/>
      <c r="U726" s="600"/>
      <c r="V726" s="600"/>
      <c r="W726" s="600"/>
      <c r="X726" s="600"/>
      <c r="Y726" s="600"/>
      <c r="Z726" s="600"/>
      <c r="AA726" s="600"/>
      <c r="AB726" s="600"/>
      <c r="AC726" s="600"/>
      <c r="AD726" s="600"/>
      <c r="AE726" s="600"/>
      <c r="AF726" s="600"/>
      <c r="AG726" s="600"/>
      <c r="AH726" s="600"/>
      <c r="AI726" s="600"/>
      <c r="AJ726" s="600"/>
      <c r="AK726" s="600"/>
      <c r="AL726" s="600"/>
      <c r="AM726" s="600"/>
      <c r="AN726" s="600"/>
      <c r="AO726" s="600"/>
      <c r="AP726" s="600"/>
      <c r="AQ726" s="600"/>
      <c r="AR726" s="600"/>
      <c r="AS726" s="600"/>
      <c r="AT726" s="600"/>
      <c r="AU726" s="600"/>
      <c r="AV726" s="600"/>
      <c r="AW726" s="600"/>
      <c r="AX726" s="600"/>
      <c r="AY726" s="604"/>
      <c r="AZ726" s="600"/>
      <c r="BA726" s="600"/>
      <c r="BB726" s="600"/>
      <c r="BC726" s="600"/>
      <c r="BD726" s="600"/>
      <c r="BE726" s="600"/>
      <c r="BF726" s="600"/>
      <c r="BG726" s="600"/>
      <c r="BH726" s="186"/>
      <c r="BI726" s="186"/>
      <c r="BJ726" s="186"/>
      <c r="BK726" s="186"/>
      <c r="BL726" s="186"/>
      <c r="BM726" s="186"/>
      <c r="BN726" s="186"/>
      <c r="BO726" s="186"/>
      <c r="BP726" s="186"/>
      <c r="BQ726" s="186"/>
      <c r="BR726" s="186"/>
      <c r="BS726" s="186"/>
      <c r="BT726" s="186"/>
      <c r="BU726" s="186"/>
      <c r="BV726" s="186"/>
      <c r="BW726" s="909"/>
      <c r="BX726" s="186"/>
      <c r="BY726" s="186"/>
      <c r="BZ726" s="186"/>
      <c r="CA726" s="186"/>
      <c r="CB726" s="186"/>
      <c r="CC726" s="358"/>
    </row>
    <row r="727" spans="1:81" outlineLevel="1" x14ac:dyDescent="0.55000000000000004">
      <c r="A727" s="29" t="s">
        <v>121</v>
      </c>
      <c r="B727" s="243"/>
      <c r="C727" s="601"/>
      <c r="D727" s="601"/>
      <c r="E727" s="601"/>
      <c r="F727" s="601"/>
      <c r="G727" s="601"/>
      <c r="H727" s="601"/>
      <c r="I727" s="601"/>
      <c r="J727" s="601"/>
      <c r="K727" s="601"/>
      <c r="L727" s="601"/>
      <c r="M727" s="601"/>
      <c r="N727" s="601"/>
      <c r="O727" s="601"/>
      <c r="P727" s="601"/>
      <c r="Q727" s="601"/>
      <c r="R727" s="601"/>
      <c r="S727" s="601"/>
      <c r="T727" s="601"/>
      <c r="U727" s="601"/>
      <c r="V727" s="601"/>
      <c r="W727" s="601"/>
      <c r="X727" s="601"/>
      <c r="Y727" s="601"/>
      <c r="Z727" s="601"/>
      <c r="AA727" s="601"/>
      <c r="AB727" s="601"/>
      <c r="AC727" s="601"/>
      <c r="AD727" s="601"/>
      <c r="AE727" s="601"/>
      <c r="AF727" s="601"/>
      <c r="AG727" s="601"/>
      <c r="AH727" s="601"/>
      <c r="AI727" s="601"/>
      <c r="AJ727" s="601"/>
      <c r="AK727" s="601"/>
      <c r="AL727" s="601"/>
      <c r="AM727" s="601"/>
      <c r="AN727" s="601"/>
      <c r="AO727" s="601"/>
      <c r="AP727" s="601"/>
      <c r="AQ727" s="601"/>
      <c r="AR727" s="601"/>
      <c r="AS727" s="601"/>
      <c r="AT727" s="601"/>
      <c r="AU727" s="601"/>
      <c r="AV727" s="601"/>
      <c r="AW727" s="601"/>
      <c r="AX727" s="601"/>
      <c r="AY727" s="617"/>
      <c r="AZ727" s="601"/>
      <c r="BA727" s="601"/>
      <c r="BB727" s="601"/>
      <c r="BC727" s="601"/>
      <c r="BD727" s="601"/>
      <c r="BE727" s="601"/>
      <c r="BF727" s="601"/>
      <c r="BG727" s="601"/>
      <c r="BH727" s="911"/>
      <c r="BI727" s="911"/>
      <c r="BJ727" s="911"/>
      <c r="BK727" s="911"/>
      <c r="BL727" s="911"/>
      <c r="BM727" s="911"/>
      <c r="BN727" s="911"/>
      <c r="BO727" s="911"/>
      <c r="BP727" s="911"/>
      <c r="BQ727" s="911"/>
      <c r="BR727" s="911"/>
      <c r="BS727" s="911"/>
      <c r="BT727" s="911"/>
      <c r="BU727" s="911"/>
      <c r="BV727" s="911"/>
      <c r="BW727" s="912"/>
      <c r="BX727" s="911"/>
      <c r="BY727" s="911"/>
      <c r="BZ727" s="911"/>
      <c r="CA727" s="911"/>
      <c r="CB727" s="911"/>
      <c r="CC727" s="217"/>
    </row>
    <row r="728" spans="1:81" outlineLevel="1" x14ac:dyDescent="0.55000000000000004">
      <c r="A728" s="30" t="s">
        <v>122</v>
      </c>
      <c r="B728" s="241"/>
      <c r="C728" s="358">
        <f t="shared" ref="C728:AH728" si="863">C952</f>
        <v>0</v>
      </c>
      <c r="D728" s="358">
        <f t="shared" si="863"/>
        <v>0</v>
      </c>
      <c r="E728" s="358">
        <f t="shared" si="863"/>
        <v>0</v>
      </c>
      <c r="F728" s="358">
        <f t="shared" si="863"/>
        <v>0</v>
      </c>
      <c r="G728" s="358">
        <f t="shared" si="863"/>
        <v>0</v>
      </c>
      <c r="H728" s="358">
        <f t="shared" si="863"/>
        <v>0</v>
      </c>
      <c r="I728" s="358">
        <f t="shared" si="863"/>
        <v>0</v>
      </c>
      <c r="J728" s="358">
        <f t="shared" si="863"/>
        <v>0</v>
      </c>
      <c r="K728" s="358">
        <f t="shared" si="863"/>
        <v>0</v>
      </c>
      <c r="L728" s="358">
        <f t="shared" si="863"/>
        <v>0</v>
      </c>
      <c r="M728" s="358">
        <f t="shared" si="863"/>
        <v>0</v>
      </c>
      <c r="N728" s="358">
        <f t="shared" si="863"/>
        <v>0</v>
      </c>
      <c r="O728" s="358">
        <f t="shared" si="863"/>
        <v>0</v>
      </c>
      <c r="P728" s="358">
        <f t="shared" si="863"/>
        <v>0</v>
      </c>
      <c r="Q728" s="358">
        <f t="shared" si="863"/>
        <v>0</v>
      </c>
      <c r="R728" s="358">
        <f t="shared" si="863"/>
        <v>0</v>
      </c>
      <c r="S728" s="358">
        <f t="shared" si="863"/>
        <v>0</v>
      </c>
      <c r="T728" s="358">
        <f t="shared" si="863"/>
        <v>0</v>
      </c>
      <c r="U728" s="358">
        <f t="shared" si="863"/>
        <v>0</v>
      </c>
      <c r="V728" s="358">
        <f t="shared" si="863"/>
        <v>0</v>
      </c>
      <c r="W728" s="358">
        <f t="shared" si="863"/>
        <v>0</v>
      </c>
      <c r="X728" s="358">
        <f t="shared" si="863"/>
        <v>0</v>
      </c>
      <c r="Y728" s="358">
        <f t="shared" si="863"/>
        <v>0</v>
      </c>
      <c r="Z728" s="358">
        <f t="shared" si="863"/>
        <v>0</v>
      </c>
      <c r="AA728" s="358">
        <f t="shared" si="863"/>
        <v>0</v>
      </c>
      <c r="AB728" s="358">
        <f t="shared" si="863"/>
        <v>0</v>
      </c>
      <c r="AC728" s="358">
        <f t="shared" si="863"/>
        <v>0</v>
      </c>
      <c r="AD728" s="358">
        <f t="shared" si="863"/>
        <v>0</v>
      </c>
      <c r="AE728" s="358">
        <f t="shared" si="863"/>
        <v>0</v>
      </c>
      <c r="AF728" s="358">
        <f t="shared" si="863"/>
        <v>0</v>
      </c>
      <c r="AG728" s="358">
        <f t="shared" si="863"/>
        <v>0</v>
      </c>
      <c r="AH728" s="358">
        <f t="shared" si="863"/>
        <v>0</v>
      </c>
      <c r="AI728" s="358">
        <f t="shared" ref="AI728:BF728" si="864">AI952</f>
        <v>0</v>
      </c>
      <c r="AJ728" s="358">
        <f t="shared" si="864"/>
        <v>0</v>
      </c>
      <c r="AK728" s="358">
        <f t="shared" si="864"/>
        <v>0</v>
      </c>
      <c r="AL728" s="358">
        <f t="shared" si="864"/>
        <v>0</v>
      </c>
      <c r="AM728" s="358">
        <f t="shared" si="864"/>
        <v>0</v>
      </c>
      <c r="AN728" s="358">
        <f t="shared" si="864"/>
        <v>0</v>
      </c>
      <c r="AO728" s="358">
        <f t="shared" si="864"/>
        <v>0</v>
      </c>
      <c r="AP728" s="358">
        <f t="shared" si="864"/>
        <v>0</v>
      </c>
      <c r="AQ728" s="358">
        <f t="shared" si="864"/>
        <v>0</v>
      </c>
      <c r="AR728" s="358">
        <f t="shared" si="864"/>
        <v>0</v>
      </c>
      <c r="AS728" s="358">
        <f t="shared" si="864"/>
        <v>0</v>
      </c>
      <c r="AT728" s="358">
        <f t="shared" si="864"/>
        <v>0</v>
      </c>
      <c r="AU728" s="358">
        <f t="shared" si="864"/>
        <v>0</v>
      </c>
      <c r="AV728" s="358">
        <f t="shared" si="864"/>
        <v>0</v>
      </c>
      <c r="AW728" s="358">
        <f t="shared" si="864"/>
        <v>0</v>
      </c>
      <c r="AX728" s="358">
        <f t="shared" si="864"/>
        <v>0</v>
      </c>
      <c r="AY728" s="604">
        <f t="shared" si="864"/>
        <v>0</v>
      </c>
      <c r="AZ728" s="600">
        <f t="shared" si="864"/>
        <v>0</v>
      </c>
      <c r="BA728" s="600">
        <f t="shared" si="864"/>
        <v>0</v>
      </c>
      <c r="BB728" s="600">
        <f t="shared" si="864"/>
        <v>0</v>
      </c>
      <c r="BC728" s="600">
        <f t="shared" si="864"/>
        <v>0</v>
      </c>
      <c r="BD728" s="600">
        <f t="shared" si="864"/>
        <v>0</v>
      </c>
      <c r="BE728" s="600">
        <f t="shared" si="864"/>
        <v>0</v>
      </c>
      <c r="BF728" s="600">
        <f t="shared" si="864"/>
        <v>0</v>
      </c>
      <c r="BG728" s="600"/>
      <c r="BH728" s="1031">
        <f t="shared" ref="BH728:CB728" si="865">BH952</f>
        <v>0</v>
      </c>
      <c r="BI728" s="1031">
        <f t="shared" si="865"/>
        <v>0</v>
      </c>
      <c r="BJ728" s="1031">
        <f t="shared" si="865"/>
        <v>0</v>
      </c>
      <c r="BK728" s="1031">
        <f t="shared" si="865"/>
        <v>0</v>
      </c>
      <c r="BL728" s="1031">
        <f t="shared" si="865"/>
        <v>0</v>
      </c>
      <c r="BM728" s="1031">
        <f t="shared" si="865"/>
        <v>0</v>
      </c>
      <c r="BN728" s="1031">
        <f t="shared" si="865"/>
        <v>0</v>
      </c>
      <c r="BO728" s="186">
        <f t="shared" si="865"/>
        <v>0</v>
      </c>
      <c r="BP728" s="186">
        <f t="shared" si="865"/>
        <v>0</v>
      </c>
      <c r="BQ728" s="186">
        <f t="shared" si="865"/>
        <v>0</v>
      </c>
      <c r="BR728" s="186">
        <f t="shared" si="865"/>
        <v>0</v>
      </c>
      <c r="BS728" s="186">
        <f t="shared" si="865"/>
        <v>0</v>
      </c>
      <c r="BT728" s="186">
        <f t="shared" si="865"/>
        <v>0</v>
      </c>
      <c r="BU728" s="186">
        <f t="shared" si="865"/>
        <v>0</v>
      </c>
      <c r="BV728" s="186">
        <f t="shared" si="865"/>
        <v>0</v>
      </c>
      <c r="BW728" s="909">
        <f t="shared" si="865"/>
        <v>0</v>
      </c>
      <c r="BX728" s="186">
        <f t="shared" si="865"/>
        <v>0</v>
      </c>
      <c r="BY728" s="186">
        <f t="shared" si="865"/>
        <v>0</v>
      </c>
      <c r="BZ728" s="186">
        <f t="shared" si="865"/>
        <v>0</v>
      </c>
      <c r="CA728" s="186">
        <f t="shared" si="865"/>
        <v>0</v>
      </c>
      <c r="CB728" s="186">
        <f t="shared" si="865"/>
        <v>0</v>
      </c>
      <c r="CC728" s="358"/>
    </row>
    <row r="729" spans="1:81" outlineLevel="1" x14ac:dyDescent="0.55000000000000004">
      <c r="A729" s="30" t="s">
        <v>123</v>
      </c>
      <c r="B729" s="241"/>
      <c r="C729" s="358">
        <f t="shared" ref="C729:AH729" si="866">C947</f>
        <v>0</v>
      </c>
      <c r="D729" s="358">
        <f t="shared" si="866"/>
        <v>0</v>
      </c>
      <c r="E729" s="358">
        <f t="shared" si="866"/>
        <v>0</v>
      </c>
      <c r="F729" s="358">
        <f t="shared" si="866"/>
        <v>0</v>
      </c>
      <c r="G729" s="358">
        <f t="shared" si="866"/>
        <v>0</v>
      </c>
      <c r="H729" s="358">
        <f t="shared" si="866"/>
        <v>0</v>
      </c>
      <c r="I729" s="358">
        <f t="shared" si="866"/>
        <v>0</v>
      </c>
      <c r="J729" s="358">
        <f t="shared" si="866"/>
        <v>0</v>
      </c>
      <c r="K729" s="358">
        <f t="shared" si="866"/>
        <v>0</v>
      </c>
      <c r="L729" s="358">
        <f t="shared" si="866"/>
        <v>0</v>
      </c>
      <c r="M729" s="358">
        <f t="shared" si="866"/>
        <v>0</v>
      </c>
      <c r="N729" s="358">
        <f t="shared" si="866"/>
        <v>0</v>
      </c>
      <c r="O729" s="358">
        <f t="shared" si="866"/>
        <v>0</v>
      </c>
      <c r="P729" s="358">
        <f t="shared" si="866"/>
        <v>0</v>
      </c>
      <c r="Q729" s="358">
        <f t="shared" si="866"/>
        <v>0</v>
      </c>
      <c r="R729" s="358">
        <f t="shared" si="866"/>
        <v>0</v>
      </c>
      <c r="S729" s="358">
        <f t="shared" si="866"/>
        <v>0</v>
      </c>
      <c r="T729" s="358">
        <f t="shared" si="866"/>
        <v>0</v>
      </c>
      <c r="U729" s="358">
        <f t="shared" si="866"/>
        <v>0</v>
      </c>
      <c r="V729" s="358">
        <f t="shared" si="866"/>
        <v>0</v>
      </c>
      <c r="W729" s="358">
        <f t="shared" si="866"/>
        <v>0</v>
      </c>
      <c r="X729" s="358">
        <f t="shared" si="866"/>
        <v>0</v>
      </c>
      <c r="Y729" s="358">
        <f t="shared" si="866"/>
        <v>0</v>
      </c>
      <c r="Z729" s="358">
        <f t="shared" si="866"/>
        <v>0</v>
      </c>
      <c r="AA729" s="358">
        <f t="shared" si="866"/>
        <v>0</v>
      </c>
      <c r="AB729" s="358">
        <f t="shared" si="866"/>
        <v>0</v>
      </c>
      <c r="AC729" s="358">
        <f t="shared" si="866"/>
        <v>0</v>
      </c>
      <c r="AD729" s="358">
        <f t="shared" si="866"/>
        <v>0</v>
      </c>
      <c r="AE729" s="358">
        <f t="shared" si="866"/>
        <v>0</v>
      </c>
      <c r="AF729" s="358">
        <f t="shared" si="866"/>
        <v>0</v>
      </c>
      <c r="AG729" s="358">
        <f t="shared" si="866"/>
        <v>0</v>
      </c>
      <c r="AH729" s="358">
        <f t="shared" si="866"/>
        <v>0</v>
      </c>
      <c r="AI729" s="358">
        <f t="shared" ref="AI729:BF729" si="867">AI947</f>
        <v>0</v>
      </c>
      <c r="AJ729" s="358">
        <f t="shared" si="867"/>
        <v>0</v>
      </c>
      <c r="AK729" s="358">
        <f t="shared" si="867"/>
        <v>0</v>
      </c>
      <c r="AL729" s="358">
        <f t="shared" si="867"/>
        <v>0</v>
      </c>
      <c r="AM729" s="358">
        <f t="shared" si="867"/>
        <v>0</v>
      </c>
      <c r="AN729" s="358">
        <f t="shared" si="867"/>
        <v>0</v>
      </c>
      <c r="AO729" s="358">
        <f t="shared" si="867"/>
        <v>0</v>
      </c>
      <c r="AP729" s="358">
        <f t="shared" si="867"/>
        <v>0</v>
      </c>
      <c r="AQ729" s="358">
        <f t="shared" si="867"/>
        <v>0</v>
      </c>
      <c r="AR729" s="358">
        <f t="shared" si="867"/>
        <v>0</v>
      </c>
      <c r="AS729" s="358">
        <f t="shared" si="867"/>
        <v>0</v>
      </c>
      <c r="AT729" s="358">
        <f t="shared" si="867"/>
        <v>0</v>
      </c>
      <c r="AU729" s="358">
        <f t="shared" si="867"/>
        <v>0</v>
      </c>
      <c r="AV729" s="358">
        <f t="shared" si="867"/>
        <v>0</v>
      </c>
      <c r="AW729" s="358">
        <f t="shared" si="867"/>
        <v>0</v>
      </c>
      <c r="AX729" s="358">
        <f t="shared" si="867"/>
        <v>0</v>
      </c>
      <c r="AY729" s="604">
        <f t="shared" si="867"/>
        <v>0</v>
      </c>
      <c r="AZ729" s="600">
        <f t="shared" si="867"/>
        <v>0</v>
      </c>
      <c r="BA729" s="600">
        <f t="shared" si="867"/>
        <v>0</v>
      </c>
      <c r="BB729" s="600">
        <f t="shared" si="867"/>
        <v>0</v>
      </c>
      <c r="BC729" s="600">
        <f t="shared" si="867"/>
        <v>0</v>
      </c>
      <c r="BD729" s="600">
        <f t="shared" si="867"/>
        <v>0</v>
      </c>
      <c r="BE729" s="600">
        <f t="shared" si="867"/>
        <v>0</v>
      </c>
      <c r="BF729" s="600">
        <f t="shared" si="867"/>
        <v>0</v>
      </c>
      <c r="BG729" s="600"/>
      <c r="BH729" s="1031">
        <f t="shared" ref="BH729:CB729" si="868">BH947</f>
        <v>0</v>
      </c>
      <c r="BI729" s="1031">
        <f t="shared" si="868"/>
        <v>615</v>
      </c>
      <c r="BJ729" s="1031">
        <f t="shared" si="868"/>
        <v>615</v>
      </c>
      <c r="BK729" s="1031">
        <f t="shared" si="868"/>
        <v>0</v>
      </c>
      <c r="BL729" s="1031">
        <f t="shared" si="868"/>
        <v>0</v>
      </c>
      <c r="BM729" s="1031">
        <f t="shared" si="868"/>
        <v>0</v>
      </c>
      <c r="BN729" s="1031">
        <f t="shared" si="868"/>
        <v>0</v>
      </c>
      <c r="BO729" s="186">
        <f t="shared" si="868"/>
        <v>0</v>
      </c>
      <c r="BP729" s="186">
        <f t="shared" si="868"/>
        <v>0</v>
      </c>
      <c r="BQ729" s="186">
        <f t="shared" si="868"/>
        <v>0</v>
      </c>
      <c r="BR729" s="186">
        <f t="shared" si="868"/>
        <v>0</v>
      </c>
      <c r="BS729" s="186">
        <f t="shared" si="868"/>
        <v>0</v>
      </c>
      <c r="BT729" s="186">
        <f t="shared" si="868"/>
        <v>0</v>
      </c>
      <c r="BU729" s="186">
        <f t="shared" si="868"/>
        <v>0</v>
      </c>
      <c r="BV729" s="186">
        <f t="shared" si="868"/>
        <v>0</v>
      </c>
      <c r="BW729" s="909">
        <f t="shared" si="868"/>
        <v>0</v>
      </c>
      <c r="BX729" s="186">
        <f t="shared" si="868"/>
        <v>0</v>
      </c>
      <c r="BY729" s="186">
        <f t="shared" si="868"/>
        <v>0</v>
      </c>
      <c r="BZ729" s="186">
        <f t="shared" si="868"/>
        <v>0</v>
      </c>
      <c r="CA729" s="186">
        <f t="shared" si="868"/>
        <v>0</v>
      </c>
      <c r="CB729" s="186">
        <f t="shared" si="868"/>
        <v>0</v>
      </c>
      <c r="CC729" s="358"/>
    </row>
    <row r="730" spans="1:81" outlineLevel="1" x14ac:dyDescent="0.55000000000000004">
      <c r="A730" s="30" t="s">
        <v>124</v>
      </c>
      <c r="B730" s="241"/>
      <c r="C730" s="600"/>
      <c r="D730" s="600"/>
      <c r="E730" s="600"/>
      <c r="F730" s="600"/>
      <c r="G730" s="600"/>
      <c r="H730" s="600"/>
      <c r="I730" s="600"/>
      <c r="J730" s="600"/>
      <c r="K730" s="600"/>
      <c r="L730" s="600"/>
      <c r="M730" s="600"/>
      <c r="N730" s="600"/>
      <c r="O730" s="600"/>
      <c r="P730" s="600"/>
      <c r="Q730" s="600"/>
      <c r="R730" s="600"/>
      <c r="S730" s="600"/>
      <c r="T730" s="600"/>
      <c r="U730" s="600"/>
      <c r="V730" s="600"/>
      <c r="W730" s="600"/>
      <c r="X730" s="600"/>
      <c r="Y730" s="600"/>
      <c r="Z730" s="600"/>
      <c r="AA730" s="600"/>
      <c r="AB730" s="600"/>
      <c r="AC730" s="600"/>
      <c r="AD730" s="600"/>
      <c r="AE730" s="600"/>
      <c r="AF730" s="600"/>
      <c r="AG730" s="600"/>
      <c r="AH730" s="600"/>
      <c r="AI730" s="600"/>
      <c r="AJ730" s="600"/>
      <c r="AK730" s="600"/>
      <c r="AL730" s="600"/>
      <c r="AM730" s="600"/>
      <c r="AN730" s="600"/>
      <c r="AO730" s="600"/>
      <c r="AP730" s="600"/>
      <c r="AQ730" s="600"/>
      <c r="AR730" s="600"/>
      <c r="AS730" s="600"/>
      <c r="AT730" s="600"/>
      <c r="AU730" s="600"/>
      <c r="AV730" s="600"/>
      <c r="AW730" s="600"/>
      <c r="AX730" s="600"/>
      <c r="AY730" s="604"/>
      <c r="AZ730" s="600"/>
      <c r="BA730" s="600"/>
      <c r="BB730" s="600"/>
      <c r="BC730" s="600"/>
      <c r="BD730" s="600"/>
      <c r="BE730" s="600"/>
      <c r="BF730" s="600"/>
      <c r="BG730" s="600"/>
      <c r="BH730" s="186"/>
      <c r="BI730" s="186"/>
      <c r="BJ730" s="186"/>
      <c r="BK730" s="186"/>
      <c r="BL730" s="186"/>
      <c r="BM730" s="186"/>
      <c r="BN730" s="186"/>
      <c r="BO730" s="186"/>
      <c r="BP730" s="186"/>
      <c r="BQ730" s="186"/>
      <c r="BR730" s="186"/>
      <c r="BS730" s="186"/>
      <c r="BT730" s="186"/>
      <c r="BU730" s="186"/>
      <c r="BV730" s="186"/>
      <c r="BW730" s="909"/>
      <c r="BX730" s="186"/>
      <c r="BY730" s="186"/>
      <c r="BZ730" s="186"/>
      <c r="CA730" s="186"/>
      <c r="CB730" s="186"/>
      <c r="CC730" s="358"/>
    </row>
    <row r="731" spans="1:81" x14ac:dyDescent="0.55000000000000004">
      <c r="A731" s="265"/>
      <c r="B731" s="241"/>
      <c r="C731" s="600"/>
      <c r="D731" s="600"/>
      <c r="E731" s="600"/>
      <c r="F731" s="600"/>
      <c r="G731" s="600"/>
      <c r="H731" s="600"/>
      <c r="I731" s="600"/>
      <c r="J731" s="600"/>
      <c r="K731" s="600"/>
      <c r="L731" s="600"/>
      <c r="M731" s="600"/>
      <c r="N731" s="600"/>
      <c r="O731" s="600"/>
      <c r="P731" s="600"/>
      <c r="Q731" s="600"/>
      <c r="R731" s="600"/>
      <c r="S731" s="600"/>
      <c r="T731" s="600"/>
      <c r="U731" s="600"/>
      <c r="V731" s="600"/>
      <c r="W731" s="600"/>
      <c r="X731" s="600"/>
      <c r="Y731" s="600"/>
      <c r="Z731" s="600"/>
      <c r="AA731" s="600"/>
      <c r="AB731" s="600"/>
      <c r="AC731" s="600"/>
      <c r="AD731" s="600"/>
      <c r="AE731" s="600"/>
      <c r="AF731" s="600"/>
      <c r="AG731" s="600"/>
      <c r="AH731" s="600"/>
      <c r="AI731" s="600"/>
      <c r="AJ731" s="600"/>
      <c r="AK731" s="600"/>
      <c r="AL731" s="600"/>
      <c r="AM731" s="600"/>
      <c r="AN731" s="600"/>
      <c r="AO731" s="600"/>
      <c r="AP731" s="600"/>
      <c r="AQ731" s="600"/>
      <c r="AR731" s="600"/>
      <c r="AS731" s="600"/>
      <c r="AT731" s="600"/>
      <c r="AU731" s="600"/>
      <c r="AV731" s="600"/>
      <c r="AW731" s="600"/>
      <c r="AX731" s="600"/>
      <c r="AY731" s="604"/>
      <c r="AZ731" s="600"/>
      <c r="BA731" s="600"/>
      <c r="BB731" s="600"/>
      <c r="BC731" s="600"/>
      <c r="BD731" s="600"/>
      <c r="BE731" s="600"/>
      <c r="BF731" s="600"/>
      <c r="BG731" s="600"/>
      <c r="BH731" s="186"/>
      <c r="BI731" s="186"/>
      <c r="BJ731" s="186"/>
      <c r="BK731" s="186"/>
      <c r="BL731" s="186"/>
      <c r="BM731" s="186"/>
      <c r="BN731" s="186"/>
      <c r="BO731" s="186"/>
      <c r="BP731" s="186"/>
      <c r="BQ731" s="186"/>
      <c r="BR731" s="186"/>
      <c r="BS731" s="186"/>
      <c r="BT731" s="186"/>
      <c r="BU731" s="186"/>
      <c r="BV731" s="186"/>
      <c r="BW731" s="909"/>
      <c r="BX731" s="186"/>
      <c r="BY731" s="186"/>
      <c r="BZ731" s="186"/>
      <c r="CA731" s="186"/>
      <c r="CB731" s="186"/>
      <c r="CC731" s="358"/>
    </row>
    <row r="732" spans="1:81" x14ac:dyDescent="0.55000000000000004">
      <c r="A732" s="598" t="s">
        <v>125</v>
      </c>
      <c r="B732" s="598"/>
      <c r="C732" s="598"/>
      <c r="D732" s="598"/>
      <c r="E732" s="598"/>
      <c r="F732" s="598"/>
      <c r="G732" s="598"/>
      <c r="H732" s="598"/>
      <c r="I732" s="598"/>
      <c r="J732" s="598"/>
      <c r="K732" s="598"/>
      <c r="L732" s="598"/>
      <c r="M732" s="598"/>
      <c r="N732" s="598"/>
      <c r="O732" s="598"/>
      <c r="P732" s="598"/>
      <c r="Q732" s="598"/>
      <c r="R732" s="598"/>
      <c r="S732" s="598"/>
      <c r="T732" s="598"/>
      <c r="U732" s="598"/>
      <c r="V732" s="598"/>
      <c r="W732" s="598"/>
      <c r="X732" s="598"/>
      <c r="Y732" s="598"/>
      <c r="Z732" s="598"/>
      <c r="AA732" s="598"/>
      <c r="AB732" s="598"/>
      <c r="AC732" s="598"/>
      <c r="AD732" s="598"/>
      <c r="AE732" s="598"/>
      <c r="AF732" s="598"/>
      <c r="AG732" s="598"/>
      <c r="AH732" s="598"/>
      <c r="AI732" s="598"/>
      <c r="AJ732" s="598"/>
      <c r="AK732" s="598"/>
      <c r="AL732" s="598"/>
      <c r="AM732" s="598"/>
      <c r="AN732" s="598"/>
      <c r="AO732" s="598"/>
      <c r="AP732" s="598"/>
      <c r="AQ732" s="598"/>
      <c r="AR732" s="598"/>
      <c r="AS732" s="598"/>
      <c r="AT732" s="598"/>
      <c r="AU732" s="598"/>
      <c r="AV732" s="598"/>
      <c r="AW732" s="598"/>
      <c r="AX732" s="598"/>
      <c r="AY732" s="599"/>
      <c r="AZ732" s="598"/>
      <c r="BA732" s="598"/>
      <c r="BB732" s="598"/>
      <c r="BC732" s="598"/>
      <c r="BD732" s="598"/>
      <c r="BE732" s="598"/>
      <c r="BF732" s="598"/>
      <c r="BG732" s="598"/>
      <c r="BH732" s="598"/>
      <c r="BI732" s="598"/>
      <c r="BJ732" s="598"/>
      <c r="BK732" s="598"/>
      <c r="BL732" s="598"/>
      <c r="BM732" s="598"/>
      <c r="BN732" s="598"/>
      <c r="BO732" s="598"/>
      <c r="BP732" s="598"/>
      <c r="BQ732" s="598"/>
      <c r="BR732" s="598"/>
      <c r="BS732" s="598"/>
      <c r="BT732" s="598"/>
      <c r="BU732" s="598"/>
      <c r="BV732" s="598"/>
      <c r="BW732" s="599"/>
      <c r="BX732" s="598"/>
      <c r="BY732" s="598"/>
      <c r="BZ732" s="598"/>
      <c r="CA732" s="598"/>
      <c r="CB732" s="598"/>
      <c r="CC732" s="217"/>
    </row>
    <row r="733" spans="1:81" outlineLevel="1" x14ac:dyDescent="0.55000000000000004">
      <c r="A733" s="19" t="s">
        <v>126</v>
      </c>
      <c r="B733" s="193"/>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s="272"/>
      <c r="AZ733" s="35"/>
      <c r="BA733" s="35"/>
      <c r="BB733" s="35"/>
      <c r="BC733" s="35"/>
      <c r="BD733" s="35"/>
      <c r="BE733" s="35"/>
      <c r="BF733" s="35"/>
      <c r="BG733" s="35"/>
      <c r="BH733" s="812"/>
      <c r="BI733" s="812"/>
      <c r="BJ733" s="812"/>
      <c r="BK733" s="812"/>
      <c r="BL733" s="812"/>
      <c r="BM733" s="812"/>
      <c r="BN733" s="812"/>
      <c r="BO733" s="812"/>
      <c r="BP733" s="812"/>
      <c r="BQ733" s="812"/>
      <c r="BR733" s="812"/>
      <c r="BS733" s="812"/>
      <c r="BT733" s="812"/>
      <c r="BU733" s="812"/>
      <c r="BV733" s="812"/>
      <c r="BW733" s="814"/>
      <c r="BX733" s="812"/>
      <c r="BY733" s="812"/>
      <c r="BZ733" s="812"/>
      <c r="CA733" s="812"/>
      <c r="CB733" s="812"/>
      <c r="CC733" s="6"/>
    </row>
    <row r="734" spans="1:81" outlineLevel="1" x14ac:dyDescent="0.55000000000000004">
      <c r="A734" s="116" t="s">
        <v>51</v>
      </c>
      <c r="B734" s="87"/>
      <c r="C734" s="759">
        <v>219</v>
      </c>
      <c r="D734" s="759">
        <v>552</v>
      </c>
      <c r="E734" s="759">
        <v>977</v>
      </c>
      <c r="F734" s="117">
        <f t="shared" ref="F734:F741" si="869">BL734</f>
        <v>1500</v>
      </c>
      <c r="G734" s="759">
        <v>642</v>
      </c>
      <c r="H734" s="759">
        <v>1433</v>
      </c>
      <c r="I734" s="759">
        <v>2239</v>
      </c>
      <c r="J734" s="117">
        <f t="shared" ref="J734:J741" si="870">BM734</f>
        <v>2940</v>
      </c>
      <c r="K734" s="759">
        <v>512</v>
      </c>
      <c r="L734" s="759">
        <v>1231</v>
      </c>
      <c r="M734" s="759">
        <v>2127</v>
      </c>
      <c r="N734" s="117">
        <f t="shared" ref="N734:N741" si="871">BN734</f>
        <v>3688</v>
      </c>
      <c r="O734" s="759">
        <v>1738</v>
      </c>
      <c r="P734" s="759">
        <v>4021</v>
      </c>
      <c r="Q734" s="759">
        <v>6648</v>
      </c>
      <c r="R734" s="37">
        <f t="shared" ref="R734:R741" si="872">BO734</f>
        <v>10217</v>
      </c>
      <c r="S734" s="759">
        <v>3064</v>
      </c>
      <c r="T734" s="759">
        <v>6959</v>
      </c>
      <c r="U734" s="759">
        <v>11665</v>
      </c>
      <c r="V734" s="37">
        <f t="shared" ref="V734:V741" si="873">BP734</f>
        <v>15934</v>
      </c>
      <c r="W734" s="759">
        <v>4988</v>
      </c>
      <c r="X734" s="759">
        <v>10093</v>
      </c>
      <c r="Y734" s="759">
        <v>15230</v>
      </c>
      <c r="Z734" s="37">
        <f t="shared" ref="Z734:Z741" si="874">BQ734</f>
        <v>22112</v>
      </c>
      <c r="AA734" s="759">
        <v>2429</v>
      </c>
      <c r="AB734" s="759">
        <v>5045</v>
      </c>
      <c r="AC734" s="759">
        <v>11136</v>
      </c>
      <c r="AD734" s="37">
        <f t="shared" ref="AD734:AD741" si="875">BR734</f>
        <v>18485</v>
      </c>
      <c r="AE734" s="759">
        <v>4902</v>
      </c>
      <c r="AF734" s="759">
        <v>10081</v>
      </c>
      <c r="AG734" s="759">
        <v>17927</v>
      </c>
      <c r="AH734" s="37">
        <f t="shared" ref="AH734:AH741" si="876">BS734</f>
        <v>29146</v>
      </c>
      <c r="AI734" s="759">
        <v>9497</v>
      </c>
      <c r="AJ734" s="759">
        <v>19892</v>
      </c>
      <c r="AK734" s="759">
        <v>29085</v>
      </c>
      <c r="AL734" s="37">
        <f t="shared" ref="AL734:AL741" si="877">BT734</f>
        <v>39370</v>
      </c>
      <c r="AM734" s="759">
        <v>7465</v>
      </c>
      <c r="AN734" s="759">
        <v>14152</v>
      </c>
      <c r="AO734" s="759">
        <v>18547</v>
      </c>
      <c r="AP734" s="37">
        <f t="shared" ref="AP734:AP745" si="878">BU734</f>
        <v>23200</v>
      </c>
      <c r="AQ734" s="759">
        <v>5709</v>
      </c>
      <c r="AR734" s="759">
        <v>13498</v>
      </c>
      <c r="AS734" s="759">
        <v>25081</v>
      </c>
      <c r="AT734" s="37">
        <f t="shared" ref="AT734:AT745" si="879">BV734</f>
        <v>39098</v>
      </c>
      <c r="AU734" s="759">
        <v>12369</v>
      </c>
      <c r="AV734" s="759">
        <v>25834</v>
      </c>
      <c r="AW734" s="759">
        <v>41522</v>
      </c>
      <c r="AX734" s="37">
        <f t="shared" ref="AX734:AX745" si="880">BW734</f>
        <v>62360</v>
      </c>
      <c r="AY734" s="762">
        <v>16644</v>
      </c>
      <c r="AZ734" s="37"/>
      <c r="BA734" s="37"/>
      <c r="BB734" s="37"/>
      <c r="BC734" s="37"/>
      <c r="BD734" s="37"/>
      <c r="BE734" s="37"/>
      <c r="BF734" s="37"/>
      <c r="BG734" s="37"/>
      <c r="BH734" s="857">
        <v>229</v>
      </c>
      <c r="BI734" s="857">
        <v>606</v>
      </c>
      <c r="BJ734" s="857">
        <v>1000</v>
      </c>
      <c r="BK734" s="857">
        <v>53</v>
      </c>
      <c r="BL734" s="857">
        <v>1500</v>
      </c>
      <c r="BM734" s="857">
        <v>2940</v>
      </c>
      <c r="BN734" s="857">
        <v>3688</v>
      </c>
      <c r="BO734" s="857">
        <v>10217</v>
      </c>
      <c r="BP734" s="857">
        <v>15934</v>
      </c>
      <c r="BQ734" s="857">
        <v>22112</v>
      </c>
      <c r="BR734" s="857">
        <v>18485</v>
      </c>
      <c r="BS734" s="857">
        <v>29146</v>
      </c>
      <c r="BT734" s="857">
        <v>39370</v>
      </c>
      <c r="BU734" s="857">
        <v>23200</v>
      </c>
      <c r="BV734" s="857">
        <v>39098</v>
      </c>
      <c r="BW734" s="862">
        <v>62360</v>
      </c>
      <c r="BX734" s="158"/>
      <c r="BY734" s="158"/>
      <c r="BZ734" s="158"/>
      <c r="CA734" s="158"/>
      <c r="CB734" s="158"/>
      <c r="CC734" s="117"/>
    </row>
    <row r="735" spans="1:81" outlineLevel="1" x14ac:dyDescent="0.55000000000000004">
      <c r="A735" s="116" t="s">
        <v>127</v>
      </c>
      <c r="B735" s="87"/>
      <c r="C735" s="759">
        <v>233</v>
      </c>
      <c r="D735" s="759">
        <v>463</v>
      </c>
      <c r="E735" s="759">
        <v>737</v>
      </c>
      <c r="F735" s="117">
        <f t="shared" si="869"/>
        <v>1011</v>
      </c>
      <c r="G735" s="759">
        <v>264</v>
      </c>
      <c r="H735" s="759">
        <v>521</v>
      </c>
      <c r="I735" s="759">
        <v>810</v>
      </c>
      <c r="J735" s="117">
        <f t="shared" si="870"/>
        <v>1243</v>
      </c>
      <c r="K735" s="759">
        <v>457</v>
      </c>
      <c r="L735" s="759">
        <v>916</v>
      </c>
      <c r="M735" s="759">
        <v>1402</v>
      </c>
      <c r="N735" s="117">
        <f t="shared" si="871"/>
        <v>1945</v>
      </c>
      <c r="O735" s="759">
        <v>552</v>
      </c>
      <c r="P735" s="759">
        <v>1137</v>
      </c>
      <c r="Q735" s="759">
        <v>1728</v>
      </c>
      <c r="R735" s="37">
        <f t="shared" si="872"/>
        <v>2342</v>
      </c>
      <c r="S735" s="759">
        <v>671</v>
      </c>
      <c r="T735" s="759">
        <v>1400</v>
      </c>
      <c r="U735" s="759">
        <v>2172</v>
      </c>
      <c r="V735" s="37">
        <f t="shared" si="873"/>
        <v>3025</v>
      </c>
      <c r="W735" s="759">
        <v>949</v>
      </c>
      <c r="X735" s="759">
        <v>1983</v>
      </c>
      <c r="Y735" s="759">
        <v>3090</v>
      </c>
      <c r="Z735" s="37">
        <f t="shared" si="874"/>
        <v>4315</v>
      </c>
      <c r="AA735" s="759">
        <v>1355</v>
      </c>
      <c r="AB735" s="759">
        <v>2857</v>
      </c>
      <c r="AC735" s="759">
        <v>4273</v>
      </c>
      <c r="AD735" s="37">
        <f t="shared" si="875"/>
        <v>5741</v>
      </c>
      <c r="AE735" s="759">
        <v>1597</v>
      </c>
      <c r="AF735" s="759">
        <v>3301</v>
      </c>
      <c r="AG735" s="759">
        <v>4999</v>
      </c>
      <c r="AH735" s="37">
        <f t="shared" si="876"/>
        <v>6862</v>
      </c>
      <c r="AI735" s="759">
        <v>1972</v>
      </c>
      <c r="AJ735" s="759">
        <v>3958</v>
      </c>
      <c r="AK735" s="759">
        <v>5953</v>
      </c>
      <c r="AL735" s="37">
        <f t="shared" si="877"/>
        <v>7967</v>
      </c>
      <c r="AM735" s="759">
        <v>2156</v>
      </c>
      <c r="AN735" s="759">
        <v>4135</v>
      </c>
      <c r="AO735" s="759">
        <v>6310</v>
      </c>
      <c r="AP735" s="37">
        <f t="shared" si="878"/>
        <v>8686</v>
      </c>
      <c r="AQ735" s="759">
        <v>2524</v>
      </c>
      <c r="AR735" s="759">
        <v>5147</v>
      </c>
      <c r="AS735" s="759">
        <v>8006</v>
      </c>
      <c r="AT735" s="37">
        <f t="shared" si="879"/>
        <v>11178</v>
      </c>
      <c r="AU735" s="759">
        <v>3374</v>
      </c>
      <c r="AV735" s="759">
        <v>7011</v>
      </c>
      <c r="AW735" s="759">
        <v>11038</v>
      </c>
      <c r="AX735" s="37">
        <f t="shared" si="880"/>
        <v>15498</v>
      </c>
      <c r="AY735" s="762">
        <v>3900</v>
      </c>
      <c r="AZ735" s="37"/>
      <c r="BA735" s="37"/>
      <c r="BB735" s="37"/>
      <c r="BC735" s="37"/>
      <c r="BD735" s="37"/>
      <c r="BE735" s="37"/>
      <c r="BF735" s="37"/>
      <c r="BG735" s="37"/>
      <c r="BH735" s="857">
        <v>78</v>
      </c>
      <c r="BI735" s="857">
        <v>139</v>
      </c>
      <c r="BJ735" s="857">
        <v>323</v>
      </c>
      <c r="BK735" s="857">
        <v>649</v>
      </c>
      <c r="BL735" s="857">
        <v>1011</v>
      </c>
      <c r="BM735" s="857">
        <v>1243</v>
      </c>
      <c r="BN735" s="857">
        <v>1945</v>
      </c>
      <c r="BO735" s="857">
        <v>2342</v>
      </c>
      <c r="BP735" s="857">
        <v>3025</v>
      </c>
      <c r="BQ735" s="857">
        <v>4315</v>
      </c>
      <c r="BR735" s="857">
        <v>5741</v>
      </c>
      <c r="BS735" s="857">
        <v>6862</v>
      </c>
      <c r="BT735" s="857">
        <v>7967</v>
      </c>
      <c r="BU735" s="857">
        <v>8686</v>
      </c>
      <c r="BV735" s="857">
        <v>11178</v>
      </c>
      <c r="BW735" s="862">
        <v>15498</v>
      </c>
      <c r="BX735" s="158"/>
      <c r="BY735" s="158"/>
      <c r="BZ735" s="158"/>
      <c r="CA735" s="158"/>
      <c r="CB735" s="158"/>
      <c r="CC735" s="117"/>
    </row>
    <row r="736" spans="1:81" outlineLevel="1" x14ac:dyDescent="0.55000000000000004">
      <c r="A736" s="116" t="s">
        <v>128</v>
      </c>
      <c r="B736" s="87"/>
      <c r="C736" s="37"/>
      <c r="D736" s="37"/>
      <c r="E736" s="37"/>
      <c r="F736" s="117">
        <f t="shared" si="869"/>
        <v>0</v>
      </c>
      <c r="G736" s="37"/>
      <c r="H736" s="37"/>
      <c r="I736" s="37"/>
      <c r="J736" s="117">
        <f t="shared" si="870"/>
        <v>0</v>
      </c>
      <c r="K736" s="37"/>
      <c r="L736" s="37"/>
      <c r="M736" s="37"/>
      <c r="N736" s="117">
        <f t="shared" si="871"/>
        <v>0</v>
      </c>
      <c r="O736" s="37"/>
      <c r="P736" s="37"/>
      <c r="Q736" s="37"/>
      <c r="R736" s="37">
        <f t="shared" si="872"/>
        <v>0</v>
      </c>
      <c r="S736" s="37"/>
      <c r="T736" s="37"/>
      <c r="U736" s="37"/>
      <c r="V736" s="37">
        <f t="shared" si="873"/>
        <v>0</v>
      </c>
      <c r="W736" s="37"/>
      <c r="X736" s="37"/>
      <c r="Y736" s="37"/>
      <c r="Z736" s="37">
        <f t="shared" si="874"/>
        <v>0</v>
      </c>
      <c r="AA736" s="37"/>
      <c r="AB736" s="37"/>
      <c r="AC736" s="37"/>
      <c r="AD736" s="37">
        <f t="shared" si="875"/>
        <v>0</v>
      </c>
      <c r="AE736" s="37"/>
      <c r="AF736" s="37"/>
      <c r="AG736" s="37"/>
      <c r="AH736" s="37">
        <f t="shared" si="876"/>
        <v>0</v>
      </c>
      <c r="AI736" s="37"/>
      <c r="AJ736" s="37"/>
      <c r="AK736" s="37"/>
      <c r="AL736" s="37">
        <f t="shared" si="877"/>
        <v>0</v>
      </c>
      <c r="AM736" s="37"/>
      <c r="AN736" s="37"/>
      <c r="AO736" s="37"/>
      <c r="AP736" s="37">
        <f t="shared" si="878"/>
        <v>0</v>
      </c>
      <c r="AQ736" s="37"/>
      <c r="AR736" s="37"/>
      <c r="AS736" s="37"/>
      <c r="AT736" s="37">
        <f t="shared" si="879"/>
        <v>0</v>
      </c>
      <c r="AU736" s="37"/>
      <c r="AV736" s="37"/>
      <c r="AW736" s="37"/>
      <c r="AX736" s="37">
        <f t="shared" si="880"/>
        <v>0</v>
      </c>
      <c r="AY736" s="273"/>
      <c r="AZ736" s="37"/>
      <c r="BA736" s="37"/>
      <c r="BB736" s="37"/>
      <c r="BC736" s="37"/>
      <c r="BD736" s="37"/>
      <c r="BE736" s="37"/>
      <c r="BF736" s="37"/>
      <c r="BG736" s="37"/>
      <c r="BH736" s="857">
        <v>1</v>
      </c>
      <c r="BI736" s="857">
        <v>3</v>
      </c>
      <c r="BJ736" s="158"/>
      <c r="BK736" s="158"/>
      <c r="BL736" s="158"/>
      <c r="BM736" s="158"/>
      <c r="BN736" s="158"/>
      <c r="BO736" s="158"/>
      <c r="BP736" s="158"/>
      <c r="BQ736" s="158"/>
      <c r="BR736" s="158"/>
      <c r="BS736" s="158"/>
      <c r="BT736" s="158"/>
      <c r="BU736" s="158"/>
      <c r="BV736" s="158"/>
      <c r="BW736" s="846"/>
      <c r="BX736" s="158"/>
      <c r="BY736" s="158"/>
      <c r="BZ736" s="158"/>
      <c r="CA736" s="158"/>
      <c r="CB736" s="158"/>
      <c r="CC736" s="117"/>
    </row>
    <row r="737" spans="1:81" outlineLevel="1" x14ac:dyDescent="0.55000000000000004">
      <c r="A737" s="116" t="s">
        <v>129</v>
      </c>
      <c r="B737" s="87"/>
      <c r="C737" s="759">
        <v>8</v>
      </c>
      <c r="D737" s="759">
        <v>65</v>
      </c>
      <c r="E737" s="759">
        <v>108</v>
      </c>
      <c r="F737" s="117">
        <f t="shared" si="869"/>
        <v>117</v>
      </c>
      <c r="G737" s="37"/>
      <c r="H737" s="37"/>
      <c r="I737" s="37"/>
      <c r="J737" s="117">
        <f t="shared" si="870"/>
        <v>-31</v>
      </c>
      <c r="K737" s="37"/>
      <c r="L737" s="37"/>
      <c r="M737" s="37"/>
      <c r="N737" s="117">
        <f t="shared" si="871"/>
        <v>0</v>
      </c>
      <c r="O737" s="37"/>
      <c r="P737" s="37"/>
      <c r="Q737" s="37"/>
      <c r="R737" s="37">
        <f t="shared" si="872"/>
        <v>0</v>
      </c>
      <c r="S737" s="37"/>
      <c r="T737" s="37"/>
      <c r="U737" s="37"/>
      <c r="V737" s="37">
        <f t="shared" si="873"/>
        <v>0</v>
      </c>
      <c r="W737" s="37"/>
      <c r="X737" s="37"/>
      <c r="Y737" s="37"/>
      <c r="Z737" s="37">
        <f t="shared" si="874"/>
        <v>0</v>
      </c>
      <c r="AA737" s="37"/>
      <c r="AB737" s="37"/>
      <c r="AC737" s="37"/>
      <c r="AD737" s="37">
        <f t="shared" si="875"/>
        <v>0</v>
      </c>
      <c r="AE737" s="37"/>
      <c r="AF737" s="37"/>
      <c r="AG737" s="37"/>
      <c r="AH737" s="37">
        <f t="shared" si="876"/>
        <v>0</v>
      </c>
      <c r="AI737" s="37"/>
      <c r="AJ737" s="37"/>
      <c r="AK737" s="37"/>
      <c r="AL737" s="37">
        <f t="shared" si="877"/>
        <v>0</v>
      </c>
      <c r="AM737" s="37"/>
      <c r="AN737" s="37"/>
      <c r="AO737" s="37"/>
      <c r="AP737" s="37">
        <f t="shared" si="878"/>
        <v>1341</v>
      </c>
      <c r="AQ737" s="37"/>
      <c r="AR737" s="37"/>
      <c r="AS737" s="37"/>
      <c r="AT737" s="37">
        <f t="shared" si="879"/>
        <v>-224</v>
      </c>
      <c r="AU737" s="37"/>
      <c r="AV737" s="37"/>
      <c r="AW737" s="37"/>
      <c r="AX737" s="37">
        <f t="shared" si="880"/>
        <v>0</v>
      </c>
      <c r="AY737" s="273"/>
      <c r="AZ737" s="37"/>
      <c r="BA737" s="37"/>
      <c r="BB737" s="37"/>
      <c r="BC737" s="37"/>
      <c r="BD737" s="37"/>
      <c r="BE737" s="37"/>
      <c r="BF737" s="37"/>
      <c r="BG737" s="37"/>
      <c r="BH737" s="158"/>
      <c r="BI737" s="158"/>
      <c r="BJ737" s="158"/>
      <c r="BK737" s="857">
        <v>8</v>
      </c>
      <c r="BL737" s="857">
        <v>117</v>
      </c>
      <c r="BM737" s="857">
        <v>-31</v>
      </c>
      <c r="BN737" s="857">
        <v>0</v>
      </c>
      <c r="BO737" s="158"/>
      <c r="BP737" s="158"/>
      <c r="BQ737" s="158"/>
      <c r="BR737" s="158"/>
      <c r="BS737" s="158"/>
      <c r="BT737" s="158"/>
      <c r="BU737" s="857">
        <v>1341</v>
      </c>
      <c r="BV737" s="857">
        <v>-224</v>
      </c>
      <c r="BW737" s="862">
        <v>0</v>
      </c>
      <c r="BX737" s="158"/>
      <c r="BY737" s="158"/>
      <c r="BZ737" s="158"/>
      <c r="CA737" s="158"/>
      <c r="CB737" s="158"/>
      <c r="CC737" s="117"/>
    </row>
    <row r="738" spans="1:81" outlineLevel="1" x14ac:dyDescent="0.55000000000000004">
      <c r="A738" s="116" t="s">
        <v>130</v>
      </c>
      <c r="B738" s="87"/>
      <c r="C738" s="37"/>
      <c r="D738" s="37"/>
      <c r="E738" s="37"/>
      <c r="F738" s="117">
        <f t="shared" si="869"/>
        <v>0</v>
      </c>
      <c r="G738" s="37"/>
      <c r="H738" s="37"/>
      <c r="I738" s="37"/>
      <c r="J738" s="117">
        <f t="shared" si="870"/>
        <v>0</v>
      </c>
      <c r="K738" s="37"/>
      <c r="L738" s="37"/>
      <c r="M738" s="37"/>
      <c r="N738" s="117">
        <f t="shared" si="871"/>
        <v>0</v>
      </c>
      <c r="O738" s="37"/>
      <c r="P738" s="37"/>
      <c r="Q738" s="37"/>
      <c r="R738" s="37">
        <f t="shared" si="872"/>
        <v>0</v>
      </c>
      <c r="S738" s="37"/>
      <c r="T738" s="37"/>
      <c r="U738" s="37"/>
      <c r="V738" s="37">
        <f t="shared" si="873"/>
        <v>0</v>
      </c>
      <c r="W738" s="37"/>
      <c r="X738" s="37"/>
      <c r="Y738" s="37"/>
      <c r="Z738" s="37">
        <f t="shared" si="874"/>
        <v>0</v>
      </c>
      <c r="AA738" s="37"/>
      <c r="AB738" s="37"/>
      <c r="AC738" s="37"/>
      <c r="AD738" s="37">
        <f t="shared" si="875"/>
        <v>0</v>
      </c>
      <c r="AE738" s="37"/>
      <c r="AF738" s="37"/>
      <c r="AG738" s="37"/>
      <c r="AH738" s="37">
        <f t="shared" si="876"/>
        <v>0</v>
      </c>
      <c r="AI738" s="37"/>
      <c r="AJ738" s="37"/>
      <c r="AK738" s="37"/>
      <c r="AL738" s="37">
        <f t="shared" si="877"/>
        <v>0</v>
      </c>
      <c r="AM738" s="37"/>
      <c r="AN738" s="37"/>
      <c r="AO738" s="37"/>
      <c r="AP738" s="37">
        <f t="shared" si="878"/>
        <v>0</v>
      </c>
      <c r="AQ738" s="37"/>
      <c r="AR738" s="37"/>
      <c r="AS738" s="37"/>
      <c r="AT738" s="37">
        <f t="shared" si="879"/>
        <v>0</v>
      </c>
      <c r="AU738" s="37"/>
      <c r="AV738" s="37"/>
      <c r="AW738" s="37"/>
      <c r="AX738" s="37">
        <f t="shared" si="880"/>
        <v>0</v>
      </c>
      <c r="AY738" s="273"/>
      <c r="AZ738" s="37"/>
      <c r="BA738" s="37"/>
      <c r="BB738" s="37"/>
      <c r="BC738" s="37"/>
      <c r="BD738" s="37"/>
      <c r="BE738" s="37"/>
      <c r="BF738" s="37"/>
      <c r="BG738" s="37"/>
      <c r="BH738" s="158"/>
      <c r="BI738" s="158"/>
      <c r="BJ738" s="857">
        <v>4</v>
      </c>
      <c r="BK738" s="857">
        <v>15</v>
      </c>
      <c r="BL738" s="158"/>
      <c r="BM738" s="158"/>
      <c r="BN738" s="158"/>
      <c r="BO738" s="158"/>
      <c r="BP738" s="158"/>
      <c r="BQ738" s="158"/>
      <c r="BR738" s="158"/>
      <c r="BS738" s="158"/>
      <c r="BT738" s="158"/>
      <c r="BU738" s="158"/>
      <c r="BV738" s="158"/>
      <c r="BW738" s="846"/>
      <c r="BX738" s="158"/>
      <c r="BY738" s="158"/>
      <c r="BZ738" s="158"/>
      <c r="CA738" s="158"/>
      <c r="CB738" s="158"/>
      <c r="CC738" s="117"/>
    </row>
    <row r="739" spans="1:81" outlineLevel="1" x14ac:dyDescent="0.55000000000000004">
      <c r="A739" s="116" t="s">
        <v>131</v>
      </c>
      <c r="B739" s="87"/>
      <c r="C739" s="759">
        <v>170</v>
      </c>
      <c r="D739" s="759">
        <v>394</v>
      </c>
      <c r="E739" s="759">
        <v>633</v>
      </c>
      <c r="F739" s="117">
        <f t="shared" si="869"/>
        <v>906</v>
      </c>
      <c r="G739" s="759">
        <v>274</v>
      </c>
      <c r="H739" s="759">
        <v>588</v>
      </c>
      <c r="I739" s="759">
        <v>941</v>
      </c>
      <c r="J739" s="117">
        <f t="shared" si="870"/>
        <v>1786</v>
      </c>
      <c r="K739" s="759">
        <v>694</v>
      </c>
      <c r="L739" s="759">
        <v>1457</v>
      </c>
      <c r="M739" s="759">
        <v>2214</v>
      </c>
      <c r="N739" s="117">
        <f t="shared" si="871"/>
        <v>2960</v>
      </c>
      <c r="O739" s="759">
        <v>746</v>
      </c>
      <c r="P739" s="759">
        <v>1563</v>
      </c>
      <c r="Q739" s="759">
        <v>2387</v>
      </c>
      <c r="R739" s="37">
        <f t="shared" si="872"/>
        <v>3218</v>
      </c>
      <c r="S739" s="759">
        <v>867</v>
      </c>
      <c r="T739" s="759">
        <v>1899</v>
      </c>
      <c r="U739" s="759">
        <v>2909</v>
      </c>
      <c r="V739" s="37">
        <f t="shared" si="873"/>
        <v>3723</v>
      </c>
      <c r="W739" s="759">
        <v>955</v>
      </c>
      <c r="X739" s="759">
        <v>2141</v>
      </c>
      <c r="Y739" s="759">
        <v>3180</v>
      </c>
      <c r="Z739" s="37">
        <f t="shared" si="874"/>
        <v>4152</v>
      </c>
      <c r="AA739" s="759">
        <v>1010</v>
      </c>
      <c r="AB739" s="759">
        <v>2313</v>
      </c>
      <c r="AC739" s="759">
        <v>3562</v>
      </c>
      <c r="AD739" s="37">
        <f t="shared" si="875"/>
        <v>4836</v>
      </c>
      <c r="AE739" s="759">
        <v>1335</v>
      </c>
      <c r="AF739" s="759">
        <v>3030</v>
      </c>
      <c r="AG739" s="759">
        <v>4752</v>
      </c>
      <c r="AH739" s="37">
        <f t="shared" si="876"/>
        <v>6536</v>
      </c>
      <c r="AI739" s="759">
        <v>1830</v>
      </c>
      <c r="AJ739" s="759">
        <v>4379</v>
      </c>
      <c r="AK739" s="759">
        <v>6757</v>
      </c>
      <c r="AL739" s="37">
        <f t="shared" si="877"/>
        <v>9164</v>
      </c>
      <c r="AM739" s="759">
        <v>2498</v>
      </c>
      <c r="AN739" s="759">
        <v>5850</v>
      </c>
      <c r="AO739" s="759">
        <v>8984</v>
      </c>
      <c r="AP739" s="37">
        <f t="shared" si="878"/>
        <v>11992</v>
      </c>
      <c r="AQ739" s="759">
        <v>3051</v>
      </c>
      <c r="AR739" s="759">
        <v>7111</v>
      </c>
      <c r="AS739" s="759">
        <v>10603</v>
      </c>
      <c r="AT739" s="37">
        <f t="shared" si="879"/>
        <v>14027</v>
      </c>
      <c r="AU739" s="759">
        <v>3562</v>
      </c>
      <c r="AV739" s="759">
        <v>8178</v>
      </c>
      <c r="AW739" s="759">
        <v>12428</v>
      </c>
      <c r="AX739" s="37">
        <f t="shared" si="880"/>
        <v>16690</v>
      </c>
      <c r="AY739" s="762">
        <v>4147</v>
      </c>
      <c r="AZ739" s="37"/>
      <c r="BA739" s="37"/>
      <c r="BB739" s="37"/>
      <c r="BC739" s="37"/>
      <c r="BD739" s="37"/>
      <c r="BE739" s="37"/>
      <c r="BF739" s="37"/>
      <c r="BG739" s="37"/>
      <c r="BH739" s="857">
        <v>27</v>
      </c>
      <c r="BI739" s="857">
        <v>20</v>
      </c>
      <c r="BJ739" s="857">
        <v>217</v>
      </c>
      <c r="BK739" s="857">
        <v>1572</v>
      </c>
      <c r="BL739" s="857">
        <v>906</v>
      </c>
      <c r="BM739" s="857">
        <v>1786</v>
      </c>
      <c r="BN739" s="857">
        <v>2960</v>
      </c>
      <c r="BO739" s="857">
        <v>3218</v>
      </c>
      <c r="BP739" s="857">
        <v>3723</v>
      </c>
      <c r="BQ739" s="857">
        <v>4152</v>
      </c>
      <c r="BR739" s="857">
        <v>4836</v>
      </c>
      <c r="BS739" s="857">
        <v>6536</v>
      </c>
      <c r="BT739" s="857">
        <v>9164</v>
      </c>
      <c r="BU739" s="857">
        <v>11992</v>
      </c>
      <c r="BV739" s="857">
        <v>14027</v>
      </c>
      <c r="BW739" s="862">
        <v>16690</v>
      </c>
      <c r="BX739" s="158"/>
      <c r="BY739" s="158"/>
      <c r="BZ739" s="158"/>
      <c r="CA739" s="158"/>
      <c r="CB739" s="158"/>
      <c r="CC739" s="117"/>
    </row>
    <row r="740" spans="1:81" outlineLevel="1" x14ac:dyDescent="0.55000000000000004">
      <c r="A740" s="116" t="s">
        <v>132</v>
      </c>
      <c r="B740" s="87"/>
      <c r="C740" s="759">
        <v>-7</v>
      </c>
      <c r="D740" s="759">
        <v>19</v>
      </c>
      <c r="E740" s="759">
        <v>21</v>
      </c>
      <c r="F740" s="117">
        <f t="shared" si="869"/>
        <v>-37</v>
      </c>
      <c r="G740" s="759">
        <v>-1</v>
      </c>
      <c r="H740" s="759">
        <v>-34</v>
      </c>
      <c r="I740" s="759">
        <v>-30</v>
      </c>
      <c r="J740" s="117">
        <f t="shared" si="870"/>
        <v>-210</v>
      </c>
      <c r="K740" s="759">
        <v>-223</v>
      </c>
      <c r="L740" s="759">
        <v>-289</v>
      </c>
      <c r="M740" s="759">
        <v>-672</v>
      </c>
      <c r="N740" s="117">
        <f t="shared" si="871"/>
        <v>-795</v>
      </c>
      <c r="O740" s="759">
        <v>-77</v>
      </c>
      <c r="P740" s="759">
        <v>-178</v>
      </c>
      <c r="Q740" s="759">
        <v>-201</v>
      </c>
      <c r="R740" s="37">
        <f t="shared" si="872"/>
        <v>-457</v>
      </c>
      <c r="S740" s="759">
        <v>-84</v>
      </c>
      <c r="T740" s="759">
        <v>-58</v>
      </c>
      <c r="U740" s="759">
        <v>-152</v>
      </c>
      <c r="V740" s="37">
        <f t="shared" si="873"/>
        <v>-377</v>
      </c>
      <c r="W740" s="759">
        <v>-47</v>
      </c>
      <c r="X740" s="759">
        <v>54</v>
      </c>
      <c r="Y740" s="759">
        <v>83</v>
      </c>
      <c r="Z740" s="37">
        <f t="shared" si="874"/>
        <v>286</v>
      </c>
      <c r="AA740" s="759">
        <v>183</v>
      </c>
      <c r="AB740" s="759">
        <v>184</v>
      </c>
      <c r="AC740" s="759">
        <v>358</v>
      </c>
      <c r="AD740" s="37">
        <f t="shared" si="875"/>
        <v>-37</v>
      </c>
      <c r="AE740" s="759">
        <v>477</v>
      </c>
      <c r="AF740" s="759">
        <v>690</v>
      </c>
      <c r="AG740" s="759">
        <v>-816</v>
      </c>
      <c r="AH740" s="37">
        <f t="shared" si="876"/>
        <v>-1192</v>
      </c>
      <c r="AI740" s="759">
        <v>418</v>
      </c>
      <c r="AJ740" s="759">
        <v>647</v>
      </c>
      <c r="AK740" s="759">
        <v>-139</v>
      </c>
      <c r="AL740" s="37">
        <f t="shared" si="877"/>
        <v>609</v>
      </c>
      <c r="AM740" s="759">
        <v>-563</v>
      </c>
      <c r="AN740" s="759">
        <v>-1016</v>
      </c>
      <c r="AO740" s="759">
        <v>-2113</v>
      </c>
      <c r="AP740" s="37">
        <f t="shared" si="878"/>
        <v>-3286</v>
      </c>
      <c r="AQ740" s="759">
        <v>-620</v>
      </c>
      <c r="AR740" s="759">
        <v>-1757</v>
      </c>
      <c r="AS740" s="759">
        <v>1292</v>
      </c>
      <c r="AT740" s="37">
        <f t="shared" si="879"/>
        <v>131</v>
      </c>
      <c r="AU740" s="759">
        <v>-456</v>
      </c>
      <c r="AV740" s="759">
        <v>-2098</v>
      </c>
      <c r="AW740" s="759">
        <v>-3406</v>
      </c>
      <c r="AX740" s="37">
        <f t="shared" si="880"/>
        <v>-4738</v>
      </c>
      <c r="AY740" s="762">
        <v>-993</v>
      </c>
      <c r="AZ740" s="37"/>
      <c r="BA740" s="37"/>
      <c r="BB740" s="37"/>
      <c r="BC740" s="37"/>
      <c r="BD740" s="37"/>
      <c r="BE740" s="37"/>
      <c r="BF740" s="37"/>
      <c r="BG740" s="37"/>
      <c r="BH740" s="158"/>
      <c r="BI740" s="158"/>
      <c r="BJ740" s="857">
        <v>-30</v>
      </c>
      <c r="BK740" s="857">
        <v>-186</v>
      </c>
      <c r="BL740" s="857">
        <v>-37</v>
      </c>
      <c r="BM740" s="857">
        <v>-210</v>
      </c>
      <c r="BN740" s="857">
        <v>-795</v>
      </c>
      <c r="BO740" s="857">
        <v>-457</v>
      </c>
      <c r="BP740" s="857">
        <v>-377</v>
      </c>
      <c r="BQ740" s="857">
        <v>286</v>
      </c>
      <c r="BR740" s="857">
        <v>-37</v>
      </c>
      <c r="BS740" s="857">
        <v>-1192</v>
      </c>
      <c r="BT740" s="857">
        <v>609</v>
      </c>
      <c r="BU740" s="857">
        <v>-3286</v>
      </c>
      <c r="BV740" s="857">
        <v>131</v>
      </c>
      <c r="BW740" s="862">
        <v>-4738</v>
      </c>
      <c r="BX740" s="158"/>
      <c r="BY740" s="158"/>
      <c r="BZ740" s="158"/>
      <c r="CA740" s="158"/>
      <c r="CB740" s="158"/>
      <c r="CC740" s="117"/>
    </row>
    <row r="741" spans="1:81" outlineLevel="1" x14ac:dyDescent="0.55000000000000004">
      <c r="A741" s="116" t="s">
        <v>133</v>
      </c>
      <c r="B741" s="87"/>
      <c r="C741" s="759">
        <v>59</v>
      </c>
      <c r="D741" s="759">
        <v>148</v>
      </c>
      <c r="E741" s="759">
        <v>277</v>
      </c>
      <c r="F741" s="117">
        <f t="shared" si="869"/>
        <v>602</v>
      </c>
      <c r="G741" s="759">
        <v>345</v>
      </c>
      <c r="H741" s="759">
        <v>875</v>
      </c>
      <c r="I741" s="759">
        <v>1354</v>
      </c>
      <c r="J741" s="117">
        <f t="shared" si="870"/>
        <v>1853</v>
      </c>
      <c r="K741" s="759">
        <v>423</v>
      </c>
      <c r="L741" s="759">
        <v>809</v>
      </c>
      <c r="M741" s="759">
        <v>1155</v>
      </c>
      <c r="N741" s="117">
        <f t="shared" si="871"/>
        <v>1721</v>
      </c>
      <c r="O741" s="37"/>
      <c r="P741" s="37"/>
      <c r="Q741" s="37"/>
      <c r="R741" s="37">
        <f t="shared" si="872"/>
        <v>0</v>
      </c>
      <c r="S741" s="37"/>
      <c r="T741" s="37"/>
      <c r="U741" s="37"/>
      <c r="V741" s="37">
        <f t="shared" si="873"/>
        <v>0</v>
      </c>
      <c r="W741" s="37"/>
      <c r="X741" s="37"/>
      <c r="Y741" s="37"/>
      <c r="Z741" s="37">
        <f t="shared" si="874"/>
        <v>0</v>
      </c>
      <c r="AA741" s="37"/>
      <c r="AB741" s="37"/>
      <c r="AC741" s="37"/>
      <c r="AD741" s="37">
        <f t="shared" si="875"/>
        <v>0</v>
      </c>
      <c r="AE741" s="37"/>
      <c r="AF741" s="37"/>
      <c r="AG741" s="37"/>
      <c r="AH741" s="37">
        <f t="shared" si="876"/>
        <v>0</v>
      </c>
      <c r="AI741" s="37"/>
      <c r="AJ741" s="37"/>
      <c r="AK741" s="37"/>
      <c r="AL741" s="37">
        <f t="shared" si="877"/>
        <v>0</v>
      </c>
      <c r="AM741" s="37"/>
      <c r="AN741" s="37"/>
      <c r="AO741" s="37"/>
      <c r="AP741" s="37">
        <f t="shared" si="878"/>
        <v>0</v>
      </c>
      <c r="AQ741" s="37"/>
      <c r="AR741" s="37"/>
      <c r="AS741" s="37"/>
      <c r="AT741" s="37">
        <f t="shared" si="879"/>
        <v>0</v>
      </c>
      <c r="AU741" s="37"/>
      <c r="AV741" s="37"/>
      <c r="AW741" s="37"/>
      <c r="AX741" s="37">
        <f t="shared" si="880"/>
        <v>0</v>
      </c>
      <c r="AY741" s="273"/>
      <c r="AZ741" s="37"/>
      <c r="BA741" s="37"/>
      <c r="BB741" s="37"/>
      <c r="BC741" s="37"/>
      <c r="BD741" s="37"/>
      <c r="BE741" s="37"/>
      <c r="BF741" s="37"/>
      <c r="BG741" s="37"/>
      <c r="BH741" s="857">
        <v>50</v>
      </c>
      <c r="BI741" s="857">
        <v>115</v>
      </c>
      <c r="BJ741" s="857">
        <v>433</v>
      </c>
      <c r="BK741" s="857">
        <v>1033</v>
      </c>
      <c r="BL741" s="857">
        <v>602</v>
      </c>
      <c r="BM741" s="857">
        <v>1853</v>
      </c>
      <c r="BN741" s="857">
        <v>1721</v>
      </c>
      <c r="BO741" s="158"/>
      <c r="BP741" s="158"/>
      <c r="BQ741" s="158"/>
      <c r="BR741" s="158"/>
      <c r="BS741" s="158"/>
      <c r="BT741" s="158"/>
      <c r="BU741" s="158"/>
      <c r="BV741" s="158"/>
      <c r="BW741" s="846"/>
      <c r="BX741" s="158"/>
      <c r="BY741" s="158"/>
      <c r="BZ741" s="158"/>
      <c r="CA741" s="158"/>
      <c r="CB741" s="158"/>
      <c r="CC741" s="117"/>
    </row>
    <row r="742" spans="1:81" outlineLevel="1" x14ac:dyDescent="0.55000000000000004">
      <c r="A742" s="116" t="s">
        <v>616</v>
      </c>
      <c r="B742" s="8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c r="AF742" s="37"/>
      <c r="AG742" s="37"/>
      <c r="AH742" s="37"/>
      <c r="AI742" s="37"/>
      <c r="AJ742" s="37"/>
      <c r="AK742" s="37"/>
      <c r="AL742" s="37"/>
      <c r="AM742" s="37"/>
      <c r="AN742" s="37"/>
      <c r="AO742" s="37"/>
      <c r="AP742" s="37">
        <f t="shared" si="878"/>
        <v>463</v>
      </c>
      <c r="AQ742" s="37"/>
      <c r="AR742" s="37"/>
      <c r="AS742" s="37"/>
      <c r="AT742" s="37">
        <f t="shared" si="879"/>
        <v>0</v>
      </c>
      <c r="AU742" s="37"/>
      <c r="AV742" s="37"/>
      <c r="AW742" s="37"/>
      <c r="AX742" s="37">
        <f t="shared" si="880"/>
        <v>0</v>
      </c>
      <c r="AY742" s="273"/>
      <c r="AZ742" s="37"/>
      <c r="BA742" s="37"/>
      <c r="BB742" s="37"/>
      <c r="BC742" s="37"/>
      <c r="BD742" s="37"/>
      <c r="BE742" s="37"/>
      <c r="BF742" s="37"/>
      <c r="BG742" s="37"/>
      <c r="BH742" s="158"/>
      <c r="BI742" s="158"/>
      <c r="BJ742" s="158"/>
      <c r="BK742" s="158"/>
      <c r="BL742" s="158"/>
      <c r="BM742" s="158"/>
      <c r="BN742" s="158"/>
      <c r="BO742" s="158"/>
      <c r="BP742" s="158"/>
      <c r="BQ742" s="158"/>
      <c r="BR742" s="158"/>
      <c r="BS742" s="158"/>
      <c r="BT742" s="158"/>
      <c r="BU742" s="857">
        <v>463</v>
      </c>
      <c r="BV742" s="158"/>
      <c r="BW742" s="846"/>
      <c r="BX742" s="158"/>
      <c r="BY742" s="158"/>
      <c r="BZ742" s="158"/>
      <c r="CA742" s="158"/>
      <c r="CB742" s="158"/>
      <c r="CC742" s="117"/>
    </row>
    <row r="743" spans="1:81" outlineLevel="1" x14ac:dyDescent="0.55000000000000004">
      <c r="A743" s="116" t="s">
        <v>134</v>
      </c>
      <c r="B743" s="87"/>
      <c r="C743" s="759">
        <v>-62</v>
      </c>
      <c r="D743" s="759">
        <v>-155</v>
      </c>
      <c r="E743" s="759">
        <v>-285</v>
      </c>
      <c r="F743" s="117">
        <f>BL743</f>
        <v>-609</v>
      </c>
      <c r="G743" s="759">
        <v>-348</v>
      </c>
      <c r="H743" s="759">
        <v>-883</v>
      </c>
      <c r="I743" s="759">
        <v>-1365</v>
      </c>
      <c r="J743" s="117">
        <f>BM743</f>
        <v>-1869</v>
      </c>
      <c r="K743" s="759">
        <v>-423</v>
      </c>
      <c r="L743" s="759">
        <v>-809</v>
      </c>
      <c r="M743" s="759">
        <v>-1155</v>
      </c>
      <c r="N743" s="117">
        <f>BN743</f>
        <v>-1721</v>
      </c>
      <c r="O743" s="37"/>
      <c r="P743" s="37"/>
      <c r="Q743" s="37"/>
      <c r="R743" s="37">
        <f>BO743</f>
        <v>0</v>
      </c>
      <c r="S743" s="37"/>
      <c r="T743" s="37"/>
      <c r="U743" s="37"/>
      <c r="V743" s="37">
        <f>BP743</f>
        <v>0</v>
      </c>
      <c r="W743" s="37"/>
      <c r="X743" s="37"/>
      <c r="Y743" s="37"/>
      <c r="Z743" s="37">
        <f>BQ743</f>
        <v>0</v>
      </c>
      <c r="AA743" s="37"/>
      <c r="AB743" s="37"/>
      <c r="AC743" s="37"/>
      <c r="AD743" s="37">
        <f>BR743</f>
        <v>0</v>
      </c>
      <c r="AE743" s="37"/>
      <c r="AF743" s="37"/>
      <c r="AG743" s="37"/>
      <c r="AH743" s="37">
        <f>BS743</f>
        <v>0</v>
      </c>
      <c r="AI743" s="37"/>
      <c r="AJ743" s="37"/>
      <c r="AK743" s="37"/>
      <c r="AL743" s="37">
        <f>BT743</f>
        <v>0</v>
      </c>
      <c r="AM743" s="37"/>
      <c r="AN743" s="37"/>
      <c r="AO743" s="37"/>
      <c r="AP743" s="37">
        <f t="shared" si="878"/>
        <v>0</v>
      </c>
      <c r="AQ743" s="37"/>
      <c r="AR743" s="37"/>
      <c r="AS743" s="37"/>
      <c r="AT743" s="37">
        <f t="shared" si="879"/>
        <v>0</v>
      </c>
      <c r="AU743" s="37"/>
      <c r="AV743" s="37"/>
      <c r="AW743" s="37"/>
      <c r="AX743" s="37">
        <f t="shared" si="880"/>
        <v>0</v>
      </c>
      <c r="AY743" s="273"/>
      <c r="AZ743" s="37"/>
      <c r="BA743" s="37"/>
      <c r="BB743" s="37"/>
      <c r="BC743" s="37"/>
      <c r="BD743" s="37"/>
      <c r="BE743" s="37"/>
      <c r="BF743" s="37"/>
      <c r="BG743" s="37"/>
      <c r="BH743" s="857">
        <v>-51</v>
      </c>
      <c r="BI743" s="857">
        <v>-115</v>
      </c>
      <c r="BJ743" s="857">
        <v>-433</v>
      </c>
      <c r="BK743" s="857">
        <v>-1033</v>
      </c>
      <c r="BL743" s="857">
        <v>-609</v>
      </c>
      <c r="BM743" s="857">
        <v>-1869</v>
      </c>
      <c r="BN743" s="857">
        <v>-1721</v>
      </c>
      <c r="BO743" s="158"/>
      <c r="BP743" s="158"/>
      <c r="BQ743" s="158"/>
      <c r="BR743" s="158"/>
      <c r="BS743" s="158"/>
      <c r="BT743" s="158"/>
      <c r="BU743" s="158"/>
      <c r="BV743" s="158"/>
      <c r="BW743" s="846"/>
      <c r="BX743" s="158"/>
      <c r="BY743" s="158"/>
      <c r="BZ743" s="158"/>
      <c r="CA743" s="158"/>
      <c r="CB743" s="158"/>
      <c r="CC743" s="117"/>
    </row>
    <row r="744" spans="1:81" outlineLevel="1" x14ac:dyDescent="0.55000000000000004">
      <c r="A744" s="116" t="s">
        <v>607</v>
      </c>
      <c r="B744" s="8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c r="AF744" s="37"/>
      <c r="AG744" s="37"/>
      <c r="AH744" s="37"/>
      <c r="AI744" s="37"/>
      <c r="AJ744" s="37"/>
      <c r="AK744" s="37"/>
      <c r="AL744" s="37"/>
      <c r="AM744" s="37"/>
      <c r="AN744" s="37"/>
      <c r="AO744" s="759">
        <v>413</v>
      </c>
      <c r="AP744" s="37">
        <f t="shared" si="878"/>
        <v>2218</v>
      </c>
      <c r="AQ744" s="759">
        <v>770</v>
      </c>
      <c r="AR744" s="759">
        <v>1002</v>
      </c>
      <c r="AS744" s="759">
        <v>1342</v>
      </c>
      <c r="AT744" s="37">
        <f t="shared" si="879"/>
        <v>2432</v>
      </c>
      <c r="AU744" s="759">
        <v>240</v>
      </c>
      <c r="AV744" s="759">
        <v>280</v>
      </c>
      <c r="AW744" s="759">
        <v>288</v>
      </c>
      <c r="AX744" s="37">
        <f t="shared" si="880"/>
        <v>383</v>
      </c>
      <c r="AY744" s="273"/>
      <c r="AZ744" s="37"/>
      <c r="BA744" s="37"/>
      <c r="BB744" s="37"/>
      <c r="BC744" s="37"/>
      <c r="BD744" s="37"/>
      <c r="BE744" s="37"/>
      <c r="BF744" s="37"/>
      <c r="BG744" s="37"/>
      <c r="BH744" s="158"/>
      <c r="BI744" s="158"/>
      <c r="BJ744" s="158"/>
      <c r="BK744" s="158"/>
      <c r="BL744" s="158"/>
      <c r="BM744" s="158"/>
      <c r="BN744" s="158"/>
      <c r="BO744" s="158"/>
      <c r="BP744" s="158"/>
      <c r="BQ744" s="158"/>
      <c r="BR744" s="158"/>
      <c r="BS744" s="158"/>
      <c r="BT744" s="158"/>
      <c r="BU744" s="857">
        <v>2218</v>
      </c>
      <c r="BV744" s="857">
        <v>2432</v>
      </c>
      <c r="BW744" s="862">
        <v>383</v>
      </c>
      <c r="BX744" s="158"/>
      <c r="BY744" s="158"/>
      <c r="BZ744" s="158"/>
      <c r="CA744" s="158"/>
      <c r="CB744" s="158"/>
      <c r="CC744" s="117"/>
    </row>
    <row r="745" spans="1:81" outlineLevel="1" x14ac:dyDescent="0.55000000000000004">
      <c r="A745" s="116" t="s">
        <v>135</v>
      </c>
      <c r="B745" s="87"/>
      <c r="C745" s="759">
        <v>9</v>
      </c>
      <c r="D745" s="759">
        <v>20</v>
      </c>
      <c r="E745" s="759">
        <v>39</v>
      </c>
      <c r="F745" s="117">
        <f>BL745</f>
        <v>56</v>
      </c>
      <c r="G745" s="759">
        <v>-4</v>
      </c>
      <c r="H745" s="759">
        <v>-23</v>
      </c>
      <c r="I745" s="759">
        <v>-26</v>
      </c>
      <c r="J745" s="117">
        <f>BM745</f>
        <v>7</v>
      </c>
      <c r="K745" s="759">
        <v>6</v>
      </c>
      <c r="L745" s="759">
        <v>7</v>
      </c>
      <c r="M745" s="759">
        <v>13</v>
      </c>
      <c r="N745" s="117">
        <f>BN745</f>
        <v>17</v>
      </c>
      <c r="O745" s="759">
        <v>13</v>
      </c>
      <c r="P745" s="759">
        <v>19</v>
      </c>
      <c r="Q745" s="759">
        <v>23</v>
      </c>
      <c r="R745" s="37">
        <f>BO745</f>
        <v>30</v>
      </c>
      <c r="S745" s="759">
        <v>5</v>
      </c>
      <c r="T745" s="759">
        <v>12</v>
      </c>
      <c r="U745" s="759">
        <v>18</v>
      </c>
      <c r="V745" s="37">
        <f>BP745</f>
        <v>24</v>
      </c>
      <c r="W745" s="759">
        <v>8</v>
      </c>
      <c r="X745" s="759">
        <v>18</v>
      </c>
      <c r="Y745" s="759">
        <v>19</v>
      </c>
      <c r="Z745" s="37">
        <f>BQ745</f>
        <v>-64</v>
      </c>
      <c r="AA745" s="759">
        <v>6</v>
      </c>
      <c r="AB745" s="759">
        <v>14</v>
      </c>
      <c r="AC745" s="759">
        <v>44</v>
      </c>
      <c r="AD745" s="37">
        <f>BR745</f>
        <v>39</v>
      </c>
      <c r="AE745" s="759">
        <v>6</v>
      </c>
      <c r="AF745" s="759">
        <v>49</v>
      </c>
      <c r="AG745" s="759">
        <v>56</v>
      </c>
      <c r="AH745" s="37">
        <f>BS745</f>
        <v>118</v>
      </c>
      <c r="AI745" s="759">
        <v>-66</v>
      </c>
      <c r="AJ745" s="759">
        <v>-88</v>
      </c>
      <c r="AK745" s="759">
        <v>-161</v>
      </c>
      <c r="AL745" s="37">
        <f>BT745</f>
        <v>-127</v>
      </c>
      <c r="AM745" s="759">
        <v>-221</v>
      </c>
      <c r="AN745" s="759">
        <v>-33</v>
      </c>
      <c r="AO745" s="759">
        <v>71</v>
      </c>
      <c r="AP745" s="37">
        <f t="shared" si="878"/>
        <v>178</v>
      </c>
      <c r="AQ745" s="759">
        <v>-7</v>
      </c>
      <c r="AR745" s="759">
        <v>204</v>
      </c>
      <c r="AS745" s="759">
        <v>278</v>
      </c>
      <c r="AT745" s="37">
        <f t="shared" si="879"/>
        <v>635</v>
      </c>
      <c r="AU745" s="759">
        <v>-66</v>
      </c>
      <c r="AV745" s="759">
        <v>-71</v>
      </c>
      <c r="AW745" s="759">
        <v>-82</v>
      </c>
      <c r="AX745" s="37">
        <f t="shared" si="880"/>
        <v>87</v>
      </c>
      <c r="AY745" s="762">
        <v>-231</v>
      </c>
      <c r="AZ745" s="37"/>
      <c r="BA745" s="37"/>
      <c r="BB745" s="37"/>
      <c r="BC745" s="37"/>
      <c r="BD745" s="37"/>
      <c r="BE745" s="37"/>
      <c r="BF745" s="37"/>
      <c r="BG745" s="37"/>
      <c r="BH745" s="158"/>
      <c r="BI745" s="158"/>
      <c r="BJ745" s="158"/>
      <c r="BK745" s="158"/>
      <c r="BL745" s="857">
        <v>56</v>
      </c>
      <c r="BM745" s="857">
        <v>7</v>
      </c>
      <c r="BN745" s="857">
        <v>17</v>
      </c>
      <c r="BO745" s="857">
        <v>30</v>
      </c>
      <c r="BP745" s="857">
        <v>24</v>
      </c>
      <c r="BQ745" s="857">
        <v>-64</v>
      </c>
      <c r="BR745" s="857">
        <v>39</v>
      </c>
      <c r="BS745" s="857">
        <v>118</v>
      </c>
      <c r="BT745" s="857">
        <v>-127</v>
      </c>
      <c r="BU745" s="857">
        <v>178</v>
      </c>
      <c r="BV745" s="857">
        <v>635</v>
      </c>
      <c r="BW745" s="862">
        <v>87</v>
      </c>
      <c r="BX745" s="158"/>
      <c r="BY745" s="158"/>
      <c r="BZ745" s="158"/>
      <c r="CA745" s="158"/>
      <c r="CB745" s="158"/>
      <c r="CC745" s="117"/>
    </row>
    <row r="746" spans="1:81" outlineLevel="1" x14ac:dyDescent="0.55000000000000004">
      <c r="A746" s="20" t="s">
        <v>136</v>
      </c>
      <c r="B746" s="195"/>
      <c r="C746" s="5">
        <f t="shared" ref="C746:AH746" si="881">SUM(C734:C745)</f>
        <v>629</v>
      </c>
      <c r="D746" s="5">
        <f t="shared" si="881"/>
        <v>1506</v>
      </c>
      <c r="E746" s="5">
        <f t="shared" si="881"/>
        <v>2507</v>
      </c>
      <c r="F746" s="5">
        <f t="shared" si="881"/>
        <v>3546</v>
      </c>
      <c r="G746" s="5">
        <f t="shared" si="881"/>
        <v>1172</v>
      </c>
      <c r="H746" s="5">
        <f t="shared" si="881"/>
        <v>2477</v>
      </c>
      <c r="I746" s="5">
        <f t="shared" si="881"/>
        <v>3923</v>
      </c>
      <c r="J746" s="5">
        <f t="shared" si="881"/>
        <v>5719</v>
      </c>
      <c r="K746" s="5">
        <f t="shared" si="881"/>
        <v>1446</v>
      </c>
      <c r="L746" s="5">
        <f t="shared" si="881"/>
        <v>3322</v>
      </c>
      <c r="M746" s="5">
        <f t="shared" si="881"/>
        <v>5084</v>
      </c>
      <c r="N746" s="5">
        <f t="shared" si="881"/>
        <v>7815</v>
      </c>
      <c r="O746" s="5">
        <f t="shared" si="881"/>
        <v>2972</v>
      </c>
      <c r="P746" s="5">
        <f t="shared" si="881"/>
        <v>6562</v>
      </c>
      <c r="Q746" s="5">
        <f t="shared" si="881"/>
        <v>10585</v>
      </c>
      <c r="R746" s="33">
        <f t="shared" si="881"/>
        <v>15350</v>
      </c>
      <c r="S746" s="5">
        <f t="shared" si="881"/>
        <v>4523</v>
      </c>
      <c r="T746" s="5">
        <f t="shared" si="881"/>
        <v>10212</v>
      </c>
      <c r="U746" s="5">
        <f t="shared" si="881"/>
        <v>16612</v>
      </c>
      <c r="V746" s="33">
        <f t="shared" si="881"/>
        <v>22329</v>
      </c>
      <c r="W746" s="5">
        <f t="shared" si="881"/>
        <v>6853</v>
      </c>
      <c r="X746" s="5">
        <f t="shared" si="881"/>
        <v>14289</v>
      </c>
      <c r="Y746" s="5">
        <f t="shared" si="881"/>
        <v>21602</v>
      </c>
      <c r="Z746" s="33">
        <f t="shared" si="881"/>
        <v>30801</v>
      </c>
      <c r="AA746" s="5">
        <f t="shared" si="881"/>
        <v>4983</v>
      </c>
      <c r="AB746" s="5">
        <f t="shared" si="881"/>
        <v>10413</v>
      </c>
      <c r="AC746" s="5">
        <f t="shared" si="881"/>
        <v>19373</v>
      </c>
      <c r="AD746" s="33">
        <f t="shared" si="881"/>
        <v>29064</v>
      </c>
      <c r="AE746" s="5">
        <f t="shared" si="881"/>
        <v>8317</v>
      </c>
      <c r="AF746" s="5">
        <f t="shared" si="881"/>
        <v>17151</v>
      </c>
      <c r="AG746" s="5">
        <f t="shared" si="881"/>
        <v>26918</v>
      </c>
      <c r="AH746" s="33">
        <f t="shared" si="881"/>
        <v>41470</v>
      </c>
      <c r="AI746" s="5">
        <f t="shared" ref="AI746:AY746" si="882">SUM(AI734:AI745)</f>
        <v>13651</v>
      </c>
      <c r="AJ746" s="5">
        <f t="shared" si="882"/>
        <v>28788</v>
      </c>
      <c r="AK746" s="5">
        <f t="shared" si="882"/>
        <v>41495</v>
      </c>
      <c r="AL746" s="33">
        <f t="shared" si="882"/>
        <v>56983</v>
      </c>
      <c r="AM746" s="5">
        <f t="shared" si="882"/>
        <v>11335</v>
      </c>
      <c r="AN746" s="5">
        <f t="shared" si="882"/>
        <v>23088</v>
      </c>
      <c r="AO746" s="5">
        <f t="shared" si="882"/>
        <v>32212</v>
      </c>
      <c r="AP746" s="33">
        <f t="shared" si="882"/>
        <v>44792</v>
      </c>
      <c r="AQ746" s="5">
        <f t="shared" si="882"/>
        <v>11427</v>
      </c>
      <c r="AR746" s="5">
        <f t="shared" si="882"/>
        <v>25205</v>
      </c>
      <c r="AS746" s="5">
        <f t="shared" si="882"/>
        <v>46602</v>
      </c>
      <c r="AT746" s="33">
        <f t="shared" si="882"/>
        <v>67277</v>
      </c>
      <c r="AU746" s="5">
        <f t="shared" si="882"/>
        <v>19023</v>
      </c>
      <c r="AV746" s="5">
        <f t="shared" si="882"/>
        <v>39134</v>
      </c>
      <c r="AW746" s="5">
        <f t="shared" si="882"/>
        <v>61788</v>
      </c>
      <c r="AX746" s="33">
        <f t="shared" si="882"/>
        <v>90280</v>
      </c>
      <c r="AY746" s="409">
        <f t="shared" si="882"/>
        <v>23467</v>
      </c>
      <c r="AZ746" s="33"/>
      <c r="BA746" s="33"/>
      <c r="BB746" s="33"/>
      <c r="BC746" s="33"/>
      <c r="BD746" s="33"/>
      <c r="BE746" s="33"/>
      <c r="BF746" s="33"/>
      <c r="BG746" s="33"/>
      <c r="BH746" s="834">
        <f t="shared" ref="BH746:BW746" si="883">SUM(BH734:BH745)</f>
        <v>334</v>
      </c>
      <c r="BI746" s="834">
        <f t="shared" si="883"/>
        <v>768</v>
      </c>
      <c r="BJ746" s="834">
        <f t="shared" si="883"/>
        <v>1514</v>
      </c>
      <c r="BK746" s="834">
        <f t="shared" si="883"/>
        <v>2111</v>
      </c>
      <c r="BL746" s="834">
        <f t="shared" si="883"/>
        <v>3546</v>
      </c>
      <c r="BM746" s="834">
        <f t="shared" si="883"/>
        <v>5719</v>
      </c>
      <c r="BN746" s="834">
        <f t="shared" si="883"/>
        <v>7815</v>
      </c>
      <c r="BO746" s="833">
        <f t="shared" si="883"/>
        <v>15350</v>
      </c>
      <c r="BP746" s="833">
        <f t="shared" si="883"/>
        <v>22329</v>
      </c>
      <c r="BQ746" s="833">
        <f t="shared" si="883"/>
        <v>30801</v>
      </c>
      <c r="BR746" s="833">
        <f t="shared" si="883"/>
        <v>29064</v>
      </c>
      <c r="BS746" s="833">
        <f t="shared" si="883"/>
        <v>41470</v>
      </c>
      <c r="BT746" s="833">
        <f t="shared" si="883"/>
        <v>56983</v>
      </c>
      <c r="BU746" s="833">
        <f t="shared" si="883"/>
        <v>44792</v>
      </c>
      <c r="BV746" s="833">
        <f t="shared" si="883"/>
        <v>67277</v>
      </c>
      <c r="BW746" s="835">
        <f t="shared" si="883"/>
        <v>90280</v>
      </c>
      <c r="BX746" s="833"/>
      <c r="BY746" s="833"/>
      <c r="BZ746" s="833"/>
      <c r="CA746" s="833"/>
      <c r="CB746" s="833"/>
      <c r="CC746" s="6"/>
    </row>
    <row r="747" spans="1:81" outlineLevel="1" x14ac:dyDescent="0.55000000000000004">
      <c r="A747" s="116" t="s">
        <v>137</v>
      </c>
      <c r="B747" s="87"/>
      <c r="C747" s="759">
        <v>54</v>
      </c>
      <c r="D747" s="759">
        <v>-62</v>
      </c>
      <c r="E747" s="759">
        <v>-145</v>
      </c>
      <c r="F747" s="117">
        <f>BL747</f>
        <v>-378</v>
      </c>
      <c r="G747" s="759">
        <v>105</v>
      </c>
      <c r="H747" s="759">
        <v>-82</v>
      </c>
      <c r="I747" s="759">
        <v>-264</v>
      </c>
      <c r="J747" s="117">
        <f>BM747</f>
        <v>-610</v>
      </c>
      <c r="K747" s="759">
        <v>84</v>
      </c>
      <c r="L747" s="759">
        <v>-198</v>
      </c>
      <c r="M747" s="759">
        <v>-405</v>
      </c>
      <c r="N747" s="117">
        <f>BN747</f>
        <v>-973</v>
      </c>
      <c r="O747" s="759">
        <v>267</v>
      </c>
      <c r="P747" s="759">
        <v>-225</v>
      </c>
      <c r="Q747" s="759">
        <v>-478</v>
      </c>
      <c r="R747" s="37">
        <f>BO747</f>
        <v>-1489</v>
      </c>
      <c r="S747" s="759">
        <v>609</v>
      </c>
      <c r="T747" s="759">
        <v>223</v>
      </c>
      <c r="U747" s="759">
        <v>-235</v>
      </c>
      <c r="V747" s="37">
        <f>BP747</f>
        <v>-1609</v>
      </c>
      <c r="W747" s="759">
        <v>788</v>
      </c>
      <c r="X747" s="759">
        <v>161</v>
      </c>
      <c r="Y747" s="759">
        <v>-328</v>
      </c>
      <c r="Z747" s="37">
        <f>BQ747</f>
        <v>-1892</v>
      </c>
      <c r="AA747" s="759">
        <v>1070</v>
      </c>
      <c r="AB747" s="759">
        <v>64</v>
      </c>
      <c r="AC747" s="759">
        <v>-264</v>
      </c>
      <c r="AD747" s="37">
        <f>BR747</f>
        <v>-1961</v>
      </c>
      <c r="AE747" s="759">
        <v>2046</v>
      </c>
      <c r="AF747" s="759">
        <v>1924</v>
      </c>
      <c r="AG747" s="759">
        <v>1547</v>
      </c>
      <c r="AH747" s="37">
        <f>BS747</f>
        <v>-1512</v>
      </c>
      <c r="AI747" s="759">
        <v>849</v>
      </c>
      <c r="AJ747" s="759">
        <v>-517</v>
      </c>
      <c r="AK747" s="759">
        <v>-1072</v>
      </c>
      <c r="AL747" s="37">
        <f>BT747</f>
        <v>-3110</v>
      </c>
      <c r="AM747" s="759">
        <v>2557</v>
      </c>
      <c r="AN747" s="759">
        <v>2035</v>
      </c>
      <c r="AO747" s="759">
        <v>1930</v>
      </c>
      <c r="AP747" s="37">
        <f>BU747</f>
        <v>231</v>
      </c>
      <c r="AQ747" s="759">
        <v>2546</v>
      </c>
      <c r="AR747" s="759">
        <v>1122</v>
      </c>
      <c r="AS747" s="759">
        <v>444</v>
      </c>
      <c r="AT747" s="37">
        <f>BV747</f>
        <v>-2399</v>
      </c>
      <c r="AU747" s="759">
        <v>2520</v>
      </c>
      <c r="AV747" s="759">
        <v>1350</v>
      </c>
      <c r="AW747" s="759">
        <v>1493</v>
      </c>
      <c r="AX747" s="37">
        <f t="shared" ref="AX747:AX757" si="884">BW747</f>
        <v>-1485</v>
      </c>
      <c r="AY747" s="762">
        <v>2804</v>
      </c>
      <c r="AZ747" s="37"/>
      <c r="BA747" s="37"/>
      <c r="BB747" s="37"/>
      <c r="BC747" s="37"/>
      <c r="BD747" s="37"/>
      <c r="BE747" s="37"/>
      <c r="BF747" s="37"/>
      <c r="BG747" s="37"/>
      <c r="BH747" s="857">
        <v>-112</v>
      </c>
      <c r="BI747" s="857">
        <v>-209</v>
      </c>
      <c r="BJ747" s="857">
        <v>-174</v>
      </c>
      <c r="BK747" s="857">
        <v>-170</v>
      </c>
      <c r="BL747" s="857">
        <v>-378</v>
      </c>
      <c r="BM747" s="857">
        <v>-610</v>
      </c>
      <c r="BN747" s="857">
        <v>-973</v>
      </c>
      <c r="BO747" s="857">
        <v>-1489</v>
      </c>
      <c r="BP747" s="857">
        <v>-1609</v>
      </c>
      <c r="BQ747" s="857">
        <v>-1892</v>
      </c>
      <c r="BR747" s="857">
        <v>-1961</v>
      </c>
      <c r="BS747" s="857">
        <v>-1512</v>
      </c>
      <c r="BT747" s="857">
        <v>-3110</v>
      </c>
      <c r="BU747" s="857">
        <v>231</v>
      </c>
      <c r="BV747" s="857">
        <v>-2399</v>
      </c>
      <c r="BW747" s="862">
        <v>-1485</v>
      </c>
      <c r="BX747" s="158"/>
      <c r="BY747" s="158"/>
      <c r="BZ747" s="158"/>
      <c r="CA747" s="158"/>
      <c r="CB747" s="158"/>
      <c r="CC747" s="117"/>
    </row>
    <row r="748" spans="1:81" outlineLevel="1" x14ac:dyDescent="0.55000000000000004">
      <c r="A748" s="116" t="s">
        <v>138</v>
      </c>
      <c r="B748" s="87"/>
      <c r="C748" s="37"/>
      <c r="D748" s="37"/>
      <c r="E748" s="37"/>
      <c r="F748" s="117">
        <f>BL748</f>
        <v>0</v>
      </c>
      <c r="G748" s="37"/>
      <c r="H748" s="37"/>
      <c r="I748" s="37"/>
      <c r="J748" s="117">
        <f>BM748</f>
        <v>0</v>
      </c>
      <c r="K748" s="37"/>
      <c r="L748" s="37"/>
      <c r="M748" s="37"/>
      <c r="N748" s="117">
        <f>BN748</f>
        <v>0</v>
      </c>
      <c r="O748" s="37"/>
      <c r="P748" s="37"/>
      <c r="Q748" s="37"/>
      <c r="R748" s="37">
        <f>BO748</f>
        <v>0</v>
      </c>
      <c r="S748" s="37"/>
      <c r="T748" s="37"/>
      <c r="U748" s="37"/>
      <c r="V748" s="37">
        <f>BP748</f>
        <v>0</v>
      </c>
      <c r="W748" s="37"/>
      <c r="X748" s="37"/>
      <c r="Y748" s="37"/>
      <c r="Z748" s="37">
        <f>BQ748</f>
        <v>0</v>
      </c>
      <c r="AA748" s="37"/>
      <c r="AB748" s="37"/>
      <c r="AC748" s="37"/>
      <c r="AD748" s="37">
        <f>BR748</f>
        <v>0</v>
      </c>
      <c r="AE748" s="37"/>
      <c r="AF748" s="37"/>
      <c r="AG748" s="37"/>
      <c r="AH748" s="37">
        <f>BS748</f>
        <v>0</v>
      </c>
      <c r="AI748" s="37"/>
      <c r="AJ748" s="37"/>
      <c r="AK748" s="37"/>
      <c r="AL748" s="37">
        <f>BT748</f>
        <v>0</v>
      </c>
      <c r="AM748" s="37"/>
      <c r="AN748" s="37"/>
      <c r="AO748" s="37"/>
      <c r="AP748" s="37">
        <f>BU748</f>
        <v>0</v>
      </c>
      <c r="AQ748" s="37"/>
      <c r="AR748" s="37"/>
      <c r="AS748" s="37"/>
      <c r="AT748" s="37">
        <f>BV748</f>
        <v>0</v>
      </c>
      <c r="AU748" s="37"/>
      <c r="AV748" s="37"/>
      <c r="AW748" s="37"/>
      <c r="AX748" s="37">
        <f t="shared" si="884"/>
        <v>0</v>
      </c>
      <c r="AY748" s="273"/>
      <c r="AZ748" s="37"/>
      <c r="BA748" s="37"/>
      <c r="BB748" s="37"/>
      <c r="BC748" s="37"/>
      <c r="BD748" s="37"/>
      <c r="BE748" s="37"/>
      <c r="BF748" s="37"/>
      <c r="BG748" s="37"/>
      <c r="BH748" s="158"/>
      <c r="BI748" s="158"/>
      <c r="BJ748" s="857">
        <v>0</v>
      </c>
      <c r="BK748" s="857">
        <v>-451</v>
      </c>
      <c r="BL748" s="158"/>
      <c r="BM748" s="158"/>
      <c r="BN748" s="158"/>
      <c r="BO748" s="158"/>
      <c r="BP748" s="158"/>
      <c r="BQ748" s="158"/>
      <c r="BR748" s="158"/>
      <c r="BS748" s="158"/>
      <c r="BT748" s="158"/>
      <c r="BU748" s="158"/>
      <c r="BV748" s="158"/>
      <c r="BW748" s="846"/>
      <c r="BX748" s="158"/>
      <c r="BY748" s="158"/>
      <c r="BZ748" s="158"/>
      <c r="CA748" s="158"/>
      <c r="CB748" s="158"/>
      <c r="CC748" s="117"/>
    </row>
    <row r="749" spans="1:81" outlineLevel="1" x14ac:dyDescent="0.55000000000000004">
      <c r="A749" s="116" t="s">
        <v>139</v>
      </c>
      <c r="B749" s="87"/>
      <c r="C749" s="759">
        <v>-1</v>
      </c>
      <c r="D749" s="759">
        <v>428</v>
      </c>
      <c r="E749" s="759">
        <v>433</v>
      </c>
      <c r="F749" s="117">
        <f>BL749</f>
        <v>355</v>
      </c>
      <c r="G749" s="759">
        <v>-4</v>
      </c>
      <c r="H749" s="759">
        <v>10</v>
      </c>
      <c r="I749" s="759">
        <v>-45</v>
      </c>
      <c r="J749" s="117">
        <f>BM749</f>
        <v>-123</v>
      </c>
      <c r="K749" s="759">
        <v>-43</v>
      </c>
      <c r="L749" s="759">
        <v>-90</v>
      </c>
      <c r="M749" s="759">
        <v>-145</v>
      </c>
      <c r="N749" s="117">
        <f>BN749</f>
        <v>-144</v>
      </c>
      <c r="O749" s="759">
        <v>-107</v>
      </c>
      <c r="P749" s="759">
        <v>-257</v>
      </c>
      <c r="Q749" s="759">
        <v>-314</v>
      </c>
      <c r="R749" s="37">
        <f>BO749</f>
        <v>-159</v>
      </c>
      <c r="S749" s="759">
        <v>-365</v>
      </c>
      <c r="T749" s="759">
        <v>-577</v>
      </c>
      <c r="U749" s="759">
        <v>-634</v>
      </c>
      <c r="V749" s="37">
        <f>BP749</f>
        <v>-192</v>
      </c>
      <c r="W749" s="759">
        <v>-365</v>
      </c>
      <c r="X749" s="759">
        <v>-898</v>
      </c>
      <c r="Y749" s="759">
        <v>-889</v>
      </c>
      <c r="Z749" s="37">
        <f>BQ749</f>
        <v>-690</v>
      </c>
      <c r="AA749" s="759">
        <v>84</v>
      </c>
      <c r="AB749" s="759">
        <v>-168</v>
      </c>
      <c r="AC749" s="759">
        <v>-527</v>
      </c>
      <c r="AD749" s="37">
        <f>BR749</f>
        <v>47</v>
      </c>
      <c r="AE749" s="759">
        <v>-29</v>
      </c>
      <c r="AF749" s="759">
        <v>-353</v>
      </c>
      <c r="AG749" s="759">
        <v>-89</v>
      </c>
      <c r="AH749" s="37">
        <f>BS749</f>
        <v>135</v>
      </c>
      <c r="AI749" s="759">
        <v>-461</v>
      </c>
      <c r="AJ749" s="759">
        <v>-2313</v>
      </c>
      <c r="AK749" s="759">
        <v>-2566</v>
      </c>
      <c r="AL749" s="37">
        <f>BT749</f>
        <v>-1750</v>
      </c>
      <c r="AM749" s="759">
        <v>573</v>
      </c>
      <c r="AN749" s="759">
        <v>138</v>
      </c>
      <c r="AO749" s="759">
        <v>-693</v>
      </c>
      <c r="AP749" s="37">
        <f>BU749</f>
        <v>162</v>
      </c>
      <c r="AQ749" s="759">
        <v>821</v>
      </c>
      <c r="AR749" s="759">
        <v>767</v>
      </c>
      <c r="AS749" s="759">
        <v>-141</v>
      </c>
      <c r="AT749" s="37">
        <f>BV749</f>
        <v>559</v>
      </c>
      <c r="AU749" s="759">
        <v>100</v>
      </c>
      <c r="AV749" s="759">
        <v>16</v>
      </c>
      <c r="AW749" s="759">
        <v>-168</v>
      </c>
      <c r="AX749" s="37">
        <f t="shared" si="884"/>
        <v>-698</v>
      </c>
      <c r="AY749" s="762">
        <v>360</v>
      </c>
      <c r="AZ749" s="37"/>
      <c r="BA749" s="37"/>
      <c r="BB749" s="37"/>
      <c r="BC749" s="37"/>
      <c r="BD749" s="37"/>
      <c r="BE749" s="37"/>
      <c r="BF749" s="37"/>
      <c r="BG749" s="37"/>
      <c r="BH749" s="857">
        <v>-30</v>
      </c>
      <c r="BI749" s="857">
        <v>-38</v>
      </c>
      <c r="BJ749" s="857">
        <v>-24</v>
      </c>
      <c r="BK749" s="857">
        <v>-14</v>
      </c>
      <c r="BL749" s="857">
        <v>355</v>
      </c>
      <c r="BM749" s="857">
        <v>-123</v>
      </c>
      <c r="BN749" s="857">
        <v>-144</v>
      </c>
      <c r="BO749" s="857">
        <v>-159</v>
      </c>
      <c r="BP749" s="857">
        <v>-192</v>
      </c>
      <c r="BQ749" s="857">
        <v>-690</v>
      </c>
      <c r="BR749" s="857">
        <v>47</v>
      </c>
      <c r="BS749" s="857">
        <v>135</v>
      </c>
      <c r="BT749" s="857">
        <v>-1750</v>
      </c>
      <c r="BU749" s="857">
        <v>162</v>
      </c>
      <c r="BV749" s="857">
        <v>559</v>
      </c>
      <c r="BW749" s="862">
        <v>-698</v>
      </c>
      <c r="BX749" s="158"/>
      <c r="BY749" s="158"/>
      <c r="BZ749" s="158"/>
      <c r="CA749" s="158"/>
      <c r="CB749" s="158"/>
      <c r="CC749" s="117"/>
    </row>
    <row r="750" spans="1:81" outlineLevel="1" x14ac:dyDescent="0.55000000000000004">
      <c r="A750" s="116" t="s">
        <v>140</v>
      </c>
      <c r="B750" s="87"/>
      <c r="C750" s="759">
        <v>-36</v>
      </c>
      <c r="D750" s="759">
        <v>-44</v>
      </c>
      <c r="E750" s="759">
        <v>-35</v>
      </c>
      <c r="F750" s="117">
        <f>BL750</f>
        <v>-142</v>
      </c>
      <c r="G750" s="759">
        <v>16</v>
      </c>
      <c r="H750" s="759">
        <v>18</v>
      </c>
      <c r="I750" s="759">
        <v>-158</v>
      </c>
      <c r="J750" s="117">
        <f>BM750</f>
        <v>-216</v>
      </c>
      <c r="K750" s="759">
        <v>-32</v>
      </c>
      <c r="L750" s="759">
        <v>-25</v>
      </c>
      <c r="M750" s="759">
        <v>4</v>
      </c>
      <c r="N750" s="117">
        <f>BN750</f>
        <v>-3</v>
      </c>
      <c r="O750" s="759">
        <v>15</v>
      </c>
      <c r="P750" s="759">
        <v>4</v>
      </c>
      <c r="Q750" s="759">
        <v>46</v>
      </c>
      <c r="R750" s="37">
        <f>BO750</f>
        <v>14</v>
      </c>
      <c r="S750" s="759">
        <v>31</v>
      </c>
      <c r="T750" s="759">
        <v>82</v>
      </c>
      <c r="U750" s="759">
        <v>130</v>
      </c>
      <c r="V750" s="37">
        <f>BP750</f>
        <v>154</v>
      </c>
      <c r="W750" s="759">
        <v>22</v>
      </c>
      <c r="X750" s="759">
        <v>-59</v>
      </c>
      <c r="Y750" s="759">
        <v>-99</v>
      </c>
      <c r="Z750" s="37">
        <f>BQ750</f>
        <v>-159</v>
      </c>
      <c r="AA750" s="759">
        <v>41</v>
      </c>
      <c r="AB750" s="759">
        <v>65</v>
      </c>
      <c r="AC750" s="759">
        <v>66</v>
      </c>
      <c r="AD750" s="37">
        <f>BR750</f>
        <v>41</v>
      </c>
      <c r="AE750" s="759">
        <v>-16</v>
      </c>
      <c r="AF750" s="759">
        <v>-15</v>
      </c>
      <c r="AG750" s="759">
        <v>-8</v>
      </c>
      <c r="AH750" s="37">
        <f>BS750</f>
        <v>-34</v>
      </c>
      <c r="AI750" s="759">
        <v>-10</v>
      </c>
      <c r="AJ750" s="759">
        <v>-195</v>
      </c>
      <c r="AK750" s="759">
        <v>-184</v>
      </c>
      <c r="AL750" s="37">
        <f>BT750</f>
        <v>-349</v>
      </c>
      <c r="AM750" s="759">
        <v>-108</v>
      </c>
      <c r="AN750" s="759">
        <v>-132</v>
      </c>
      <c r="AO750" s="759">
        <v>-160</v>
      </c>
      <c r="AP750" s="37">
        <f>BU750</f>
        <v>-106</v>
      </c>
      <c r="AQ750" s="759">
        <v>30</v>
      </c>
      <c r="AR750" s="759">
        <v>67</v>
      </c>
      <c r="AS750" s="759">
        <v>31</v>
      </c>
      <c r="AT750" s="37">
        <f>BV750</f>
        <v>-80</v>
      </c>
      <c r="AU750" s="759">
        <v>-94</v>
      </c>
      <c r="AV750" s="759">
        <v>-41</v>
      </c>
      <c r="AW750" s="759">
        <v>-70</v>
      </c>
      <c r="AX750" s="37">
        <f t="shared" si="884"/>
        <v>-270</v>
      </c>
      <c r="AY750" s="762">
        <v>-52</v>
      </c>
      <c r="AZ750" s="37"/>
      <c r="BA750" s="37"/>
      <c r="BB750" s="37"/>
      <c r="BC750" s="37"/>
      <c r="BD750" s="37"/>
      <c r="BE750" s="37"/>
      <c r="BF750" s="37"/>
      <c r="BG750" s="37"/>
      <c r="BH750" s="857">
        <v>-59</v>
      </c>
      <c r="BI750" s="857">
        <v>17</v>
      </c>
      <c r="BJ750" s="857">
        <v>-5</v>
      </c>
      <c r="BK750" s="857">
        <v>2</v>
      </c>
      <c r="BL750" s="857">
        <v>-142</v>
      </c>
      <c r="BM750" s="857">
        <v>-216</v>
      </c>
      <c r="BN750" s="857">
        <v>-3</v>
      </c>
      <c r="BO750" s="857">
        <v>14</v>
      </c>
      <c r="BP750" s="857">
        <v>154</v>
      </c>
      <c r="BQ750" s="857">
        <v>-159</v>
      </c>
      <c r="BR750" s="857">
        <v>41</v>
      </c>
      <c r="BS750" s="857">
        <v>-34</v>
      </c>
      <c r="BT750" s="857">
        <v>-349</v>
      </c>
      <c r="BU750" s="857">
        <v>-106</v>
      </c>
      <c r="BV750" s="857">
        <v>-80</v>
      </c>
      <c r="BW750" s="862">
        <v>-270</v>
      </c>
      <c r="BX750" s="158"/>
      <c r="BY750" s="158"/>
      <c r="BZ750" s="158"/>
      <c r="CA750" s="158"/>
      <c r="CB750" s="158"/>
      <c r="CC750" s="117"/>
    </row>
    <row r="751" spans="1:81" outlineLevel="1" x14ac:dyDescent="0.55000000000000004">
      <c r="A751" s="116" t="s">
        <v>346</v>
      </c>
      <c r="B751" s="8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7"/>
      <c r="AS751" s="37"/>
      <c r="AT751" s="37"/>
      <c r="AU751" s="37"/>
      <c r="AV751" s="37"/>
      <c r="AW751" s="37"/>
      <c r="AX751" s="37">
        <f t="shared" si="884"/>
        <v>0</v>
      </c>
      <c r="AY751" s="273"/>
      <c r="AZ751" s="37"/>
      <c r="BA751" s="37"/>
      <c r="BB751" s="37"/>
      <c r="BC751" s="37"/>
      <c r="BD751" s="37"/>
      <c r="BE751" s="37"/>
      <c r="BF751" s="37"/>
      <c r="BG751" s="37"/>
      <c r="BH751" s="158"/>
      <c r="BI751" s="158"/>
      <c r="BJ751" s="158"/>
      <c r="BK751" s="158"/>
      <c r="BL751" s="158"/>
      <c r="BM751" s="158"/>
      <c r="BN751" s="158"/>
      <c r="BO751" s="158"/>
      <c r="BP751" s="158"/>
      <c r="BQ751" s="158"/>
      <c r="BR751" s="158"/>
      <c r="BS751" s="158"/>
      <c r="BT751" s="158"/>
      <c r="BU751" s="158"/>
      <c r="BV751" s="158"/>
      <c r="BW751" s="846"/>
      <c r="BX751" s="158"/>
      <c r="BY751" s="158"/>
      <c r="BZ751" s="158"/>
      <c r="CA751" s="158"/>
      <c r="CB751" s="158"/>
      <c r="CC751" s="117"/>
    </row>
    <row r="752" spans="1:81" outlineLevel="1" x14ac:dyDescent="0.55000000000000004">
      <c r="A752" s="116" t="s">
        <v>141</v>
      </c>
      <c r="B752" s="87"/>
      <c r="C752" s="759">
        <v>1</v>
      </c>
      <c r="D752" s="759">
        <v>2</v>
      </c>
      <c r="E752" s="759">
        <v>-17</v>
      </c>
      <c r="F752" s="117">
        <f>BL752</f>
        <v>26</v>
      </c>
      <c r="G752" s="759">
        <v>-10</v>
      </c>
      <c r="H752" s="759">
        <v>69</v>
      </c>
      <c r="I752" s="759">
        <v>12</v>
      </c>
      <c r="J752" s="117">
        <f>BM752</f>
        <v>31</v>
      </c>
      <c r="K752" s="759">
        <v>-15</v>
      </c>
      <c r="L752" s="759">
        <v>16</v>
      </c>
      <c r="M752" s="759">
        <v>7</v>
      </c>
      <c r="N752" s="117">
        <f>BN752</f>
        <v>18</v>
      </c>
      <c r="O752" s="759">
        <v>2</v>
      </c>
      <c r="P752" s="759">
        <v>-39</v>
      </c>
      <c r="Q752" s="759">
        <v>-21</v>
      </c>
      <c r="R752" s="37">
        <f>BO752</f>
        <v>14</v>
      </c>
      <c r="S752" s="759">
        <v>-10</v>
      </c>
      <c r="T752" s="759">
        <v>-38</v>
      </c>
      <c r="U752" s="759">
        <v>-7</v>
      </c>
      <c r="V752" s="37">
        <f>BP752</f>
        <v>43</v>
      </c>
      <c r="W752" s="759">
        <v>1</v>
      </c>
      <c r="X752" s="759">
        <v>50</v>
      </c>
      <c r="Y752" s="759">
        <v>88</v>
      </c>
      <c r="Z752" s="37">
        <f>BQ752</f>
        <v>221</v>
      </c>
      <c r="AA752" s="759">
        <v>-96</v>
      </c>
      <c r="AB752" s="759">
        <v>-87</v>
      </c>
      <c r="AC752" s="759">
        <v>2</v>
      </c>
      <c r="AD752" s="37">
        <f>BR752</f>
        <v>113</v>
      </c>
      <c r="AE752" s="759">
        <v>-44</v>
      </c>
      <c r="AF752" s="759">
        <v>-100</v>
      </c>
      <c r="AG752" s="759">
        <v>39</v>
      </c>
      <c r="AH752" s="37">
        <f>BS752</f>
        <v>-17</v>
      </c>
      <c r="AI752" s="759">
        <v>-250</v>
      </c>
      <c r="AJ752" s="759">
        <v>-134</v>
      </c>
      <c r="AK752" s="759">
        <v>560</v>
      </c>
      <c r="AL752" s="37">
        <f>BT752</f>
        <v>1436</v>
      </c>
      <c r="AM752" s="759">
        <v>-882</v>
      </c>
      <c r="AN752" s="759">
        <v>-645</v>
      </c>
      <c r="AO752" s="759">
        <v>-666</v>
      </c>
      <c r="AP752" s="37">
        <f>BU752</f>
        <v>210</v>
      </c>
      <c r="AQ752" s="759">
        <v>-1104</v>
      </c>
      <c r="AR752" s="759">
        <v>-1155</v>
      </c>
      <c r="AS752" s="759">
        <v>-543</v>
      </c>
      <c r="AT752" s="37">
        <f>BV752</f>
        <v>51</v>
      </c>
      <c r="AU752" s="759">
        <v>-1112</v>
      </c>
      <c r="AV752" s="759">
        <v>-862</v>
      </c>
      <c r="AW752" s="759">
        <v>-195</v>
      </c>
      <c r="AX752" s="37">
        <f t="shared" si="884"/>
        <v>373</v>
      </c>
      <c r="AY752" s="762">
        <v>-1034</v>
      </c>
      <c r="AZ752" s="37"/>
      <c r="BA752" s="37"/>
      <c r="BB752" s="37"/>
      <c r="BC752" s="37"/>
      <c r="BD752" s="37"/>
      <c r="BE752" s="37"/>
      <c r="BF752" s="37"/>
      <c r="BG752" s="37"/>
      <c r="BH752" s="857">
        <v>-7</v>
      </c>
      <c r="BI752" s="857">
        <v>12</v>
      </c>
      <c r="BJ752" s="857">
        <v>6</v>
      </c>
      <c r="BK752" s="857">
        <v>1</v>
      </c>
      <c r="BL752" s="857">
        <v>26</v>
      </c>
      <c r="BM752" s="857">
        <v>31</v>
      </c>
      <c r="BN752" s="857">
        <v>18</v>
      </c>
      <c r="BO752" s="857">
        <v>14</v>
      </c>
      <c r="BP752" s="857">
        <v>43</v>
      </c>
      <c r="BQ752" s="857">
        <v>221</v>
      </c>
      <c r="BR752" s="857">
        <v>113</v>
      </c>
      <c r="BS752" s="857">
        <v>-17</v>
      </c>
      <c r="BT752" s="857">
        <v>1436</v>
      </c>
      <c r="BU752" s="857">
        <v>210</v>
      </c>
      <c r="BV752" s="857">
        <v>51</v>
      </c>
      <c r="BW752" s="862">
        <v>373</v>
      </c>
      <c r="BX752" s="158"/>
      <c r="BY752" s="158"/>
      <c r="BZ752" s="158"/>
      <c r="CA752" s="158"/>
      <c r="CB752" s="158"/>
      <c r="CC752" s="117"/>
    </row>
    <row r="753" spans="1:81" outlineLevel="1" x14ac:dyDescent="0.55000000000000004">
      <c r="A753" s="116" t="s">
        <v>142</v>
      </c>
      <c r="B753" s="87"/>
      <c r="C753" s="759">
        <v>21</v>
      </c>
      <c r="D753" s="759">
        <v>3</v>
      </c>
      <c r="E753" s="759">
        <v>2</v>
      </c>
      <c r="F753" s="117">
        <f>BL753</f>
        <v>12</v>
      </c>
      <c r="G753" s="759">
        <v>7</v>
      </c>
      <c r="H753" s="759">
        <v>-5</v>
      </c>
      <c r="I753" s="759">
        <v>-22</v>
      </c>
      <c r="J753" s="117">
        <f>BM753</f>
        <v>-28</v>
      </c>
      <c r="K753" s="759">
        <v>-13</v>
      </c>
      <c r="L753" s="759">
        <v>-19</v>
      </c>
      <c r="M753" s="759">
        <v>40</v>
      </c>
      <c r="N753" s="117">
        <f>BN753</f>
        <v>17</v>
      </c>
      <c r="O753" s="759">
        <v>-3</v>
      </c>
      <c r="P753" s="759">
        <v>14</v>
      </c>
      <c r="Q753" s="759">
        <v>20</v>
      </c>
      <c r="R753" s="37">
        <f>BO753</f>
        <v>67</v>
      </c>
      <c r="S753" s="759">
        <v>-3</v>
      </c>
      <c r="T753" s="759">
        <v>-10</v>
      </c>
      <c r="U753" s="759">
        <v>22</v>
      </c>
      <c r="V753" s="37">
        <f>BP753</f>
        <v>95</v>
      </c>
      <c r="W753" s="759">
        <v>2</v>
      </c>
      <c r="X753" s="759">
        <v>53</v>
      </c>
      <c r="Y753" s="759">
        <v>116</v>
      </c>
      <c r="Z753" s="37">
        <f>BQ753</f>
        <v>157</v>
      </c>
      <c r="AA753" s="759">
        <v>-1</v>
      </c>
      <c r="AB753" s="759">
        <v>20</v>
      </c>
      <c r="AC753" s="759">
        <v>59</v>
      </c>
      <c r="AD753" s="37">
        <f>BR753</f>
        <v>348</v>
      </c>
      <c r="AE753" s="759">
        <v>-169</v>
      </c>
      <c r="AF753" s="759">
        <v>-158</v>
      </c>
      <c r="AG753" s="759">
        <v>-100</v>
      </c>
      <c r="AH753" s="37">
        <f>BS753</f>
        <v>178</v>
      </c>
      <c r="AI753" s="759">
        <v>-72</v>
      </c>
      <c r="AJ753" s="759">
        <v>-133</v>
      </c>
      <c r="AK753" s="759">
        <v>-163</v>
      </c>
      <c r="AL753" s="37">
        <f>BT753</f>
        <v>-12</v>
      </c>
      <c r="AM753" s="759">
        <v>-105</v>
      </c>
      <c r="AN753" s="759">
        <v>-33</v>
      </c>
      <c r="AO753" s="759">
        <v>-12</v>
      </c>
      <c r="AP753" s="37">
        <f>BU753</f>
        <v>90</v>
      </c>
      <c r="AQ753" s="759">
        <v>-240</v>
      </c>
      <c r="AR753" s="759">
        <v>-356</v>
      </c>
      <c r="AS753" s="759">
        <v>-347</v>
      </c>
      <c r="AT753" s="37">
        <f>BV753</f>
        <v>-271</v>
      </c>
      <c r="AU753" s="37"/>
      <c r="AV753" s="37"/>
      <c r="AW753" s="37"/>
      <c r="AX753" s="37">
        <f t="shared" si="884"/>
        <v>0</v>
      </c>
      <c r="AY753" s="273"/>
      <c r="AZ753" s="37"/>
      <c r="BA753" s="37"/>
      <c r="BB753" s="37"/>
      <c r="BC753" s="37"/>
      <c r="BD753" s="37"/>
      <c r="BE753" s="37"/>
      <c r="BF753" s="37"/>
      <c r="BG753" s="37"/>
      <c r="BH753" s="158"/>
      <c r="BI753" s="857">
        <v>75</v>
      </c>
      <c r="BJ753" s="857">
        <v>96</v>
      </c>
      <c r="BK753" s="857">
        <v>-2</v>
      </c>
      <c r="BL753" s="857">
        <v>12</v>
      </c>
      <c r="BM753" s="857">
        <v>-28</v>
      </c>
      <c r="BN753" s="857">
        <v>17</v>
      </c>
      <c r="BO753" s="857">
        <v>67</v>
      </c>
      <c r="BP753" s="857">
        <v>95</v>
      </c>
      <c r="BQ753" s="857">
        <v>157</v>
      </c>
      <c r="BR753" s="857">
        <v>348</v>
      </c>
      <c r="BS753" s="857">
        <v>178</v>
      </c>
      <c r="BT753" s="857">
        <v>-12</v>
      </c>
      <c r="BU753" s="857">
        <v>90</v>
      </c>
      <c r="BV753" s="857">
        <v>-271</v>
      </c>
      <c r="BW753" s="846"/>
      <c r="BX753" s="158"/>
      <c r="BY753" s="158"/>
      <c r="BZ753" s="158"/>
      <c r="CA753" s="158"/>
      <c r="CB753" s="158"/>
      <c r="CC753" s="117"/>
    </row>
    <row r="754" spans="1:81" outlineLevel="1" x14ac:dyDescent="0.55000000000000004">
      <c r="A754" s="116" t="s">
        <v>143</v>
      </c>
      <c r="B754" s="87"/>
      <c r="C754" s="759">
        <v>-33</v>
      </c>
      <c r="D754" s="759">
        <v>9</v>
      </c>
      <c r="E754" s="759">
        <v>-105</v>
      </c>
      <c r="F754" s="117">
        <f>BL754</f>
        <v>-38</v>
      </c>
      <c r="G754" s="759">
        <v>-27</v>
      </c>
      <c r="H754" s="759">
        <v>75</v>
      </c>
      <c r="I754" s="759">
        <v>198</v>
      </c>
      <c r="J754" s="117">
        <f>BM754</f>
        <v>328</v>
      </c>
      <c r="K754" s="759">
        <v>134</v>
      </c>
      <c r="L754" s="759">
        <v>241</v>
      </c>
      <c r="M754" s="759">
        <v>291</v>
      </c>
      <c r="N754" s="117">
        <f>BN754</f>
        <v>513</v>
      </c>
      <c r="O754" s="759">
        <v>-18</v>
      </c>
      <c r="P754" s="759">
        <v>414</v>
      </c>
      <c r="Q754" s="759">
        <v>642</v>
      </c>
      <c r="R754" s="37">
        <f>BO754</f>
        <v>1014</v>
      </c>
      <c r="S754" s="759">
        <v>61</v>
      </c>
      <c r="T754" s="759">
        <v>157</v>
      </c>
      <c r="U754" s="759">
        <v>95</v>
      </c>
      <c r="V754" s="37">
        <f>BP754</f>
        <v>309</v>
      </c>
      <c r="W754" s="759">
        <v>707</v>
      </c>
      <c r="X754" s="759">
        <v>690</v>
      </c>
      <c r="Y754" s="759">
        <v>1044</v>
      </c>
      <c r="Z754" s="37">
        <f>BQ754</f>
        <v>1417</v>
      </c>
      <c r="AA754" s="759">
        <v>3154</v>
      </c>
      <c r="AB754" s="759">
        <v>5982</v>
      </c>
      <c r="AC754" s="759">
        <v>6439</v>
      </c>
      <c r="AD754" s="37">
        <f>BR754</f>
        <v>7300</v>
      </c>
      <c r="AE754" s="759">
        <v>980</v>
      </c>
      <c r="AF754" s="759">
        <v>-3016</v>
      </c>
      <c r="AG754" s="759">
        <v>-3273</v>
      </c>
      <c r="AH754" s="37">
        <f>BS754</f>
        <v>-1054</v>
      </c>
      <c r="AI754" s="759">
        <v>-1681</v>
      </c>
      <c r="AJ754" s="759">
        <v>-200</v>
      </c>
      <c r="AK754" s="759">
        <v>895</v>
      </c>
      <c r="AL754" s="37">
        <f>BT754</f>
        <v>3357</v>
      </c>
      <c r="AM754" s="759">
        <v>763</v>
      </c>
      <c r="AN754" s="759">
        <v>1943</v>
      </c>
      <c r="AO754" s="759">
        <v>2942</v>
      </c>
      <c r="AP754" s="37">
        <f>BU754</f>
        <v>4210</v>
      </c>
      <c r="AQ754" s="759">
        <v>334</v>
      </c>
      <c r="AR754" s="759">
        <v>5624</v>
      </c>
      <c r="AS754" s="759">
        <v>5702</v>
      </c>
      <c r="AT754" s="37">
        <f>BV754</f>
        <v>5352</v>
      </c>
      <c r="AU754" s="759">
        <v>-1274</v>
      </c>
      <c r="AV754" s="759">
        <v>-1771</v>
      </c>
      <c r="AW754" s="759">
        <v>-1199</v>
      </c>
      <c r="AX754" s="37">
        <f t="shared" si="884"/>
        <v>323</v>
      </c>
      <c r="AY754" s="762">
        <v>-2231</v>
      </c>
      <c r="AZ754" s="37"/>
      <c r="BA754" s="37"/>
      <c r="BB754" s="37"/>
      <c r="BC754" s="37"/>
      <c r="BD754" s="37"/>
      <c r="BE754" s="37"/>
      <c r="BF754" s="37"/>
      <c r="BG754" s="37"/>
      <c r="BH754" s="857">
        <v>27</v>
      </c>
      <c r="BI754" s="857">
        <v>20</v>
      </c>
      <c r="BJ754" s="857">
        <v>37</v>
      </c>
      <c r="BK754" s="857">
        <v>152</v>
      </c>
      <c r="BL754" s="857">
        <v>-38</v>
      </c>
      <c r="BM754" s="857">
        <v>328</v>
      </c>
      <c r="BN754" s="857">
        <v>513</v>
      </c>
      <c r="BO754" s="857">
        <v>1014</v>
      </c>
      <c r="BP754" s="857">
        <v>309</v>
      </c>
      <c r="BQ754" s="857">
        <v>1417</v>
      </c>
      <c r="BR754" s="857">
        <v>7300</v>
      </c>
      <c r="BS754" s="857">
        <v>-1054</v>
      </c>
      <c r="BT754" s="857">
        <v>3357</v>
      </c>
      <c r="BU754" s="857">
        <v>4210</v>
      </c>
      <c r="BV754" s="857">
        <v>5352</v>
      </c>
      <c r="BW754" s="862">
        <v>323</v>
      </c>
      <c r="BX754" s="158"/>
      <c r="BY754" s="158"/>
      <c r="BZ754" s="158"/>
      <c r="CA754" s="158"/>
      <c r="CB754" s="158"/>
      <c r="CC754" s="117"/>
    </row>
    <row r="755" spans="1:81" outlineLevel="1" x14ac:dyDescent="0.55000000000000004">
      <c r="A755" s="116" t="s">
        <v>144</v>
      </c>
      <c r="B755" s="87"/>
      <c r="C755" s="37"/>
      <c r="D755" s="759">
        <v>2</v>
      </c>
      <c r="E755" s="759">
        <v>6</v>
      </c>
      <c r="F755" s="117">
        <f>BL755</f>
        <v>8</v>
      </c>
      <c r="G755" s="759">
        <v>0</v>
      </c>
      <c r="H755" s="759">
        <v>15</v>
      </c>
      <c r="I755" s="759">
        <v>3</v>
      </c>
      <c r="J755" s="117">
        <f>BM755</f>
        <v>10</v>
      </c>
      <c r="K755" s="759">
        <v>-10</v>
      </c>
      <c r="L755" s="759">
        <v>-17</v>
      </c>
      <c r="M755" s="759">
        <v>-18</v>
      </c>
      <c r="N755" s="117">
        <f>BN755</f>
        <v>-9</v>
      </c>
      <c r="O755" s="759">
        <v>-2</v>
      </c>
      <c r="P755" s="759">
        <v>23</v>
      </c>
      <c r="Q755" s="759">
        <v>21</v>
      </c>
      <c r="R755" s="37">
        <f>BO755</f>
        <v>35</v>
      </c>
      <c r="S755" s="759">
        <v>-10</v>
      </c>
      <c r="T755" s="759">
        <v>-4</v>
      </c>
      <c r="U755" s="759">
        <v>12</v>
      </c>
      <c r="V755" s="37">
        <f>BP755</f>
        <v>4</v>
      </c>
      <c r="W755" s="759">
        <v>-5</v>
      </c>
      <c r="X755" s="759">
        <v>-4</v>
      </c>
      <c r="Y755" s="759">
        <v>20</v>
      </c>
      <c r="Z755" s="37">
        <f>BQ755</f>
        <v>53</v>
      </c>
      <c r="AA755" s="759">
        <v>-4</v>
      </c>
      <c r="AB755" s="759">
        <v>51</v>
      </c>
      <c r="AC755" s="759">
        <v>82</v>
      </c>
      <c r="AD755" s="37">
        <f>BR755</f>
        <v>123</v>
      </c>
      <c r="AE755" s="759">
        <v>-16</v>
      </c>
      <c r="AF755" s="759">
        <v>-1</v>
      </c>
      <c r="AG755" s="759">
        <v>111</v>
      </c>
      <c r="AH755" s="37">
        <f>BS755</f>
        <v>108</v>
      </c>
      <c r="AI755" s="759">
        <v>6</v>
      </c>
      <c r="AJ755" s="759">
        <v>9</v>
      </c>
      <c r="AK755" s="759">
        <v>87</v>
      </c>
      <c r="AL755" s="37">
        <f>BT755</f>
        <v>187</v>
      </c>
      <c r="AM755" s="759">
        <v>-52</v>
      </c>
      <c r="AN755" s="759">
        <v>-28</v>
      </c>
      <c r="AO755" s="759">
        <v>-35</v>
      </c>
      <c r="AP755" s="37">
        <f>BU755</f>
        <v>0</v>
      </c>
      <c r="AQ755" s="37"/>
      <c r="AR755" s="37"/>
      <c r="AS755" s="37"/>
      <c r="AT755" s="37">
        <f>BV755</f>
        <v>0</v>
      </c>
      <c r="AU755" s="37"/>
      <c r="AV755" s="37"/>
      <c r="AW755" s="37"/>
      <c r="AX755" s="37">
        <f t="shared" si="884"/>
        <v>0</v>
      </c>
      <c r="AY755" s="273"/>
      <c r="AZ755" s="37"/>
      <c r="BA755" s="37"/>
      <c r="BB755" s="37"/>
      <c r="BC755" s="37"/>
      <c r="BD755" s="37"/>
      <c r="BE755" s="37"/>
      <c r="BF755" s="37"/>
      <c r="BG755" s="37"/>
      <c r="BH755" s="857">
        <v>1</v>
      </c>
      <c r="BI755" s="857">
        <v>37</v>
      </c>
      <c r="BJ755" s="857">
        <v>49</v>
      </c>
      <c r="BK755" s="857">
        <v>-60</v>
      </c>
      <c r="BL755" s="857">
        <v>8</v>
      </c>
      <c r="BM755" s="857">
        <v>10</v>
      </c>
      <c r="BN755" s="857">
        <v>-9</v>
      </c>
      <c r="BO755" s="857">
        <v>35</v>
      </c>
      <c r="BP755" s="857">
        <v>4</v>
      </c>
      <c r="BQ755" s="857">
        <v>53</v>
      </c>
      <c r="BR755" s="857">
        <v>123</v>
      </c>
      <c r="BS755" s="857">
        <v>108</v>
      </c>
      <c r="BT755" s="857">
        <v>187</v>
      </c>
      <c r="BU755" s="158"/>
      <c r="BV755" s="158"/>
      <c r="BW755" s="846"/>
      <c r="BX755" s="158"/>
      <c r="BY755" s="158"/>
      <c r="BZ755" s="158"/>
      <c r="CA755" s="158"/>
      <c r="CB755" s="158"/>
      <c r="CC755" s="117"/>
    </row>
    <row r="756" spans="1:81" outlineLevel="1" x14ac:dyDescent="0.55000000000000004">
      <c r="A756" s="116" t="s">
        <v>348</v>
      </c>
      <c r="B756" s="8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c r="AF756" s="37"/>
      <c r="AG756" s="37"/>
      <c r="AH756" s="37"/>
      <c r="AI756" s="37"/>
      <c r="AJ756" s="37"/>
      <c r="AK756" s="37"/>
      <c r="AL756" s="37"/>
      <c r="AM756" s="37"/>
      <c r="AN756" s="37"/>
      <c r="AO756" s="37"/>
      <c r="AP756" s="37"/>
      <c r="AQ756" s="37"/>
      <c r="AR756" s="37"/>
      <c r="AS756" s="37"/>
      <c r="AT756" s="37"/>
      <c r="AU756" s="37"/>
      <c r="AV756" s="37"/>
      <c r="AW756" s="37"/>
      <c r="AX756" s="37">
        <f t="shared" si="884"/>
        <v>0</v>
      </c>
      <c r="AY756" s="273"/>
      <c r="AZ756" s="37"/>
      <c r="BA756" s="37"/>
      <c r="BB756" s="37"/>
      <c r="BC756" s="37"/>
      <c r="BD756" s="37"/>
      <c r="BE756" s="37"/>
      <c r="BF756" s="37"/>
      <c r="BG756" s="37"/>
      <c r="BH756" s="158"/>
      <c r="BI756" s="158"/>
      <c r="BJ756" s="158"/>
      <c r="BK756" s="158"/>
      <c r="BL756" s="158"/>
      <c r="BM756" s="158"/>
      <c r="BN756" s="158"/>
      <c r="BO756" s="158"/>
      <c r="BP756" s="158"/>
      <c r="BQ756" s="158"/>
      <c r="BR756" s="158"/>
      <c r="BS756" s="158"/>
      <c r="BT756" s="158"/>
      <c r="BU756" s="158"/>
      <c r="BV756" s="158"/>
      <c r="BW756" s="846"/>
      <c r="BX756" s="158"/>
      <c r="BY756" s="158"/>
      <c r="BZ756" s="158"/>
      <c r="CA756" s="158"/>
      <c r="CB756" s="158"/>
      <c r="CC756" s="117"/>
    </row>
    <row r="757" spans="1:81" outlineLevel="1" x14ac:dyDescent="0.55000000000000004">
      <c r="A757" s="116" t="s">
        <v>145</v>
      </c>
      <c r="B757" s="87"/>
      <c r="C757" s="759">
        <v>84</v>
      </c>
      <c r="D757" s="759">
        <v>197</v>
      </c>
      <c r="E757" s="759">
        <v>345</v>
      </c>
      <c r="F757" s="117">
        <f>BL757</f>
        <v>833</v>
      </c>
      <c r="G757" s="759">
        <v>26</v>
      </c>
      <c r="H757" s="759">
        <v>49</v>
      </c>
      <c r="I757" s="759">
        <v>227</v>
      </c>
      <c r="J757" s="117">
        <f>BM757</f>
        <v>346</v>
      </c>
      <c r="K757" s="759">
        <v>149</v>
      </c>
      <c r="L757" s="759">
        <v>350</v>
      </c>
      <c r="M757" s="759">
        <v>914</v>
      </c>
      <c r="N757" s="117">
        <f>BN757</f>
        <v>1365</v>
      </c>
      <c r="O757" s="759">
        <v>351</v>
      </c>
      <c r="P757" s="759">
        <v>646</v>
      </c>
      <c r="Q757" s="759">
        <v>677</v>
      </c>
      <c r="R757" s="37">
        <f>BO757</f>
        <v>1262</v>
      </c>
      <c r="S757" s="759">
        <v>222</v>
      </c>
      <c r="T757" s="759">
        <v>373</v>
      </c>
      <c r="U757" s="759">
        <v>550</v>
      </c>
      <c r="V757" s="37">
        <f>BP757</f>
        <v>3083</v>
      </c>
      <c r="W757" s="759">
        <v>-143</v>
      </c>
      <c r="X757" s="759">
        <v>-124</v>
      </c>
      <c r="Y757" s="759">
        <v>102</v>
      </c>
      <c r="Z757" s="37">
        <f>BQ757</f>
        <v>-634</v>
      </c>
      <c r="AA757" s="759">
        <v>77</v>
      </c>
      <c r="AB757" s="759">
        <v>1584</v>
      </c>
      <c r="AC757" s="759">
        <v>2001</v>
      </c>
      <c r="AD757" s="37">
        <f>BR757</f>
        <v>1239</v>
      </c>
      <c r="AE757" s="759">
        <v>-68</v>
      </c>
      <c r="AF757" s="759">
        <v>-554</v>
      </c>
      <c r="AG757" s="759">
        <v>-438</v>
      </c>
      <c r="AH757" s="37">
        <f>BS757</f>
        <v>-527</v>
      </c>
      <c r="AI757" s="759">
        <v>210</v>
      </c>
      <c r="AJ757" s="759">
        <v>184</v>
      </c>
      <c r="AK757" s="759">
        <v>527</v>
      </c>
      <c r="AL757" s="37">
        <f>BT757</f>
        <v>941</v>
      </c>
      <c r="AM757" s="759">
        <v>-5</v>
      </c>
      <c r="AN757" s="759">
        <v>-94</v>
      </c>
      <c r="AO757" s="759">
        <v>446</v>
      </c>
      <c r="AP757" s="37">
        <f>BU757</f>
        <v>886</v>
      </c>
      <c r="AQ757" s="759">
        <v>184</v>
      </c>
      <c r="AR757" s="759">
        <v>33</v>
      </c>
      <c r="AS757" s="759">
        <v>-39</v>
      </c>
      <c r="AT757" s="37">
        <f>BV757</f>
        <v>624</v>
      </c>
      <c r="AU757" s="759">
        <v>83</v>
      </c>
      <c r="AV757" s="759">
        <v>790</v>
      </c>
      <c r="AW757" s="759">
        <v>1691</v>
      </c>
      <c r="AX757" s="37">
        <f t="shared" si="884"/>
        <v>2805</v>
      </c>
      <c r="AY757" s="762">
        <v>712</v>
      </c>
      <c r="AZ757" s="37"/>
      <c r="BA757" s="37"/>
      <c r="BB757" s="37"/>
      <c r="BC757" s="37"/>
      <c r="BD757" s="37"/>
      <c r="BE757" s="37"/>
      <c r="BF757" s="37"/>
      <c r="BG757" s="37"/>
      <c r="BH757" s="857">
        <v>1</v>
      </c>
      <c r="BI757" s="857">
        <v>16</v>
      </c>
      <c r="BJ757" s="857">
        <v>50</v>
      </c>
      <c r="BK757" s="857">
        <v>43</v>
      </c>
      <c r="BL757" s="857">
        <v>833</v>
      </c>
      <c r="BM757" s="857">
        <v>346</v>
      </c>
      <c r="BN757" s="857">
        <v>1365</v>
      </c>
      <c r="BO757" s="857">
        <v>1262</v>
      </c>
      <c r="BP757" s="857">
        <v>3083</v>
      </c>
      <c r="BQ757" s="857">
        <v>-634</v>
      </c>
      <c r="BR757" s="857">
        <v>1239</v>
      </c>
      <c r="BS757" s="857">
        <v>-527</v>
      </c>
      <c r="BT757" s="857">
        <v>941</v>
      </c>
      <c r="BU757" s="857">
        <v>886</v>
      </c>
      <c r="BV757" s="857">
        <v>624</v>
      </c>
      <c r="BW757" s="862">
        <v>2805</v>
      </c>
      <c r="BX757" s="158"/>
      <c r="BY757" s="158"/>
      <c r="BZ757" s="158"/>
      <c r="CA757" s="158"/>
      <c r="CB757" s="158"/>
      <c r="CC757" s="117"/>
    </row>
    <row r="758" spans="1:81" outlineLevel="1" x14ac:dyDescent="0.55000000000000004">
      <c r="A758" s="20" t="s">
        <v>146</v>
      </c>
      <c r="B758" s="195"/>
      <c r="C758" s="5">
        <f t="shared" ref="C758:AH758" si="885">SUM(C746:C757)</f>
        <v>719</v>
      </c>
      <c r="D758" s="5">
        <f t="shared" si="885"/>
        <v>2041</v>
      </c>
      <c r="E758" s="5">
        <f t="shared" si="885"/>
        <v>2991</v>
      </c>
      <c r="F758" s="5">
        <f t="shared" si="885"/>
        <v>4222</v>
      </c>
      <c r="G758" s="5">
        <f t="shared" si="885"/>
        <v>1285</v>
      </c>
      <c r="H758" s="5">
        <f t="shared" si="885"/>
        <v>2626</v>
      </c>
      <c r="I758" s="5">
        <f t="shared" si="885"/>
        <v>3874</v>
      </c>
      <c r="J758" s="5">
        <f t="shared" si="885"/>
        <v>5457</v>
      </c>
      <c r="K758" s="5">
        <f t="shared" si="885"/>
        <v>1700</v>
      </c>
      <c r="L758" s="5">
        <f t="shared" si="885"/>
        <v>3580</v>
      </c>
      <c r="M758" s="5">
        <f t="shared" si="885"/>
        <v>5772</v>
      </c>
      <c r="N758" s="5">
        <f t="shared" si="885"/>
        <v>8599</v>
      </c>
      <c r="O758" s="5">
        <f t="shared" si="885"/>
        <v>3477</v>
      </c>
      <c r="P758" s="5">
        <f t="shared" si="885"/>
        <v>7142</v>
      </c>
      <c r="Q758" s="5">
        <f t="shared" si="885"/>
        <v>11178</v>
      </c>
      <c r="R758" s="33">
        <f t="shared" si="885"/>
        <v>16108</v>
      </c>
      <c r="S758" s="5">
        <f t="shared" si="885"/>
        <v>5058</v>
      </c>
      <c r="T758" s="5">
        <f t="shared" si="885"/>
        <v>10418</v>
      </c>
      <c r="U758" s="5">
        <f t="shared" si="885"/>
        <v>16545</v>
      </c>
      <c r="V758" s="33">
        <f t="shared" si="885"/>
        <v>24216</v>
      </c>
      <c r="W758" s="5">
        <f t="shared" si="885"/>
        <v>7860</v>
      </c>
      <c r="X758" s="5">
        <f t="shared" si="885"/>
        <v>14158</v>
      </c>
      <c r="Y758" s="5">
        <f t="shared" si="885"/>
        <v>21656</v>
      </c>
      <c r="Z758" s="33">
        <f t="shared" si="885"/>
        <v>29274</v>
      </c>
      <c r="AA758" s="5">
        <f t="shared" si="885"/>
        <v>9308</v>
      </c>
      <c r="AB758" s="5">
        <f t="shared" si="885"/>
        <v>17924</v>
      </c>
      <c r="AC758" s="5">
        <f t="shared" si="885"/>
        <v>27231</v>
      </c>
      <c r="AD758" s="33">
        <f t="shared" si="885"/>
        <v>36314</v>
      </c>
      <c r="AE758" s="5">
        <f t="shared" si="885"/>
        <v>11001</v>
      </c>
      <c r="AF758" s="5">
        <f t="shared" si="885"/>
        <v>14878</v>
      </c>
      <c r="AG758" s="5">
        <f t="shared" si="885"/>
        <v>24707</v>
      </c>
      <c r="AH758" s="33">
        <f t="shared" si="885"/>
        <v>38747</v>
      </c>
      <c r="AI758" s="5">
        <f t="shared" ref="AI758:AY758" si="886">SUM(AI746:AI757)</f>
        <v>12242</v>
      </c>
      <c r="AJ758" s="5">
        <f t="shared" si="886"/>
        <v>25489</v>
      </c>
      <c r="AK758" s="5">
        <f t="shared" si="886"/>
        <v>39579</v>
      </c>
      <c r="AL758" s="33">
        <f t="shared" si="886"/>
        <v>57683</v>
      </c>
      <c r="AM758" s="5">
        <f t="shared" si="886"/>
        <v>14076</v>
      </c>
      <c r="AN758" s="5">
        <f t="shared" si="886"/>
        <v>26272</v>
      </c>
      <c r="AO758" s="5">
        <f t="shared" si="886"/>
        <v>35964</v>
      </c>
      <c r="AP758" s="33">
        <f t="shared" si="886"/>
        <v>50475</v>
      </c>
      <c r="AQ758" s="5">
        <f t="shared" si="886"/>
        <v>13998</v>
      </c>
      <c r="AR758" s="5">
        <f t="shared" si="886"/>
        <v>31307</v>
      </c>
      <c r="AS758" s="5">
        <f t="shared" si="886"/>
        <v>51709</v>
      </c>
      <c r="AT758" s="33">
        <f t="shared" si="886"/>
        <v>71113</v>
      </c>
      <c r="AU758" s="5">
        <f t="shared" si="886"/>
        <v>19246</v>
      </c>
      <c r="AV758" s="5">
        <f t="shared" si="886"/>
        <v>38616</v>
      </c>
      <c r="AW758" s="5">
        <f t="shared" si="886"/>
        <v>63340</v>
      </c>
      <c r="AX758" s="33">
        <f t="shared" si="886"/>
        <v>91328</v>
      </c>
      <c r="AY758" s="409">
        <f t="shared" si="886"/>
        <v>24026</v>
      </c>
      <c r="AZ758" s="33"/>
      <c r="BA758" s="33"/>
      <c r="BB758" s="33"/>
      <c r="BC758" s="33"/>
      <c r="BD758" s="33"/>
      <c r="BE758" s="33"/>
      <c r="BF758" s="33"/>
      <c r="BG758" s="33"/>
      <c r="BH758" s="834">
        <f t="shared" ref="BH758:BW758" si="887">SUM(BH746:BH757)</f>
        <v>155</v>
      </c>
      <c r="BI758" s="834">
        <f t="shared" si="887"/>
        <v>698</v>
      </c>
      <c r="BJ758" s="834">
        <f t="shared" si="887"/>
        <v>1549</v>
      </c>
      <c r="BK758" s="834">
        <f t="shared" si="887"/>
        <v>1612</v>
      </c>
      <c r="BL758" s="834">
        <f t="shared" si="887"/>
        <v>4222</v>
      </c>
      <c r="BM758" s="834">
        <f t="shared" si="887"/>
        <v>5457</v>
      </c>
      <c r="BN758" s="834">
        <f t="shared" si="887"/>
        <v>8599</v>
      </c>
      <c r="BO758" s="833">
        <f t="shared" si="887"/>
        <v>16108</v>
      </c>
      <c r="BP758" s="833">
        <f t="shared" si="887"/>
        <v>24216</v>
      </c>
      <c r="BQ758" s="833">
        <f t="shared" si="887"/>
        <v>29274</v>
      </c>
      <c r="BR758" s="833">
        <f t="shared" si="887"/>
        <v>36314</v>
      </c>
      <c r="BS758" s="833">
        <f t="shared" si="887"/>
        <v>38747</v>
      </c>
      <c r="BT758" s="833">
        <f t="shared" si="887"/>
        <v>57683</v>
      </c>
      <c r="BU758" s="833">
        <f t="shared" si="887"/>
        <v>50475</v>
      </c>
      <c r="BV758" s="833">
        <f t="shared" si="887"/>
        <v>71113</v>
      </c>
      <c r="BW758" s="835">
        <f t="shared" si="887"/>
        <v>91328</v>
      </c>
      <c r="BX758" s="833"/>
      <c r="BY758" s="833"/>
      <c r="BZ758" s="833"/>
      <c r="CA758" s="833"/>
      <c r="CB758" s="833"/>
      <c r="CC758" s="6"/>
    </row>
    <row r="759" spans="1:81" outlineLevel="1" x14ac:dyDescent="0.55000000000000004">
      <c r="A759" s="192"/>
      <c r="B759" s="193"/>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s="272"/>
      <c r="AZ759" s="35"/>
      <c r="BA759" s="35"/>
      <c r="BB759" s="35"/>
      <c r="BC759" s="35"/>
      <c r="BD759" s="35"/>
      <c r="BE759" s="35"/>
      <c r="BF759" s="35"/>
      <c r="BG759" s="35"/>
      <c r="BH759" s="812"/>
      <c r="BI759" s="812"/>
      <c r="BJ759" s="812"/>
      <c r="BK759" s="812"/>
      <c r="BL759" s="812"/>
      <c r="BM759" s="812"/>
      <c r="BN759" s="812"/>
      <c r="BO759" s="812"/>
      <c r="BP759" s="812"/>
      <c r="BQ759" s="812"/>
      <c r="BR759" s="812"/>
      <c r="BS759" s="812"/>
      <c r="BT759" s="812"/>
      <c r="BU759" s="812"/>
      <c r="BV759" s="812"/>
      <c r="BW759" s="814"/>
      <c r="BX759" s="812"/>
      <c r="BY759" s="812"/>
      <c r="BZ759" s="812"/>
      <c r="CA759" s="812"/>
      <c r="CB759" s="812"/>
      <c r="CC759" s="6"/>
    </row>
    <row r="760" spans="1:81" outlineLevel="1" x14ac:dyDescent="0.55000000000000004">
      <c r="A760" s="19" t="s">
        <v>147</v>
      </c>
      <c r="B760" s="193"/>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272"/>
      <c r="AZ760" s="35"/>
      <c r="BA760" s="35"/>
      <c r="BB760" s="35"/>
      <c r="BC760" s="35"/>
      <c r="BD760" s="35"/>
      <c r="BE760" s="35"/>
      <c r="BF760" s="35"/>
      <c r="BG760" s="35"/>
      <c r="BH760" s="812"/>
      <c r="BI760" s="812"/>
      <c r="BJ760" s="812"/>
      <c r="BK760" s="812"/>
      <c r="BL760" s="812"/>
      <c r="BM760" s="812"/>
      <c r="BN760" s="812"/>
      <c r="BO760" s="812"/>
      <c r="BP760" s="812"/>
      <c r="BQ760" s="812"/>
      <c r="BR760" s="812"/>
      <c r="BS760" s="812"/>
      <c r="BT760" s="812"/>
      <c r="BU760" s="812"/>
      <c r="BV760" s="812"/>
      <c r="BW760" s="814"/>
      <c r="BX760" s="812"/>
      <c r="BY760" s="812"/>
      <c r="BZ760" s="812"/>
      <c r="CA760" s="812"/>
      <c r="CB760" s="812"/>
      <c r="CC760" s="6"/>
    </row>
    <row r="761" spans="1:81" outlineLevel="1" x14ac:dyDescent="0.55000000000000004">
      <c r="A761" s="116" t="s">
        <v>148</v>
      </c>
      <c r="B761" s="87"/>
      <c r="C761" s="759">
        <v>-327</v>
      </c>
      <c r="D761" s="759">
        <v>-595</v>
      </c>
      <c r="E761" s="759">
        <v>-879</v>
      </c>
      <c r="F761" s="117">
        <f>BL761</f>
        <v>-1362</v>
      </c>
      <c r="G761" s="759">
        <v>-363</v>
      </c>
      <c r="H761" s="759">
        <v>-832</v>
      </c>
      <c r="I761" s="759">
        <v>-1314</v>
      </c>
      <c r="J761" s="117">
        <f>BM761</f>
        <v>-1831</v>
      </c>
      <c r="K761" s="759">
        <v>-502</v>
      </c>
      <c r="L761" s="759">
        <v>-1051</v>
      </c>
      <c r="M761" s="759">
        <v>-1831</v>
      </c>
      <c r="N761" s="117">
        <f>BN761</f>
        <v>-2523</v>
      </c>
      <c r="O761" s="759">
        <v>-1132</v>
      </c>
      <c r="P761" s="759">
        <v>-2127</v>
      </c>
      <c r="Q761" s="759">
        <v>-3222</v>
      </c>
      <c r="R761" s="37">
        <f>BO761</f>
        <v>-4491</v>
      </c>
      <c r="S761" s="759">
        <v>-1271</v>
      </c>
      <c r="T761" s="759">
        <v>-2715</v>
      </c>
      <c r="U761" s="759">
        <v>-4470</v>
      </c>
      <c r="V761" s="37">
        <f>BP761</f>
        <v>-6733</v>
      </c>
      <c r="W761" s="759">
        <v>-2812</v>
      </c>
      <c r="X761" s="759">
        <v>-6272</v>
      </c>
      <c r="Y761" s="759">
        <v>-9614</v>
      </c>
      <c r="Z761" s="37">
        <f>BQ761</f>
        <v>-13915</v>
      </c>
      <c r="AA761" s="759">
        <v>-3837</v>
      </c>
      <c r="AB761" s="759">
        <v>-7470</v>
      </c>
      <c r="AC761" s="759">
        <v>-11002</v>
      </c>
      <c r="AD761" s="37">
        <f>BR761</f>
        <v>-15102</v>
      </c>
      <c r="AE761" s="759">
        <v>-3558</v>
      </c>
      <c r="AF761" s="759">
        <v>-6813</v>
      </c>
      <c r="AG761" s="759">
        <v>-10502</v>
      </c>
      <c r="AH761" s="37">
        <f>BS761</f>
        <v>-15115</v>
      </c>
      <c r="AI761" s="759">
        <v>-4272</v>
      </c>
      <c r="AJ761" s="759">
        <v>-8884</v>
      </c>
      <c r="AK761" s="759">
        <v>-13198</v>
      </c>
      <c r="AL761" s="37">
        <f>BT761</f>
        <v>-18567</v>
      </c>
      <c r="AM761" s="759">
        <v>-5441</v>
      </c>
      <c r="AN761" s="759">
        <v>-13013</v>
      </c>
      <c r="AO761" s="759">
        <v>-22388</v>
      </c>
      <c r="AP761" s="37">
        <f t="shared" ref="AP761:AP771" si="888">BU761</f>
        <v>-31431</v>
      </c>
      <c r="AQ761" s="759">
        <v>-6842</v>
      </c>
      <c r="AR761" s="759">
        <v>-13058</v>
      </c>
      <c r="AS761" s="759">
        <v>-19601</v>
      </c>
      <c r="AT761" s="37">
        <f t="shared" ref="AT761:AT771" si="889">BV761</f>
        <v>-27266</v>
      </c>
      <c r="AU761" s="759">
        <v>-6400</v>
      </c>
      <c r="AV761" s="759">
        <v>-14573</v>
      </c>
      <c r="AW761" s="759">
        <v>-22831</v>
      </c>
      <c r="AX761" s="37">
        <f t="shared" ref="AX761:AX771" si="890">BW761</f>
        <v>-37256</v>
      </c>
      <c r="AY761" s="762">
        <v>-12941</v>
      </c>
      <c r="AZ761" s="37"/>
      <c r="BA761" s="37"/>
      <c r="BB761" s="37"/>
      <c r="BC761" s="37"/>
      <c r="BD761" s="37"/>
      <c r="BE761" s="37"/>
      <c r="BF761" s="37"/>
      <c r="BG761" s="37"/>
      <c r="BH761" s="857">
        <v>-33</v>
      </c>
      <c r="BI761" s="857">
        <v>-293</v>
      </c>
      <c r="BJ761" s="857">
        <v>-606</v>
      </c>
      <c r="BK761" s="857">
        <v>-1235</v>
      </c>
      <c r="BL761" s="857">
        <v>-1362</v>
      </c>
      <c r="BM761" s="857">
        <v>-1831</v>
      </c>
      <c r="BN761" s="857">
        <v>-2523</v>
      </c>
      <c r="BO761" s="857">
        <v>-4491</v>
      </c>
      <c r="BP761" s="857">
        <v>-6733</v>
      </c>
      <c r="BQ761" s="857">
        <v>-13915</v>
      </c>
      <c r="BR761" s="857">
        <v>-15102</v>
      </c>
      <c r="BS761" s="857">
        <v>-15115</v>
      </c>
      <c r="BT761" s="857">
        <v>-18567</v>
      </c>
      <c r="BU761" s="857">
        <v>-31431</v>
      </c>
      <c r="BV761" s="857">
        <v>-27266</v>
      </c>
      <c r="BW761" s="862">
        <v>-37256</v>
      </c>
      <c r="BX761" s="158"/>
      <c r="BY761" s="158"/>
      <c r="BZ761" s="158"/>
      <c r="CA761" s="158"/>
      <c r="CB761" s="158"/>
      <c r="CC761" s="117"/>
    </row>
    <row r="762" spans="1:81" outlineLevel="1" x14ac:dyDescent="0.55000000000000004">
      <c r="A762" s="116" t="s">
        <v>149</v>
      </c>
      <c r="B762" s="87"/>
      <c r="C762" s="759">
        <v>-1508</v>
      </c>
      <c r="D762" s="759">
        <v>-3460</v>
      </c>
      <c r="E762" s="759">
        <v>-4364</v>
      </c>
      <c r="F762" s="117">
        <f>BL762</f>
        <v>-7433</v>
      </c>
      <c r="G762" s="759">
        <v>-2974</v>
      </c>
      <c r="H762" s="759">
        <v>-4482</v>
      </c>
      <c r="I762" s="759">
        <v>-6215</v>
      </c>
      <c r="J762" s="117">
        <f>BM762</f>
        <v>-9104</v>
      </c>
      <c r="K762" s="759">
        <v>-3055</v>
      </c>
      <c r="L762" s="759">
        <v>-5560</v>
      </c>
      <c r="M762" s="759">
        <v>-10333</v>
      </c>
      <c r="N762" s="117">
        <f>BN762</f>
        <v>-15938</v>
      </c>
      <c r="O762" s="759">
        <v>-3126</v>
      </c>
      <c r="P762" s="759">
        <v>-9635</v>
      </c>
      <c r="Q762" s="759">
        <v>-17368</v>
      </c>
      <c r="R762" s="37">
        <f>BO762</f>
        <v>-22341</v>
      </c>
      <c r="S762" s="759">
        <v>-6992</v>
      </c>
      <c r="T762" s="759">
        <v>-14137</v>
      </c>
      <c r="U762" s="759">
        <v>-20410</v>
      </c>
      <c r="V762" s="37">
        <f>BP762</f>
        <v>-25682</v>
      </c>
      <c r="W762" s="759">
        <v>-4022</v>
      </c>
      <c r="X762" s="759">
        <v>-8283</v>
      </c>
      <c r="Y762" s="759">
        <v>-12658</v>
      </c>
      <c r="Z762" s="37">
        <f>BQ762</f>
        <v>-14656</v>
      </c>
      <c r="AA762" s="759">
        <v>-6603</v>
      </c>
      <c r="AB762" s="759">
        <v>-11755</v>
      </c>
      <c r="AC762" s="759">
        <v>-19152</v>
      </c>
      <c r="AD762" s="37">
        <f>BR762</f>
        <v>-23910</v>
      </c>
      <c r="AE762" s="759">
        <v>-7884</v>
      </c>
      <c r="AF762" s="759">
        <v>-14063</v>
      </c>
      <c r="AG762" s="759">
        <v>-28193</v>
      </c>
      <c r="AH762" s="37">
        <f>BS762</f>
        <v>-33930</v>
      </c>
      <c r="AI762" s="759">
        <v>-6231</v>
      </c>
      <c r="AJ762" s="759">
        <v>-16528</v>
      </c>
      <c r="AK762" s="759">
        <v>-24314</v>
      </c>
      <c r="AL762" s="37">
        <f>BT762</f>
        <v>-30407</v>
      </c>
      <c r="AM762" s="759">
        <v>-4068</v>
      </c>
      <c r="AN762" s="759">
        <v>-6288</v>
      </c>
      <c r="AO762" s="759">
        <v>-8885</v>
      </c>
      <c r="AP762" s="37">
        <f t="shared" si="888"/>
        <v>-9626</v>
      </c>
      <c r="AQ762" s="759">
        <v>-85</v>
      </c>
      <c r="AR762" s="759">
        <v>-803</v>
      </c>
      <c r="AS762" s="759">
        <v>-1810</v>
      </c>
      <c r="AT762" s="37">
        <f t="shared" si="889"/>
        <v>-2982</v>
      </c>
      <c r="AU762" s="759">
        <v>-6887</v>
      </c>
      <c r="AV762" s="759">
        <v>-10176</v>
      </c>
      <c r="AW762" s="759">
        <v>-14644</v>
      </c>
      <c r="AX762" s="37">
        <f t="shared" si="890"/>
        <v>-25542</v>
      </c>
      <c r="AY762" s="762">
        <v>-11763</v>
      </c>
      <c r="AZ762" s="37"/>
      <c r="BA762" s="37"/>
      <c r="BB762" s="37"/>
      <c r="BC762" s="37"/>
      <c r="BD762" s="37"/>
      <c r="BE762" s="37"/>
      <c r="BF762" s="37"/>
      <c r="BG762" s="37"/>
      <c r="BH762" s="158"/>
      <c r="BI762" s="158"/>
      <c r="BJ762" s="857">
        <v>-3025</v>
      </c>
      <c r="BK762" s="857">
        <v>-10307</v>
      </c>
      <c r="BL762" s="857">
        <v>-7433</v>
      </c>
      <c r="BM762" s="857">
        <v>-9104</v>
      </c>
      <c r="BN762" s="857">
        <v>-15938</v>
      </c>
      <c r="BO762" s="857">
        <v>-22341</v>
      </c>
      <c r="BP762" s="857">
        <v>-25682</v>
      </c>
      <c r="BQ762" s="857">
        <v>-14656</v>
      </c>
      <c r="BR762" s="857">
        <v>-23910</v>
      </c>
      <c r="BS762" s="857">
        <v>-33930</v>
      </c>
      <c r="BT762" s="857">
        <v>-30407</v>
      </c>
      <c r="BU762" s="857">
        <v>-9626</v>
      </c>
      <c r="BV762" s="857">
        <v>-2982</v>
      </c>
      <c r="BW762" s="862">
        <v>-25542</v>
      </c>
      <c r="BX762" s="158"/>
      <c r="BY762" s="158"/>
      <c r="BZ762" s="158"/>
      <c r="CA762" s="158"/>
      <c r="CB762" s="158"/>
      <c r="CC762" s="117"/>
    </row>
    <row r="763" spans="1:81" outlineLevel="1" x14ac:dyDescent="0.55000000000000004">
      <c r="A763" s="116" t="s">
        <v>696</v>
      </c>
      <c r="B763" s="8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c r="AF763" s="37"/>
      <c r="AG763" s="37"/>
      <c r="AH763" s="37"/>
      <c r="AI763" s="37"/>
      <c r="AJ763" s="37"/>
      <c r="AK763" s="37"/>
      <c r="AL763" s="37"/>
      <c r="AM763" s="759">
        <v>126</v>
      </c>
      <c r="AN763" s="759">
        <v>170</v>
      </c>
      <c r="AO763" s="759">
        <v>190</v>
      </c>
      <c r="AP763" s="37">
        <f t="shared" si="888"/>
        <v>245</v>
      </c>
      <c r="AQ763" s="759">
        <v>19</v>
      </c>
      <c r="AR763" s="759">
        <v>101</v>
      </c>
      <c r="AS763" s="759">
        <v>148</v>
      </c>
      <c r="AT763" s="37">
        <f t="shared" si="889"/>
        <v>221</v>
      </c>
      <c r="AU763" s="37"/>
      <c r="AV763" s="37"/>
      <c r="AW763" s="37"/>
      <c r="AX763" s="37">
        <f t="shared" si="890"/>
        <v>0</v>
      </c>
      <c r="AY763" s="273"/>
      <c r="AZ763" s="37"/>
      <c r="BA763" s="37"/>
      <c r="BB763" s="37"/>
      <c r="BC763" s="37"/>
      <c r="BD763" s="37"/>
      <c r="BE763" s="37"/>
      <c r="BF763" s="37"/>
      <c r="BG763" s="37"/>
      <c r="BH763" s="158"/>
      <c r="BI763" s="158"/>
      <c r="BJ763" s="158"/>
      <c r="BK763" s="158"/>
      <c r="BL763" s="158"/>
      <c r="BM763" s="158"/>
      <c r="BN763" s="158"/>
      <c r="BO763" s="158"/>
      <c r="BP763" s="158"/>
      <c r="BQ763" s="158"/>
      <c r="BR763" s="158"/>
      <c r="BS763" s="158"/>
      <c r="BT763" s="158"/>
      <c r="BU763" s="857">
        <v>245</v>
      </c>
      <c r="BV763" s="857">
        <v>221</v>
      </c>
      <c r="BW763" s="846"/>
      <c r="BX763" s="158"/>
      <c r="BY763" s="158"/>
      <c r="BZ763" s="158"/>
      <c r="CA763" s="158"/>
      <c r="CB763" s="158"/>
      <c r="CC763" s="117"/>
    </row>
    <row r="764" spans="1:81" outlineLevel="1" x14ac:dyDescent="0.55000000000000004">
      <c r="A764" s="116" t="s">
        <v>150</v>
      </c>
      <c r="B764" s="87"/>
      <c r="C764" s="759">
        <v>699</v>
      </c>
      <c r="D764" s="759">
        <v>1275</v>
      </c>
      <c r="E764" s="759">
        <v>2433</v>
      </c>
      <c r="F764" s="117">
        <f>BL764</f>
        <v>2988</v>
      </c>
      <c r="G764" s="759">
        <v>847</v>
      </c>
      <c r="H764" s="759">
        <v>1968</v>
      </c>
      <c r="I764" s="759">
        <v>7391</v>
      </c>
      <c r="J764" s="117">
        <f>BM764</f>
        <v>8438</v>
      </c>
      <c r="K764" s="759">
        <v>608</v>
      </c>
      <c r="L764" s="759">
        <v>2726</v>
      </c>
      <c r="M764" s="759">
        <v>4125</v>
      </c>
      <c r="N764" s="117">
        <f>BN764</f>
        <v>6928</v>
      </c>
      <c r="O764" s="759">
        <v>2013</v>
      </c>
      <c r="P764" s="759">
        <v>4158</v>
      </c>
      <c r="Q764" s="759">
        <v>9791</v>
      </c>
      <c r="R764" s="37">
        <f>BO764</f>
        <v>13894</v>
      </c>
      <c r="S764" s="759">
        <v>1762</v>
      </c>
      <c r="T764" s="759">
        <v>3998</v>
      </c>
      <c r="U764" s="759">
        <v>7649</v>
      </c>
      <c r="V764" s="37">
        <f>BP764</f>
        <v>9444</v>
      </c>
      <c r="W764" s="759">
        <v>4330</v>
      </c>
      <c r="X764" s="759">
        <v>8612</v>
      </c>
      <c r="Y764" s="759">
        <v>11104</v>
      </c>
      <c r="Z764" s="37">
        <f>BQ764</f>
        <v>12358</v>
      </c>
      <c r="AA764" s="759">
        <v>1512</v>
      </c>
      <c r="AB764" s="759">
        <v>4456</v>
      </c>
      <c r="AC764" s="759">
        <v>7402</v>
      </c>
      <c r="AD764" s="37">
        <f>BR764</f>
        <v>9565</v>
      </c>
      <c r="AE764" s="759">
        <v>2764</v>
      </c>
      <c r="AF764" s="759">
        <v>5381</v>
      </c>
      <c r="AG764" s="759">
        <v>9779</v>
      </c>
      <c r="AH764" s="37">
        <f t="shared" ref="AH764:AH771" si="891">BS764</f>
        <v>11787</v>
      </c>
      <c r="AI764" s="759">
        <v>1650</v>
      </c>
      <c r="AJ764" s="759">
        <v>6337</v>
      </c>
      <c r="AK764" s="759">
        <v>15331</v>
      </c>
      <c r="AL764" s="37">
        <f t="shared" ref="AL764:AL771" si="892">BT764</f>
        <v>31671</v>
      </c>
      <c r="AM764" s="759">
        <v>5065</v>
      </c>
      <c r="AN764" s="759">
        <v>7713</v>
      </c>
      <c r="AO764" s="759">
        <v>9333</v>
      </c>
      <c r="AP764" s="37">
        <f t="shared" si="888"/>
        <v>11083</v>
      </c>
      <c r="AQ764" s="37"/>
      <c r="AR764" s="37"/>
      <c r="AS764" s="37"/>
      <c r="AT764" s="37">
        <f t="shared" si="889"/>
        <v>0</v>
      </c>
      <c r="AU764" s="37"/>
      <c r="AV764" s="37"/>
      <c r="AW764" s="37"/>
      <c r="AX764" s="37">
        <f t="shared" si="890"/>
        <v>0</v>
      </c>
      <c r="AY764" s="273"/>
      <c r="AZ764" s="37"/>
      <c r="BA764" s="37"/>
      <c r="BB764" s="37"/>
      <c r="BC764" s="37"/>
      <c r="BD764" s="37"/>
      <c r="BE764" s="37"/>
      <c r="BF764" s="37"/>
      <c r="BG764" s="37"/>
      <c r="BH764" s="158"/>
      <c r="BI764" s="158"/>
      <c r="BJ764" s="857">
        <v>113</v>
      </c>
      <c r="BK764" s="857">
        <v>2100</v>
      </c>
      <c r="BL764" s="857">
        <v>2988</v>
      </c>
      <c r="BM764" s="857">
        <v>8438</v>
      </c>
      <c r="BN764" s="857">
        <v>6928</v>
      </c>
      <c r="BO764" s="857">
        <v>13894</v>
      </c>
      <c r="BP764" s="857">
        <v>9444</v>
      </c>
      <c r="BQ764" s="857">
        <v>12358</v>
      </c>
      <c r="BR764" s="857">
        <v>9565</v>
      </c>
      <c r="BS764" s="857">
        <v>11787</v>
      </c>
      <c r="BT764" s="857">
        <v>31671</v>
      </c>
      <c r="BU764" s="857">
        <v>11083</v>
      </c>
      <c r="BV764" s="158"/>
      <c r="BW764" s="846"/>
      <c r="BX764" s="158"/>
      <c r="BY764" s="158"/>
      <c r="BZ764" s="158"/>
      <c r="CA764" s="158"/>
      <c r="CB764" s="158"/>
      <c r="CC764" s="117"/>
    </row>
    <row r="765" spans="1:81" outlineLevel="1" x14ac:dyDescent="0.55000000000000004">
      <c r="A765" s="116" t="s">
        <v>151</v>
      </c>
      <c r="B765" s="87"/>
      <c r="C765" s="759">
        <v>903</v>
      </c>
      <c r="D765" s="759">
        <v>2174</v>
      </c>
      <c r="E765" s="759">
        <v>2954</v>
      </c>
      <c r="F765" s="117">
        <f>BL765</f>
        <v>3563</v>
      </c>
      <c r="G765" s="759">
        <v>619</v>
      </c>
      <c r="H765" s="759">
        <v>1074</v>
      </c>
      <c r="I765" s="759">
        <v>1710</v>
      </c>
      <c r="J765" s="117">
        <f>BM765</f>
        <v>1909</v>
      </c>
      <c r="K765" s="759">
        <v>339</v>
      </c>
      <c r="L765" s="759">
        <v>715</v>
      </c>
      <c r="M765" s="759">
        <v>1563</v>
      </c>
      <c r="N765" s="117">
        <f>BN765</f>
        <v>2310</v>
      </c>
      <c r="O765" s="759">
        <v>537</v>
      </c>
      <c r="P765" s="759">
        <v>903</v>
      </c>
      <c r="Q765" s="759">
        <v>1034</v>
      </c>
      <c r="R765" s="37">
        <f>BO765</f>
        <v>1261</v>
      </c>
      <c r="S765" s="759">
        <v>599</v>
      </c>
      <c r="T765" s="759">
        <v>1498</v>
      </c>
      <c r="U765" s="759">
        <v>2228</v>
      </c>
      <c r="V765" s="37">
        <f>BP765</f>
        <v>2988</v>
      </c>
      <c r="W765" s="759">
        <v>1267</v>
      </c>
      <c r="X765" s="759">
        <v>2338</v>
      </c>
      <c r="Y765" s="759">
        <v>3391</v>
      </c>
      <c r="Z765" s="37">
        <f>BQ765</f>
        <v>4772</v>
      </c>
      <c r="AA765" s="759">
        <v>2210</v>
      </c>
      <c r="AB765" s="759">
        <v>4105</v>
      </c>
      <c r="AC765" s="759">
        <v>7048</v>
      </c>
      <c r="AD765" s="37">
        <f>BR765</f>
        <v>10152</v>
      </c>
      <c r="AE765" s="759">
        <v>4644</v>
      </c>
      <c r="AF765" s="759">
        <v>7868</v>
      </c>
      <c r="AG765" s="759">
        <v>10725</v>
      </c>
      <c r="AH765" s="37">
        <f t="shared" si="891"/>
        <v>13984</v>
      </c>
      <c r="AI765" s="759">
        <v>3981</v>
      </c>
      <c r="AJ765" s="759">
        <v>6327</v>
      </c>
      <c r="AK765" s="759">
        <v>9318</v>
      </c>
      <c r="AL765" s="37">
        <f t="shared" si="892"/>
        <v>10915</v>
      </c>
      <c r="AM765" s="759">
        <v>402</v>
      </c>
      <c r="AN765" s="759">
        <v>913</v>
      </c>
      <c r="AO765" s="759">
        <v>1562</v>
      </c>
      <c r="AP765" s="37">
        <f t="shared" si="888"/>
        <v>2075</v>
      </c>
      <c r="AQ765" s="759">
        <v>534</v>
      </c>
      <c r="AR765" s="759">
        <v>2351</v>
      </c>
      <c r="AS765" s="759">
        <v>3825</v>
      </c>
      <c r="AT765" s="37">
        <f t="shared" si="889"/>
        <v>6184</v>
      </c>
      <c r="AU765" s="759">
        <v>4625</v>
      </c>
      <c r="AV765" s="759">
        <v>7858</v>
      </c>
      <c r="AW765" s="759">
        <v>11972</v>
      </c>
      <c r="AX765" s="37">
        <f t="shared" si="890"/>
        <v>15789</v>
      </c>
      <c r="AY765" s="762">
        <v>4784</v>
      </c>
      <c r="AZ765" s="37"/>
      <c r="BA765" s="37"/>
      <c r="BB765" s="37"/>
      <c r="BC765" s="37"/>
      <c r="BD765" s="37"/>
      <c r="BE765" s="37"/>
      <c r="BF765" s="37"/>
      <c r="BG765" s="37"/>
      <c r="BH765" s="158"/>
      <c r="BI765" s="158"/>
      <c r="BJ765" s="857">
        <v>516</v>
      </c>
      <c r="BK765" s="857">
        <v>3333</v>
      </c>
      <c r="BL765" s="857">
        <v>3563</v>
      </c>
      <c r="BM765" s="857">
        <v>1909</v>
      </c>
      <c r="BN765" s="857">
        <v>2310</v>
      </c>
      <c r="BO765" s="857">
        <v>1261</v>
      </c>
      <c r="BP765" s="857">
        <v>2988</v>
      </c>
      <c r="BQ765" s="857">
        <v>4772</v>
      </c>
      <c r="BR765" s="857">
        <v>10152</v>
      </c>
      <c r="BS765" s="857">
        <v>13984</v>
      </c>
      <c r="BT765" s="857">
        <v>10915</v>
      </c>
      <c r="BU765" s="857">
        <v>2075</v>
      </c>
      <c r="BV765" s="857">
        <v>6184</v>
      </c>
      <c r="BW765" s="862">
        <v>15789</v>
      </c>
      <c r="BX765" s="158"/>
      <c r="BY765" s="158"/>
      <c r="BZ765" s="158"/>
      <c r="CA765" s="158"/>
      <c r="CB765" s="158"/>
      <c r="CC765" s="117"/>
    </row>
    <row r="766" spans="1:81" outlineLevel="1" x14ac:dyDescent="0.55000000000000004">
      <c r="A766" s="116" t="s">
        <v>152</v>
      </c>
      <c r="B766" s="87"/>
      <c r="C766" s="37"/>
      <c r="D766" s="37"/>
      <c r="E766" s="37"/>
      <c r="F766" s="117">
        <f>BL766</f>
        <v>0</v>
      </c>
      <c r="G766" s="37"/>
      <c r="H766" s="37"/>
      <c r="I766" s="37"/>
      <c r="J766" s="117">
        <f>BM766</f>
        <v>0</v>
      </c>
      <c r="K766" s="37"/>
      <c r="L766" s="37"/>
      <c r="M766" s="37"/>
      <c r="N766" s="117">
        <f>BN766</f>
        <v>0</v>
      </c>
      <c r="O766" s="759">
        <v>0</v>
      </c>
      <c r="P766" s="37"/>
      <c r="Q766" s="37"/>
      <c r="R766" s="37">
        <f>BO766</f>
        <v>0</v>
      </c>
      <c r="S766" s="37"/>
      <c r="T766" s="37"/>
      <c r="U766" s="37"/>
      <c r="V766" s="37">
        <f>BP766</f>
        <v>0</v>
      </c>
      <c r="W766" s="37"/>
      <c r="X766" s="37"/>
      <c r="Y766" s="37"/>
      <c r="Z766" s="37">
        <f>BQ766</f>
        <v>0</v>
      </c>
      <c r="AA766" s="37"/>
      <c r="AB766" s="37"/>
      <c r="AC766" s="37"/>
      <c r="AD766" s="37">
        <f>BR766</f>
        <v>0</v>
      </c>
      <c r="AE766" s="37"/>
      <c r="AF766" s="37"/>
      <c r="AG766" s="37"/>
      <c r="AH766" s="37">
        <f t="shared" si="891"/>
        <v>0</v>
      </c>
      <c r="AI766" s="37"/>
      <c r="AJ766" s="37"/>
      <c r="AK766" s="37"/>
      <c r="AL766" s="37">
        <f t="shared" si="892"/>
        <v>0</v>
      </c>
      <c r="AM766" s="37"/>
      <c r="AN766" s="37"/>
      <c r="AO766" s="37"/>
      <c r="AP766" s="37">
        <f t="shared" si="888"/>
        <v>0</v>
      </c>
      <c r="AQ766" s="37"/>
      <c r="AR766" s="37"/>
      <c r="AS766" s="37"/>
      <c r="AT766" s="37">
        <f t="shared" si="889"/>
        <v>0</v>
      </c>
      <c r="AU766" s="37"/>
      <c r="AV766" s="37"/>
      <c r="AW766" s="37"/>
      <c r="AX766" s="37">
        <f t="shared" si="890"/>
        <v>0</v>
      </c>
      <c r="AY766" s="273"/>
      <c r="AZ766" s="37"/>
      <c r="BA766" s="37"/>
      <c r="BB766" s="37"/>
      <c r="BC766" s="37"/>
      <c r="BD766" s="37"/>
      <c r="BE766" s="37"/>
      <c r="BF766" s="37"/>
      <c r="BG766" s="37"/>
      <c r="BH766" s="158"/>
      <c r="BI766" s="158"/>
      <c r="BJ766" s="857">
        <v>-3</v>
      </c>
      <c r="BK766" s="857">
        <v>-2</v>
      </c>
      <c r="BL766" s="158"/>
      <c r="BM766" s="158"/>
      <c r="BN766" s="158"/>
      <c r="BO766" s="158"/>
      <c r="BP766" s="158"/>
      <c r="BQ766" s="158"/>
      <c r="BR766" s="158"/>
      <c r="BS766" s="158"/>
      <c r="BT766" s="158"/>
      <c r="BU766" s="158"/>
      <c r="BV766" s="158"/>
      <c r="BW766" s="846"/>
      <c r="BX766" s="158"/>
      <c r="BY766" s="158"/>
      <c r="BZ766" s="158"/>
      <c r="CA766" s="158"/>
      <c r="CB766" s="158"/>
      <c r="CC766" s="117"/>
    </row>
    <row r="767" spans="1:81" outlineLevel="1" x14ac:dyDescent="0.55000000000000004">
      <c r="A767" s="116" t="s">
        <v>443</v>
      </c>
      <c r="B767" s="8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c r="AF767" s="37"/>
      <c r="AG767" s="759">
        <v>-6302</v>
      </c>
      <c r="AH767" s="37">
        <f t="shared" si="891"/>
        <v>-6361</v>
      </c>
      <c r="AI767" s="37"/>
      <c r="AJ767" s="37"/>
      <c r="AK767" s="759">
        <v>-46</v>
      </c>
      <c r="AL767" s="37">
        <f t="shared" si="892"/>
        <v>-47</v>
      </c>
      <c r="AM767" s="37"/>
      <c r="AN767" s="37"/>
      <c r="AO767" s="37"/>
      <c r="AP767" s="37">
        <f t="shared" si="888"/>
        <v>-5</v>
      </c>
      <c r="AQ767" s="37"/>
      <c r="AR767" s="37"/>
      <c r="AS767" s="37"/>
      <c r="AT767" s="37">
        <f t="shared" si="889"/>
        <v>0</v>
      </c>
      <c r="AU767" s="37"/>
      <c r="AV767" s="37"/>
      <c r="AW767" s="37"/>
      <c r="AX767" s="37">
        <f t="shared" si="890"/>
        <v>0</v>
      </c>
      <c r="AY767" s="273"/>
      <c r="AZ767" s="37"/>
      <c r="BA767" s="37"/>
      <c r="BB767" s="37"/>
      <c r="BC767" s="37"/>
      <c r="BD767" s="37"/>
      <c r="BE767" s="37"/>
      <c r="BF767" s="37"/>
      <c r="BG767" s="37"/>
      <c r="BH767" s="158"/>
      <c r="BI767" s="158"/>
      <c r="BJ767" s="158"/>
      <c r="BK767" s="158"/>
      <c r="BL767" s="158"/>
      <c r="BM767" s="158"/>
      <c r="BN767" s="158"/>
      <c r="BO767" s="158"/>
      <c r="BP767" s="158"/>
      <c r="BQ767" s="158"/>
      <c r="BR767" s="158"/>
      <c r="BS767" s="857">
        <v>-6361</v>
      </c>
      <c r="BT767" s="857">
        <v>-47</v>
      </c>
      <c r="BU767" s="857">
        <v>-5</v>
      </c>
      <c r="BV767" s="158"/>
      <c r="BW767" s="846"/>
      <c r="BX767" s="158"/>
      <c r="BY767" s="158"/>
      <c r="BZ767" s="158"/>
      <c r="CA767" s="158"/>
      <c r="CB767" s="158"/>
      <c r="CC767" s="117"/>
    </row>
    <row r="768" spans="1:81" outlineLevel="1" x14ac:dyDescent="0.55000000000000004">
      <c r="A768" s="116" t="s">
        <v>153</v>
      </c>
      <c r="B768" s="87"/>
      <c r="C768" s="759">
        <v>-99</v>
      </c>
      <c r="D768" s="759">
        <v>-221</v>
      </c>
      <c r="E768" s="759">
        <v>-237</v>
      </c>
      <c r="F768" s="117">
        <f>BL768</f>
        <v>-368</v>
      </c>
      <c r="G768" s="759">
        <v>0</v>
      </c>
      <c r="H768" s="759">
        <v>-19</v>
      </c>
      <c r="I768" s="759">
        <v>-754</v>
      </c>
      <c r="J768" s="117">
        <f>BM768</f>
        <v>-4975</v>
      </c>
      <c r="K768" s="759">
        <v>-257</v>
      </c>
      <c r="L768" s="759">
        <v>-282</v>
      </c>
      <c r="M768" s="759">
        <v>-309</v>
      </c>
      <c r="N768" s="117">
        <f>BN768</f>
        <v>-313</v>
      </c>
      <c r="O768" s="759">
        <v>-1</v>
      </c>
      <c r="P768" s="759">
        <v>-20</v>
      </c>
      <c r="Q768" s="759">
        <v>-81</v>
      </c>
      <c r="R768" s="37">
        <f>BO768</f>
        <v>-123</v>
      </c>
      <c r="S768" s="759">
        <v>0</v>
      </c>
      <c r="T768" s="759">
        <v>-8</v>
      </c>
      <c r="U768" s="759">
        <v>-106</v>
      </c>
      <c r="V768" s="37">
        <f>BP768</f>
        <v>-122</v>
      </c>
      <c r="W768" s="759">
        <v>-49</v>
      </c>
      <c r="X768" s="759">
        <v>-65</v>
      </c>
      <c r="Y768" s="759">
        <v>-137</v>
      </c>
      <c r="Z768" s="37">
        <f>BQ768</f>
        <v>-137</v>
      </c>
      <c r="AA768" s="37"/>
      <c r="AB768" s="37"/>
      <c r="AC768" s="37"/>
      <c r="AD768" s="37">
        <f>BR768</f>
        <v>-508</v>
      </c>
      <c r="AE768" s="759">
        <v>-33</v>
      </c>
      <c r="AF768" s="759">
        <v>-372</v>
      </c>
      <c r="AG768" s="759">
        <v>-384</v>
      </c>
      <c r="AH768" s="37">
        <f t="shared" si="891"/>
        <v>-388</v>
      </c>
      <c r="AI768" s="37"/>
      <c r="AJ768" s="759">
        <v>-259</v>
      </c>
      <c r="AK768" s="759">
        <v>-330</v>
      </c>
      <c r="AL768" s="37">
        <f t="shared" si="892"/>
        <v>-851</v>
      </c>
      <c r="AM768" s="759">
        <v>-853</v>
      </c>
      <c r="AN768" s="759">
        <v>-1216</v>
      </c>
      <c r="AO768" s="759">
        <v>-1250</v>
      </c>
      <c r="AP768" s="37">
        <f t="shared" si="888"/>
        <v>-1312</v>
      </c>
      <c r="AQ768" s="759">
        <v>-444</v>
      </c>
      <c r="AR768" s="759">
        <v>-527</v>
      </c>
      <c r="AS768" s="759">
        <v>-565</v>
      </c>
      <c r="AT768" s="37">
        <f t="shared" si="889"/>
        <v>-629</v>
      </c>
      <c r="AU768" s="759">
        <v>-72</v>
      </c>
      <c r="AV768" s="759">
        <v>-129</v>
      </c>
      <c r="AW768" s="759">
        <v>-261</v>
      </c>
      <c r="AX768" s="37">
        <f t="shared" si="890"/>
        <v>-270</v>
      </c>
      <c r="AY768" s="762">
        <v>-90</v>
      </c>
      <c r="AZ768" s="37"/>
      <c r="BA768" s="37"/>
      <c r="BB768" s="37"/>
      <c r="BC768" s="37"/>
      <c r="BD768" s="37"/>
      <c r="BE768" s="37"/>
      <c r="BF768" s="37"/>
      <c r="BG768" s="37"/>
      <c r="BH768" s="857">
        <v>3</v>
      </c>
      <c r="BI768" s="857">
        <v>-22</v>
      </c>
      <c r="BJ768" s="857">
        <v>-24</v>
      </c>
      <c r="BK768" s="857">
        <v>-911</v>
      </c>
      <c r="BL768" s="857">
        <v>-368</v>
      </c>
      <c r="BM768" s="857">
        <v>-4975</v>
      </c>
      <c r="BN768" s="857">
        <v>-313</v>
      </c>
      <c r="BO768" s="857">
        <v>-123</v>
      </c>
      <c r="BP768" s="857">
        <v>-122</v>
      </c>
      <c r="BQ768" s="857">
        <v>-137</v>
      </c>
      <c r="BR768" s="857">
        <v>-508</v>
      </c>
      <c r="BS768" s="857">
        <v>-388</v>
      </c>
      <c r="BT768" s="857">
        <v>-851</v>
      </c>
      <c r="BU768" s="857">
        <v>-1312</v>
      </c>
      <c r="BV768" s="857">
        <v>-629</v>
      </c>
      <c r="BW768" s="862">
        <v>-270</v>
      </c>
      <c r="BX768" s="158"/>
      <c r="BY768" s="158"/>
      <c r="BZ768" s="158"/>
      <c r="CA768" s="158"/>
      <c r="CB768" s="158"/>
      <c r="CC768" s="117"/>
    </row>
    <row r="769" spans="1:81" outlineLevel="1" x14ac:dyDescent="0.55000000000000004">
      <c r="A769" s="116" t="s">
        <v>154</v>
      </c>
      <c r="B769" s="87"/>
      <c r="C769" s="37"/>
      <c r="D769" s="37"/>
      <c r="E769" s="759">
        <v>4</v>
      </c>
      <c r="F769" s="117">
        <f>BL769</f>
        <v>-11</v>
      </c>
      <c r="G769" s="759">
        <v>0</v>
      </c>
      <c r="H769" s="759">
        <v>-2</v>
      </c>
      <c r="I769" s="759">
        <v>-113</v>
      </c>
      <c r="J769" s="117">
        <f>BM769</f>
        <v>-348</v>
      </c>
      <c r="K769" s="759">
        <v>23</v>
      </c>
      <c r="L769" s="759">
        <v>44</v>
      </c>
      <c r="M769" s="759">
        <v>77</v>
      </c>
      <c r="N769" s="117">
        <f>BN769</f>
        <v>102</v>
      </c>
      <c r="O769" s="759">
        <v>33</v>
      </c>
      <c r="P769" s="759">
        <v>74</v>
      </c>
      <c r="Q769" s="759">
        <v>82</v>
      </c>
      <c r="R769" s="37">
        <f>BO769</f>
        <v>61</v>
      </c>
      <c r="S769" s="759">
        <v>11</v>
      </c>
      <c r="T769" s="759">
        <v>33</v>
      </c>
      <c r="U769" s="759">
        <v>64</v>
      </c>
      <c r="V769" s="37">
        <f>BP769</f>
        <v>67</v>
      </c>
      <c r="W769" s="37"/>
      <c r="X769" s="37"/>
      <c r="Y769" s="37"/>
      <c r="Z769" s="37">
        <f>BQ769</f>
        <v>0</v>
      </c>
      <c r="AA769" s="37"/>
      <c r="AB769" s="37"/>
      <c r="AC769" s="37"/>
      <c r="AD769" s="37">
        <f>BR769</f>
        <v>0</v>
      </c>
      <c r="AE769" s="37"/>
      <c r="AF769" s="37"/>
      <c r="AG769" s="37"/>
      <c r="AH769" s="37">
        <f t="shared" si="891"/>
        <v>0</v>
      </c>
      <c r="AI769" s="37"/>
      <c r="AJ769" s="37"/>
      <c r="AK769" s="37"/>
      <c r="AL769" s="37">
        <f t="shared" si="892"/>
        <v>0</v>
      </c>
      <c r="AM769" s="37"/>
      <c r="AN769" s="37"/>
      <c r="AO769" s="37"/>
      <c r="AP769" s="37">
        <f t="shared" si="888"/>
        <v>0</v>
      </c>
      <c r="AQ769" s="37"/>
      <c r="AR769" s="37"/>
      <c r="AS769" s="37"/>
      <c r="AT769" s="37">
        <f t="shared" si="889"/>
        <v>0</v>
      </c>
      <c r="AU769" s="37"/>
      <c r="AV769" s="37"/>
      <c r="AW769" s="37"/>
      <c r="AX769" s="37">
        <f t="shared" si="890"/>
        <v>0</v>
      </c>
      <c r="AY769" s="273"/>
      <c r="AZ769" s="37"/>
      <c r="BA769" s="37"/>
      <c r="BB769" s="37"/>
      <c r="BC769" s="37"/>
      <c r="BD769" s="37"/>
      <c r="BE769" s="37"/>
      <c r="BF769" s="37"/>
      <c r="BG769" s="37"/>
      <c r="BH769" s="857">
        <v>-32</v>
      </c>
      <c r="BI769" s="857">
        <v>-9</v>
      </c>
      <c r="BJ769" s="857">
        <v>6</v>
      </c>
      <c r="BK769" s="857">
        <v>-2</v>
      </c>
      <c r="BL769" s="857">
        <v>-11</v>
      </c>
      <c r="BM769" s="857">
        <v>-348</v>
      </c>
      <c r="BN769" s="857">
        <v>102</v>
      </c>
      <c r="BO769" s="857">
        <v>61</v>
      </c>
      <c r="BP769" s="857">
        <v>67</v>
      </c>
      <c r="BQ769" s="158"/>
      <c r="BR769" s="158"/>
      <c r="BS769" s="158"/>
      <c r="BT769" s="158"/>
      <c r="BU769" s="158"/>
      <c r="BV769" s="158"/>
      <c r="BW769" s="846"/>
      <c r="BX769" s="158"/>
      <c r="BY769" s="158"/>
      <c r="BZ769" s="158"/>
      <c r="CA769" s="158"/>
      <c r="CB769" s="158"/>
      <c r="CC769" s="117"/>
    </row>
    <row r="770" spans="1:81" outlineLevel="1" x14ac:dyDescent="0.55000000000000004">
      <c r="A770" s="116" t="s">
        <v>155</v>
      </c>
      <c r="B770" s="87"/>
      <c r="C770" s="37"/>
      <c r="D770" s="37"/>
      <c r="E770" s="37"/>
      <c r="F770" s="37"/>
      <c r="G770" s="37"/>
      <c r="H770" s="37"/>
      <c r="I770" s="37"/>
      <c r="J770" s="37"/>
      <c r="K770" s="37"/>
      <c r="L770" s="37"/>
      <c r="M770" s="37"/>
      <c r="N770" s="37"/>
      <c r="O770" s="37"/>
      <c r="P770" s="37"/>
      <c r="Q770" s="37"/>
      <c r="R770" s="37">
        <f>BO770</f>
        <v>0</v>
      </c>
      <c r="S770" s="37"/>
      <c r="T770" s="37"/>
      <c r="U770" s="37"/>
      <c r="V770" s="37">
        <f>BP770</f>
        <v>0</v>
      </c>
      <c r="W770" s="37"/>
      <c r="X770" s="37"/>
      <c r="Y770" s="37"/>
      <c r="Z770" s="37">
        <f>BQ770</f>
        <v>0</v>
      </c>
      <c r="AA770" s="37"/>
      <c r="AB770" s="37"/>
      <c r="AC770" s="37"/>
      <c r="AD770" s="37">
        <f>BR770</f>
        <v>0</v>
      </c>
      <c r="AE770" s="37"/>
      <c r="AF770" s="37"/>
      <c r="AG770" s="37"/>
      <c r="AH770" s="37">
        <f t="shared" si="891"/>
        <v>0</v>
      </c>
      <c r="AI770" s="37"/>
      <c r="AJ770" s="37"/>
      <c r="AK770" s="37"/>
      <c r="AL770" s="37">
        <f t="shared" si="892"/>
        <v>0</v>
      </c>
      <c r="AM770" s="37"/>
      <c r="AN770" s="37"/>
      <c r="AO770" s="37"/>
      <c r="AP770" s="37">
        <f t="shared" si="888"/>
        <v>0</v>
      </c>
      <c r="AQ770" s="37"/>
      <c r="AR770" s="37"/>
      <c r="AS770" s="37"/>
      <c r="AT770" s="37">
        <f t="shared" si="889"/>
        <v>0</v>
      </c>
      <c r="AU770" s="37"/>
      <c r="AV770" s="37"/>
      <c r="AW770" s="37"/>
      <c r="AX770" s="37">
        <f t="shared" si="890"/>
        <v>0</v>
      </c>
      <c r="AY770" s="273"/>
      <c r="AZ770" s="37"/>
      <c r="BA770" s="37"/>
      <c r="BB770" s="37"/>
      <c r="BC770" s="37"/>
      <c r="BD770" s="37"/>
      <c r="BE770" s="37"/>
      <c r="BF770" s="37"/>
      <c r="BG770" s="37"/>
      <c r="BH770" s="158"/>
      <c r="BI770" s="158"/>
      <c r="BJ770" s="158"/>
      <c r="BK770" s="158"/>
      <c r="BL770" s="158"/>
      <c r="BM770" s="158"/>
      <c r="BN770" s="158"/>
      <c r="BO770" s="158"/>
      <c r="BP770" s="158"/>
      <c r="BQ770" s="158"/>
      <c r="BR770" s="158"/>
      <c r="BS770" s="158"/>
      <c r="BT770" s="158"/>
      <c r="BU770" s="158"/>
      <c r="BV770" s="158"/>
      <c r="BW770" s="846"/>
      <c r="BX770" s="158"/>
      <c r="BY770" s="158"/>
      <c r="BZ770" s="158"/>
      <c r="CA770" s="158"/>
      <c r="CB770" s="158"/>
      <c r="CC770" s="117"/>
    </row>
    <row r="771" spans="1:81" outlineLevel="1" x14ac:dyDescent="0.55000000000000004">
      <c r="A771" s="116" t="s">
        <v>156</v>
      </c>
      <c r="B771" s="87"/>
      <c r="C771" s="759">
        <v>6</v>
      </c>
      <c r="D771" s="759">
        <v>3</v>
      </c>
      <c r="E771" s="759">
        <v>-1</v>
      </c>
      <c r="F771" s="117">
        <f>BL771</f>
        <v>-1</v>
      </c>
      <c r="G771" s="759">
        <v>-1</v>
      </c>
      <c r="H771" s="759">
        <v>-1</v>
      </c>
      <c r="I771" s="759">
        <v>-2</v>
      </c>
      <c r="J771" s="117">
        <f>BM771</f>
        <v>-2</v>
      </c>
      <c r="K771" s="37"/>
      <c r="L771" s="759">
        <v>0</v>
      </c>
      <c r="M771" s="759">
        <v>0</v>
      </c>
      <c r="N771" s="117">
        <f>BN771</f>
        <v>0</v>
      </c>
      <c r="O771" s="37"/>
      <c r="P771" s="37"/>
      <c r="Q771" s="37"/>
      <c r="R771" s="37">
        <f>BO771</f>
        <v>0</v>
      </c>
      <c r="S771" s="37"/>
      <c r="T771" s="37"/>
      <c r="U771" s="37"/>
      <c r="V771" s="37">
        <f>BP771</f>
        <v>0</v>
      </c>
      <c r="W771" s="759">
        <v>-1</v>
      </c>
      <c r="X771" s="759">
        <v>-1</v>
      </c>
      <c r="Y771" s="759">
        <v>-4</v>
      </c>
      <c r="Z771" s="37">
        <f>BQ771</f>
        <v>-25</v>
      </c>
      <c r="AA771" s="759">
        <v>-50</v>
      </c>
      <c r="AB771" s="759">
        <v>-114</v>
      </c>
      <c r="AC771" s="759">
        <v>-124</v>
      </c>
      <c r="AD771" s="37">
        <f>BR771</f>
        <v>-61</v>
      </c>
      <c r="AE771" s="759">
        <v>-42</v>
      </c>
      <c r="AF771" s="759">
        <v>-288</v>
      </c>
      <c r="AG771" s="759">
        <v>-9</v>
      </c>
      <c r="AH771" s="37">
        <f t="shared" si="891"/>
        <v>-36</v>
      </c>
      <c r="AI771" s="759">
        <v>-2</v>
      </c>
      <c r="AJ771" s="759">
        <v>-62</v>
      </c>
      <c r="AK771" s="759">
        <v>-160</v>
      </c>
      <c r="AL771" s="37">
        <f t="shared" si="892"/>
        <v>-284</v>
      </c>
      <c r="AM771" s="759">
        <v>-10</v>
      </c>
      <c r="AN771" s="759">
        <v>-17</v>
      </c>
      <c r="AO771" s="759">
        <v>-1</v>
      </c>
      <c r="AP771" s="37">
        <f t="shared" si="888"/>
        <v>1</v>
      </c>
      <c r="AQ771" s="759">
        <v>75</v>
      </c>
      <c r="AR771" s="759">
        <v>-10</v>
      </c>
      <c r="AS771" s="759">
        <v>-20</v>
      </c>
      <c r="AT771" s="37">
        <f t="shared" si="889"/>
        <v>-23</v>
      </c>
      <c r="AU771" s="37"/>
      <c r="AV771" s="759">
        <v>-12</v>
      </c>
      <c r="AW771" s="759">
        <v>112</v>
      </c>
      <c r="AX771" s="37">
        <f t="shared" si="890"/>
        <v>129</v>
      </c>
      <c r="AY771" s="273"/>
      <c r="AZ771" s="37"/>
      <c r="BA771" s="37"/>
      <c r="BB771" s="37"/>
      <c r="BC771" s="37"/>
      <c r="BD771" s="37"/>
      <c r="BE771" s="37"/>
      <c r="BF771" s="37"/>
      <c r="BG771" s="37"/>
      <c r="BH771" s="158"/>
      <c r="BI771" s="158"/>
      <c r="BJ771" s="158"/>
      <c r="BK771" s="158"/>
      <c r="BL771" s="857">
        <v>-1</v>
      </c>
      <c r="BM771" s="857">
        <v>-2</v>
      </c>
      <c r="BN771" s="857">
        <v>0</v>
      </c>
      <c r="BO771" s="158"/>
      <c r="BP771" s="158"/>
      <c r="BQ771" s="857">
        <v>-25</v>
      </c>
      <c r="BR771" s="857">
        <v>-61</v>
      </c>
      <c r="BS771" s="857">
        <v>-36</v>
      </c>
      <c r="BT771" s="857">
        <v>-284</v>
      </c>
      <c r="BU771" s="857">
        <v>1</v>
      </c>
      <c r="BV771" s="857">
        <v>-23</v>
      </c>
      <c r="BW771" s="862">
        <v>129</v>
      </c>
      <c r="BX771" s="158"/>
      <c r="BY771" s="158"/>
      <c r="BZ771" s="158"/>
      <c r="CA771" s="158"/>
      <c r="CB771" s="158"/>
      <c r="CC771" s="117"/>
    </row>
    <row r="772" spans="1:81" outlineLevel="1" x14ac:dyDescent="0.55000000000000004">
      <c r="A772" s="20" t="s">
        <v>157</v>
      </c>
      <c r="B772" s="195"/>
      <c r="C772" s="5">
        <f t="shared" ref="C772:AH772" si="893">SUM(C761:C771)</f>
        <v>-326</v>
      </c>
      <c r="D772" s="5">
        <f t="shared" si="893"/>
        <v>-824</v>
      </c>
      <c r="E772" s="5">
        <f t="shared" si="893"/>
        <v>-90</v>
      </c>
      <c r="F772" s="5">
        <f t="shared" si="893"/>
        <v>-2624</v>
      </c>
      <c r="G772" s="5">
        <f t="shared" si="893"/>
        <v>-1872</v>
      </c>
      <c r="H772" s="5">
        <f t="shared" si="893"/>
        <v>-2294</v>
      </c>
      <c r="I772" s="5">
        <f t="shared" si="893"/>
        <v>703</v>
      </c>
      <c r="J772" s="5">
        <f t="shared" si="893"/>
        <v>-5913</v>
      </c>
      <c r="K772" s="5">
        <f t="shared" si="893"/>
        <v>-2844</v>
      </c>
      <c r="L772" s="5">
        <f t="shared" si="893"/>
        <v>-3408</v>
      </c>
      <c r="M772" s="5">
        <f t="shared" si="893"/>
        <v>-6708</v>
      </c>
      <c r="N772" s="5">
        <f t="shared" si="893"/>
        <v>-9434</v>
      </c>
      <c r="O772" s="5">
        <f t="shared" si="893"/>
        <v>-1676</v>
      </c>
      <c r="P772" s="5">
        <f t="shared" si="893"/>
        <v>-6647</v>
      </c>
      <c r="Q772" s="5">
        <f t="shared" si="893"/>
        <v>-9764</v>
      </c>
      <c r="R772" s="33">
        <f t="shared" si="893"/>
        <v>-11739</v>
      </c>
      <c r="S772" s="5">
        <f t="shared" si="893"/>
        <v>-5891</v>
      </c>
      <c r="T772" s="5">
        <f t="shared" si="893"/>
        <v>-11331</v>
      </c>
      <c r="U772" s="5">
        <f t="shared" si="893"/>
        <v>-15045</v>
      </c>
      <c r="V772" s="33">
        <f t="shared" si="893"/>
        <v>-20038</v>
      </c>
      <c r="W772" s="5">
        <f t="shared" si="893"/>
        <v>-1287</v>
      </c>
      <c r="X772" s="5">
        <f t="shared" si="893"/>
        <v>-3671</v>
      </c>
      <c r="Y772" s="5">
        <f t="shared" si="893"/>
        <v>-7918</v>
      </c>
      <c r="Z772" s="33">
        <f t="shared" si="893"/>
        <v>-11603</v>
      </c>
      <c r="AA772" s="5">
        <f t="shared" si="893"/>
        <v>-6768</v>
      </c>
      <c r="AB772" s="5">
        <f t="shared" si="893"/>
        <v>-10778</v>
      </c>
      <c r="AC772" s="5">
        <f t="shared" si="893"/>
        <v>-15828</v>
      </c>
      <c r="AD772" s="33">
        <f t="shared" si="893"/>
        <v>-19864</v>
      </c>
      <c r="AE772" s="5">
        <f t="shared" si="893"/>
        <v>-4109</v>
      </c>
      <c r="AF772" s="5">
        <f t="shared" si="893"/>
        <v>-8287</v>
      </c>
      <c r="AG772" s="5">
        <f t="shared" si="893"/>
        <v>-24886</v>
      </c>
      <c r="AH772" s="33">
        <f t="shared" si="893"/>
        <v>-30059</v>
      </c>
      <c r="AI772" s="5">
        <f t="shared" ref="AI772:AY772" si="894">SUM(AI761:AI771)</f>
        <v>-4874</v>
      </c>
      <c r="AJ772" s="5">
        <f t="shared" si="894"/>
        <v>-13069</v>
      </c>
      <c r="AK772" s="5">
        <f t="shared" si="894"/>
        <v>-13399</v>
      </c>
      <c r="AL772" s="33">
        <f t="shared" si="894"/>
        <v>-7570</v>
      </c>
      <c r="AM772" s="5">
        <f t="shared" si="894"/>
        <v>-4779</v>
      </c>
      <c r="AN772" s="5">
        <f t="shared" si="894"/>
        <v>-11738</v>
      </c>
      <c r="AO772" s="5">
        <f t="shared" si="894"/>
        <v>-21439</v>
      </c>
      <c r="AP772" s="33">
        <f t="shared" si="894"/>
        <v>-28970</v>
      </c>
      <c r="AQ772" s="5">
        <f t="shared" si="894"/>
        <v>-6743</v>
      </c>
      <c r="AR772" s="5">
        <f t="shared" si="894"/>
        <v>-11946</v>
      </c>
      <c r="AS772" s="5">
        <f t="shared" si="894"/>
        <v>-18023</v>
      </c>
      <c r="AT772" s="33">
        <f t="shared" si="894"/>
        <v>-24495</v>
      </c>
      <c r="AU772" s="5">
        <f t="shared" si="894"/>
        <v>-8734</v>
      </c>
      <c r="AV772" s="5">
        <f t="shared" si="894"/>
        <v>-17032</v>
      </c>
      <c r="AW772" s="5">
        <f t="shared" si="894"/>
        <v>-25652</v>
      </c>
      <c r="AX772" s="33">
        <f t="shared" si="894"/>
        <v>-47150</v>
      </c>
      <c r="AY772" s="409">
        <f t="shared" si="894"/>
        <v>-20010</v>
      </c>
      <c r="AZ772" s="33"/>
      <c r="BA772" s="33"/>
      <c r="BB772" s="33"/>
      <c r="BC772" s="33"/>
      <c r="BD772" s="33"/>
      <c r="BE772" s="33"/>
      <c r="BF772" s="33"/>
      <c r="BG772" s="33"/>
      <c r="BH772" s="834">
        <f t="shared" ref="BH772:BW772" si="895">SUM(BH761:BH771)</f>
        <v>-62</v>
      </c>
      <c r="BI772" s="834">
        <f t="shared" si="895"/>
        <v>-324</v>
      </c>
      <c r="BJ772" s="834">
        <f t="shared" si="895"/>
        <v>-3023</v>
      </c>
      <c r="BK772" s="834">
        <f t="shared" si="895"/>
        <v>-7024</v>
      </c>
      <c r="BL772" s="834">
        <f t="shared" si="895"/>
        <v>-2624</v>
      </c>
      <c r="BM772" s="834">
        <f t="shared" si="895"/>
        <v>-5913</v>
      </c>
      <c r="BN772" s="834">
        <f t="shared" si="895"/>
        <v>-9434</v>
      </c>
      <c r="BO772" s="833">
        <f t="shared" si="895"/>
        <v>-11739</v>
      </c>
      <c r="BP772" s="833">
        <f t="shared" si="895"/>
        <v>-20038</v>
      </c>
      <c r="BQ772" s="833">
        <f t="shared" si="895"/>
        <v>-11603</v>
      </c>
      <c r="BR772" s="833">
        <f t="shared" si="895"/>
        <v>-19864</v>
      </c>
      <c r="BS772" s="833">
        <f t="shared" si="895"/>
        <v>-30059</v>
      </c>
      <c r="BT772" s="833">
        <f t="shared" si="895"/>
        <v>-7570</v>
      </c>
      <c r="BU772" s="833">
        <f t="shared" si="895"/>
        <v>-28970</v>
      </c>
      <c r="BV772" s="833">
        <f t="shared" si="895"/>
        <v>-24495</v>
      </c>
      <c r="BW772" s="835">
        <f t="shared" si="895"/>
        <v>-47150</v>
      </c>
      <c r="BX772" s="833"/>
      <c r="BY772" s="833"/>
      <c r="BZ772" s="833"/>
      <c r="CA772" s="833"/>
      <c r="CB772" s="833"/>
      <c r="CC772" s="6"/>
    </row>
    <row r="773" spans="1:81" outlineLevel="1" x14ac:dyDescent="0.55000000000000004">
      <c r="A773" s="192"/>
      <c r="B773" s="193"/>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272"/>
      <c r="AZ773" s="35"/>
      <c r="BA773" s="35"/>
      <c r="BB773" s="35"/>
      <c r="BC773" s="35"/>
      <c r="BD773" s="35"/>
      <c r="BE773" s="35"/>
      <c r="BF773" s="35"/>
      <c r="BG773" s="35"/>
      <c r="BH773" s="812"/>
      <c r="BI773" s="812"/>
      <c r="BJ773" s="812"/>
      <c r="BK773" s="812"/>
      <c r="BL773" s="812"/>
      <c r="BM773" s="812"/>
      <c r="BN773" s="812"/>
      <c r="BO773" s="812"/>
      <c r="BP773" s="812"/>
      <c r="BQ773" s="812"/>
      <c r="BR773" s="812"/>
      <c r="BS773" s="812"/>
      <c r="BT773" s="812"/>
      <c r="BU773" s="812"/>
      <c r="BV773" s="812"/>
      <c r="BW773" s="814"/>
      <c r="BX773" s="812"/>
      <c r="BY773" s="812"/>
      <c r="BZ773" s="812"/>
      <c r="CA773" s="812"/>
      <c r="CB773" s="812"/>
      <c r="CC773" s="6"/>
    </row>
    <row r="774" spans="1:81" outlineLevel="1" x14ac:dyDescent="0.55000000000000004">
      <c r="A774" s="19" t="s">
        <v>158</v>
      </c>
      <c r="B774" s="193"/>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272"/>
      <c r="AZ774" s="35"/>
      <c r="BA774" s="35"/>
      <c r="BB774" s="35"/>
      <c r="BC774" s="35"/>
      <c r="BD774" s="35"/>
      <c r="BE774" s="35"/>
      <c r="BF774" s="35"/>
      <c r="BG774" s="35"/>
      <c r="BH774" s="812"/>
      <c r="BI774" s="812"/>
      <c r="BJ774" s="812"/>
      <c r="BK774" s="812"/>
      <c r="BL774" s="812"/>
      <c r="BM774" s="812"/>
      <c r="BN774" s="812"/>
      <c r="BO774" s="812"/>
      <c r="BP774" s="812"/>
      <c r="BQ774" s="812"/>
      <c r="BR774" s="812"/>
      <c r="BS774" s="812"/>
      <c r="BT774" s="812"/>
      <c r="BU774" s="812"/>
      <c r="BV774" s="812"/>
      <c r="BW774" s="814"/>
      <c r="BX774" s="812"/>
      <c r="BY774" s="812"/>
      <c r="BZ774" s="812"/>
      <c r="CA774" s="812"/>
      <c r="CB774" s="812"/>
      <c r="CC774" s="6"/>
    </row>
    <row r="775" spans="1:81" outlineLevel="1" x14ac:dyDescent="0.55000000000000004">
      <c r="A775" s="116" t="s">
        <v>159</v>
      </c>
      <c r="B775" s="87"/>
      <c r="C775" s="37"/>
      <c r="D775" s="37"/>
      <c r="E775" s="37"/>
      <c r="F775" s="117">
        <f>BL775</f>
        <v>1478</v>
      </c>
      <c r="G775" s="37"/>
      <c r="H775" s="37"/>
      <c r="I775" s="37"/>
      <c r="J775" s="117">
        <f>BM775</f>
        <v>0</v>
      </c>
      <c r="K775" s="37"/>
      <c r="L775" s="37"/>
      <c r="M775" s="37"/>
      <c r="N775" s="117">
        <f>BN775</f>
        <v>0</v>
      </c>
      <c r="O775" s="37"/>
      <c r="P775" s="37"/>
      <c r="Q775" s="37"/>
      <c r="R775" s="37">
        <f t="shared" ref="R775:R783" si="896">BO775</f>
        <v>0</v>
      </c>
      <c r="S775" s="37"/>
      <c r="T775" s="37"/>
      <c r="U775" s="37"/>
      <c r="V775" s="37">
        <f t="shared" ref="V775:V784" si="897">BP775</f>
        <v>0</v>
      </c>
      <c r="W775" s="37"/>
      <c r="X775" s="37"/>
      <c r="Y775" s="37"/>
      <c r="Z775" s="37">
        <f t="shared" ref="Z775:Z787" si="898">BQ775</f>
        <v>0</v>
      </c>
      <c r="AA775" s="37"/>
      <c r="AB775" s="37"/>
      <c r="AC775" s="37"/>
      <c r="AD775" s="37">
        <f t="shared" ref="AD775:AD787" si="899">BR775</f>
        <v>0</v>
      </c>
      <c r="AE775" s="37"/>
      <c r="AF775" s="37"/>
      <c r="AG775" s="37"/>
      <c r="AH775" s="37">
        <f t="shared" ref="AH775:AH787" si="900">BS775</f>
        <v>0</v>
      </c>
      <c r="AI775" s="37"/>
      <c r="AJ775" s="37"/>
      <c r="AK775" s="37"/>
      <c r="AL775" s="37"/>
      <c r="AM775" s="37"/>
      <c r="AN775" s="37"/>
      <c r="AO775" s="37"/>
      <c r="AP775" s="37"/>
      <c r="AQ775" s="37"/>
      <c r="AR775" s="37"/>
      <c r="AS775" s="37"/>
      <c r="AT775" s="37"/>
      <c r="AU775" s="37"/>
      <c r="AV775" s="37"/>
      <c r="AW775" s="37"/>
      <c r="AX775" s="37">
        <f t="shared" ref="AX775:AX787" si="901">BW775</f>
        <v>0</v>
      </c>
      <c r="AY775" s="273"/>
      <c r="AZ775" s="37"/>
      <c r="BA775" s="37"/>
      <c r="BB775" s="37"/>
      <c r="BC775" s="37"/>
      <c r="BD775" s="37"/>
      <c r="BE775" s="37"/>
      <c r="BF775" s="37"/>
      <c r="BG775" s="37"/>
      <c r="BH775" s="158"/>
      <c r="BI775" s="857">
        <v>500</v>
      </c>
      <c r="BJ775" s="857">
        <v>998</v>
      </c>
      <c r="BK775" s="857">
        <v>6760</v>
      </c>
      <c r="BL775" s="857">
        <v>1478</v>
      </c>
      <c r="BM775" s="857">
        <v>0</v>
      </c>
      <c r="BN775" s="857">
        <v>0</v>
      </c>
      <c r="BO775" s="158"/>
      <c r="BP775" s="158"/>
      <c r="BQ775" s="158"/>
      <c r="BR775" s="158"/>
      <c r="BS775" s="158"/>
      <c r="BT775" s="158"/>
      <c r="BU775" s="158"/>
      <c r="BV775" s="158"/>
      <c r="BW775" s="846"/>
      <c r="BX775" s="158"/>
      <c r="BY775" s="158"/>
      <c r="BZ775" s="158"/>
      <c r="CA775" s="158"/>
      <c r="CB775" s="158"/>
      <c r="CC775" s="117"/>
    </row>
    <row r="776" spans="1:81" outlineLevel="1" x14ac:dyDescent="0.55000000000000004">
      <c r="A776" s="116" t="s">
        <v>160</v>
      </c>
      <c r="B776" s="87"/>
      <c r="C776" s="37"/>
      <c r="D776" s="37"/>
      <c r="E776" s="37"/>
      <c r="F776" s="37"/>
      <c r="G776" s="37"/>
      <c r="H776" s="37"/>
      <c r="I776" s="37"/>
      <c r="J776" s="37"/>
      <c r="K776" s="37"/>
      <c r="L776" s="37"/>
      <c r="M776" s="37"/>
      <c r="N776" s="37"/>
      <c r="O776" s="37"/>
      <c r="P776" s="37"/>
      <c r="Q776" s="37"/>
      <c r="R776" s="37">
        <f t="shared" si="896"/>
        <v>0</v>
      </c>
      <c r="S776" s="37"/>
      <c r="T776" s="37"/>
      <c r="U776" s="37"/>
      <c r="V776" s="37">
        <f t="shared" si="897"/>
        <v>0</v>
      </c>
      <c r="W776" s="37"/>
      <c r="X776" s="37"/>
      <c r="Y776" s="37"/>
      <c r="Z776" s="37">
        <f t="shared" si="898"/>
        <v>0</v>
      </c>
      <c r="AA776" s="37"/>
      <c r="AB776" s="37"/>
      <c r="AC776" s="37"/>
      <c r="AD776" s="37">
        <f t="shared" si="899"/>
        <v>0</v>
      </c>
      <c r="AE776" s="37"/>
      <c r="AF776" s="37"/>
      <c r="AG776" s="37"/>
      <c r="AH776" s="37">
        <f t="shared" si="900"/>
        <v>0</v>
      </c>
      <c r="AI776" s="37"/>
      <c r="AJ776" s="37"/>
      <c r="AK776" s="37"/>
      <c r="AL776" s="37"/>
      <c r="AM776" s="37"/>
      <c r="AN776" s="37"/>
      <c r="AO776" s="37"/>
      <c r="AP776" s="37"/>
      <c r="AQ776" s="37"/>
      <c r="AR776" s="37"/>
      <c r="AS776" s="37"/>
      <c r="AT776" s="37"/>
      <c r="AU776" s="37"/>
      <c r="AV776" s="37"/>
      <c r="AW776" s="37"/>
      <c r="AX776" s="37">
        <f t="shared" si="901"/>
        <v>0</v>
      </c>
      <c r="AY776" s="273"/>
      <c r="AZ776" s="37"/>
      <c r="BA776" s="37"/>
      <c r="BB776" s="37"/>
      <c r="BC776" s="37"/>
      <c r="BD776" s="37"/>
      <c r="BE776" s="37"/>
      <c r="BF776" s="37"/>
      <c r="BG776" s="37"/>
      <c r="BH776" s="857">
        <v>200</v>
      </c>
      <c r="BI776" s="158"/>
      <c r="BJ776" s="158"/>
      <c r="BK776" s="158"/>
      <c r="BL776" s="158"/>
      <c r="BM776" s="158"/>
      <c r="BN776" s="158"/>
      <c r="BO776" s="158"/>
      <c r="BP776" s="158"/>
      <c r="BQ776" s="158"/>
      <c r="BR776" s="158"/>
      <c r="BS776" s="158"/>
      <c r="BT776" s="158"/>
      <c r="BU776" s="158"/>
      <c r="BV776" s="158"/>
      <c r="BW776" s="846"/>
      <c r="BX776" s="158"/>
      <c r="BY776" s="158"/>
      <c r="BZ776" s="158"/>
      <c r="CA776" s="158"/>
      <c r="CB776" s="158"/>
      <c r="CC776" s="117"/>
    </row>
    <row r="777" spans="1:81" outlineLevel="1" x14ac:dyDescent="0.55000000000000004">
      <c r="A777" s="116" t="s">
        <v>161</v>
      </c>
      <c r="B777" s="87"/>
      <c r="C777" s="759">
        <v>-405</v>
      </c>
      <c r="D777" s="759">
        <v>-558</v>
      </c>
      <c r="E777" s="759">
        <v>-706</v>
      </c>
      <c r="F777" s="117">
        <f t="shared" ref="F777:F783" si="902">BL777</f>
        <v>-889</v>
      </c>
      <c r="G777" s="759">
        <v>-3</v>
      </c>
      <c r="H777" s="759">
        <v>-3</v>
      </c>
      <c r="I777" s="759">
        <v>-3</v>
      </c>
      <c r="J777" s="117">
        <f t="shared" ref="J777:J783" si="903">BM777</f>
        <v>-73</v>
      </c>
      <c r="K777" s="37"/>
      <c r="L777" s="759">
        <v>-12</v>
      </c>
      <c r="M777" s="759">
        <v>-20</v>
      </c>
      <c r="N777" s="117">
        <f t="shared" ref="N777:N783" si="904">BN777</f>
        <v>-20</v>
      </c>
      <c r="O777" s="759">
        <v>0</v>
      </c>
      <c r="P777" s="37"/>
      <c r="Q777" s="759">
        <v>-6</v>
      </c>
      <c r="R777" s="37">
        <f t="shared" si="896"/>
        <v>-6</v>
      </c>
      <c r="S777" s="759">
        <v>-771</v>
      </c>
      <c r="T777" s="759">
        <v>-1495</v>
      </c>
      <c r="U777" s="759">
        <v>-2360</v>
      </c>
      <c r="V777" s="37">
        <f t="shared" si="897"/>
        <v>-3246</v>
      </c>
      <c r="W777" s="759">
        <v>-832</v>
      </c>
      <c r="X777" s="759">
        <v>-1758</v>
      </c>
      <c r="Y777" s="759">
        <v>-2663</v>
      </c>
      <c r="Z777" s="37">
        <f t="shared" si="898"/>
        <v>-3208</v>
      </c>
      <c r="AA777" s="759">
        <v>-512</v>
      </c>
      <c r="AB777" s="759">
        <v>-1119</v>
      </c>
      <c r="AC777" s="759">
        <v>-1710</v>
      </c>
      <c r="AD777" s="37">
        <f t="shared" si="899"/>
        <v>-2337</v>
      </c>
      <c r="AE777" s="759">
        <v>-690</v>
      </c>
      <c r="AF777" s="759">
        <v>-1444</v>
      </c>
      <c r="AG777" s="759">
        <v>-2444</v>
      </c>
      <c r="AH777" s="37">
        <f t="shared" si="900"/>
        <v>-3564</v>
      </c>
      <c r="AI777" s="759">
        <v>-1077</v>
      </c>
      <c r="AJ777" s="759">
        <v>-2432</v>
      </c>
      <c r="AK777" s="759">
        <v>-4007</v>
      </c>
      <c r="AL777" s="37">
        <f t="shared" ref="AL777:AL787" si="905">BT777</f>
        <v>-5515</v>
      </c>
      <c r="AM777" s="759">
        <v>-925</v>
      </c>
      <c r="AN777" s="759">
        <v>-1927</v>
      </c>
      <c r="AO777" s="759">
        <v>-2938</v>
      </c>
      <c r="AP777" s="37">
        <f t="shared" ref="AP777:AP787" si="906">BU777</f>
        <v>-3595</v>
      </c>
      <c r="AQ777" s="759">
        <v>-1009</v>
      </c>
      <c r="AR777" s="759">
        <v>-2701</v>
      </c>
      <c r="AS777" s="759">
        <v>-4789</v>
      </c>
      <c r="AT777" s="37">
        <f t="shared" ref="AT777:AT787" si="907">BV777</f>
        <v>-7012</v>
      </c>
      <c r="AU777" s="759">
        <v>-3162</v>
      </c>
      <c r="AV777" s="759">
        <v>-6370</v>
      </c>
      <c r="AW777" s="759">
        <v>-9913</v>
      </c>
      <c r="AX777" s="37">
        <f t="shared" si="901"/>
        <v>-13770</v>
      </c>
      <c r="AY777" s="762">
        <v>-4883</v>
      </c>
      <c r="AZ777" s="37"/>
      <c r="BA777" s="37"/>
      <c r="BB777" s="37"/>
      <c r="BC777" s="37"/>
      <c r="BD777" s="37"/>
      <c r="BE777" s="37"/>
      <c r="BF777" s="37"/>
      <c r="BG777" s="37"/>
      <c r="BH777" s="158"/>
      <c r="BI777" s="158"/>
      <c r="BJ777" s="857">
        <v>0</v>
      </c>
      <c r="BK777" s="857">
        <v>-2862</v>
      </c>
      <c r="BL777" s="857">
        <v>-889</v>
      </c>
      <c r="BM777" s="857">
        <v>-73</v>
      </c>
      <c r="BN777" s="857">
        <v>-20</v>
      </c>
      <c r="BO777" s="857">
        <v>-6</v>
      </c>
      <c r="BP777" s="857">
        <v>-3246</v>
      </c>
      <c r="BQ777" s="857">
        <v>-3208</v>
      </c>
      <c r="BR777" s="857">
        <v>-2337</v>
      </c>
      <c r="BS777" s="857">
        <v>-3564</v>
      </c>
      <c r="BT777" s="857">
        <v>-5515</v>
      </c>
      <c r="BU777" s="857">
        <v>-3595</v>
      </c>
      <c r="BV777" s="857">
        <v>-7012</v>
      </c>
      <c r="BW777" s="862">
        <v>-13770</v>
      </c>
      <c r="BX777" s="158"/>
      <c r="BY777" s="158"/>
      <c r="BZ777" s="158"/>
      <c r="CA777" s="158"/>
      <c r="CB777" s="158"/>
      <c r="CC777" s="117"/>
    </row>
    <row r="778" spans="1:81" outlineLevel="1" x14ac:dyDescent="0.55000000000000004">
      <c r="A778" s="116" t="s">
        <v>162</v>
      </c>
      <c r="B778" s="87"/>
      <c r="C778" s="759">
        <v>8</v>
      </c>
      <c r="D778" s="759">
        <v>10</v>
      </c>
      <c r="E778" s="759">
        <v>20</v>
      </c>
      <c r="F778" s="117">
        <f t="shared" si="902"/>
        <v>26</v>
      </c>
      <c r="G778" s="759">
        <v>1</v>
      </c>
      <c r="H778" s="759">
        <v>2</v>
      </c>
      <c r="I778" s="759">
        <v>7</v>
      </c>
      <c r="J778" s="117">
        <f t="shared" si="903"/>
        <v>18</v>
      </c>
      <c r="K778" s="37"/>
      <c r="L778" s="759">
        <v>0</v>
      </c>
      <c r="M778" s="759">
        <v>0</v>
      </c>
      <c r="N778" s="117">
        <f t="shared" si="904"/>
        <v>0</v>
      </c>
      <c r="O778" s="37"/>
      <c r="P778" s="37"/>
      <c r="Q778" s="37"/>
      <c r="R778" s="37">
        <f t="shared" si="896"/>
        <v>0</v>
      </c>
      <c r="S778" s="37"/>
      <c r="T778" s="37"/>
      <c r="U778" s="37"/>
      <c r="V778" s="37">
        <f t="shared" si="897"/>
        <v>0</v>
      </c>
      <c r="W778" s="37"/>
      <c r="X778" s="37"/>
      <c r="Y778" s="37"/>
      <c r="Z778" s="37">
        <f t="shared" si="898"/>
        <v>0</v>
      </c>
      <c r="AA778" s="37"/>
      <c r="AB778" s="37"/>
      <c r="AC778" s="37"/>
      <c r="AD778" s="37">
        <f t="shared" si="899"/>
        <v>0</v>
      </c>
      <c r="AE778" s="37"/>
      <c r="AF778" s="37"/>
      <c r="AG778" s="37"/>
      <c r="AH778" s="37">
        <f t="shared" si="900"/>
        <v>0</v>
      </c>
      <c r="AI778" s="37"/>
      <c r="AJ778" s="37"/>
      <c r="AK778" s="37"/>
      <c r="AL778" s="37">
        <f t="shared" si="905"/>
        <v>0</v>
      </c>
      <c r="AM778" s="37"/>
      <c r="AN778" s="37"/>
      <c r="AO778" s="37"/>
      <c r="AP778" s="37">
        <f t="shared" si="906"/>
        <v>0</v>
      </c>
      <c r="AQ778" s="37"/>
      <c r="AR778" s="37"/>
      <c r="AS778" s="37"/>
      <c r="AT778" s="37">
        <f t="shared" si="907"/>
        <v>0</v>
      </c>
      <c r="AU778" s="37"/>
      <c r="AV778" s="37"/>
      <c r="AW778" s="37"/>
      <c r="AX778" s="37">
        <f t="shared" si="901"/>
        <v>0</v>
      </c>
      <c r="AY778" s="273"/>
      <c r="AZ778" s="37"/>
      <c r="BA778" s="37"/>
      <c r="BB778" s="37"/>
      <c r="BC778" s="37"/>
      <c r="BD778" s="37"/>
      <c r="BE778" s="37"/>
      <c r="BF778" s="37"/>
      <c r="BG778" s="37"/>
      <c r="BH778" s="857">
        <v>9</v>
      </c>
      <c r="BI778" s="857">
        <v>6</v>
      </c>
      <c r="BJ778" s="857">
        <v>28</v>
      </c>
      <c r="BK778" s="857">
        <v>17</v>
      </c>
      <c r="BL778" s="857">
        <v>26</v>
      </c>
      <c r="BM778" s="857">
        <v>18</v>
      </c>
      <c r="BN778" s="857">
        <v>0</v>
      </c>
      <c r="BO778" s="158"/>
      <c r="BP778" s="158"/>
      <c r="BQ778" s="158"/>
      <c r="BR778" s="158"/>
      <c r="BS778" s="158"/>
      <c r="BT778" s="158"/>
      <c r="BU778" s="158"/>
      <c r="BV778" s="158"/>
      <c r="BW778" s="846"/>
      <c r="BX778" s="158"/>
      <c r="BY778" s="158"/>
      <c r="BZ778" s="158"/>
      <c r="CA778" s="158"/>
      <c r="CB778" s="158"/>
      <c r="CC778" s="117"/>
    </row>
    <row r="779" spans="1:81" outlineLevel="1" x14ac:dyDescent="0.55000000000000004">
      <c r="A779" s="116" t="s">
        <v>163</v>
      </c>
      <c r="B779" s="87"/>
      <c r="C779" s="37"/>
      <c r="D779" s="37"/>
      <c r="E779" s="37"/>
      <c r="F779" s="117">
        <f t="shared" si="902"/>
        <v>0</v>
      </c>
      <c r="G779" s="37"/>
      <c r="H779" s="37"/>
      <c r="I779" s="37"/>
      <c r="J779" s="117">
        <f t="shared" si="903"/>
        <v>0</v>
      </c>
      <c r="K779" s="37"/>
      <c r="L779" s="37"/>
      <c r="M779" s="37"/>
      <c r="N779" s="117">
        <f t="shared" si="904"/>
        <v>0</v>
      </c>
      <c r="O779" s="37"/>
      <c r="P779" s="37"/>
      <c r="Q779" s="37"/>
      <c r="R779" s="37">
        <f t="shared" si="896"/>
        <v>0</v>
      </c>
      <c r="S779" s="37"/>
      <c r="T779" s="37"/>
      <c r="U779" s="37"/>
      <c r="V779" s="37">
        <f t="shared" si="897"/>
        <v>0</v>
      </c>
      <c r="W779" s="37"/>
      <c r="X779" s="37"/>
      <c r="Y779" s="37"/>
      <c r="Z779" s="37">
        <f t="shared" si="898"/>
        <v>0</v>
      </c>
      <c r="AA779" s="37"/>
      <c r="AB779" s="37"/>
      <c r="AC779" s="37"/>
      <c r="AD779" s="37">
        <f t="shared" si="899"/>
        <v>0</v>
      </c>
      <c r="AE779" s="37"/>
      <c r="AF779" s="37"/>
      <c r="AG779" s="37"/>
      <c r="AH779" s="37">
        <f t="shared" si="900"/>
        <v>0</v>
      </c>
      <c r="AI779" s="37"/>
      <c r="AJ779" s="37"/>
      <c r="AK779" s="37"/>
      <c r="AL779" s="37">
        <f t="shared" si="905"/>
        <v>0</v>
      </c>
      <c r="AM779" s="37"/>
      <c r="AN779" s="37"/>
      <c r="AO779" s="759">
        <v>9921</v>
      </c>
      <c r="AP779" s="37">
        <f t="shared" si="906"/>
        <v>9921</v>
      </c>
      <c r="AQ779" s="37"/>
      <c r="AR779" s="759">
        <v>8455</v>
      </c>
      <c r="AS779" s="759">
        <v>8455</v>
      </c>
      <c r="AT779" s="37">
        <f t="shared" si="907"/>
        <v>8455</v>
      </c>
      <c r="AU779" s="37"/>
      <c r="AV779" s="37"/>
      <c r="AW779" s="759">
        <v>10432</v>
      </c>
      <c r="AX779" s="37">
        <f t="shared" si="901"/>
        <v>10432</v>
      </c>
      <c r="AY779" s="273"/>
      <c r="AZ779" s="37"/>
      <c r="BA779" s="37"/>
      <c r="BB779" s="37"/>
      <c r="BC779" s="37"/>
      <c r="BD779" s="37"/>
      <c r="BE779" s="37"/>
      <c r="BF779" s="37"/>
      <c r="BG779" s="37"/>
      <c r="BH779" s="158"/>
      <c r="BI779" s="857">
        <v>250</v>
      </c>
      <c r="BJ779" s="857">
        <v>0</v>
      </c>
      <c r="BK779" s="857">
        <v>1496</v>
      </c>
      <c r="BL779" s="857">
        <v>0</v>
      </c>
      <c r="BM779" s="158"/>
      <c r="BN779" s="158"/>
      <c r="BO779" s="158"/>
      <c r="BP779" s="158"/>
      <c r="BQ779" s="158"/>
      <c r="BR779" s="158"/>
      <c r="BS779" s="158"/>
      <c r="BT779" s="158"/>
      <c r="BU779" s="857">
        <v>9921</v>
      </c>
      <c r="BV779" s="857">
        <v>8455</v>
      </c>
      <c r="BW779" s="862">
        <v>10432</v>
      </c>
      <c r="BX779" s="158"/>
      <c r="BY779" s="158"/>
      <c r="BZ779" s="158"/>
      <c r="CA779" s="158"/>
      <c r="CB779" s="158"/>
      <c r="CC779" s="117"/>
    </row>
    <row r="780" spans="1:81" outlineLevel="1" x14ac:dyDescent="0.55000000000000004">
      <c r="A780" s="116" t="s">
        <v>164</v>
      </c>
      <c r="B780" s="87"/>
      <c r="C780" s="37"/>
      <c r="D780" s="37"/>
      <c r="E780" s="759">
        <v>-1500</v>
      </c>
      <c r="F780" s="117">
        <f t="shared" si="902"/>
        <v>-1500</v>
      </c>
      <c r="G780" s="37"/>
      <c r="H780" s="37"/>
      <c r="I780" s="37"/>
      <c r="J780" s="117">
        <f t="shared" si="903"/>
        <v>0</v>
      </c>
      <c r="K780" s="37"/>
      <c r="L780" s="37"/>
      <c r="M780" s="37"/>
      <c r="N780" s="117">
        <f t="shared" si="904"/>
        <v>0</v>
      </c>
      <c r="O780" s="37"/>
      <c r="P780" s="37"/>
      <c r="Q780" s="37"/>
      <c r="R780" s="37">
        <f t="shared" si="896"/>
        <v>0</v>
      </c>
      <c r="S780" s="37"/>
      <c r="T780" s="37"/>
      <c r="U780" s="37"/>
      <c r="V780" s="37">
        <f t="shared" si="897"/>
        <v>0</v>
      </c>
      <c r="W780" s="37"/>
      <c r="X780" s="37"/>
      <c r="Y780" s="37"/>
      <c r="Z780" s="37">
        <f t="shared" si="898"/>
        <v>0</v>
      </c>
      <c r="AA780" s="37"/>
      <c r="AB780" s="37"/>
      <c r="AC780" s="37"/>
      <c r="AD780" s="37">
        <f t="shared" si="899"/>
        <v>0</v>
      </c>
      <c r="AE780" s="37"/>
      <c r="AF780" s="37"/>
      <c r="AG780" s="37"/>
      <c r="AH780" s="37">
        <f t="shared" si="900"/>
        <v>0</v>
      </c>
      <c r="AI780" s="37"/>
      <c r="AJ780" s="37"/>
      <c r="AK780" s="37"/>
      <c r="AL780" s="37">
        <f t="shared" si="905"/>
        <v>0</v>
      </c>
      <c r="AM780" s="37"/>
      <c r="AN780" s="37"/>
      <c r="AO780" s="37"/>
      <c r="AP780" s="37">
        <f t="shared" si="906"/>
        <v>0</v>
      </c>
      <c r="AQ780" s="37"/>
      <c r="AR780" s="37"/>
      <c r="AS780" s="37"/>
      <c r="AT780" s="37">
        <f t="shared" si="907"/>
        <v>0</v>
      </c>
      <c r="AU780" s="37"/>
      <c r="AV780" s="37"/>
      <c r="AW780" s="37"/>
      <c r="AX780" s="37">
        <f t="shared" si="901"/>
        <v>0</v>
      </c>
      <c r="AY780" s="273"/>
      <c r="AZ780" s="37"/>
      <c r="BA780" s="37"/>
      <c r="BB780" s="37"/>
      <c r="BC780" s="37"/>
      <c r="BD780" s="37"/>
      <c r="BE780" s="37"/>
      <c r="BF780" s="37"/>
      <c r="BG780" s="37"/>
      <c r="BH780" s="158"/>
      <c r="BI780" s="158"/>
      <c r="BJ780" s="857">
        <v>-250</v>
      </c>
      <c r="BK780" s="857">
        <v>0</v>
      </c>
      <c r="BL780" s="857">
        <v>-1500</v>
      </c>
      <c r="BM780" s="857">
        <v>0</v>
      </c>
      <c r="BN780" s="857">
        <v>0</v>
      </c>
      <c r="BO780" s="158"/>
      <c r="BP780" s="158"/>
      <c r="BQ780" s="158"/>
      <c r="BR780" s="158"/>
      <c r="BS780" s="158"/>
      <c r="BT780" s="158"/>
      <c r="BU780" s="158"/>
      <c r="BV780" s="158"/>
      <c r="BW780" s="846"/>
      <c r="BX780" s="158"/>
      <c r="BY780" s="158"/>
      <c r="BZ780" s="158"/>
      <c r="CA780" s="158"/>
      <c r="CB780" s="158"/>
      <c r="CC780" s="117"/>
    </row>
    <row r="781" spans="1:81" outlineLevel="1" x14ac:dyDescent="0.55000000000000004">
      <c r="A781" s="116" t="s">
        <v>165</v>
      </c>
      <c r="B781" s="87"/>
      <c r="C781" s="37"/>
      <c r="D781" s="37"/>
      <c r="E781" s="37"/>
      <c r="F781" s="117">
        <f t="shared" si="902"/>
        <v>0</v>
      </c>
      <c r="G781" s="37"/>
      <c r="H781" s="37"/>
      <c r="I781" s="37"/>
      <c r="J781" s="117">
        <f t="shared" si="903"/>
        <v>0</v>
      </c>
      <c r="K781" s="37"/>
      <c r="L781" s="37"/>
      <c r="M781" s="37"/>
      <c r="N781" s="117">
        <f t="shared" si="904"/>
        <v>0</v>
      </c>
      <c r="O781" s="37"/>
      <c r="P781" s="37"/>
      <c r="Q781" s="37"/>
      <c r="R781" s="37">
        <f t="shared" si="896"/>
        <v>0</v>
      </c>
      <c r="S781" s="37"/>
      <c r="T781" s="37"/>
      <c r="U781" s="37"/>
      <c r="V781" s="37">
        <f t="shared" si="897"/>
        <v>0</v>
      </c>
      <c r="W781" s="37"/>
      <c r="X781" s="37"/>
      <c r="Y781" s="37"/>
      <c r="Z781" s="37">
        <f t="shared" si="898"/>
        <v>0</v>
      </c>
      <c r="AA781" s="37"/>
      <c r="AB781" s="37"/>
      <c r="AC781" s="37"/>
      <c r="AD781" s="37">
        <f t="shared" si="899"/>
        <v>0</v>
      </c>
      <c r="AE781" s="37"/>
      <c r="AF781" s="37"/>
      <c r="AG781" s="37"/>
      <c r="AH781" s="37">
        <f t="shared" si="900"/>
        <v>0</v>
      </c>
      <c r="AI781" s="37"/>
      <c r="AJ781" s="37"/>
      <c r="AK781" s="37"/>
      <c r="AL781" s="37">
        <f t="shared" si="905"/>
        <v>0</v>
      </c>
      <c r="AM781" s="37"/>
      <c r="AN781" s="37"/>
      <c r="AO781" s="37"/>
      <c r="AP781" s="37">
        <f t="shared" si="906"/>
        <v>0</v>
      </c>
      <c r="AQ781" s="37"/>
      <c r="AR781" s="37"/>
      <c r="AS781" s="37"/>
      <c r="AT781" s="37">
        <f t="shared" si="907"/>
        <v>0</v>
      </c>
      <c r="AU781" s="37"/>
      <c r="AV781" s="37"/>
      <c r="AW781" s="37"/>
      <c r="AX781" s="37">
        <f t="shared" si="901"/>
        <v>0</v>
      </c>
      <c r="AY781" s="273"/>
      <c r="AZ781" s="37"/>
      <c r="BA781" s="37"/>
      <c r="BB781" s="37"/>
      <c r="BC781" s="37"/>
      <c r="BD781" s="37"/>
      <c r="BE781" s="37"/>
      <c r="BF781" s="37"/>
      <c r="BG781" s="37"/>
      <c r="BH781" s="857">
        <v>31</v>
      </c>
      <c r="BI781" s="158"/>
      <c r="BJ781" s="857">
        <v>170</v>
      </c>
      <c r="BK781" s="857">
        <v>205</v>
      </c>
      <c r="BL781" s="158"/>
      <c r="BM781" s="158"/>
      <c r="BN781" s="158"/>
      <c r="BO781" s="158"/>
      <c r="BP781" s="158"/>
      <c r="BQ781" s="158"/>
      <c r="BR781" s="158"/>
      <c r="BS781" s="158"/>
      <c r="BT781" s="158"/>
      <c r="BU781" s="158"/>
      <c r="BV781" s="158"/>
      <c r="BW781" s="846"/>
      <c r="BX781" s="158"/>
      <c r="BY781" s="158"/>
      <c r="BZ781" s="158"/>
      <c r="CA781" s="158"/>
      <c r="CB781" s="158"/>
      <c r="CC781" s="117"/>
    </row>
    <row r="782" spans="1:81" outlineLevel="1" x14ac:dyDescent="0.55000000000000004">
      <c r="A782" s="116" t="s">
        <v>166</v>
      </c>
      <c r="B782" s="87"/>
      <c r="C782" s="759">
        <v>-109</v>
      </c>
      <c r="D782" s="759">
        <v>-200</v>
      </c>
      <c r="E782" s="759">
        <v>-291</v>
      </c>
      <c r="F782" s="117">
        <f t="shared" si="902"/>
        <v>-391</v>
      </c>
      <c r="G782" s="759">
        <v>-84</v>
      </c>
      <c r="H782" s="759">
        <v>-150</v>
      </c>
      <c r="I782" s="759">
        <v>-199</v>
      </c>
      <c r="J782" s="117">
        <f t="shared" si="903"/>
        <v>-243</v>
      </c>
      <c r="K782" s="759">
        <v>-47</v>
      </c>
      <c r="L782" s="759">
        <v>-84</v>
      </c>
      <c r="M782" s="759">
        <v>-107</v>
      </c>
      <c r="N782" s="117">
        <f t="shared" si="904"/>
        <v>-119</v>
      </c>
      <c r="O782" s="759">
        <v>-312</v>
      </c>
      <c r="P782" s="759">
        <v>-312</v>
      </c>
      <c r="Q782" s="759">
        <v>-312</v>
      </c>
      <c r="R782" s="37">
        <f t="shared" si="896"/>
        <v>-312</v>
      </c>
      <c r="S782" s="759">
        <v>0</v>
      </c>
      <c r="T782" s="37"/>
      <c r="U782" s="37"/>
      <c r="V782" s="37">
        <f t="shared" si="897"/>
        <v>0</v>
      </c>
      <c r="W782" s="37"/>
      <c r="X782" s="37"/>
      <c r="Y782" s="37"/>
      <c r="Z782" s="37">
        <f t="shared" si="898"/>
        <v>0</v>
      </c>
      <c r="AA782" s="759">
        <v>-125</v>
      </c>
      <c r="AB782" s="759">
        <v>-267</v>
      </c>
      <c r="AC782" s="759">
        <v>-411</v>
      </c>
      <c r="AD782" s="37">
        <f t="shared" si="899"/>
        <v>-552</v>
      </c>
      <c r="AE782" s="759">
        <v>-100</v>
      </c>
      <c r="AF782" s="759">
        <v>-209</v>
      </c>
      <c r="AG782" s="759">
        <v>-398</v>
      </c>
      <c r="AH782" s="37">
        <f t="shared" si="900"/>
        <v>-604</v>
      </c>
      <c r="AI782" s="759">
        <v>-151</v>
      </c>
      <c r="AJ782" s="759">
        <v>-274</v>
      </c>
      <c r="AK782" s="759">
        <v>-505</v>
      </c>
      <c r="AL782" s="37">
        <f t="shared" si="905"/>
        <v>-677</v>
      </c>
      <c r="AM782" s="759">
        <v>-233</v>
      </c>
      <c r="AN782" s="759">
        <v>-452</v>
      </c>
      <c r="AO782" s="759">
        <v>-615</v>
      </c>
      <c r="AP782" s="37">
        <f t="shared" si="906"/>
        <v>-850</v>
      </c>
      <c r="AQ782" s="759">
        <v>-264</v>
      </c>
      <c r="AR782" s="759">
        <v>-484</v>
      </c>
      <c r="AS782" s="759">
        <v>-751</v>
      </c>
      <c r="AT782" s="37">
        <f t="shared" si="907"/>
        <v>-1058</v>
      </c>
      <c r="AU782" s="759">
        <v>-315</v>
      </c>
      <c r="AV782" s="759">
        <v>-614</v>
      </c>
      <c r="AW782" s="759">
        <v>-1558</v>
      </c>
      <c r="AX782" s="37">
        <f t="shared" si="901"/>
        <v>-1969</v>
      </c>
      <c r="AY782" s="762">
        <v>-751</v>
      </c>
      <c r="AZ782" s="37"/>
      <c r="BA782" s="37"/>
      <c r="BB782" s="37"/>
      <c r="BC782" s="37"/>
      <c r="BD782" s="37"/>
      <c r="BE782" s="37"/>
      <c r="BF782" s="37"/>
      <c r="BG782" s="37"/>
      <c r="BH782" s="857">
        <v>-48</v>
      </c>
      <c r="BI782" s="857">
        <v>-90</v>
      </c>
      <c r="BJ782" s="857">
        <v>-181</v>
      </c>
      <c r="BK782" s="857">
        <v>-366</v>
      </c>
      <c r="BL782" s="857">
        <v>-391</v>
      </c>
      <c r="BM782" s="857">
        <v>-243</v>
      </c>
      <c r="BN782" s="857">
        <v>-119</v>
      </c>
      <c r="BO782" s="857">
        <v>-312</v>
      </c>
      <c r="BP782" s="158"/>
      <c r="BQ782" s="158"/>
      <c r="BR782" s="857">
        <v>-552</v>
      </c>
      <c r="BS782" s="857">
        <v>-604</v>
      </c>
      <c r="BT782" s="857">
        <v>-677</v>
      </c>
      <c r="BU782" s="857">
        <v>-850</v>
      </c>
      <c r="BV782" s="857">
        <v>-1058</v>
      </c>
      <c r="BW782" s="862">
        <v>-1969</v>
      </c>
      <c r="BX782" s="158"/>
      <c r="BY782" s="158"/>
      <c r="BZ782" s="158"/>
      <c r="CA782" s="158"/>
      <c r="CB782" s="158"/>
      <c r="CC782" s="117"/>
    </row>
    <row r="783" spans="1:81" outlineLevel="1" x14ac:dyDescent="0.55000000000000004">
      <c r="A783" s="116" t="s">
        <v>134</v>
      </c>
      <c r="B783" s="87"/>
      <c r="C783" s="759">
        <v>62</v>
      </c>
      <c r="D783" s="759">
        <v>155</v>
      </c>
      <c r="E783" s="759">
        <v>285</v>
      </c>
      <c r="F783" s="117">
        <f t="shared" si="902"/>
        <v>609</v>
      </c>
      <c r="G783" s="759">
        <v>348</v>
      </c>
      <c r="H783" s="759">
        <v>883</v>
      </c>
      <c r="I783" s="759">
        <v>1365</v>
      </c>
      <c r="J783" s="117">
        <f t="shared" si="903"/>
        <v>1869</v>
      </c>
      <c r="K783" s="759">
        <v>423</v>
      </c>
      <c r="L783" s="759">
        <v>809</v>
      </c>
      <c r="M783" s="759">
        <v>1155</v>
      </c>
      <c r="N783" s="117">
        <f t="shared" si="904"/>
        <v>1721</v>
      </c>
      <c r="O783" s="37"/>
      <c r="P783" s="37"/>
      <c r="Q783" s="37"/>
      <c r="R783" s="37">
        <f t="shared" si="896"/>
        <v>0</v>
      </c>
      <c r="S783" s="37"/>
      <c r="T783" s="37"/>
      <c r="U783" s="37"/>
      <c r="V783" s="37">
        <f t="shared" si="897"/>
        <v>0</v>
      </c>
      <c r="W783" s="37"/>
      <c r="X783" s="37"/>
      <c r="Y783" s="37"/>
      <c r="Z783" s="37">
        <f t="shared" si="898"/>
        <v>0</v>
      </c>
      <c r="AA783" s="37"/>
      <c r="AB783" s="37"/>
      <c r="AC783" s="37"/>
      <c r="AD783" s="37">
        <f t="shared" si="899"/>
        <v>0</v>
      </c>
      <c r="AE783" s="37"/>
      <c r="AF783" s="37"/>
      <c r="AG783" s="37"/>
      <c r="AH783" s="37">
        <f t="shared" si="900"/>
        <v>0</v>
      </c>
      <c r="AI783" s="37"/>
      <c r="AJ783" s="37"/>
      <c r="AK783" s="37"/>
      <c r="AL783" s="37">
        <f t="shared" si="905"/>
        <v>0</v>
      </c>
      <c r="AM783" s="37"/>
      <c r="AN783" s="37"/>
      <c r="AO783" s="37"/>
      <c r="AP783" s="37">
        <f t="shared" si="906"/>
        <v>0</v>
      </c>
      <c r="AQ783" s="37"/>
      <c r="AR783" s="37"/>
      <c r="AS783" s="37"/>
      <c r="AT783" s="37">
        <f t="shared" si="907"/>
        <v>0</v>
      </c>
      <c r="AU783" s="37"/>
      <c r="AV783" s="37"/>
      <c r="AW783" s="37"/>
      <c r="AX783" s="37">
        <f t="shared" si="901"/>
        <v>0</v>
      </c>
      <c r="AY783" s="273"/>
      <c r="AZ783" s="37"/>
      <c r="BA783" s="37"/>
      <c r="BB783" s="37"/>
      <c r="BC783" s="37"/>
      <c r="BD783" s="37"/>
      <c r="BE783" s="37"/>
      <c r="BF783" s="37"/>
      <c r="BG783" s="37"/>
      <c r="BH783" s="857">
        <v>51</v>
      </c>
      <c r="BI783" s="857">
        <v>115</v>
      </c>
      <c r="BJ783" s="857">
        <v>433</v>
      </c>
      <c r="BK783" s="857">
        <v>1033</v>
      </c>
      <c r="BL783" s="857">
        <v>609</v>
      </c>
      <c r="BM783" s="857">
        <v>1869</v>
      </c>
      <c r="BN783" s="857">
        <v>1721</v>
      </c>
      <c r="BO783" s="158"/>
      <c r="BP783" s="158"/>
      <c r="BQ783" s="158"/>
      <c r="BR783" s="158"/>
      <c r="BS783" s="158"/>
      <c r="BT783" s="158"/>
      <c r="BU783" s="158"/>
      <c r="BV783" s="158"/>
      <c r="BW783" s="846"/>
      <c r="BX783" s="158"/>
      <c r="BY783" s="158"/>
      <c r="BZ783" s="158"/>
      <c r="CA783" s="158"/>
      <c r="CB783" s="158"/>
      <c r="CC783" s="117"/>
    </row>
    <row r="784" spans="1:81" outlineLevel="1" x14ac:dyDescent="0.55000000000000004">
      <c r="A784" s="116" t="s">
        <v>167</v>
      </c>
      <c r="B784" s="87"/>
      <c r="C784" s="37"/>
      <c r="D784" s="37"/>
      <c r="E784" s="37"/>
      <c r="F784" s="37"/>
      <c r="G784" s="37"/>
      <c r="H784" s="37"/>
      <c r="I784" s="37"/>
      <c r="J784" s="37"/>
      <c r="K784" s="37"/>
      <c r="L784" s="37"/>
      <c r="M784" s="37"/>
      <c r="N784" s="37"/>
      <c r="O784" s="37"/>
      <c r="P784" s="37"/>
      <c r="Q784" s="37"/>
      <c r="R784" s="37"/>
      <c r="S784" s="759">
        <v>-228</v>
      </c>
      <c r="T784" s="759">
        <v>-378</v>
      </c>
      <c r="U784" s="759">
        <v>-1018</v>
      </c>
      <c r="V784" s="37">
        <f t="shared" si="897"/>
        <v>-1976</v>
      </c>
      <c r="W784" s="759">
        <v>-1774</v>
      </c>
      <c r="X784" s="759">
        <v>-5123</v>
      </c>
      <c r="Y784" s="759">
        <v>-9379</v>
      </c>
      <c r="Z784" s="37">
        <f t="shared" si="898"/>
        <v>-12879</v>
      </c>
      <c r="AA784" s="759">
        <v>-613</v>
      </c>
      <c r="AB784" s="759">
        <v>-1758</v>
      </c>
      <c r="AC784" s="759">
        <v>-2906</v>
      </c>
      <c r="AD784" s="37">
        <f t="shared" si="899"/>
        <v>-4202</v>
      </c>
      <c r="AE784" s="759">
        <v>-1250</v>
      </c>
      <c r="AF784" s="759">
        <v>-2618</v>
      </c>
      <c r="AG784" s="759">
        <v>-4343</v>
      </c>
      <c r="AH784" s="37">
        <f t="shared" si="900"/>
        <v>-6272</v>
      </c>
      <c r="AI784" s="759">
        <v>-3939</v>
      </c>
      <c r="AJ784" s="759">
        <v>-11018</v>
      </c>
      <c r="AK784" s="759">
        <v>-24476</v>
      </c>
      <c r="AL784" s="37">
        <f t="shared" si="905"/>
        <v>-44537</v>
      </c>
      <c r="AM784" s="759">
        <v>-9506</v>
      </c>
      <c r="AN784" s="759">
        <v>-14739</v>
      </c>
      <c r="AO784" s="759">
        <v>-21093</v>
      </c>
      <c r="AP784" s="37">
        <f t="shared" si="906"/>
        <v>-27956</v>
      </c>
      <c r="AQ784" s="759">
        <v>-9365</v>
      </c>
      <c r="AR784" s="759">
        <v>-10263</v>
      </c>
      <c r="AS784" s="759">
        <v>-13832</v>
      </c>
      <c r="AT784" s="37">
        <f t="shared" si="907"/>
        <v>-19774</v>
      </c>
      <c r="AU784" s="759">
        <v>-15008</v>
      </c>
      <c r="AV784" s="759">
        <v>-21307</v>
      </c>
      <c r="AW784" s="759">
        <v>-30125</v>
      </c>
      <c r="AX784" s="37">
        <f t="shared" si="901"/>
        <v>-30125</v>
      </c>
      <c r="AY784" s="762">
        <v>-12754</v>
      </c>
      <c r="AZ784" s="37"/>
      <c r="BA784" s="37"/>
      <c r="BB784" s="37"/>
      <c r="BC784" s="37"/>
      <c r="BD784" s="37"/>
      <c r="BE784" s="37"/>
      <c r="BF784" s="37"/>
      <c r="BG784" s="37"/>
      <c r="BH784" s="158"/>
      <c r="BI784" s="158"/>
      <c r="BJ784" s="158"/>
      <c r="BK784" s="158"/>
      <c r="BL784" s="158"/>
      <c r="BM784" s="158"/>
      <c r="BN784" s="158"/>
      <c r="BO784" s="158"/>
      <c r="BP784" s="857">
        <v>-1976</v>
      </c>
      <c r="BQ784" s="857">
        <v>-12879</v>
      </c>
      <c r="BR784" s="857">
        <v>-4202</v>
      </c>
      <c r="BS784" s="857">
        <v>-6272</v>
      </c>
      <c r="BT784" s="857">
        <v>-44537</v>
      </c>
      <c r="BU784" s="857">
        <v>-27956</v>
      </c>
      <c r="BV784" s="857">
        <v>-19774</v>
      </c>
      <c r="BW784" s="862">
        <v>-30125</v>
      </c>
      <c r="BX784" s="158"/>
      <c r="BY784" s="158"/>
      <c r="BZ784" s="158"/>
      <c r="CA784" s="158"/>
      <c r="CB784" s="158"/>
      <c r="CC784" s="117"/>
    </row>
    <row r="785" spans="1:81" outlineLevel="1" x14ac:dyDescent="0.55000000000000004">
      <c r="A785" s="116" t="s">
        <v>168</v>
      </c>
      <c r="B785" s="8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f t="shared" si="898"/>
        <v>500</v>
      </c>
      <c r="AA785" s="759">
        <v>-177</v>
      </c>
      <c r="AB785" s="759">
        <v>-119</v>
      </c>
      <c r="AC785" s="759">
        <v>-260</v>
      </c>
      <c r="AD785" s="37">
        <f t="shared" si="899"/>
        <v>-223</v>
      </c>
      <c r="AE785" s="759">
        <v>-80</v>
      </c>
      <c r="AF785" s="759">
        <v>-17</v>
      </c>
      <c r="AG785" s="759">
        <v>-24</v>
      </c>
      <c r="AH785" s="37">
        <f t="shared" si="900"/>
        <v>24</v>
      </c>
      <c r="AI785" s="759">
        <v>-50</v>
      </c>
      <c r="AJ785" s="759">
        <v>3</v>
      </c>
      <c r="AK785" s="759">
        <v>15</v>
      </c>
      <c r="AL785" s="37">
        <f t="shared" si="905"/>
        <v>14</v>
      </c>
      <c r="AM785" s="759">
        <v>20</v>
      </c>
      <c r="AN785" s="759">
        <v>-59</v>
      </c>
      <c r="AO785" s="759">
        <v>-250</v>
      </c>
      <c r="AP785" s="37">
        <f t="shared" si="906"/>
        <v>0</v>
      </c>
      <c r="AQ785" s="37"/>
      <c r="AR785" s="37"/>
      <c r="AS785" s="37"/>
      <c r="AT785" s="37">
        <f t="shared" si="907"/>
        <v>0</v>
      </c>
      <c r="AU785" s="37"/>
      <c r="AV785" s="37"/>
      <c r="AW785" s="37"/>
      <c r="AX785" s="37">
        <f t="shared" si="901"/>
        <v>0</v>
      </c>
      <c r="AY785" s="273"/>
      <c r="AZ785" s="37"/>
      <c r="BA785" s="37"/>
      <c r="BB785" s="37"/>
      <c r="BC785" s="37"/>
      <c r="BD785" s="37"/>
      <c r="BE785" s="37"/>
      <c r="BF785" s="37"/>
      <c r="BG785" s="37"/>
      <c r="BH785" s="158"/>
      <c r="BI785" s="158"/>
      <c r="BJ785" s="158"/>
      <c r="BK785" s="158"/>
      <c r="BL785" s="158"/>
      <c r="BM785" s="158"/>
      <c r="BN785" s="158"/>
      <c r="BO785" s="158"/>
      <c r="BP785" s="158"/>
      <c r="BQ785" s="857">
        <v>500</v>
      </c>
      <c r="BR785" s="857">
        <v>-223</v>
      </c>
      <c r="BS785" s="857">
        <v>24</v>
      </c>
      <c r="BT785" s="857">
        <v>14</v>
      </c>
      <c r="BU785" s="158"/>
      <c r="BV785" s="158"/>
      <c r="BW785" s="846"/>
      <c r="BX785" s="158"/>
      <c r="BY785" s="158"/>
      <c r="BZ785" s="158"/>
      <c r="CA785" s="158"/>
      <c r="CB785" s="158"/>
      <c r="CC785" s="117"/>
    </row>
    <row r="786" spans="1:81" outlineLevel="1" x14ac:dyDescent="0.55000000000000004">
      <c r="A786" s="116" t="s">
        <v>169</v>
      </c>
      <c r="B786" s="87"/>
      <c r="C786" s="37"/>
      <c r="D786" s="37"/>
      <c r="E786" s="37"/>
      <c r="F786" s="37"/>
      <c r="G786" s="37"/>
      <c r="H786" s="37"/>
      <c r="I786" s="37"/>
      <c r="J786" s="37"/>
      <c r="K786" s="37"/>
      <c r="L786" s="37"/>
      <c r="M786" s="37"/>
      <c r="N786" s="37"/>
      <c r="O786" s="37"/>
      <c r="P786" s="37"/>
      <c r="Q786" s="37"/>
      <c r="R786" s="37">
        <f>BO786</f>
        <v>0</v>
      </c>
      <c r="S786" s="37"/>
      <c r="T786" s="37"/>
      <c r="U786" s="37"/>
      <c r="V786" s="37">
        <f>BP786</f>
        <v>0</v>
      </c>
      <c r="W786" s="37"/>
      <c r="X786" s="37"/>
      <c r="Y786" s="37"/>
      <c r="Z786" s="37">
        <f t="shared" si="898"/>
        <v>0</v>
      </c>
      <c r="AA786" s="37"/>
      <c r="AB786" s="37"/>
      <c r="AC786" s="37"/>
      <c r="AD786" s="37">
        <f t="shared" si="899"/>
        <v>0</v>
      </c>
      <c r="AE786" s="37"/>
      <c r="AF786" s="37"/>
      <c r="AG786" s="37"/>
      <c r="AH786" s="37">
        <f t="shared" si="900"/>
        <v>0</v>
      </c>
      <c r="AI786" s="37"/>
      <c r="AJ786" s="37"/>
      <c r="AK786" s="37"/>
      <c r="AL786" s="37">
        <f t="shared" si="905"/>
        <v>0</v>
      </c>
      <c r="AM786" s="37"/>
      <c r="AN786" s="37"/>
      <c r="AO786" s="37"/>
      <c r="AP786" s="37">
        <f t="shared" si="906"/>
        <v>0</v>
      </c>
      <c r="AQ786" s="37"/>
      <c r="AR786" s="37"/>
      <c r="AS786" s="37"/>
      <c r="AT786" s="37">
        <f t="shared" si="907"/>
        <v>0</v>
      </c>
      <c r="AU786" s="759">
        <v>-1273</v>
      </c>
      <c r="AV786" s="759">
        <v>-2539</v>
      </c>
      <c r="AW786" s="759">
        <v>-3802</v>
      </c>
      <c r="AX786" s="37">
        <f t="shared" si="901"/>
        <v>-5072</v>
      </c>
      <c r="AY786" s="762">
        <v>-1329</v>
      </c>
      <c r="AZ786" s="37"/>
      <c r="BA786" s="37"/>
      <c r="BB786" s="37"/>
      <c r="BC786" s="37"/>
      <c r="BD786" s="37"/>
      <c r="BE786" s="37"/>
      <c r="BF786" s="37"/>
      <c r="BG786" s="37"/>
      <c r="BH786" s="158"/>
      <c r="BI786" s="158"/>
      <c r="BJ786" s="158"/>
      <c r="BK786" s="158"/>
      <c r="BL786" s="158"/>
      <c r="BM786" s="158"/>
      <c r="BN786" s="158"/>
      <c r="BO786" s="158"/>
      <c r="BP786" s="158"/>
      <c r="BQ786" s="158"/>
      <c r="BR786" s="158"/>
      <c r="BS786" s="158"/>
      <c r="BT786" s="158"/>
      <c r="BU786" s="158"/>
      <c r="BV786" s="158"/>
      <c r="BW786" s="862">
        <v>-5072</v>
      </c>
      <c r="BX786" s="158"/>
      <c r="BY786" s="158"/>
      <c r="BZ786" s="158"/>
      <c r="CA786" s="158"/>
      <c r="CB786" s="158"/>
      <c r="CC786" s="117"/>
    </row>
    <row r="787" spans="1:81" outlineLevel="1" x14ac:dyDescent="0.55000000000000004">
      <c r="A787" s="116" t="s">
        <v>170</v>
      </c>
      <c r="B787" s="87"/>
      <c r="C787" s="37"/>
      <c r="D787" s="37"/>
      <c r="E787" s="37"/>
      <c r="F787" s="117">
        <f>BL787</f>
        <v>0</v>
      </c>
      <c r="G787" s="37"/>
      <c r="H787" s="37"/>
      <c r="I787" s="37"/>
      <c r="J787" s="117">
        <f>BM787</f>
        <v>0</v>
      </c>
      <c r="K787" s="759">
        <v>-5</v>
      </c>
      <c r="L787" s="37"/>
      <c r="M787" s="37"/>
      <c r="N787" s="117">
        <f>BN787</f>
        <v>0</v>
      </c>
      <c r="O787" s="759">
        <v>2</v>
      </c>
      <c r="P787" s="759">
        <v>6</v>
      </c>
      <c r="Q787" s="759">
        <v>4</v>
      </c>
      <c r="R787" s="37">
        <f>BO787</f>
        <v>8</v>
      </c>
      <c r="S787" s="759">
        <v>7</v>
      </c>
      <c r="T787" s="759">
        <v>12</v>
      </c>
      <c r="U787" s="759">
        <v>-14</v>
      </c>
      <c r="V787" s="37">
        <f>BP787</f>
        <v>-13</v>
      </c>
      <c r="W787" s="759">
        <v>3</v>
      </c>
      <c r="X787" s="759">
        <v>7</v>
      </c>
      <c r="Y787" s="759">
        <v>11</v>
      </c>
      <c r="Z787" s="37">
        <f t="shared" si="898"/>
        <v>15</v>
      </c>
      <c r="AA787" s="759">
        <v>4</v>
      </c>
      <c r="AB787" s="759">
        <v>9</v>
      </c>
      <c r="AC787" s="759">
        <v>14</v>
      </c>
      <c r="AD787" s="37">
        <f t="shared" si="899"/>
        <v>15</v>
      </c>
      <c r="AE787" s="759">
        <v>98</v>
      </c>
      <c r="AF787" s="759">
        <v>114</v>
      </c>
      <c r="AG787" s="759">
        <v>124</v>
      </c>
      <c r="AH787" s="37">
        <f t="shared" si="900"/>
        <v>124</v>
      </c>
      <c r="AI787" s="759">
        <v>32</v>
      </c>
      <c r="AJ787" s="759">
        <v>-13</v>
      </c>
      <c r="AK787" s="759">
        <v>-13</v>
      </c>
      <c r="AL787" s="37">
        <f t="shared" si="905"/>
        <v>-13</v>
      </c>
      <c r="AM787" s="759">
        <v>-16</v>
      </c>
      <c r="AN787" s="759">
        <v>-46</v>
      </c>
      <c r="AO787" s="759">
        <v>-101</v>
      </c>
      <c r="AP787" s="37">
        <f t="shared" si="906"/>
        <v>344</v>
      </c>
      <c r="AQ787" s="759">
        <v>122</v>
      </c>
      <c r="AR787" s="759">
        <v>-231</v>
      </c>
      <c r="AS787" s="759">
        <v>-182</v>
      </c>
      <c r="AT787" s="37">
        <f t="shared" si="907"/>
        <v>-111</v>
      </c>
      <c r="AU787" s="759">
        <v>-9</v>
      </c>
      <c r="AV787" s="759">
        <v>-115</v>
      </c>
      <c r="AW787" s="759">
        <v>-350</v>
      </c>
      <c r="AX787" s="37">
        <f t="shared" si="901"/>
        <v>-277</v>
      </c>
      <c r="AY787" s="762">
        <v>222</v>
      </c>
      <c r="AZ787" s="37"/>
      <c r="BA787" s="37"/>
      <c r="BB787" s="37"/>
      <c r="BC787" s="37"/>
      <c r="BD787" s="37"/>
      <c r="BE787" s="37"/>
      <c r="BF787" s="37"/>
      <c r="BG787" s="37"/>
      <c r="BH787" s="158"/>
      <c r="BI787" s="158"/>
      <c r="BJ787" s="158"/>
      <c r="BK787" s="158"/>
      <c r="BL787" s="158"/>
      <c r="BM787" s="158"/>
      <c r="BN787" s="158"/>
      <c r="BO787" s="857">
        <v>8</v>
      </c>
      <c r="BP787" s="857">
        <v>-13</v>
      </c>
      <c r="BQ787" s="857">
        <v>15</v>
      </c>
      <c r="BR787" s="857">
        <v>15</v>
      </c>
      <c r="BS787" s="857">
        <v>124</v>
      </c>
      <c r="BT787" s="857">
        <v>-13</v>
      </c>
      <c r="BU787" s="857">
        <v>344</v>
      </c>
      <c r="BV787" s="857">
        <v>-111</v>
      </c>
      <c r="BW787" s="862">
        <v>-277</v>
      </c>
      <c r="BX787" s="158"/>
      <c r="BY787" s="158"/>
      <c r="BZ787" s="158"/>
      <c r="CA787" s="158"/>
      <c r="CB787" s="158"/>
      <c r="CC787" s="117"/>
    </row>
    <row r="788" spans="1:81" outlineLevel="1" x14ac:dyDescent="0.55000000000000004">
      <c r="A788" s="20" t="s">
        <v>171</v>
      </c>
      <c r="B788" s="195"/>
      <c r="C788" s="5">
        <f t="shared" ref="C788:AH788" si="908">SUM(C775:C787)</f>
        <v>-444</v>
      </c>
      <c r="D788" s="5">
        <f t="shared" si="908"/>
        <v>-593</v>
      </c>
      <c r="E788" s="5">
        <f t="shared" si="908"/>
        <v>-2192</v>
      </c>
      <c r="F788" s="5">
        <f t="shared" si="908"/>
        <v>-667</v>
      </c>
      <c r="G788" s="5">
        <f t="shared" si="908"/>
        <v>262</v>
      </c>
      <c r="H788" s="5">
        <f t="shared" si="908"/>
        <v>732</v>
      </c>
      <c r="I788" s="5">
        <f t="shared" si="908"/>
        <v>1170</v>
      </c>
      <c r="J788" s="5">
        <f t="shared" si="908"/>
        <v>1571</v>
      </c>
      <c r="K788" s="5">
        <f t="shared" si="908"/>
        <v>371</v>
      </c>
      <c r="L788" s="5">
        <f t="shared" si="908"/>
        <v>713</v>
      </c>
      <c r="M788" s="5">
        <f t="shared" si="908"/>
        <v>1028</v>
      </c>
      <c r="N788" s="5">
        <f t="shared" si="908"/>
        <v>1582</v>
      </c>
      <c r="O788" s="5">
        <f t="shared" si="908"/>
        <v>-310</v>
      </c>
      <c r="P788" s="5">
        <f t="shared" si="908"/>
        <v>-306</v>
      </c>
      <c r="Q788" s="5">
        <f t="shared" si="908"/>
        <v>-314</v>
      </c>
      <c r="R788" s="33">
        <f t="shared" si="908"/>
        <v>-310</v>
      </c>
      <c r="S788" s="5">
        <f t="shared" si="908"/>
        <v>-992</v>
      </c>
      <c r="T788" s="5">
        <f t="shared" si="908"/>
        <v>-1861</v>
      </c>
      <c r="U788" s="5">
        <f t="shared" si="908"/>
        <v>-3392</v>
      </c>
      <c r="V788" s="33">
        <f t="shared" si="908"/>
        <v>-5235</v>
      </c>
      <c r="W788" s="5">
        <f t="shared" si="908"/>
        <v>-2603</v>
      </c>
      <c r="X788" s="5">
        <f t="shared" si="908"/>
        <v>-6874</v>
      </c>
      <c r="Y788" s="5">
        <f t="shared" si="908"/>
        <v>-12031</v>
      </c>
      <c r="Z788" s="33">
        <f t="shared" si="908"/>
        <v>-15572</v>
      </c>
      <c r="AA788" s="5">
        <f t="shared" si="908"/>
        <v>-1423</v>
      </c>
      <c r="AB788" s="5">
        <f t="shared" si="908"/>
        <v>-3254</v>
      </c>
      <c r="AC788" s="5">
        <f t="shared" si="908"/>
        <v>-5273</v>
      </c>
      <c r="AD788" s="33">
        <f t="shared" si="908"/>
        <v>-7299</v>
      </c>
      <c r="AE788" s="5">
        <f t="shared" si="908"/>
        <v>-2022</v>
      </c>
      <c r="AF788" s="5">
        <f t="shared" si="908"/>
        <v>-4174</v>
      </c>
      <c r="AG788" s="5">
        <f t="shared" si="908"/>
        <v>-7085</v>
      </c>
      <c r="AH788" s="33">
        <f t="shared" si="908"/>
        <v>-10292</v>
      </c>
      <c r="AI788" s="5">
        <f t="shared" ref="AI788:AY788" si="909">SUM(AI775:AI787)</f>
        <v>-5185</v>
      </c>
      <c r="AJ788" s="5">
        <f t="shared" si="909"/>
        <v>-13734</v>
      </c>
      <c r="AK788" s="5">
        <f t="shared" si="909"/>
        <v>-28986</v>
      </c>
      <c r="AL788" s="33">
        <f t="shared" si="909"/>
        <v>-50728</v>
      </c>
      <c r="AM788" s="5">
        <f t="shared" si="909"/>
        <v>-10660</v>
      </c>
      <c r="AN788" s="5">
        <f t="shared" si="909"/>
        <v>-17223</v>
      </c>
      <c r="AO788" s="5">
        <f t="shared" si="909"/>
        <v>-15076</v>
      </c>
      <c r="AP788" s="33">
        <f t="shared" si="909"/>
        <v>-22136</v>
      </c>
      <c r="AQ788" s="5">
        <f t="shared" si="909"/>
        <v>-10516</v>
      </c>
      <c r="AR788" s="5">
        <f t="shared" si="909"/>
        <v>-5224</v>
      </c>
      <c r="AS788" s="5">
        <f t="shared" si="909"/>
        <v>-11099</v>
      </c>
      <c r="AT788" s="33">
        <f t="shared" si="909"/>
        <v>-19500</v>
      </c>
      <c r="AU788" s="5">
        <f t="shared" si="909"/>
        <v>-19767</v>
      </c>
      <c r="AV788" s="5">
        <f t="shared" si="909"/>
        <v>-30945</v>
      </c>
      <c r="AW788" s="5">
        <f t="shared" si="909"/>
        <v>-35316</v>
      </c>
      <c r="AX788" s="33">
        <f t="shared" si="909"/>
        <v>-40781</v>
      </c>
      <c r="AY788" s="409">
        <f t="shared" si="909"/>
        <v>-19495</v>
      </c>
      <c r="AZ788" s="33"/>
      <c r="BA788" s="33"/>
      <c r="BB788" s="33"/>
      <c r="BC788" s="33"/>
      <c r="BD788" s="33"/>
      <c r="BE788" s="33"/>
      <c r="BF788" s="33"/>
      <c r="BG788" s="33"/>
      <c r="BH788" s="834">
        <f t="shared" ref="BH788:BW788" si="910">SUM(BH775:BH787)</f>
        <v>243</v>
      </c>
      <c r="BI788" s="834">
        <f t="shared" si="910"/>
        <v>781</v>
      </c>
      <c r="BJ788" s="834">
        <f t="shared" si="910"/>
        <v>1198</v>
      </c>
      <c r="BK788" s="834">
        <f t="shared" si="910"/>
        <v>6283</v>
      </c>
      <c r="BL788" s="834">
        <f t="shared" si="910"/>
        <v>-667</v>
      </c>
      <c r="BM788" s="834">
        <f t="shared" si="910"/>
        <v>1571</v>
      </c>
      <c r="BN788" s="834">
        <f t="shared" si="910"/>
        <v>1582</v>
      </c>
      <c r="BO788" s="833">
        <f t="shared" si="910"/>
        <v>-310</v>
      </c>
      <c r="BP788" s="833">
        <f t="shared" si="910"/>
        <v>-5235</v>
      </c>
      <c r="BQ788" s="833">
        <f t="shared" si="910"/>
        <v>-15572</v>
      </c>
      <c r="BR788" s="833">
        <f t="shared" si="910"/>
        <v>-7299</v>
      </c>
      <c r="BS788" s="833">
        <f t="shared" si="910"/>
        <v>-10292</v>
      </c>
      <c r="BT788" s="833">
        <f t="shared" si="910"/>
        <v>-50728</v>
      </c>
      <c r="BU788" s="833">
        <f t="shared" si="910"/>
        <v>-22136</v>
      </c>
      <c r="BV788" s="833">
        <f t="shared" si="910"/>
        <v>-19500</v>
      </c>
      <c r="BW788" s="835">
        <f t="shared" si="910"/>
        <v>-40781</v>
      </c>
      <c r="BX788" s="833"/>
      <c r="BY788" s="833"/>
      <c r="BZ788" s="833"/>
      <c r="CA788" s="833"/>
      <c r="CB788" s="833"/>
      <c r="CC788" s="6"/>
    </row>
    <row r="789" spans="1:81" outlineLevel="1" x14ac:dyDescent="0.55000000000000004">
      <c r="A789" s="192"/>
      <c r="B789" s="193"/>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272"/>
      <c r="AZ789" s="35"/>
      <c r="BA789" s="35"/>
      <c r="BB789" s="35"/>
      <c r="BC789" s="35"/>
      <c r="BD789" s="35"/>
      <c r="BE789" s="35"/>
      <c r="BF789" s="35"/>
      <c r="BG789" s="35"/>
      <c r="BH789" s="812"/>
      <c r="BI789" s="812"/>
      <c r="BJ789" s="812"/>
      <c r="BK789" s="812"/>
      <c r="BL789" s="812"/>
      <c r="BM789" s="812"/>
      <c r="BN789" s="812"/>
      <c r="BO789" s="812"/>
      <c r="BP789" s="812"/>
      <c r="BQ789" s="812"/>
      <c r="BR789" s="812"/>
      <c r="BS789" s="812"/>
      <c r="BT789" s="812"/>
      <c r="BU789" s="812"/>
      <c r="BV789" s="812"/>
      <c r="BW789" s="814"/>
      <c r="BX789" s="812"/>
      <c r="BY789" s="812"/>
      <c r="BZ789" s="812"/>
      <c r="CA789" s="812"/>
      <c r="CB789" s="812"/>
      <c r="CC789" s="6"/>
    </row>
    <row r="790" spans="1:81" outlineLevel="1" x14ac:dyDescent="0.55000000000000004">
      <c r="A790" s="19" t="s">
        <v>172</v>
      </c>
      <c r="B790" s="193"/>
      <c r="C790" s="771">
        <v>-8</v>
      </c>
      <c r="D790" s="771">
        <v>-7</v>
      </c>
      <c r="E790" s="771">
        <v>7</v>
      </c>
      <c r="F790" s="6">
        <f>BL790</f>
        <v>8</v>
      </c>
      <c r="G790" s="771">
        <v>0</v>
      </c>
      <c r="H790" s="771">
        <v>-3</v>
      </c>
      <c r="I790" s="771">
        <v>-71</v>
      </c>
      <c r="J790" s="6">
        <f>BM790</f>
        <v>-123</v>
      </c>
      <c r="K790" s="771">
        <v>-123</v>
      </c>
      <c r="L790" s="771">
        <v>-77</v>
      </c>
      <c r="M790" s="771">
        <v>-99</v>
      </c>
      <c r="N790" s="6">
        <f>BN790</f>
        <v>-155</v>
      </c>
      <c r="O790" s="771">
        <v>58</v>
      </c>
      <c r="P790" s="771">
        <v>12</v>
      </c>
      <c r="Q790" s="771">
        <v>31</v>
      </c>
      <c r="R790" s="35">
        <f>BO790</f>
        <v>-63</v>
      </c>
      <c r="S790" s="771">
        <v>26</v>
      </c>
      <c r="T790" s="771">
        <v>123</v>
      </c>
      <c r="U790" s="771">
        <v>190</v>
      </c>
      <c r="V790" s="35">
        <f>BP790</f>
        <v>233</v>
      </c>
      <c r="W790" s="771">
        <v>36</v>
      </c>
      <c r="X790" s="771">
        <v>-149</v>
      </c>
      <c r="Y790" s="771">
        <v>-167</v>
      </c>
      <c r="Z790" s="35">
        <f>BQ790</f>
        <v>-179</v>
      </c>
      <c r="AA790" s="771">
        <v>-44</v>
      </c>
      <c r="AB790" s="771">
        <v>-18</v>
      </c>
      <c r="AC790" s="771">
        <v>-174</v>
      </c>
      <c r="AD790" s="35">
        <f>BR790</f>
        <v>4</v>
      </c>
      <c r="AE790" s="771">
        <v>-222</v>
      </c>
      <c r="AF790" s="771">
        <v>-127</v>
      </c>
      <c r="AG790" s="771">
        <v>-36</v>
      </c>
      <c r="AH790" s="35">
        <f>BS790</f>
        <v>279</v>
      </c>
      <c r="AI790" s="771">
        <v>-246</v>
      </c>
      <c r="AJ790" s="771">
        <v>-129</v>
      </c>
      <c r="AK790" s="771">
        <v>-344</v>
      </c>
      <c r="AL790" s="35">
        <f>BT790</f>
        <v>-474</v>
      </c>
      <c r="AM790" s="771">
        <v>-149</v>
      </c>
      <c r="AN790" s="771">
        <v>-698</v>
      </c>
      <c r="AO790" s="771">
        <v>-1063</v>
      </c>
      <c r="AP790" s="35">
        <f>BU790</f>
        <v>-638</v>
      </c>
      <c r="AQ790" s="771">
        <v>85</v>
      </c>
      <c r="AR790" s="771">
        <v>71</v>
      </c>
      <c r="AS790" s="771">
        <v>-283</v>
      </c>
      <c r="AT790" s="35">
        <f>BV790</f>
        <v>113</v>
      </c>
      <c r="AU790" s="771">
        <v>-288</v>
      </c>
      <c r="AV790" s="771">
        <v>-440</v>
      </c>
      <c r="AW790" s="771">
        <v>-72</v>
      </c>
      <c r="AX790" s="35">
        <f>BW790</f>
        <v>-786</v>
      </c>
      <c r="AY790" s="772">
        <v>112</v>
      </c>
      <c r="AZ790" s="35"/>
      <c r="BA790" s="35"/>
      <c r="BB790" s="35"/>
      <c r="BC790" s="35"/>
      <c r="BD790" s="35"/>
      <c r="BE790" s="35"/>
      <c r="BF790" s="35"/>
      <c r="BG790" s="35"/>
      <c r="BH790" s="869">
        <v>0</v>
      </c>
      <c r="BI790" s="869">
        <v>-3</v>
      </c>
      <c r="BJ790" s="869">
        <v>3</v>
      </c>
      <c r="BK790" s="869">
        <v>1</v>
      </c>
      <c r="BL790" s="869">
        <v>8</v>
      </c>
      <c r="BM790" s="869">
        <v>-123</v>
      </c>
      <c r="BN790" s="869">
        <v>-155</v>
      </c>
      <c r="BO790" s="869">
        <v>-63</v>
      </c>
      <c r="BP790" s="869">
        <v>233</v>
      </c>
      <c r="BQ790" s="869">
        <v>-179</v>
      </c>
      <c r="BR790" s="869">
        <v>4</v>
      </c>
      <c r="BS790" s="869">
        <v>279</v>
      </c>
      <c r="BT790" s="869">
        <v>-474</v>
      </c>
      <c r="BU790" s="869">
        <v>-638</v>
      </c>
      <c r="BV790" s="869">
        <v>113</v>
      </c>
      <c r="BW790" s="907">
        <v>-786</v>
      </c>
      <c r="BX790" s="812"/>
      <c r="BY790" s="812"/>
      <c r="BZ790" s="812"/>
      <c r="CA790" s="812"/>
      <c r="CB790" s="812"/>
      <c r="CC790" s="6"/>
    </row>
    <row r="791" spans="1:81" outlineLevel="1" x14ac:dyDescent="0.55000000000000004">
      <c r="A791" s="19" t="s">
        <v>173</v>
      </c>
      <c r="B791" s="193"/>
      <c r="C791" s="6">
        <f t="shared" ref="C791:AH791" si="911">C788+C772+C758+C790</f>
        <v>-59</v>
      </c>
      <c r="D791" s="6">
        <f t="shared" si="911"/>
        <v>617</v>
      </c>
      <c r="E791" s="6">
        <f t="shared" si="911"/>
        <v>716</v>
      </c>
      <c r="F791" s="6">
        <f t="shared" si="911"/>
        <v>939</v>
      </c>
      <c r="G791" s="6">
        <f t="shared" si="911"/>
        <v>-325</v>
      </c>
      <c r="H791" s="6">
        <f t="shared" si="911"/>
        <v>1061</v>
      </c>
      <c r="I791" s="6">
        <f t="shared" si="911"/>
        <v>5676</v>
      </c>
      <c r="J791" s="6">
        <f t="shared" si="911"/>
        <v>992</v>
      </c>
      <c r="K791" s="6">
        <f t="shared" si="911"/>
        <v>-896</v>
      </c>
      <c r="L791" s="6">
        <f t="shared" si="911"/>
        <v>808</v>
      </c>
      <c r="M791" s="6">
        <f t="shared" si="911"/>
        <v>-7</v>
      </c>
      <c r="N791" s="6">
        <f t="shared" si="911"/>
        <v>592</v>
      </c>
      <c r="O791" s="6">
        <f t="shared" si="911"/>
        <v>1549</v>
      </c>
      <c r="P791" s="6">
        <f t="shared" si="911"/>
        <v>201</v>
      </c>
      <c r="Q791" s="6">
        <f t="shared" si="911"/>
        <v>1131</v>
      </c>
      <c r="R791" s="35">
        <f t="shared" si="911"/>
        <v>3996</v>
      </c>
      <c r="S791" s="6">
        <f t="shared" si="911"/>
        <v>-1799</v>
      </c>
      <c r="T791" s="6">
        <f t="shared" si="911"/>
        <v>-2651</v>
      </c>
      <c r="U791" s="6">
        <f t="shared" si="911"/>
        <v>-1702</v>
      </c>
      <c r="V791" s="35">
        <f t="shared" si="911"/>
        <v>-824</v>
      </c>
      <c r="W791" s="6">
        <f t="shared" si="911"/>
        <v>4006</v>
      </c>
      <c r="X791" s="6">
        <f t="shared" si="911"/>
        <v>3464</v>
      </c>
      <c r="Y791" s="6">
        <f t="shared" si="911"/>
        <v>1540</v>
      </c>
      <c r="Z791" s="35">
        <f t="shared" si="911"/>
        <v>1920</v>
      </c>
      <c r="AA791" s="6">
        <f t="shared" si="911"/>
        <v>1073</v>
      </c>
      <c r="AB791" s="6">
        <f t="shared" si="911"/>
        <v>3874</v>
      </c>
      <c r="AC791" s="6">
        <f t="shared" si="911"/>
        <v>5956</v>
      </c>
      <c r="AD791" s="35">
        <f t="shared" si="911"/>
        <v>9155</v>
      </c>
      <c r="AE791" s="6">
        <f t="shared" si="911"/>
        <v>4648</v>
      </c>
      <c r="AF791" s="6">
        <f t="shared" si="911"/>
        <v>2290</v>
      </c>
      <c r="AG791" s="6">
        <f t="shared" si="911"/>
        <v>-7300</v>
      </c>
      <c r="AH791" s="35">
        <f t="shared" si="911"/>
        <v>-1325</v>
      </c>
      <c r="AI791" s="6">
        <f t="shared" ref="AI791:AY791" si="912">AI788+AI772+AI758+AI790</f>
        <v>1937</v>
      </c>
      <c r="AJ791" s="6">
        <f t="shared" si="912"/>
        <v>-1443</v>
      </c>
      <c r="AK791" s="6">
        <f t="shared" si="912"/>
        <v>-3150</v>
      </c>
      <c r="AL791" s="35">
        <f t="shared" si="912"/>
        <v>-1089</v>
      </c>
      <c r="AM791" s="6">
        <f t="shared" si="912"/>
        <v>-1512</v>
      </c>
      <c r="AN791" s="6">
        <f t="shared" si="912"/>
        <v>-3387</v>
      </c>
      <c r="AO791" s="6">
        <f t="shared" si="912"/>
        <v>-1614</v>
      </c>
      <c r="AP791" s="35">
        <f t="shared" si="912"/>
        <v>-1269</v>
      </c>
      <c r="AQ791" s="6">
        <f t="shared" si="912"/>
        <v>-3176</v>
      </c>
      <c r="AR791" s="6">
        <f t="shared" si="912"/>
        <v>14208</v>
      </c>
      <c r="AS791" s="6">
        <f t="shared" si="912"/>
        <v>22304</v>
      </c>
      <c r="AT791" s="35">
        <f t="shared" si="912"/>
        <v>27231</v>
      </c>
      <c r="AU791" s="6">
        <f t="shared" si="912"/>
        <v>-9543</v>
      </c>
      <c r="AV791" s="6">
        <f t="shared" si="912"/>
        <v>-9801</v>
      </c>
      <c r="AW791" s="6">
        <f t="shared" si="912"/>
        <v>2300</v>
      </c>
      <c r="AX791" s="35">
        <f t="shared" si="912"/>
        <v>2611</v>
      </c>
      <c r="AY791" s="272">
        <f t="shared" si="912"/>
        <v>-15367</v>
      </c>
      <c r="AZ791" s="35"/>
      <c r="BA791" s="35"/>
      <c r="BB791" s="35"/>
      <c r="BC791" s="35"/>
      <c r="BD791" s="35"/>
      <c r="BE791" s="35"/>
      <c r="BF791" s="35"/>
      <c r="BG791" s="35"/>
      <c r="BH791" s="813">
        <f t="shared" ref="BH791:BW791" si="913">BH788+BH772+BH758+BH790</f>
        <v>336</v>
      </c>
      <c r="BI791" s="813">
        <f t="shared" si="913"/>
        <v>1152</v>
      </c>
      <c r="BJ791" s="813">
        <f t="shared" si="913"/>
        <v>-273</v>
      </c>
      <c r="BK791" s="813">
        <f t="shared" si="913"/>
        <v>872</v>
      </c>
      <c r="BL791" s="813">
        <f t="shared" si="913"/>
        <v>939</v>
      </c>
      <c r="BM791" s="813">
        <f t="shared" si="913"/>
        <v>992</v>
      </c>
      <c r="BN791" s="813">
        <f t="shared" si="913"/>
        <v>592</v>
      </c>
      <c r="BO791" s="812">
        <f t="shared" si="913"/>
        <v>3996</v>
      </c>
      <c r="BP791" s="812">
        <f t="shared" si="913"/>
        <v>-824</v>
      </c>
      <c r="BQ791" s="812">
        <f t="shared" si="913"/>
        <v>1920</v>
      </c>
      <c r="BR791" s="812">
        <f t="shared" si="913"/>
        <v>9155</v>
      </c>
      <c r="BS791" s="812">
        <f t="shared" si="913"/>
        <v>-1325</v>
      </c>
      <c r="BT791" s="812">
        <f t="shared" si="913"/>
        <v>-1089</v>
      </c>
      <c r="BU791" s="812">
        <f t="shared" si="913"/>
        <v>-1269</v>
      </c>
      <c r="BV791" s="812">
        <f t="shared" si="913"/>
        <v>27231</v>
      </c>
      <c r="BW791" s="814">
        <f t="shared" si="913"/>
        <v>2611</v>
      </c>
      <c r="BX791" s="812"/>
      <c r="BY791" s="812"/>
      <c r="BZ791" s="812"/>
      <c r="CA791" s="812"/>
      <c r="CB791" s="812"/>
      <c r="CC791" s="6"/>
    </row>
    <row r="792" spans="1:81" outlineLevel="1" x14ac:dyDescent="0.55000000000000004">
      <c r="A792" s="192"/>
      <c r="B792" s="193"/>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s="272"/>
      <c r="AZ792" s="35"/>
      <c r="BA792" s="35"/>
      <c r="BB792" s="35"/>
      <c r="BC792" s="35"/>
      <c r="BD792" s="35"/>
      <c r="BE792" s="35"/>
      <c r="BF792" s="35"/>
      <c r="BG792" s="35"/>
      <c r="BH792" s="812"/>
      <c r="BI792" s="812"/>
      <c r="BJ792" s="812"/>
      <c r="BK792" s="812"/>
      <c r="BL792" s="812"/>
      <c r="BM792" s="812"/>
      <c r="BN792" s="812"/>
      <c r="BO792" s="812"/>
      <c r="BP792" s="812"/>
      <c r="BQ792" s="812"/>
      <c r="BR792" s="812"/>
      <c r="BS792" s="812"/>
      <c r="BT792" s="812"/>
      <c r="BU792" s="812"/>
      <c r="BV792" s="812"/>
      <c r="BW792" s="814"/>
      <c r="BX792" s="812"/>
      <c r="BY792" s="812"/>
      <c r="BZ792" s="812"/>
      <c r="CA792" s="812"/>
      <c r="CB792" s="812"/>
      <c r="CC792" s="6"/>
    </row>
    <row r="793" spans="1:81" outlineLevel="1" x14ac:dyDescent="0.55000000000000004">
      <c r="A793" s="19" t="s">
        <v>174</v>
      </c>
      <c r="B793" s="193"/>
      <c r="C793" s="6">
        <f>BK794</f>
        <v>2384</v>
      </c>
      <c r="D793" s="6">
        <f>C793</f>
        <v>2384</v>
      </c>
      <c r="E793" s="6">
        <f>D793</f>
        <v>2384</v>
      </c>
      <c r="F793" s="6">
        <f>E793</f>
        <v>2384</v>
      </c>
      <c r="G793" s="6">
        <f>BL794</f>
        <v>3323</v>
      </c>
      <c r="H793" s="6">
        <f>G793</f>
        <v>3323</v>
      </c>
      <c r="I793" s="6">
        <f>H793</f>
        <v>3323</v>
      </c>
      <c r="J793" s="6">
        <f>I793</f>
        <v>3323</v>
      </c>
      <c r="K793" s="6">
        <f>BM794</f>
        <v>4315</v>
      </c>
      <c r="L793" s="6">
        <f>K793</f>
        <v>4315</v>
      </c>
      <c r="M793" s="6">
        <f>L793</f>
        <v>4315</v>
      </c>
      <c r="N793" s="6">
        <f>M793</f>
        <v>4315</v>
      </c>
      <c r="O793" s="6">
        <f>BN794</f>
        <v>4907</v>
      </c>
      <c r="P793" s="6">
        <f>O793</f>
        <v>4907</v>
      </c>
      <c r="Q793" s="6">
        <f>P793</f>
        <v>4907</v>
      </c>
      <c r="R793" s="6">
        <f>Q793</f>
        <v>4907</v>
      </c>
      <c r="S793" s="6">
        <f>BO794</f>
        <v>8903</v>
      </c>
      <c r="T793" s="6">
        <f>S793</f>
        <v>8903</v>
      </c>
      <c r="U793" s="6">
        <f>T793</f>
        <v>8903</v>
      </c>
      <c r="V793" s="6">
        <f>U793</f>
        <v>8903</v>
      </c>
      <c r="W793" s="771">
        <v>8204</v>
      </c>
      <c r="X793" s="6">
        <f>W793</f>
        <v>8204</v>
      </c>
      <c r="Y793" s="6">
        <f>X793</f>
        <v>8204</v>
      </c>
      <c r="Z793" s="6">
        <f>Y793</f>
        <v>8204</v>
      </c>
      <c r="AA793" s="6">
        <f>BQ794</f>
        <v>10124</v>
      </c>
      <c r="AB793" s="6">
        <f>AA793</f>
        <v>10124</v>
      </c>
      <c r="AC793" s="6">
        <f>AB793</f>
        <v>10124</v>
      </c>
      <c r="AD793" s="6">
        <f>AC793</f>
        <v>10124</v>
      </c>
      <c r="AE793" s="6">
        <f>BR794</f>
        <v>19279</v>
      </c>
      <c r="AF793" s="6">
        <f>AE793</f>
        <v>19279</v>
      </c>
      <c r="AG793" s="6">
        <f>AF793</f>
        <v>19279</v>
      </c>
      <c r="AH793" s="6">
        <f>AG793</f>
        <v>19279</v>
      </c>
      <c r="AI793" s="6">
        <f>BS794</f>
        <v>17954</v>
      </c>
      <c r="AJ793" s="6">
        <f>AI793</f>
        <v>17954</v>
      </c>
      <c r="AK793" s="6">
        <f>AJ793</f>
        <v>17954</v>
      </c>
      <c r="AL793" s="6">
        <f>AK793</f>
        <v>17954</v>
      </c>
      <c r="AM793" s="6">
        <f>BT794</f>
        <v>16865</v>
      </c>
      <c r="AN793" s="6">
        <f>AM793</f>
        <v>16865</v>
      </c>
      <c r="AO793" s="6">
        <f>AN793</f>
        <v>16865</v>
      </c>
      <c r="AP793" s="6">
        <f>AO793</f>
        <v>16865</v>
      </c>
      <c r="AQ793" s="6">
        <f>BU794</f>
        <v>15596</v>
      </c>
      <c r="AR793" s="6">
        <f>AQ793</f>
        <v>15596</v>
      </c>
      <c r="AS793" s="6">
        <f>AR793</f>
        <v>15596</v>
      </c>
      <c r="AT793" s="6">
        <f>AS793</f>
        <v>15596</v>
      </c>
      <c r="AU793" s="6">
        <f>BV794</f>
        <v>42827</v>
      </c>
      <c r="AV793" s="6">
        <f>AU793</f>
        <v>42827</v>
      </c>
      <c r="AW793" s="6">
        <f>AV793</f>
        <v>42827</v>
      </c>
      <c r="AX793" s="6">
        <f>AW793</f>
        <v>42827</v>
      </c>
      <c r="AY793" s="272">
        <f>BW794</f>
        <v>45438</v>
      </c>
      <c r="AZ793" s="35"/>
      <c r="BA793" s="35"/>
      <c r="BB793" s="35"/>
      <c r="BC793" s="35"/>
      <c r="BD793" s="35"/>
      <c r="BE793" s="35"/>
      <c r="BF793" s="35"/>
      <c r="BG793" s="35"/>
      <c r="BH793" s="869">
        <v>297</v>
      </c>
      <c r="BI793" s="813">
        <f>BH794</f>
        <v>633</v>
      </c>
      <c r="BJ793" s="813">
        <f>BI794</f>
        <v>1785</v>
      </c>
      <c r="BK793" s="813">
        <f>BJ794</f>
        <v>1512</v>
      </c>
      <c r="BL793" s="813">
        <f>F793</f>
        <v>2384</v>
      </c>
      <c r="BM793" s="813">
        <f>J793</f>
        <v>3323</v>
      </c>
      <c r="BN793" s="813">
        <f>N793</f>
        <v>4315</v>
      </c>
      <c r="BO793" s="813">
        <f>R793</f>
        <v>4907</v>
      </c>
      <c r="BP793" s="813">
        <f>V793</f>
        <v>8903</v>
      </c>
      <c r="BQ793" s="813">
        <f>Z793</f>
        <v>8204</v>
      </c>
      <c r="BR793" s="813">
        <f>AD793</f>
        <v>10124</v>
      </c>
      <c r="BS793" s="813">
        <f>AH793</f>
        <v>19279</v>
      </c>
      <c r="BT793" s="813">
        <f>AL793</f>
        <v>17954</v>
      </c>
      <c r="BU793" s="813">
        <f>AP793</f>
        <v>16865</v>
      </c>
      <c r="BV793" s="813">
        <f>AT793</f>
        <v>15596</v>
      </c>
      <c r="BW793" s="870">
        <f>AX793</f>
        <v>42827</v>
      </c>
      <c r="BX793" s="812"/>
      <c r="BY793" s="812"/>
      <c r="BZ793" s="812"/>
      <c r="CA793" s="812"/>
      <c r="CB793" s="812"/>
      <c r="CC793" s="6"/>
    </row>
    <row r="794" spans="1:81" outlineLevel="1" x14ac:dyDescent="0.55000000000000004">
      <c r="A794" s="19" t="s">
        <v>175</v>
      </c>
      <c r="B794" s="193"/>
      <c r="C794" s="6">
        <f t="shared" ref="C794:AH794" si="914">C791+C793</f>
        <v>2325</v>
      </c>
      <c r="D794" s="6">
        <f t="shared" si="914"/>
        <v>3001</v>
      </c>
      <c r="E794" s="6">
        <f t="shared" si="914"/>
        <v>3100</v>
      </c>
      <c r="F794" s="6">
        <f t="shared" si="914"/>
        <v>3323</v>
      </c>
      <c r="G794" s="6">
        <f t="shared" si="914"/>
        <v>2998</v>
      </c>
      <c r="H794" s="6">
        <f t="shared" si="914"/>
        <v>4384</v>
      </c>
      <c r="I794" s="6">
        <f t="shared" si="914"/>
        <v>8999</v>
      </c>
      <c r="J794" s="6">
        <f t="shared" si="914"/>
        <v>4315</v>
      </c>
      <c r="K794" s="6">
        <f t="shared" si="914"/>
        <v>3419</v>
      </c>
      <c r="L794" s="6">
        <f t="shared" si="914"/>
        <v>5123</v>
      </c>
      <c r="M794" s="6">
        <f t="shared" si="914"/>
        <v>4308</v>
      </c>
      <c r="N794" s="6">
        <f t="shared" si="914"/>
        <v>4907</v>
      </c>
      <c r="O794" s="6">
        <f t="shared" si="914"/>
        <v>6456</v>
      </c>
      <c r="P794" s="6">
        <f t="shared" si="914"/>
        <v>5108</v>
      </c>
      <c r="Q794" s="6">
        <f t="shared" si="914"/>
        <v>6038</v>
      </c>
      <c r="R794" s="6">
        <f t="shared" si="914"/>
        <v>8903</v>
      </c>
      <c r="S794" s="6">
        <f t="shared" si="914"/>
        <v>7104</v>
      </c>
      <c r="T794" s="6">
        <f t="shared" si="914"/>
        <v>6252</v>
      </c>
      <c r="U794" s="6">
        <f t="shared" si="914"/>
        <v>7201</v>
      </c>
      <c r="V794" s="6">
        <f t="shared" si="914"/>
        <v>8079</v>
      </c>
      <c r="W794" s="6">
        <f t="shared" si="914"/>
        <v>12210</v>
      </c>
      <c r="X794" s="6">
        <f t="shared" si="914"/>
        <v>11668</v>
      </c>
      <c r="Y794" s="6">
        <f t="shared" si="914"/>
        <v>9744</v>
      </c>
      <c r="Z794" s="6">
        <f t="shared" si="914"/>
        <v>10124</v>
      </c>
      <c r="AA794" s="6">
        <f t="shared" si="914"/>
        <v>11197</v>
      </c>
      <c r="AB794" s="6">
        <f t="shared" si="914"/>
        <v>13998</v>
      </c>
      <c r="AC794" s="6">
        <f t="shared" si="914"/>
        <v>16080</v>
      </c>
      <c r="AD794" s="6">
        <f t="shared" si="914"/>
        <v>19279</v>
      </c>
      <c r="AE794" s="6">
        <f t="shared" si="914"/>
        <v>23927</v>
      </c>
      <c r="AF794" s="6">
        <f t="shared" si="914"/>
        <v>21569</v>
      </c>
      <c r="AG794" s="6">
        <f t="shared" si="914"/>
        <v>11979</v>
      </c>
      <c r="AH794" s="6">
        <f t="shared" si="914"/>
        <v>17954</v>
      </c>
      <c r="AI794" s="6">
        <f t="shared" ref="AI794:AY794" si="915">AI791+AI793</f>
        <v>19891</v>
      </c>
      <c r="AJ794" s="6">
        <f t="shared" si="915"/>
        <v>16511</v>
      </c>
      <c r="AK794" s="6">
        <f t="shared" si="915"/>
        <v>14804</v>
      </c>
      <c r="AL794" s="6">
        <f t="shared" si="915"/>
        <v>16865</v>
      </c>
      <c r="AM794" s="6">
        <f t="shared" si="915"/>
        <v>15353</v>
      </c>
      <c r="AN794" s="6">
        <f t="shared" si="915"/>
        <v>13478</v>
      </c>
      <c r="AO794" s="6">
        <f t="shared" si="915"/>
        <v>15251</v>
      </c>
      <c r="AP794" s="6">
        <f t="shared" si="915"/>
        <v>15596</v>
      </c>
      <c r="AQ794" s="6">
        <f t="shared" si="915"/>
        <v>12420</v>
      </c>
      <c r="AR794" s="6">
        <f t="shared" si="915"/>
        <v>29804</v>
      </c>
      <c r="AS794" s="6">
        <f t="shared" si="915"/>
        <v>37900</v>
      </c>
      <c r="AT794" s="6">
        <f t="shared" si="915"/>
        <v>42827</v>
      </c>
      <c r="AU794" s="6">
        <f t="shared" si="915"/>
        <v>33284</v>
      </c>
      <c r="AV794" s="6">
        <f t="shared" si="915"/>
        <v>33026</v>
      </c>
      <c r="AW794" s="6">
        <f t="shared" si="915"/>
        <v>45127</v>
      </c>
      <c r="AX794" s="6">
        <f t="shared" si="915"/>
        <v>45438</v>
      </c>
      <c r="AY794" s="272">
        <f t="shared" si="915"/>
        <v>30071</v>
      </c>
      <c r="AZ794" s="35"/>
      <c r="BA794" s="35"/>
      <c r="BB794" s="35"/>
      <c r="BC794" s="35"/>
      <c r="BD794" s="35"/>
      <c r="BE794" s="35"/>
      <c r="BF794" s="35"/>
      <c r="BG794" s="35"/>
      <c r="BH794" s="813">
        <f t="shared" ref="BH794:BW794" si="916">BH791+BH793</f>
        <v>633</v>
      </c>
      <c r="BI794" s="813">
        <f t="shared" si="916"/>
        <v>1785</v>
      </c>
      <c r="BJ794" s="813">
        <f t="shared" si="916"/>
        <v>1512</v>
      </c>
      <c r="BK794" s="813">
        <f t="shared" si="916"/>
        <v>2384</v>
      </c>
      <c r="BL794" s="813">
        <f t="shared" si="916"/>
        <v>3323</v>
      </c>
      <c r="BM794" s="813">
        <f t="shared" si="916"/>
        <v>4315</v>
      </c>
      <c r="BN794" s="813">
        <f t="shared" si="916"/>
        <v>4907</v>
      </c>
      <c r="BO794" s="813">
        <f t="shared" si="916"/>
        <v>8903</v>
      </c>
      <c r="BP794" s="813">
        <f t="shared" si="916"/>
        <v>8079</v>
      </c>
      <c r="BQ794" s="813">
        <f t="shared" si="916"/>
        <v>10124</v>
      </c>
      <c r="BR794" s="813">
        <f t="shared" si="916"/>
        <v>19279</v>
      </c>
      <c r="BS794" s="813">
        <f t="shared" si="916"/>
        <v>17954</v>
      </c>
      <c r="BT794" s="813">
        <f t="shared" si="916"/>
        <v>16865</v>
      </c>
      <c r="BU794" s="813">
        <f t="shared" si="916"/>
        <v>15596</v>
      </c>
      <c r="BV794" s="813">
        <f t="shared" si="916"/>
        <v>42827</v>
      </c>
      <c r="BW794" s="870">
        <f t="shared" si="916"/>
        <v>45438</v>
      </c>
      <c r="BX794" s="812"/>
      <c r="BY794" s="812"/>
      <c r="BZ794" s="812"/>
      <c r="CA794" s="812"/>
      <c r="CB794" s="812"/>
      <c r="CC794" s="6"/>
    </row>
    <row r="795" spans="1:81" outlineLevel="1" x14ac:dyDescent="0.55000000000000004">
      <c r="A795" s="192"/>
      <c r="B795" s="193"/>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s="272"/>
      <c r="AZ795" s="35"/>
      <c r="BA795" s="35"/>
      <c r="BB795" s="35"/>
      <c r="BC795" s="35"/>
      <c r="BD795" s="35"/>
      <c r="BE795" s="35"/>
      <c r="BF795" s="35"/>
      <c r="BG795" s="35"/>
      <c r="BH795" s="812"/>
      <c r="BI795" s="812"/>
      <c r="BJ795" s="812"/>
      <c r="BK795" s="812"/>
      <c r="BL795" s="812"/>
      <c r="BM795" s="812"/>
      <c r="BN795" s="812"/>
      <c r="BO795" s="812"/>
      <c r="BP795" s="812"/>
      <c r="BQ795" s="812"/>
      <c r="BR795" s="812"/>
      <c r="BS795" s="812"/>
      <c r="BT795" s="812"/>
      <c r="BU795" s="812"/>
      <c r="BV795" s="812"/>
      <c r="BW795" s="814"/>
      <c r="BX795" s="812"/>
      <c r="BY795" s="812"/>
      <c r="BZ795" s="812"/>
      <c r="CA795" s="812"/>
      <c r="CB795" s="812"/>
      <c r="CC795" s="6"/>
    </row>
    <row r="796" spans="1:81" outlineLevel="1" x14ac:dyDescent="0.55000000000000004">
      <c r="A796" s="74" t="s">
        <v>612</v>
      </c>
      <c r="B796" s="87"/>
      <c r="C796" s="759">
        <v>12</v>
      </c>
      <c r="D796" s="759">
        <v>26</v>
      </c>
      <c r="E796" s="759">
        <v>33</v>
      </c>
      <c r="F796" s="117">
        <f>BL796</f>
        <v>38</v>
      </c>
      <c r="G796" s="759">
        <v>4</v>
      </c>
      <c r="H796" s="759">
        <v>8</v>
      </c>
      <c r="I796" s="759">
        <v>11</v>
      </c>
      <c r="J796" s="117">
        <f>BM796</f>
        <v>14</v>
      </c>
      <c r="K796" s="759">
        <v>3</v>
      </c>
      <c r="L796" s="759">
        <v>5</v>
      </c>
      <c r="M796" s="759">
        <v>8</v>
      </c>
      <c r="N796" s="117">
        <f>BN796</f>
        <v>10</v>
      </c>
      <c r="O796" s="759">
        <v>11</v>
      </c>
      <c r="P796" s="759">
        <v>11</v>
      </c>
      <c r="Q796" s="759">
        <v>11</v>
      </c>
      <c r="R796" s="117">
        <f>BO796</f>
        <v>11</v>
      </c>
      <c r="S796" s="759">
        <v>0</v>
      </c>
      <c r="T796" s="759">
        <v>0</v>
      </c>
      <c r="U796" s="759">
        <v>0</v>
      </c>
      <c r="V796" s="117">
        <f>BP796</f>
        <v>0</v>
      </c>
      <c r="W796" s="37"/>
      <c r="X796" s="37"/>
      <c r="Y796" s="37"/>
      <c r="Z796" s="37"/>
      <c r="AA796" s="759">
        <v>2</v>
      </c>
      <c r="AB796" s="759">
        <v>6</v>
      </c>
      <c r="AC796" s="759">
        <v>9</v>
      </c>
      <c r="AD796" s="37"/>
      <c r="AE796" s="37"/>
      <c r="AF796" s="37"/>
      <c r="AG796" s="37"/>
      <c r="AH796" s="37"/>
      <c r="AI796" s="37"/>
      <c r="AJ796" s="37"/>
      <c r="AK796" s="37"/>
      <c r="AL796" s="37"/>
      <c r="AM796" s="37"/>
      <c r="AN796" s="37"/>
      <c r="AO796" s="37"/>
      <c r="AP796" s="37"/>
      <c r="AQ796" s="759">
        <v>182</v>
      </c>
      <c r="AR796" s="759">
        <v>182</v>
      </c>
      <c r="AS796" s="759">
        <v>302</v>
      </c>
      <c r="AT796" s="37">
        <f>BV796</f>
        <v>448</v>
      </c>
      <c r="AU796" s="759">
        <v>121</v>
      </c>
      <c r="AV796" s="759">
        <v>245</v>
      </c>
      <c r="AW796" s="759">
        <v>356</v>
      </c>
      <c r="AX796" s="37">
        <f>BW796</f>
        <v>486</v>
      </c>
      <c r="AY796" s="273"/>
      <c r="AZ796" s="37"/>
      <c r="BA796" s="37"/>
      <c r="BB796" s="37"/>
      <c r="BC796" s="37"/>
      <c r="BD796" s="37"/>
      <c r="BE796" s="37"/>
      <c r="BF796" s="37"/>
      <c r="BG796" s="37"/>
      <c r="BH796" s="857">
        <v>9</v>
      </c>
      <c r="BI796" s="857">
        <v>23</v>
      </c>
      <c r="BJ796" s="857">
        <v>28</v>
      </c>
      <c r="BK796" s="857">
        <v>38</v>
      </c>
      <c r="BL796" s="857">
        <v>38</v>
      </c>
      <c r="BM796" s="857">
        <v>14</v>
      </c>
      <c r="BN796" s="857">
        <v>10</v>
      </c>
      <c r="BO796" s="857">
        <v>11</v>
      </c>
      <c r="BP796" s="857">
        <v>0</v>
      </c>
      <c r="BQ796" s="857">
        <v>1</v>
      </c>
      <c r="BR796" s="158"/>
      <c r="BS796" s="158"/>
      <c r="BT796" s="158"/>
      <c r="BU796" s="158"/>
      <c r="BV796" s="857">
        <v>448</v>
      </c>
      <c r="BW796" s="862">
        <v>486</v>
      </c>
      <c r="BX796" s="158"/>
      <c r="BY796" s="158"/>
      <c r="BZ796" s="158"/>
      <c r="CA796" s="158"/>
      <c r="CB796" s="158"/>
      <c r="CC796" s="117"/>
    </row>
    <row r="797" spans="1:81" outlineLevel="2" x14ac:dyDescent="0.55000000000000004">
      <c r="A797" s="116" t="s">
        <v>614</v>
      </c>
      <c r="B797" s="87"/>
      <c r="C797" s="37"/>
      <c r="D797" s="759">
        <v>18</v>
      </c>
      <c r="E797" s="759">
        <v>61</v>
      </c>
      <c r="F797" s="117">
        <f>BL797</f>
        <v>82</v>
      </c>
      <c r="G797" s="37"/>
      <c r="H797" s="37"/>
      <c r="I797" s="37"/>
      <c r="J797" s="117">
        <f>BM797</f>
        <v>184</v>
      </c>
      <c r="K797" s="37"/>
      <c r="L797" s="37"/>
      <c r="M797" s="37"/>
      <c r="N797" s="117">
        <f>BN797</f>
        <v>273</v>
      </c>
      <c r="O797" s="37"/>
      <c r="P797" s="37"/>
      <c r="Q797" s="37"/>
      <c r="R797" s="37"/>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273"/>
      <c r="AZ797" s="37"/>
      <c r="BA797" s="37"/>
      <c r="BB797" s="37"/>
      <c r="BC797" s="37"/>
      <c r="BD797" s="37"/>
      <c r="BE797" s="37"/>
      <c r="BF797" s="37"/>
      <c r="BG797" s="37"/>
      <c r="BH797" s="158"/>
      <c r="BI797" s="158"/>
      <c r="BJ797" s="158"/>
      <c r="BK797" s="857">
        <v>184</v>
      </c>
      <c r="BL797" s="857">
        <v>82</v>
      </c>
      <c r="BM797" s="857">
        <v>184</v>
      </c>
      <c r="BN797" s="857">
        <v>273</v>
      </c>
      <c r="BO797" s="158"/>
      <c r="BP797" s="158"/>
      <c r="BQ797" s="158"/>
      <c r="BR797" s="158"/>
      <c r="BS797" s="158"/>
      <c r="BT797" s="158"/>
      <c r="BU797" s="158"/>
      <c r="BV797" s="158"/>
      <c r="BW797" s="846"/>
      <c r="BX797" s="158"/>
      <c r="BY797" s="158"/>
      <c r="BZ797" s="158"/>
      <c r="CA797" s="158"/>
      <c r="CB797" s="158"/>
      <c r="CC797" s="117"/>
    </row>
    <row r="798" spans="1:81" outlineLevel="2" x14ac:dyDescent="0.55000000000000004">
      <c r="A798" s="18" t="s">
        <v>615</v>
      </c>
      <c r="B798" s="244"/>
      <c r="C798" s="82"/>
      <c r="D798" s="763">
        <v>-419</v>
      </c>
      <c r="E798" s="763">
        <v>-419</v>
      </c>
      <c r="F798" s="14">
        <f>BL798</f>
        <v>-421</v>
      </c>
      <c r="G798" s="82"/>
      <c r="H798" s="82"/>
      <c r="I798" s="82"/>
      <c r="J798" s="14">
        <f>BM798</f>
        <v>-6</v>
      </c>
      <c r="K798" s="82"/>
      <c r="L798" s="82"/>
      <c r="M798" s="82"/>
      <c r="N798" s="14">
        <f>BN798</f>
        <v>-3</v>
      </c>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c r="AX798" s="82"/>
      <c r="AY798" s="406"/>
      <c r="AZ798" s="82"/>
      <c r="BA798" s="82"/>
      <c r="BB798" s="82"/>
      <c r="BC798" s="82"/>
      <c r="BD798" s="82"/>
      <c r="BE798" s="82"/>
      <c r="BF798" s="82"/>
      <c r="BG798" s="82"/>
      <c r="BH798" s="854"/>
      <c r="BI798" s="854"/>
      <c r="BJ798" s="854"/>
      <c r="BK798" s="863">
        <v>-131</v>
      </c>
      <c r="BL798" s="863">
        <v>-421</v>
      </c>
      <c r="BM798" s="863">
        <v>-6</v>
      </c>
      <c r="BN798" s="863">
        <v>-3</v>
      </c>
      <c r="BO798" s="854"/>
      <c r="BP798" s="854"/>
      <c r="BQ798" s="854"/>
      <c r="BR798" s="854"/>
      <c r="BS798" s="854"/>
      <c r="BT798" s="854"/>
      <c r="BU798" s="854"/>
      <c r="BV798" s="854"/>
      <c r="BW798" s="855"/>
      <c r="BX798" s="854"/>
      <c r="BY798" s="854"/>
      <c r="BZ798" s="854"/>
      <c r="CA798" s="854"/>
      <c r="CB798" s="854"/>
      <c r="CC798" s="117"/>
    </row>
    <row r="799" spans="1:81" outlineLevel="1" x14ac:dyDescent="0.55000000000000004">
      <c r="A799" s="287" t="s">
        <v>613</v>
      </c>
      <c r="B799" s="87"/>
      <c r="C799" s="759">
        <v>9</v>
      </c>
      <c r="D799" s="37">
        <f>SUM(D797:D798)</f>
        <v>-401</v>
      </c>
      <c r="E799" s="37">
        <f>SUM(E797:E798)</f>
        <v>-358</v>
      </c>
      <c r="F799" s="37">
        <f>SUM(F797:F798)</f>
        <v>-339</v>
      </c>
      <c r="G799" s="759">
        <v>37</v>
      </c>
      <c r="H799" s="759">
        <v>59</v>
      </c>
      <c r="I799" s="759">
        <v>101</v>
      </c>
      <c r="J799" s="37">
        <f>SUM(J797:J798)</f>
        <v>178</v>
      </c>
      <c r="K799" s="759">
        <v>119</v>
      </c>
      <c r="L799" s="759">
        <v>159</v>
      </c>
      <c r="M799" s="759">
        <v>199</v>
      </c>
      <c r="N799" s="37">
        <f>SUM(N797:N798)</f>
        <v>270</v>
      </c>
      <c r="O799" s="759">
        <v>170</v>
      </c>
      <c r="P799" s="759">
        <v>407</v>
      </c>
      <c r="Q799" s="759">
        <v>764</v>
      </c>
      <c r="R799" s="37">
        <f>BO799</f>
        <v>1210</v>
      </c>
      <c r="S799" s="759">
        <v>664</v>
      </c>
      <c r="T799" s="759">
        <v>1359</v>
      </c>
      <c r="U799" s="759">
        <v>1793</v>
      </c>
      <c r="V799" s="37">
        <f>BP799</f>
        <v>2117</v>
      </c>
      <c r="W799" s="759">
        <v>736</v>
      </c>
      <c r="X799" s="759">
        <v>2281</v>
      </c>
      <c r="Y799" s="759">
        <v>2728</v>
      </c>
      <c r="Z799" s="37">
        <f>BQ799</f>
        <v>3762</v>
      </c>
      <c r="AA799" s="759">
        <v>682</v>
      </c>
      <c r="AB799" s="759">
        <v>1696</v>
      </c>
      <c r="AC799" s="759">
        <v>2528</v>
      </c>
      <c r="AD799" s="37">
        <f>BR799</f>
        <v>5182</v>
      </c>
      <c r="AE799" s="759">
        <v>209</v>
      </c>
      <c r="AF799" s="759">
        <v>1250</v>
      </c>
      <c r="AG799" s="759">
        <v>3122</v>
      </c>
      <c r="AH799" s="37">
        <f>BS799</f>
        <v>4229</v>
      </c>
      <c r="AI799" s="759">
        <v>2907</v>
      </c>
      <c r="AJ799" s="759">
        <v>6294</v>
      </c>
      <c r="AK799" s="759">
        <v>7919</v>
      </c>
      <c r="AL799" s="37">
        <f>BT799</f>
        <v>8525</v>
      </c>
      <c r="AM799" s="759">
        <v>502</v>
      </c>
      <c r="AN799" s="759">
        <v>2641</v>
      </c>
      <c r="AO799" s="759">
        <v>4647</v>
      </c>
      <c r="AP799" s="37">
        <f>BU799</f>
        <v>6407</v>
      </c>
      <c r="AQ799" s="759">
        <v>405</v>
      </c>
      <c r="AR799" s="759">
        <v>1507</v>
      </c>
      <c r="AS799" s="759">
        <v>2016</v>
      </c>
      <c r="AT799" s="37">
        <f>BV799</f>
        <v>6607</v>
      </c>
      <c r="AU799" s="759">
        <v>630</v>
      </c>
      <c r="AV799" s="759">
        <v>6559</v>
      </c>
      <c r="AW799" s="759">
        <v>8326</v>
      </c>
      <c r="AX799" s="37">
        <f>BW799</f>
        <v>10554</v>
      </c>
      <c r="AY799" s="762">
        <v>448</v>
      </c>
      <c r="AZ799" s="37"/>
      <c r="BA799" s="37"/>
      <c r="BB799" s="37"/>
      <c r="BC799" s="37"/>
      <c r="BD799" s="37"/>
      <c r="BE799" s="37"/>
      <c r="BF799" s="37"/>
      <c r="BG799" s="37"/>
      <c r="BH799" s="857">
        <v>42</v>
      </c>
      <c r="BI799" s="857">
        <v>261</v>
      </c>
      <c r="BJ799" s="857">
        <v>197</v>
      </c>
      <c r="BK799" s="158">
        <f>SUM(BK797:BK798)</f>
        <v>53</v>
      </c>
      <c r="BL799" s="158">
        <f>SUM(BL797:BL798)</f>
        <v>-339</v>
      </c>
      <c r="BM799" s="158">
        <f>SUM(BM797:BM798)</f>
        <v>178</v>
      </c>
      <c r="BN799" s="158">
        <f>SUM(BN797:BN798)</f>
        <v>270</v>
      </c>
      <c r="BO799" s="857">
        <v>1210</v>
      </c>
      <c r="BP799" s="857">
        <v>2117</v>
      </c>
      <c r="BQ799" s="857">
        <v>3762</v>
      </c>
      <c r="BR799" s="857">
        <v>5182</v>
      </c>
      <c r="BS799" s="857">
        <v>4229</v>
      </c>
      <c r="BT799" s="857">
        <v>8525</v>
      </c>
      <c r="BU799" s="857">
        <v>6407</v>
      </c>
      <c r="BV799" s="857">
        <v>6607</v>
      </c>
      <c r="BW799" s="862">
        <v>10554</v>
      </c>
      <c r="BX799" s="158"/>
      <c r="BY799" s="158"/>
      <c r="BZ799" s="158"/>
      <c r="CA799" s="158"/>
      <c r="CB799" s="158"/>
      <c r="CC799" s="117"/>
    </row>
    <row r="800" spans="1:81" x14ac:dyDescent="0.55000000000000004">
      <c r="A800" s="242"/>
      <c r="B800" s="243"/>
      <c r="C800" s="601"/>
      <c r="D800" s="601"/>
      <c r="E800" s="601"/>
      <c r="F800" s="601"/>
      <c r="G800" s="601"/>
      <c r="H800" s="601"/>
      <c r="I800" s="601"/>
      <c r="J800" s="601"/>
      <c r="K800" s="601"/>
      <c r="L800" s="601"/>
      <c r="M800" s="601"/>
      <c r="N800" s="601"/>
      <c r="O800" s="601"/>
      <c r="P800" s="601"/>
      <c r="Q800" s="601"/>
      <c r="R800" s="601"/>
      <c r="S800" s="601"/>
      <c r="T800" s="601"/>
      <c r="U800" s="601"/>
      <c r="V800" s="601"/>
      <c r="W800" s="601"/>
      <c r="X800" s="601"/>
      <c r="Y800" s="601"/>
      <c r="Z800" s="601"/>
      <c r="AA800" s="601"/>
      <c r="AB800" s="601"/>
      <c r="AC800" s="601"/>
      <c r="AD800" s="601"/>
      <c r="AE800" s="601"/>
      <c r="AF800" s="601"/>
      <c r="AG800" s="601"/>
      <c r="AH800" s="601"/>
      <c r="AI800" s="601"/>
      <c r="AJ800" s="601"/>
      <c r="AK800" s="601"/>
      <c r="AL800" s="601"/>
      <c r="AM800" s="601"/>
      <c r="AN800" s="601"/>
      <c r="AO800" s="601"/>
      <c r="AP800" s="601"/>
      <c r="AQ800" s="601"/>
      <c r="AR800" s="601"/>
      <c r="AS800" s="601"/>
      <c r="AT800" s="601"/>
      <c r="AU800" s="601"/>
      <c r="AV800" s="601"/>
      <c r="AW800" s="601"/>
      <c r="AX800" s="601"/>
      <c r="AY800" s="617"/>
      <c r="AZ800" s="601"/>
      <c r="BA800" s="601"/>
      <c r="BB800" s="601"/>
      <c r="BC800" s="601"/>
      <c r="BD800" s="601"/>
      <c r="BE800" s="601"/>
      <c r="BF800" s="601"/>
      <c r="BG800" s="601"/>
      <c r="BH800" s="911"/>
      <c r="BI800" s="911"/>
      <c r="BJ800" s="911"/>
      <c r="BK800" s="911"/>
      <c r="BL800" s="911"/>
      <c r="BM800" s="911"/>
      <c r="BN800" s="911"/>
      <c r="BO800" s="911"/>
      <c r="BP800" s="911"/>
      <c r="BQ800" s="911"/>
      <c r="BR800" s="911"/>
      <c r="BS800" s="911"/>
      <c r="BT800" s="911"/>
      <c r="BU800" s="911"/>
      <c r="BV800" s="911"/>
      <c r="BW800" s="912"/>
      <c r="BX800" s="911"/>
      <c r="BY800" s="911"/>
      <c r="BZ800" s="911"/>
      <c r="CA800" s="911"/>
      <c r="CB800" s="911"/>
      <c r="CC800" s="217"/>
    </row>
    <row r="801" spans="1:81" x14ac:dyDescent="0.55000000000000004">
      <c r="A801" s="598" t="s">
        <v>176</v>
      </c>
      <c r="B801" s="598"/>
      <c r="C801" s="598"/>
      <c r="D801" s="598"/>
      <c r="E801" s="598"/>
      <c r="F801" s="598"/>
      <c r="G801" s="598"/>
      <c r="H801" s="598"/>
      <c r="I801" s="598"/>
      <c r="J801" s="598"/>
      <c r="K801" s="598"/>
      <c r="L801" s="598"/>
      <c r="M801" s="598"/>
      <c r="N801" s="598"/>
      <c r="O801" s="598"/>
      <c r="P801" s="598"/>
      <c r="Q801" s="598"/>
      <c r="R801" s="598"/>
      <c r="S801" s="598"/>
      <c r="T801" s="598"/>
      <c r="U801" s="598"/>
      <c r="V801" s="598"/>
      <c r="W801" s="598"/>
      <c r="X801" s="598"/>
      <c r="Y801" s="598"/>
      <c r="Z801" s="598"/>
      <c r="AA801" s="598"/>
      <c r="AB801" s="598"/>
      <c r="AC801" s="598"/>
      <c r="AD801" s="598"/>
      <c r="AE801" s="598"/>
      <c r="AF801" s="598"/>
      <c r="AG801" s="598"/>
      <c r="AH801" s="598"/>
      <c r="AI801" s="598"/>
      <c r="AJ801" s="598"/>
      <c r="AK801" s="598"/>
      <c r="AL801" s="598"/>
      <c r="AM801" s="598"/>
      <c r="AN801" s="598"/>
      <c r="AO801" s="598"/>
      <c r="AP801" s="598"/>
      <c r="AQ801" s="598"/>
      <c r="AR801" s="598"/>
      <c r="AS801" s="598"/>
      <c r="AT801" s="598"/>
      <c r="AU801" s="598"/>
      <c r="AV801" s="598"/>
      <c r="AW801" s="598"/>
      <c r="AX801" s="598"/>
      <c r="AY801" s="599"/>
      <c r="AZ801" s="598"/>
      <c r="BA801" s="598"/>
      <c r="BB801" s="598"/>
      <c r="BC801" s="598"/>
      <c r="BD801" s="598"/>
      <c r="BE801" s="598"/>
      <c r="BF801" s="598"/>
      <c r="BG801" s="598"/>
      <c r="BH801" s="598"/>
      <c r="BI801" s="598"/>
      <c r="BJ801" s="598"/>
      <c r="BK801" s="598"/>
      <c r="BL801" s="598"/>
      <c r="BM801" s="598"/>
      <c r="BN801" s="598"/>
      <c r="BO801" s="598"/>
      <c r="BP801" s="598"/>
      <c r="BQ801" s="598"/>
      <c r="BR801" s="598"/>
      <c r="BS801" s="598"/>
      <c r="BT801" s="598"/>
      <c r="BU801" s="598"/>
      <c r="BV801" s="598"/>
      <c r="BW801" s="599"/>
      <c r="BX801" s="598"/>
      <c r="BY801" s="598"/>
      <c r="BZ801" s="598"/>
      <c r="CA801" s="598"/>
      <c r="CB801" s="598"/>
      <c r="CC801" s="217"/>
    </row>
    <row r="802" spans="1:81" x14ac:dyDescent="0.55000000000000004">
      <c r="A802" s="25" t="str">
        <f t="shared" ref="A802:A827" si="917">A733</f>
        <v>CFO</v>
      </c>
      <c r="B802" s="243"/>
      <c r="C802" s="601"/>
      <c r="D802" s="601"/>
      <c r="E802" s="601"/>
      <c r="F802" s="601"/>
      <c r="G802" s="601"/>
      <c r="H802" s="601"/>
      <c r="I802" s="601"/>
      <c r="J802" s="601"/>
      <c r="K802" s="601"/>
      <c r="L802" s="601"/>
      <c r="M802" s="601"/>
      <c r="N802" s="601"/>
      <c r="O802" s="601"/>
      <c r="P802" s="601"/>
      <c r="Q802" s="601"/>
      <c r="R802" s="601"/>
      <c r="S802" s="601"/>
      <c r="T802" s="601"/>
      <c r="U802" s="601"/>
      <c r="V802" s="601"/>
      <c r="W802" s="601"/>
      <c r="X802" s="601"/>
      <c r="Y802" s="601"/>
      <c r="Z802" s="601"/>
      <c r="AA802" s="601"/>
      <c r="AB802" s="601"/>
      <c r="AC802" s="601"/>
      <c r="AD802" s="601"/>
      <c r="AE802" s="601"/>
      <c r="AF802" s="601"/>
      <c r="AG802" s="601"/>
      <c r="AH802" s="601"/>
      <c r="AI802" s="601"/>
      <c r="AJ802" s="601"/>
      <c r="AK802" s="601"/>
      <c r="AL802" s="601"/>
      <c r="AM802" s="601"/>
      <c r="AN802" s="601"/>
      <c r="AO802" s="601"/>
      <c r="AP802" s="601"/>
      <c r="AQ802" s="601"/>
      <c r="AR802" s="601"/>
      <c r="AS802" s="601"/>
      <c r="AT802" s="601"/>
      <c r="AU802" s="601"/>
      <c r="AV802" s="601"/>
      <c r="AW802" s="601"/>
      <c r="AX802" s="601"/>
      <c r="AY802" s="617"/>
      <c r="AZ802" s="601"/>
      <c r="BA802" s="601"/>
      <c r="BB802" s="601"/>
      <c r="BC802" s="601"/>
      <c r="BD802" s="601"/>
      <c r="BE802" s="601"/>
      <c r="BF802" s="601"/>
      <c r="BG802" s="601"/>
      <c r="BH802" s="911"/>
      <c r="BI802" s="911"/>
      <c r="BJ802" s="911"/>
      <c r="BK802" s="911"/>
      <c r="BL802" s="911"/>
      <c r="BM802" s="911"/>
      <c r="BN802" s="911"/>
      <c r="BO802" s="911"/>
      <c r="BP802" s="911"/>
      <c r="BQ802" s="911"/>
      <c r="BR802" s="911"/>
      <c r="BS802" s="911"/>
      <c r="BT802" s="911"/>
      <c r="BU802" s="911"/>
      <c r="BV802" s="911"/>
      <c r="BW802" s="912"/>
      <c r="BX802" s="911"/>
      <c r="BY802" s="911"/>
      <c r="BZ802" s="911"/>
      <c r="CA802" s="911"/>
      <c r="CB802" s="911"/>
      <c r="CC802" s="217"/>
    </row>
    <row r="803" spans="1:81" x14ac:dyDescent="0.55000000000000004">
      <c r="A803" s="116" t="str">
        <f t="shared" si="917"/>
        <v>Net income</v>
      </c>
      <c r="B803" s="87"/>
      <c r="C803" s="117">
        <f t="shared" ref="C803:C814" si="918">C734</f>
        <v>219</v>
      </c>
      <c r="D803" s="117">
        <f t="shared" ref="D803:F814" si="919">D734-C734</f>
        <v>333</v>
      </c>
      <c r="E803" s="117">
        <f t="shared" si="919"/>
        <v>425</v>
      </c>
      <c r="F803" s="117">
        <f t="shared" si="919"/>
        <v>523</v>
      </c>
      <c r="G803" s="117">
        <f t="shared" ref="G803:G814" si="920">G734</f>
        <v>642</v>
      </c>
      <c r="H803" s="117">
        <f t="shared" ref="H803:J814" si="921">H734-G734</f>
        <v>791</v>
      </c>
      <c r="I803" s="117">
        <f t="shared" si="921"/>
        <v>806</v>
      </c>
      <c r="J803" s="117">
        <f t="shared" si="921"/>
        <v>701</v>
      </c>
      <c r="K803" s="117">
        <f t="shared" ref="K803:K814" si="922">K734</f>
        <v>512</v>
      </c>
      <c r="L803" s="117">
        <f t="shared" ref="L803:N814" si="923">L734-K734</f>
        <v>719</v>
      </c>
      <c r="M803" s="117">
        <f t="shared" si="923"/>
        <v>896</v>
      </c>
      <c r="N803" s="117">
        <f t="shared" si="923"/>
        <v>1561</v>
      </c>
      <c r="O803" s="117">
        <f t="shared" ref="O803:O814" si="924">O734</f>
        <v>1738</v>
      </c>
      <c r="P803" s="117">
        <f t="shared" ref="P803:R814" si="925">P734-O734</f>
        <v>2283</v>
      </c>
      <c r="Q803" s="117">
        <f t="shared" si="925"/>
        <v>2627</v>
      </c>
      <c r="R803" s="117">
        <f t="shared" si="925"/>
        <v>3569</v>
      </c>
      <c r="S803" s="117">
        <f t="shared" ref="S803:S814" si="926">S734</f>
        <v>3064</v>
      </c>
      <c r="T803" s="117">
        <f t="shared" ref="T803:V814" si="927">T734-S734</f>
        <v>3895</v>
      </c>
      <c r="U803" s="117">
        <f t="shared" si="927"/>
        <v>4706</v>
      </c>
      <c r="V803" s="117">
        <f t="shared" si="927"/>
        <v>4269</v>
      </c>
      <c r="W803" s="117">
        <f t="shared" ref="W803:W814" si="928">W734</f>
        <v>4988</v>
      </c>
      <c r="X803" s="117">
        <f t="shared" ref="X803:Z814" si="929">X734-W734</f>
        <v>5105</v>
      </c>
      <c r="Y803" s="117">
        <f t="shared" si="929"/>
        <v>5137</v>
      </c>
      <c r="Z803" s="117">
        <f t="shared" si="929"/>
        <v>6882</v>
      </c>
      <c r="AA803" s="117">
        <f t="shared" ref="AA803:AA814" si="930">AA734</f>
        <v>2429</v>
      </c>
      <c r="AB803" s="117">
        <f t="shared" ref="AB803:AD814" si="931">AB734-AA734</f>
        <v>2616</v>
      </c>
      <c r="AC803" s="117">
        <f t="shared" si="931"/>
        <v>6091</v>
      </c>
      <c r="AD803" s="117">
        <f t="shared" si="931"/>
        <v>7349</v>
      </c>
      <c r="AE803" s="117">
        <f t="shared" ref="AE803:AE814" si="932">AE734</f>
        <v>4902</v>
      </c>
      <c r="AF803" s="117">
        <f t="shared" ref="AF803:AH814" si="933">AF734-AE734</f>
        <v>5179</v>
      </c>
      <c r="AG803" s="117">
        <f t="shared" si="933"/>
        <v>7846</v>
      </c>
      <c r="AH803" s="117">
        <f t="shared" si="933"/>
        <v>11219</v>
      </c>
      <c r="AI803" s="117">
        <f t="shared" ref="AI803:AI814" si="934">AI734</f>
        <v>9497</v>
      </c>
      <c r="AJ803" s="117">
        <f t="shared" ref="AJ803:AL814" si="935">AJ734-AI734</f>
        <v>10395</v>
      </c>
      <c r="AK803" s="117">
        <f t="shared" si="935"/>
        <v>9193</v>
      </c>
      <c r="AL803" s="117">
        <f t="shared" si="935"/>
        <v>10285</v>
      </c>
      <c r="AM803" s="117">
        <f t="shared" ref="AM803:AM814" si="936">AM734</f>
        <v>7465</v>
      </c>
      <c r="AN803" s="117">
        <f t="shared" ref="AN803:AP814" si="937">AN734-AM734</f>
        <v>6687</v>
      </c>
      <c r="AO803" s="117">
        <f t="shared" si="937"/>
        <v>4395</v>
      </c>
      <c r="AP803" s="117">
        <f t="shared" si="937"/>
        <v>4653</v>
      </c>
      <c r="AQ803" s="117">
        <f t="shared" ref="AQ803:AQ814" si="938">AQ734</f>
        <v>5709</v>
      </c>
      <c r="AR803" s="117">
        <f t="shared" ref="AR803:AT814" si="939">AR734-AQ734</f>
        <v>7789</v>
      </c>
      <c r="AS803" s="117">
        <f t="shared" si="939"/>
        <v>11583</v>
      </c>
      <c r="AT803" s="117">
        <f t="shared" si="939"/>
        <v>14017</v>
      </c>
      <c r="AU803" s="117">
        <f t="shared" ref="AU803:AU814" si="940">AU734</f>
        <v>12369</v>
      </c>
      <c r="AV803" s="117">
        <f t="shared" ref="AV803:AX814" si="941">AV734-AU734</f>
        <v>13465</v>
      </c>
      <c r="AW803" s="117">
        <f t="shared" si="941"/>
        <v>15688</v>
      </c>
      <c r="AX803" s="117">
        <f t="shared" si="941"/>
        <v>20838</v>
      </c>
      <c r="AY803" s="273">
        <f t="shared" ref="AY803:AY814" si="942">AY734</f>
        <v>16644</v>
      </c>
      <c r="AZ803" s="37">
        <f t="shared" ref="AZ803:BF803" si="943">AZ406</f>
        <v>18234.971802922475</v>
      </c>
      <c r="BA803" s="37">
        <f t="shared" ca="1" si="943"/>
        <v>20232.044224739246</v>
      </c>
      <c r="BB803" s="37">
        <f t="shared" ca="1" si="943"/>
        <v>22652.906263751302</v>
      </c>
      <c r="BC803" s="37">
        <f t="shared" ca="1" si="943"/>
        <v>25130.728736840083</v>
      </c>
      <c r="BD803" s="37">
        <f t="shared" ca="1" si="943"/>
        <v>22170.063712214349</v>
      </c>
      <c r="BE803" s="37">
        <f t="shared" ca="1" si="943"/>
        <v>23869.583868061698</v>
      </c>
      <c r="BF803" s="37">
        <f t="shared" ca="1" si="943"/>
        <v>25876.93917073217</v>
      </c>
      <c r="BG803" s="37"/>
      <c r="BH803" s="876">
        <f t="shared" ref="BH803:BW803" si="944">BH734</f>
        <v>229</v>
      </c>
      <c r="BI803" s="876">
        <f t="shared" si="944"/>
        <v>606</v>
      </c>
      <c r="BJ803" s="876">
        <f t="shared" si="944"/>
        <v>1000</v>
      </c>
      <c r="BK803" s="876">
        <f t="shared" si="944"/>
        <v>53</v>
      </c>
      <c r="BL803" s="876">
        <f t="shared" si="944"/>
        <v>1500</v>
      </c>
      <c r="BM803" s="876">
        <f t="shared" si="944"/>
        <v>2940</v>
      </c>
      <c r="BN803" s="876">
        <f t="shared" si="944"/>
        <v>3688</v>
      </c>
      <c r="BO803" s="876">
        <f t="shared" si="944"/>
        <v>10217</v>
      </c>
      <c r="BP803" s="876">
        <f t="shared" si="944"/>
        <v>15934</v>
      </c>
      <c r="BQ803" s="876">
        <f t="shared" si="944"/>
        <v>22112</v>
      </c>
      <c r="BR803" s="876">
        <f t="shared" si="944"/>
        <v>18485</v>
      </c>
      <c r="BS803" s="876">
        <f t="shared" si="944"/>
        <v>29146</v>
      </c>
      <c r="BT803" s="876">
        <f t="shared" si="944"/>
        <v>39370</v>
      </c>
      <c r="BU803" s="876">
        <f t="shared" si="944"/>
        <v>23200</v>
      </c>
      <c r="BV803" s="876">
        <f t="shared" si="944"/>
        <v>39098</v>
      </c>
      <c r="BW803" s="915">
        <f t="shared" si="944"/>
        <v>62360</v>
      </c>
      <c r="BX803" s="158">
        <f t="shared" ref="BX803:BX814" ca="1" si="945">SUM(AY803,AZ803,BA803,BB803)</f>
        <v>77763.922291413022</v>
      </c>
      <c r="BY803" s="158">
        <f t="shared" ref="BY803:BY814" ca="1" si="946">SUM(BC803,BD803,BE803,BF803)</f>
        <v>97047.315487848304</v>
      </c>
      <c r="BZ803" s="158">
        <f ca="1">BZ406</f>
        <v>110427.24601815702</v>
      </c>
      <c r="CA803" s="158">
        <f ca="1">CA406</f>
        <v>115223.62990630144</v>
      </c>
      <c r="CB803" s="158">
        <f ca="1">CB406</f>
        <v>131378.54683628524</v>
      </c>
      <c r="CC803" s="117"/>
    </row>
    <row r="804" spans="1:81" x14ac:dyDescent="0.55000000000000004">
      <c r="A804" s="116" t="str">
        <f t="shared" si="917"/>
        <v>Depreciation and amortization</v>
      </c>
      <c r="B804" s="87"/>
      <c r="C804" s="117">
        <f t="shared" si="918"/>
        <v>233</v>
      </c>
      <c r="D804" s="117">
        <f t="shared" si="919"/>
        <v>230</v>
      </c>
      <c r="E804" s="117">
        <f t="shared" si="919"/>
        <v>274</v>
      </c>
      <c r="F804" s="117">
        <f t="shared" si="919"/>
        <v>274</v>
      </c>
      <c r="G804" s="117">
        <f t="shared" si="920"/>
        <v>264</v>
      </c>
      <c r="H804" s="117">
        <f t="shared" si="921"/>
        <v>257</v>
      </c>
      <c r="I804" s="117">
        <f t="shared" si="921"/>
        <v>289</v>
      </c>
      <c r="J804" s="117">
        <f t="shared" si="921"/>
        <v>433</v>
      </c>
      <c r="K804" s="117">
        <f t="shared" si="922"/>
        <v>457</v>
      </c>
      <c r="L804" s="117">
        <f t="shared" si="923"/>
        <v>459</v>
      </c>
      <c r="M804" s="117">
        <f t="shared" si="923"/>
        <v>486</v>
      </c>
      <c r="N804" s="117">
        <f t="shared" si="923"/>
        <v>543</v>
      </c>
      <c r="O804" s="117">
        <f t="shared" si="924"/>
        <v>552</v>
      </c>
      <c r="P804" s="117">
        <f t="shared" si="925"/>
        <v>585</v>
      </c>
      <c r="Q804" s="117">
        <f t="shared" si="925"/>
        <v>591</v>
      </c>
      <c r="R804" s="117">
        <f t="shared" si="925"/>
        <v>614</v>
      </c>
      <c r="S804" s="117">
        <f t="shared" si="926"/>
        <v>671</v>
      </c>
      <c r="T804" s="117">
        <f t="shared" si="927"/>
        <v>729</v>
      </c>
      <c r="U804" s="117">
        <f t="shared" si="927"/>
        <v>772</v>
      </c>
      <c r="V804" s="117">
        <f t="shared" si="927"/>
        <v>853</v>
      </c>
      <c r="W804" s="117">
        <f t="shared" si="928"/>
        <v>949</v>
      </c>
      <c r="X804" s="117">
        <f t="shared" si="929"/>
        <v>1034</v>
      </c>
      <c r="Y804" s="117">
        <f t="shared" si="929"/>
        <v>1107</v>
      </c>
      <c r="Z804" s="117">
        <f t="shared" si="929"/>
        <v>1225</v>
      </c>
      <c r="AA804" s="117">
        <f t="shared" si="930"/>
        <v>1355</v>
      </c>
      <c r="AB804" s="117">
        <f t="shared" si="931"/>
        <v>1502</v>
      </c>
      <c r="AC804" s="117">
        <f t="shared" si="931"/>
        <v>1416</v>
      </c>
      <c r="AD804" s="117">
        <f t="shared" si="931"/>
        <v>1468</v>
      </c>
      <c r="AE804" s="117">
        <f t="shared" si="932"/>
        <v>1597</v>
      </c>
      <c r="AF804" s="117">
        <f t="shared" si="933"/>
        <v>1704</v>
      </c>
      <c r="AG804" s="117">
        <f t="shared" si="933"/>
        <v>1698</v>
      </c>
      <c r="AH804" s="117">
        <f t="shared" si="933"/>
        <v>1863</v>
      </c>
      <c r="AI804" s="117">
        <f t="shared" si="934"/>
        <v>1972</v>
      </c>
      <c r="AJ804" s="117">
        <f t="shared" si="935"/>
        <v>1986</v>
      </c>
      <c r="AK804" s="117">
        <f t="shared" si="935"/>
        <v>1995</v>
      </c>
      <c r="AL804" s="117">
        <f t="shared" si="935"/>
        <v>2014</v>
      </c>
      <c r="AM804" s="117">
        <f t="shared" si="936"/>
        <v>2156</v>
      </c>
      <c r="AN804" s="117">
        <f t="shared" si="937"/>
        <v>1979</v>
      </c>
      <c r="AO804" s="117">
        <f t="shared" si="937"/>
        <v>2175</v>
      </c>
      <c r="AP804" s="117">
        <f t="shared" si="937"/>
        <v>2376</v>
      </c>
      <c r="AQ804" s="117">
        <f t="shared" si="938"/>
        <v>2524</v>
      </c>
      <c r="AR804" s="117">
        <f t="shared" si="939"/>
        <v>2623</v>
      </c>
      <c r="AS804" s="117">
        <f t="shared" si="939"/>
        <v>2859</v>
      </c>
      <c r="AT804" s="117">
        <f t="shared" si="939"/>
        <v>3172</v>
      </c>
      <c r="AU804" s="117">
        <f t="shared" si="940"/>
        <v>3374</v>
      </c>
      <c r="AV804" s="117">
        <f t="shared" si="941"/>
        <v>3637</v>
      </c>
      <c r="AW804" s="117">
        <f t="shared" si="941"/>
        <v>4027</v>
      </c>
      <c r="AX804" s="117">
        <f t="shared" si="941"/>
        <v>4460</v>
      </c>
      <c r="AY804" s="273">
        <f t="shared" si="942"/>
        <v>3900</v>
      </c>
      <c r="AZ804" s="37">
        <f t="shared" ref="AZ804:BF804" si="947">AZ392+AZ393</f>
        <v>4203.5954109589047</v>
      </c>
      <c r="BA804" s="37">
        <f t="shared" si="947"/>
        <v>4612.5377481741407</v>
      </c>
      <c r="BB804" s="37">
        <f t="shared" si="947"/>
        <v>4962.2645750227975</v>
      </c>
      <c r="BC804" s="37">
        <f t="shared" si="947"/>
        <v>5185.611629344724</v>
      </c>
      <c r="BD804" s="37">
        <f t="shared" si="947"/>
        <v>5397.6785648275127</v>
      </c>
      <c r="BE804" s="37">
        <f t="shared" si="947"/>
        <v>5606.3893197695052</v>
      </c>
      <c r="BF804" s="37">
        <f t="shared" si="947"/>
        <v>5749.1418474240891</v>
      </c>
      <c r="BG804" s="37"/>
      <c r="BH804" s="876">
        <f t="shared" ref="BH804:BW804" si="948">BH735</f>
        <v>78</v>
      </c>
      <c r="BI804" s="876">
        <f t="shared" si="948"/>
        <v>139</v>
      </c>
      <c r="BJ804" s="876">
        <f t="shared" si="948"/>
        <v>323</v>
      </c>
      <c r="BK804" s="876">
        <f t="shared" si="948"/>
        <v>649</v>
      </c>
      <c r="BL804" s="876">
        <f t="shared" si="948"/>
        <v>1011</v>
      </c>
      <c r="BM804" s="876">
        <f t="shared" si="948"/>
        <v>1243</v>
      </c>
      <c r="BN804" s="876">
        <f t="shared" si="948"/>
        <v>1945</v>
      </c>
      <c r="BO804" s="876">
        <f t="shared" si="948"/>
        <v>2342</v>
      </c>
      <c r="BP804" s="876">
        <f t="shared" si="948"/>
        <v>3025</v>
      </c>
      <c r="BQ804" s="876">
        <f t="shared" si="948"/>
        <v>4315</v>
      </c>
      <c r="BR804" s="876">
        <f t="shared" si="948"/>
        <v>5741</v>
      </c>
      <c r="BS804" s="876">
        <f t="shared" si="948"/>
        <v>6862</v>
      </c>
      <c r="BT804" s="876">
        <f t="shared" si="948"/>
        <v>7967</v>
      </c>
      <c r="BU804" s="876">
        <f t="shared" si="948"/>
        <v>8686</v>
      </c>
      <c r="BV804" s="876">
        <f t="shared" si="948"/>
        <v>11178</v>
      </c>
      <c r="BW804" s="915">
        <f t="shared" si="948"/>
        <v>15498</v>
      </c>
      <c r="BX804" s="158">
        <f t="shared" si="945"/>
        <v>17678.397734155842</v>
      </c>
      <c r="BY804" s="158">
        <f t="shared" si="946"/>
        <v>21938.82136136583</v>
      </c>
      <c r="BZ804" s="158">
        <f>BZ392+BZ393</f>
        <v>23357.395301513214</v>
      </c>
      <c r="CA804" s="158">
        <f>CA392+CA393</f>
        <v>25504.836804902447</v>
      </c>
      <c r="CB804" s="158">
        <f>CB392+CB393</f>
        <v>27380.767255473915</v>
      </c>
      <c r="CC804" s="117"/>
    </row>
    <row r="805" spans="1:81" x14ac:dyDescent="0.55000000000000004">
      <c r="A805" s="116" t="str">
        <f t="shared" si="917"/>
        <v>Loss on write-off of equipment</v>
      </c>
      <c r="B805" s="87"/>
      <c r="C805" s="117">
        <f t="shared" si="918"/>
        <v>0</v>
      </c>
      <c r="D805" s="117">
        <f t="shared" si="919"/>
        <v>0</v>
      </c>
      <c r="E805" s="117">
        <f t="shared" si="919"/>
        <v>0</v>
      </c>
      <c r="F805" s="117">
        <f t="shared" si="919"/>
        <v>0</v>
      </c>
      <c r="G805" s="117">
        <f t="shared" si="920"/>
        <v>0</v>
      </c>
      <c r="H805" s="117">
        <f t="shared" si="921"/>
        <v>0</v>
      </c>
      <c r="I805" s="117">
        <f t="shared" si="921"/>
        <v>0</v>
      </c>
      <c r="J805" s="117">
        <f t="shared" si="921"/>
        <v>0</v>
      </c>
      <c r="K805" s="117">
        <f t="shared" si="922"/>
        <v>0</v>
      </c>
      <c r="L805" s="117">
        <f t="shared" si="923"/>
        <v>0</v>
      </c>
      <c r="M805" s="117">
        <f t="shared" si="923"/>
        <v>0</v>
      </c>
      <c r="N805" s="117">
        <f t="shared" si="923"/>
        <v>0</v>
      </c>
      <c r="O805" s="117">
        <f t="shared" si="924"/>
        <v>0</v>
      </c>
      <c r="P805" s="117">
        <f t="shared" si="925"/>
        <v>0</v>
      </c>
      <c r="Q805" s="117">
        <f t="shared" si="925"/>
        <v>0</v>
      </c>
      <c r="R805" s="117">
        <f t="shared" si="925"/>
        <v>0</v>
      </c>
      <c r="S805" s="117">
        <f t="shared" si="926"/>
        <v>0</v>
      </c>
      <c r="T805" s="117">
        <f t="shared" si="927"/>
        <v>0</v>
      </c>
      <c r="U805" s="117">
        <f t="shared" si="927"/>
        <v>0</v>
      </c>
      <c r="V805" s="117">
        <f t="shared" si="927"/>
        <v>0</v>
      </c>
      <c r="W805" s="117">
        <f t="shared" si="928"/>
        <v>0</v>
      </c>
      <c r="X805" s="117">
        <f t="shared" si="929"/>
        <v>0</v>
      </c>
      <c r="Y805" s="117">
        <f t="shared" si="929"/>
        <v>0</v>
      </c>
      <c r="Z805" s="117">
        <f t="shared" si="929"/>
        <v>0</v>
      </c>
      <c r="AA805" s="117">
        <f t="shared" si="930"/>
        <v>0</v>
      </c>
      <c r="AB805" s="117">
        <f t="shared" si="931"/>
        <v>0</v>
      </c>
      <c r="AC805" s="117">
        <f t="shared" si="931"/>
        <v>0</v>
      </c>
      <c r="AD805" s="117">
        <f t="shared" si="931"/>
        <v>0</v>
      </c>
      <c r="AE805" s="117">
        <f t="shared" si="932"/>
        <v>0</v>
      </c>
      <c r="AF805" s="117">
        <f t="shared" si="933"/>
        <v>0</v>
      </c>
      <c r="AG805" s="117">
        <f t="shared" si="933"/>
        <v>0</v>
      </c>
      <c r="AH805" s="117">
        <f t="shared" si="933"/>
        <v>0</v>
      </c>
      <c r="AI805" s="117">
        <f t="shared" si="934"/>
        <v>0</v>
      </c>
      <c r="AJ805" s="117">
        <f t="shared" si="935"/>
        <v>0</v>
      </c>
      <c r="AK805" s="117">
        <f t="shared" si="935"/>
        <v>0</v>
      </c>
      <c r="AL805" s="117">
        <f t="shared" si="935"/>
        <v>0</v>
      </c>
      <c r="AM805" s="117">
        <f t="shared" si="936"/>
        <v>0</v>
      </c>
      <c r="AN805" s="117">
        <f t="shared" si="937"/>
        <v>0</v>
      </c>
      <c r="AO805" s="117">
        <f t="shared" si="937"/>
        <v>0</v>
      </c>
      <c r="AP805" s="117">
        <f t="shared" si="937"/>
        <v>0</v>
      </c>
      <c r="AQ805" s="117">
        <f t="shared" si="938"/>
        <v>0</v>
      </c>
      <c r="AR805" s="117">
        <f t="shared" si="939"/>
        <v>0</v>
      </c>
      <c r="AS805" s="117">
        <f t="shared" si="939"/>
        <v>0</v>
      </c>
      <c r="AT805" s="117">
        <f t="shared" si="939"/>
        <v>0</v>
      </c>
      <c r="AU805" s="117">
        <f t="shared" si="940"/>
        <v>0</v>
      </c>
      <c r="AV805" s="117">
        <f t="shared" si="941"/>
        <v>0</v>
      </c>
      <c r="AW805" s="117">
        <f t="shared" si="941"/>
        <v>0</v>
      </c>
      <c r="AX805" s="117">
        <f t="shared" si="941"/>
        <v>0</v>
      </c>
      <c r="AY805" s="273">
        <f t="shared" si="942"/>
        <v>0</v>
      </c>
      <c r="AZ805" s="37"/>
      <c r="BA805" s="37"/>
      <c r="BB805" s="37"/>
      <c r="BC805" s="37"/>
      <c r="BD805" s="37"/>
      <c r="BE805" s="37"/>
      <c r="BF805" s="37"/>
      <c r="BG805" s="37"/>
      <c r="BH805" s="876">
        <f t="shared" ref="BH805:BW805" si="949">BH736</f>
        <v>1</v>
      </c>
      <c r="BI805" s="876">
        <f t="shared" si="949"/>
        <v>3</v>
      </c>
      <c r="BJ805" s="876">
        <f t="shared" si="949"/>
        <v>0</v>
      </c>
      <c r="BK805" s="876">
        <f t="shared" si="949"/>
        <v>0</v>
      </c>
      <c r="BL805" s="876">
        <f t="shared" si="949"/>
        <v>0</v>
      </c>
      <c r="BM805" s="876">
        <f t="shared" si="949"/>
        <v>0</v>
      </c>
      <c r="BN805" s="876">
        <f t="shared" si="949"/>
        <v>0</v>
      </c>
      <c r="BO805" s="876">
        <f t="shared" si="949"/>
        <v>0</v>
      </c>
      <c r="BP805" s="876">
        <f t="shared" si="949"/>
        <v>0</v>
      </c>
      <c r="BQ805" s="876">
        <f t="shared" si="949"/>
        <v>0</v>
      </c>
      <c r="BR805" s="876">
        <f t="shared" si="949"/>
        <v>0</v>
      </c>
      <c r="BS805" s="876">
        <f t="shared" si="949"/>
        <v>0</v>
      </c>
      <c r="BT805" s="876">
        <f t="shared" si="949"/>
        <v>0</v>
      </c>
      <c r="BU805" s="876">
        <f t="shared" si="949"/>
        <v>0</v>
      </c>
      <c r="BV805" s="876">
        <f t="shared" si="949"/>
        <v>0</v>
      </c>
      <c r="BW805" s="915">
        <f t="shared" si="949"/>
        <v>0</v>
      </c>
      <c r="BX805" s="158">
        <f t="shared" si="945"/>
        <v>0</v>
      </c>
      <c r="BY805" s="158">
        <f t="shared" si="946"/>
        <v>0</v>
      </c>
      <c r="BZ805" s="158"/>
      <c r="CA805" s="158"/>
      <c r="CB805" s="158"/>
      <c r="CC805" s="117"/>
    </row>
    <row r="806" spans="1:81" x14ac:dyDescent="0.55000000000000004">
      <c r="A806" s="116" t="str">
        <f t="shared" si="917"/>
        <v>Lease abandonment</v>
      </c>
      <c r="B806" s="87"/>
      <c r="C806" s="117">
        <f t="shared" si="918"/>
        <v>8</v>
      </c>
      <c r="D806" s="117">
        <f t="shared" si="919"/>
        <v>57</v>
      </c>
      <c r="E806" s="117">
        <f t="shared" si="919"/>
        <v>43</v>
      </c>
      <c r="F806" s="117">
        <f t="shared" si="919"/>
        <v>9</v>
      </c>
      <c r="G806" s="117">
        <f t="shared" si="920"/>
        <v>0</v>
      </c>
      <c r="H806" s="117">
        <f t="shared" si="921"/>
        <v>0</v>
      </c>
      <c r="I806" s="117">
        <f t="shared" si="921"/>
        <v>0</v>
      </c>
      <c r="J806" s="117">
        <f t="shared" si="921"/>
        <v>-31</v>
      </c>
      <c r="K806" s="117">
        <f t="shared" si="922"/>
        <v>0</v>
      </c>
      <c r="L806" s="117">
        <f t="shared" si="923"/>
        <v>0</v>
      </c>
      <c r="M806" s="117">
        <f t="shared" si="923"/>
        <v>0</v>
      </c>
      <c r="N806" s="117">
        <f t="shared" si="923"/>
        <v>0</v>
      </c>
      <c r="O806" s="117">
        <f t="shared" si="924"/>
        <v>0</v>
      </c>
      <c r="P806" s="117">
        <f t="shared" si="925"/>
        <v>0</v>
      </c>
      <c r="Q806" s="117">
        <f t="shared" si="925"/>
        <v>0</v>
      </c>
      <c r="R806" s="117">
        <f t="shared" si="925"/>
        <v>0</v>
      </c>
      <c r="S806" s="117">
        <f t="shared" si="926"/>
        <v>0</v>
      </c>
      <c r="T806" s="117">
        <f t="shared" si="927"/>
        <v>0</v>
      </c>
      <c r="U806" s="117">
        <f t="shared" si="927"/>
        <v>0</v>
      </c>
      <c r="V806" s="117">
        <f t="shared" si="927"/>
        <v>0</v>
      </c>
      <c r="W806" s="117">
        <f t="shared" si="928"/>
        <v>0</v>
      </c>
      <c r="X806" s="117">
        <f t="shared" si="929"/>
        <v>0</v>
      </c>
      <c r="Y806" s="117">
        <f t="shared" si="929"/>
        <v>0</v>
      </c>
      <c r="Z806" s="117">
        <f t="shared" si="929"/>
        <v>0</v>
      </c>
      <c r="AA806" s="117">
        <f t="shared" si="930"/>
        <v>0</v>
      </c>
      <c r="AB806" s="117">
        <f t="shared" si="931"/>
        <v>0</v>
      </c>
      <c r="AC806" s="117">
        <f t="shared" si="931"/>
        <v>0</v>
      </c>
      <c r="AD806" s="117">
        <f t="shared" si="931"/>
        <v>0</v>
      </c>
      <c r="AE806" s="117">
        <f t="shared" si="932"/>
        <v>0</v>
      </c>
      <c r="AF806" s="117">
        <f t="shared" si="933"/>
        <v>0</v>
      </c>
      <c r="AG806" s="117">
        <f t="shared" si="933"/>
        <v>0</v>
      </c>
      <c r="AH806" s="117">
        <f t="shared" si="933"/>
        <v>0</v>
      </c>
      <c r="AI806" s="117">
        <f t="shared" si="934"/>
        <v>0</v>
      </c>
      <c r="AJ806" s="117">
        <f t="shared" si="935"/>
        <v>0</v>
      </c>
      <c r="AK806" s="117">
        <f t="shared" si="935"/>
        <v>0</v>
      </c>
      <c r="AL806" s="117">
        <f t="shared" si="935"/>
        <v>0</v>
      </c>
      <c r="AM806" s="117">
        <f t="shared" si="936"/>
        <v>0</v>
      </c>
      <c r="AN806" s="117">
        <f t="shared" si="937"/>
        <v>0</v>
      </c>
      <c r="AO806" s="117">
        <f t="shared" si="937"/>
        <v>0</v>
      </c>
      <c r="AP806" s="117">
        <f t="shared" si="937"/>
        <v>1341</v>
      </c>
      <c r="AQ806" s="117">
        <f t="shared" si="938"/>
        <v>0</v>
      </c>
      <c r="AR806" s="117">
        <f t="shared" si="939"/>
        <v>0</v>
      </c>
      <c r="AS806" s="117">
        <f t="shared" si="939"/>
        <v>0</v>
      </c>
      <c r="AT806" s="117">
        <f t="shared" si="939"/>
        <v>-224</v>
      </c>
      <c r="AU806" s="117">
        <f t="shared" si="940"/>
        <v>0</v>
      </c>
      <c r="AV806" s="117">
        <f t="shared" si="941"/>
        <v>0</v>
      </c>
      <c r="AW806" s="117">
        <f t="shared" si="941"/>
        <v>0</v>
      </c>
      <c r="AX806" s="117">
        <f t="shared" si="941"/>
        <v>0</v>
      </c>
      <c r="AY806" s="273">
        <f t="shared" si="942"/>
        <v>0</v>
      </c>
      <c r="AZ806" s="37"/>
      <c r="BA806" s="37"/>
      <c r="BB806" s="37"/>
      <c r="BC806" s="37"/>
      <c r="BD806" s="37"/>
      <c r="BE806" s="37"/>
      <c r="BF806" s="37"/>
      <c r="BG806" s="37"/>
      <c r="BH806" s="876">
        <f t="shared" ref="BH806:BW806" si="950">BH737</f>
        <v>0</v>
      </c>
      <c r="BI806" s="876">
        <f t="shared" si="950"/>
        <v>0</v>
      </c>
      <c r="BJ806" s="876">
        <f t="shared" si="950"/>
        <v>0</v>
      </c>
      <c r="BK806" s="876">
        <f t="shared" si="950"/>
        <v>8</v>
      </c>
      <c r="BL806" s="876">
        <f t="shared" si="950"/>
        <v>117</v>
      </c>
      <c r="BM806" s="876">
        <f t="shared" si="950"/>
        <v>-31</v>
      </c>
      <c r="BN806" s="876">
        <f t="shared" si="950"/>
        <v>0</v>
      </c>
      <c r="BO806" s="876">
        <f t="shared" si="950"/>
        <v>0</v>
      </c>
      <c r="BP806" s="876">
        <f t="shared" si="950"/>
        <v>0</v>
      </c>
      <c r="BQ806" s="876">
        <f t="shared" si="950"/>
        <v>0</v>
      </c>
      <c r="BR806" s="876">
        <f t="shared" si="950"/>
        <v>0</v>
      </c>
      <c r="BS806" s="876">
        <f t="shared" si="950"/>
        <v>0</v>
      </c>
      <c r="BT806" s="876">
        <f t="shared" si="950"/>
        <v>0</v>
      </c>
      <c r="BU806" s="876">
        <f t="shared" si="950"/>
        <v>1341</v>
      </c>
      <c r="BV806" s="876">
        <f t="shared" si="950"/>
        <v>-224</v>
      </c>
      <c r="BW806" s="915">
        <f t="shared" si="950"/>
        <v>0</v>
      </c>
      <c r="BX806" s="158">
        <f t="shared" si="945"/>
        <v>0</v>
      </c>
      <c r="BY806" s="158">
        <f t="shared" si="946"/>
        <v>0</v>
      </c>
      <c r="BZ806" s="158"/>
      <c r="CA806" s="158"/>
      <c r="CB806" s="158"/>
      <c r="CC806" s="117"/>
    </row>
    <row r="807" spans="1:81" x14ac:dyDescent="0.55000000000000004">
      <c r="A807" s="116" t="str">
        <f t="shared" si="917"/>
        <v>Loss on disposal or write-off of equipment</v>
      </c>
      <c r="B807" s="87"/>
      <c r="C807" s="117">
        <f t="shared" si="918"/>
        <v>0</v>
      </c>
      <c r="D807" s="117">
        <f t="shared" si="919"/>
        <v>0</v>
      </c>
      <c r="E807" s="117">
        <f t="shared" si="919"/>
        <v>0</v>
      </c>
      <c r="F807" s="117">
        <f t="shared" si="919"/>
        <v>0</v>
      </c>
      <c r="G807" s="117">
        <f t="shared" si="920"/>
        <v>0</v>
      </c>
      <c r="H807" s="117">
        <f t="shared" si="921"/>
        <v>0</v>
      </c>
      <c r="I807" s="117">
        <f t="shared" si="921"/>
        <v>0</v>
      </c>
      <c r="J807" s="117">
        <f t="shared" si="921"/>
        <v>0</v>
      </c>
      <c r="K807" s="117">
        <f t="shared" si="922"/>
        <v>0</v>
      </c>
      <c r="L807" s="117">
        <f t="shared" si="923"/>
        <v>0</v>
      </c>
      <c r="M807" s="117">
        <f t="shared" si="923"/>
        <v>0</v>
      </c>
      <c r="N807" s="117">
        <f t="shared" si="923"/>
        <v>0</v>
      </c>
      <c r="O807" s="117">
        <f t="shared" si="924"/>
        <v>0</v>
      </c>
      <c r="P807" s="117">
        <f t="shared" si="925"/>
        <v>0</v>
      </c>
      <c r="Q807" s="117">
        <f t="shared" si="925"/>
        <v>0</v>
      </c>
      <c r="R807" s="117">
        <f t="shared" si="925"/>
        <v>0</v>
      </c>
      <c r="S807" s="117">
        <f t="shared" si="926"/>
        <v>0</v>
      </c>
      <c r="T807" s="117">
        <f t="shared" si="927"/>
        <v>0</v>
      </c>
      <c r="U807" s="117">
        <f t="shared" si="927"/>
        <v>0</v>
      </c>
      <c r="V807" s="117">
        <f t="shared" si="927"/>
        <v>0</v>
      </c>
      <c r="W807" s="117">
        <f t="shared" si="928"/>
        <v>0</v>
      </c>
      <c r="X807" s="117">
        <f t="shared" si="929"/>
        <v>0</v>
      </c>
      <c r="Y807" s="117">
        <f t="shared" si="929"/>
        <v>0</v>
      </c>
      <c r="Z807" s="117">
        <f t="shared" si="929"/>
        <v>0</v>
      </c>
      <c r="AA807" s="117">
        <f t="shared" si="930"/>
        <v>0</v>
      </c>
      <c r="AB807" s="117">
        <f t="shared" si="931"/>
        <v>0</v>
      </c>
      <c r="AC807" s="117">
        <f t="shared" si="931"/>
        <v>0</v>
      </c>
      <c r="AD807" s="117">
        <f t="shared" si="931"/>
        <v>0</v>
      </c>
      <c r="AE807" s="117">
        <f t="shared" si="932"/>
        <v>0</v>
      </c>
      <c r="AF807" s="117">
        <f t="shared" si="933"/>
        <v>0</v>
      </c>
      <c r="AG807" s="117">
        <f t="shared" si="933"/>
        <v>0</v>
      </c>
      <c r="AH807" s="117">
        <f t="shared" si="933"/>
        <v>0</v>
      </c>
      <c r="AI807" s="117">
        <f t="shared" si="934"/>
        <v>0</v>
      </c>
      <c r="AJ807" s="117">
        <f t="shared" si="935"/>
        <v>0</v>
      </c>
      <c r="AK807" s="117">
        <f t="shared" si="935"/>
        <v>0</v>
      </c>
      <c r="AL807" s="117">
        <f t="shared" si="935"/>
        <v>0</v>
      </c>
      <c r="AM807" s="117">
        <f t="shared" si="936"/>
        <v>0</v>
      </c>
      <c r="AN807" s="117">
        <f t="shared" si="937"/>
        <v>0</v>
      </c>
      <c r="AO807" s="117">
        <f t="shared" si="937"/>
        <v>0</v>
      </c>
      <c r="AP807" s="117">
        <f t="shared" si="937"/>
        <v>0</v>
      </c>
      <c r="AQ807" s="117">
        <f t="shared" si="938"/>
        <v>0</v>
      </c>
      <c r="AR807" s="117">
        <f t="shared" si="939"/>
        <v>0</v>
      </c>
      <c r="AS807" s="117">
        <f t="shared" si="939"/>
        <v>0</v>
      </c>
      <c r="AT807" s="117">
        <f t="shared" si="939"/>
        <v>0</v>
      </c>
      <c r="AU807" s="117">
        <f t="shared" si="940"/>
        <v>0</v>
      </c>
      <c r="AV807" s="117">
        <f t="shared" si="941"/>
        <v>0</v>
      </c>
      <c r="AW807" s="117">
        <f t="shared" si="941"/>
        <v>0</v>
      </c>
      <c r="AX807" s="117">
        <f t="shared" si="941"/>
        <v>0</v>
      </c>
      <c r="AY807" s="273">
        <f t="shared" si="942"/>
        <v>0</v>
      </c>
      <c r="AZ807" s="37"/>
      <c r="BA807" s="37"/>
      <c r="BB807" s="37"/>
      <c r="BC807" s="37"/>
      <c r="BD807" s="37"/>
      <c r="BE807" s="37"/>
      <c r="BF807" s="37"/>
      <c r="BG807" s="37"/>
      <c r="BH807" s="876">
        <f t="shared" ref="BH807:BW807" si="951">BH738</f>
        <v>0</v>
      </c>
      <c r="BI807" s="876">
        <f t="shared" si="951"/>
        <v>0</v>
      </c>
      <c r="BJ807" s="876">
        <f t="shared" si="951"/>
        <v>4</v>
      </c>
      <c r="BK807" s="876">
        <f t="shared" si="951"/>
        <v>15</v>
      </c>
      <c r="BL807" s="876">
        <f t="shared" si="951"/>
        <v>0</v>
      </c>
      <c r="BM807" s="876">
        <f t="shared" si="951"/>
        <v>0</v>
      </c>
      <c r="BN807" s="876">
        <f t="shared" si="951"/>
        <v>0</v>
      </c>
      <c r="BO807" s="876">
        <f t="shared" si="951"/>
        <v>0</v>
      </c>
      <c r="BP807" s="876">
        <f t="shared" si="951"/>
        <v>0</v>
      </c>
      <c r="BQ807" s="876">
        <f t="shared" si="951"/>
        <v>0</v>
      </c>
      <c r="BR807" s="876">
        <f t="shared" si="951"/>
        <v>0</v>
      </c>
      <c r="BS807" s="876">
        <f t="shared" si="951"/>
        <v>0</v>
      </c>
      <c r="BT807" s="876">
        <f t="shared" si="951"/>
        <v>0</v>
      </c>
      <c r="BU807" s="876">
        <f t="shared" si="951"/>
        <v>0</v>
      </c>
      <c r="BV807" s="876">
        <f t="shared" si="951"/>
        <v>0</v>
      </c>
      <c r="BW807" s="915">
        <f t="shared" si="951"/>
        <v>0</v>
      </c>
      <c r="BX807" s="158">
        <f t="shared" si="945"/>
        <v>0</v>
      </c>
      <c r="BY807" s="158">
        <f t="shared" si="946"/>
        <v>0</v>
      </c>
      <c r="BZ807" s="158"/>
      <c r="CA807" s="158"/>
      <c r="CB807" s="158"/>
      <c r="CC807" s="117"/>
    </row>
    <row r="808" spans="1:81" x14ac:dyDescent="0.55000000000000004">
      <c r="A808" s="116" t="str">
        <f t="shared" si="917"/>
        <v>Share-based compensation</v>
      </c>
      <c r="B808" s="87"/>
      <c r="C808" s="117">
        <f t="shared" si="918"/>
        <v>170</v>
      </c>
      <c r="D808" s="117">
        <f t="shared" si="919"/>
        <v>224</v>
      </c>
      <c r="E808" s="117">
        <f t="shared" si="919"/>
        <v>239</v>
      </c>
      <c r="F808" s="117">
        <f t="shared" si="919"/>
        <v>273</v>
      </c>
      <c r="G808" s="117">
        <f t="shared" si="920"/>
        <v>274</v>
      </c>
      <c r="H808" s="117">
        <f t="shared" si="921"/>
        <v>314</v>
      </c>
      <c r="I808" s="117">
        <f t="shared" si="921"/>
        <v>353</v>
      </c>
      <c r="J808" s="117">
        <f t="shared" si="921"/>
        <v>845</v>
      </c>
      <c r="K808" s="117">
        <f t="shared" si="922"/>
        <v>694</v>
      </c>
      <c r="L808" s="117">
        <f t="shared" si="923"/>
        <v>763</v>
      </c>
      <c r="M808" s="117">
        <f t="shared" si="923"/>
        <v>757</v>
      </c>
      <c r="N808" s="117">
        <f t="shared" si="923"/>
        <v>746</v>
      </c>
      <c r="O808" s="117">
        <f t="shared" si="924"/>
        <v>746</v>
      </c>
      <c r="P808" s="117">
        <f t="shared" si="925"/>
        <v>817</v>
      </c>
      <c r="Q808" s="117">
        <f t="shared" si="925"/>
        <v>824</v>
      </c>
      <c r="R808" s="117">
        <f t="shared" si="925"/>
        <v>831</v>
      </c>
      <c r="S808" s="117">
        <f t="shared" si="926"/>
        <v>867</v>
      </c>
      <c r="T808" s="117">
        <f t="shared" si="927"/>
        <v>1032</v>
      </c>
      <c r="U808" s="117">
        <f t="shared" si="927"/>
        <v>1010</v>
      </c>
      <c r="V808" s="117">
        <f t="shared" si="927"/>
        <v>814</v>
      </c>
      <c r="W808" s="117">
        <f t="shared" si="928"/>
        <v>955</v>
      </c>
      <c r="X808" s="117">
        <f t="shared" si="929"/>
        <v>1186</v>
      </c>
      <c r="Y808" s="117">
        <f t="shared" si="929"/>
        <v>1039</v>
      </c>
      <c r="Z808" s="117">
        <f t="shared" si="929"/>
        <v>972</v>
      </c>
      <c r="AA808" s="117">
        <f t="shared" si="930"/>
        <v>1010</v>
      </c>
      <c r="AB808" s="117">
        <f t="shared" si="931"/>
        <v>1303</v>
      </c>
      <c r="AC808" s="117">
        <f t="shared" si="931"/>
        <v>1249</v>
      </c>
      <c r="AD808" s="117">
        <f t="shared" si="931"/>
        <v>1274</v>
      </c>
      <c r="AE808" s="117">
        <f t="shared" si="932"/>
        <v>1335</v>
      </c>
      <c r="AF808" s="117">
        <f t="shared" si="933"/>
        <v>1695</v>
      </c>
      <c r="AG808" s="117">
        <f t="shared" si="933"/>
        <v>1722</v>
      </c>
      <c r="AH808" s="117">
        <f t="shared" si="933"/>
        <v>1784</v>
      </c>
      <c r="AI808" s="117">
        <f t="shared" si="934"/>
        <v>1830</v>
      </c>
      <c r="AJ808" s="117">
        <f t="shared" si="935"/>
        <v>2549</v>
      </c>
      <c r="AK808" s="117">
        <f t="shared" si="935"/>
        <v>2378</v>
      </c>
      <c r="AL808" s="117">
        <f t="shared" si="935"/>
        <v>2407</v>
      </c>
      <c r="AM808" s="117">
        <f t="shared" si="936"/>
        <v>2498</v>
      </c>
      <c r="AN808" s="117">
        <f t="shared" si="937"/>
        <v>3352</v>
      </c>
      <c r="AO808" s="117">
        <f t="shared" si="937"/>
        <v>3134</v>
      </c>
      <c r="AP808" s="117">
        <f t="shared" si="937"/>
        <v>3008</v>
      </c>
      <c r="AQ808" s="117">
        <f t="shared" si="938"/>
        <v>3051</v>
      </c>
      <c r="AR808" s="117">
        <f t="shared" si="939"/>
        <v>4060</v>
      </c>
      <c r="AS808" s="117">
        <f t="shared" si="939"/>
        <v>3492</v>
      </c>
      <c r="AT808" s="117">
        <f t="shared" si="939"/>
        <v>3424</v>
      </c>
      <c r="AU808" s="117">
        <f t="shared" si="940"/>
        <v>3562</v>
      </c>
      <c r="AV808" s="117">
        <f t="shared" si="941"/>
        <v>4616</v>
      </c>
      <c r="AW808" s="117">
        <f t="shared" si="941"/>
        <v>4250</v>
      </c>
      <c r="AX808" s="117">
        <f t="shared" si="941"/>
        <v>4262</v>
      </c>
      <c r="AY808" s="273">
        <f t="shared" si="942"/>
        <v>4147</v>
      </c>
      <c r="AZ808" s="37">
        <f t="shared" ref="AZ808:BF808" si="952">AZ394</f>
        <v>4347.7475000000004</v>
      </c>
      <c r="BA808" s="37">
        <f t="shared" si="952"/>
        <v>4585.4763000000003</v>
      </c>
      <c r="BB808" s="37">
        <f t="shared" si="952"/>
        <v>5628.4650000000001</v>
      </c>
      <c r="BC808" s="37">
        <f t="shared" si="952"/>
        <v>4789.9120000000003</v>
      </c>
      <c r="BD808" s="37">
        <f t="shared" si="952"/>
        <v>4818.260150000001</v>
      </c>
      <c r="BE808" s="37">
        <f t="shared" si="952"/>
        <v>5127.5127140000004</v>
      </c>
      <c r="BF808" s="37">
        <f t="shared" si="952"/>
        <v>6451.9903980000017</v>
      </c>
      <c r="BG808" s="37"/>
      <c r="BH808" s="876">
        <f t="shared" ref="BH808:BW808" si="953">BH739</f>
        <v>27</v>
      </c>
      <c r="BI808" s="876">
        <f t="shared" si="953"/>
        <v>20</v>
      </c>
      <c r="BJ808" s="876">
        <f t="shared" si="953"/>
        <v>217</v>
      </c>
      <c r="BK808" s="876">
        <f t="shared" si="953"/>
        <v>1572</v>
      </c>
      <c r="BL808" s="876">
        <f t="shared" si="953"/>
        <v>906</v>
      </c>
      <c r="BM808" s="876">
        <f t="shared" si="953"/>
        <v>1786</v>
      </c>
      <c r="BN808" s="876">
        <f t="shared" si="953"/>
        <v>2960</v>
      </c>
      <c r="BO808" s="876">
        <f t="shared" si="953"/>
        <v>3218</v>
      </c>
      <c r="BP808" s="876">
        <f t="shared" si="953"/>
        <v>3723</v>
      </c>
      <c r="BQ808" s="876">
        <f t="shared" si="953"/>
        <v>4152</v>
      </c>
      <c r="BR808" s="876">
        <f t="shared" si="953"/>
        <v>4836</v>
      </c>
      <c r="BS808" s="876">
        <f t="shared" si="953"/>
        <v>6536</v>
      </c>
      <c r="BT808" s="876">
        <f t="shared" si="953"/>
        <v>9164</v>
      </c>
      <c r="BU808" s="876">
        <f t="shared" si="953"/>
        <v>11992</v>
      </c>
      <c r="BV808" s="876">
        <f t="shared" si="953"/>
        <v>14027</v>
      </c>
      <c r="BW808" s="915">
        <f t="shared" si="953"/>
        <v>16690</v>
      </c>
      <c r="BX808" s="158">
        <f t="shared" si="945"/>
        <v>18708.688800000004</v>
      </c>
      <c r="BY808" s="158">
        <f t="shared" si="946"/>
        <v>21187.675262000004</v>
      </c>
      <c r="BZ808" s="158">
        <f>BZ394</f>
        <v>23579.084697054375</v>
      </c>
      <c r="CA808" s="158">
        <f>CA394</f>
        <v>24832.289351273677</v>
      </c>
      <c r="CB808" s="158">
        <f>CB394</f>
        <v>26068.033510576784</v>
      </c>
      <c r="CC808" s="117"/>
    </row>
    <row r="809" spans="1:81" x14ac:dyDescent="0.55000000000000004">
      <c r="A809" s="116" t="str">
        <f t="shared" si="917"/>
        <v>Deferred income taxes</v>
      </c>
      <c r="B809" s="87"/>
      <c r="C809" s="117">
        <f t="shared" si="918"/>
        <v>-7</v>
      </c>
      <c r="D809" s="117">
        <f t="shared" si="919"/>
        <v>26</v>
      </c>
      <c r="E809" s="117">
        <f t="shared" si="919"/>
        <v>2</v>
      </c>
      <c r="F809" s="117">
        <f t="shared" si="919"/>
        <v>-58</v>
      </c>
      <c r="G809" s="117">
        <f t="shared" si="920"/>
        <v>-1</v>
      </c>
      <c r="H809" s="117">
        <f t="shared" si="921"/>
        <v>-33</v>
      </c>
      <c r="I809" s="117">
        <f t="shared" si="921"/>
        <v>4</v>
      </c>
      <c r="J809" s="117">
        <f t="shared" si="921"/>
        <v>-180</v>
      </c>
      <c r="K809" s="117">
        <f t="shared" si="922"/>
        <v>-223</v>
      </c>
      <c r="L809" s="117">
        <f t="shared" si="923"/>
        <v>-66</v>
      </c>
      <c r="M809" s="117">
        <f t="shared" si="923"/>
        <v>-383</v>
      </c>
      <c r="N809" s="117">
        <f t="shared" si="923"/>
        <v>-123</v>
      </c>
      <c r="O809" s="117">
        <f t="shared" si="924"/>
        <v>-77</v>
      </c>
      <c r="P809" s="117">
        <f t="shared" si="925"/>
        <v>-101</v>
      </c>
      <c r="Q809" s="117">
        <f t="shared" si="925"/>
        <v>-23</v>
      </c>
      <c r="R809" s="117">
        <f t="shared" si="925"/>
        <v>-256</v>
      </c>
      <c r="S809" s="117">
        <f t="shared" si="926"/>
        <v>-84</v>
      </c>
      <c r="T809" s="117">
        <f t="shared" si="927"/>
        <v>26</v>
      </c>
      <c r="U809" s="117">
        <f t="shared" si="927"/>
        <v>-94</v>
      </c>
      <c r="V809" s="117">
        <f t="shared" si="927"/>
        <v>-225</v>
      </c>
      <c r="W809" s="117">
        <f t="shared" si="928"/>
        <v>-47</v>
      </c>
      <c r="X809" s="117">
        <f t="shared" si="929"/>
        <v>101</v>
      </c>
      <c r="Y809" s="117">
        <f t="shared" si="929"/>
        <v>29</v>
      </c>
      <c r="Z809" s="117">
        <f t="shared" si="929"/>
        <v>203</v>
      </c>
      <c r="AA809" s="117">
        <f t="shared" si="930"/>
        <v>183</v>
      </c>
      <c r="AB809" s="117">
        <f t="shared" si="931"/>
        <v>1</v>
      </c>
      <c r="AC809" s="117">
        <f t="shared" si="931"/>
        <v>174</v>
      </c>
      <c r="AD809" s="117">
        <f t="shared" si="931"/>
        <v>-395</v>
      </c>
      <c r="AE809" s="117">
        <f t="shared" si="932"/>
        <v>477</v>
      </c>
      <c r="AF809" s="117">
        <f t="shared" si="933"/>
        <v>213</v>
      </c>
      <c r="AG809" s="117">
        <f t="shared" si="933"/>
        <v>-1506</v>
      </c>
      <c r="AH809" s="117">
        <f t="shared" si="933"/>
        <v>-376</v>
      </c>
      <c r="AI809" s="117">
        <f t="shared" si="934"/>
        <v>418</v>
      </c>
      <c r="AJ809" s="117">
        <f t="shared" si="935"/>
        <v>229</v>
      </c>
      <c r="AK809" s="117">
        <f t="shared" si="935"/>
        <v>-786</v>
      </c>
      <c r="AL809" s="117">
        <f t="shared" si="935"/>
        <v>748</v>
      </c>
      <c r="AM809" s="117">
        <f t="shared" si="936"/>
        <v>-563</v>
      </c>
      <c r="AN809" s="117">
        <f t="shared" si="937"/>
        <v>-453</v>
      </c>
      <c r="AO809" s="117">
        <f t="shared" si="937"/>
        <v>-1097</v>
      </c>
      <c r="AP809" s="117">
        <f t="shared" si="937"/>
        <v>-1173</v>
      </c>
      <c r="AQ809" s="117">
        <f t="shared" si="938"/>
        <v>-620</v>
      </c>
      <c r="AR809" s="117">
        <f t="shared" si="939"/>
        <v>-1137</v>
      </c>
      <c r="AS809" s="117">
        <f t="shared" si="939"/>
        <v>3049</v>
      </c>
      <c r="AT809" s="117">
        <f t="shared" si="939"/>
        <v>-1161</v>
      </c>
      <c r="AU809" s="117">
        <f t="shared" si="940"/>
        <v>-456</v>
      </c>
      <c r="AV809" s="117">
        <f t="shared" si="941"/>
        <v>-1642</v>
      </c>
      <c r="AW809" s="117">
        <f t="shared" si="941"/>
        <v>-1308</v>
      </c>
      <c r="AX809" s="117">
        <f t="shared" si="941"/>
        <v>-1332</v>
      </c>
      <c r="AY809" s="273">
        <f t="shared" si="942"/>
        <v>-993</v>
      </c>
      <c r="AZ809" s="37">
        <f t="shared" ref="AZ809:BF809" si="954">AZ405</f>
        <v>-1264.8535354628307</v>
      </c>
      <c r="BA809" s="37">
        <f t="shared" ca="1" si="954"/>
        <v>-1403.3787901553233</v>
      </c>
      <c r="BB809" s="37">
        <f t="shared" ca="1" si="954"/>
        <v>-1571.2998564451768</v>
      </c>
      <c r="BC809" s="37">
        <f t="shared" ca="1" si="954"/>
        <v>-577.71790199632369</v>
      </c>
      <c r="BD809" s="37">
        <f t="shared" ca="1" si="954"/>
        <v>-509.65663706239883</v>
      </c>
      <c r="BE809" s="37">
        <f t="shared" ca="1" si="954"/>
        <v>-548.7260659324528</v>
      </c>
      <c r="BF809" s="37">
        <f t="shared" ca="1" si="954"/>
        <v>-594.87216484441774</v>
      </c>
      <c r="BG809" s="37"/>
      <c r="BH809" s="876">
        <f t="shared" ref="BH809:BW809" si="955">BH740</f>
        <v>0</v>
      </c>
      <c r="BI809" s="876">
        <f t="shared" si="955"/>
        <v>0</v>
      </c>
      <c r="BJ809" s="876">
        <f t="shared" si="955"/>
        <v>-30</v>
      </c>
      <c r="BK809" s="876">
        <f t="shared" si="955"/>
        <v>-186</v>
      </c>
      <c r="BL809" s="876">
        <f t="shared" si="955"/>
        <v>-37</v>
      </c>
      <c r="BM809" s="876">
        <f t="shared" si="955"/>
        <v>-210</v>
      </c>
      <c r="BN809" s="876">
        <f t="shared" si="955"/>
        <v>-795</v>
      </c>
      <c r="BO809" s="876">
        <f t="shared" si="955"/>
        <v>-457</v>
      </c>
      <c r="BP809" s="876">
        <f t="shared" si="955"/>
        <v>-377</v>
      </c>
      <c r="BQ809" s="876">
        <f t="shared" si="955"/>
        <v>286</v>
      </c>
      <c r="BR809" s="876">
        <f t="shared" si="955"/>
        <v>-37</v>
      </c>
      <c r="BS809" s="876">
        <f t="shared" si="955"/>
        <v>-1192</v>
      </c>
      <c r="BT809" s="876">
        <f t="shared" si="955"/>
        <v>609</v>
      </c>
      <c r="BU809" s="876">
        <f t="shared" si="955"/>
        <v>-3286</v>
      </c>
      <c r="BV809" s="876">
        <f t="shared" si="955"/>
        <v>131</v>
      </c>
      <c r="BW809" s="915">
        <f t="shared" si="955"/>
        <v>-4738</v>
      </c>
      <c r="BX809" s="158">
        <f t="shared" ca="1" si="945"/>
        <v>-5232.5321820633308</v>
      </c>
      <c r="BY809" s="158">
        <f t="shared" ca="1" si="946"/>
        <v>-2230.9727698355928</v>
      </c>
      <c r="BZ809" s="158">
        <f ca="1">BZ405</f>
        <v>-2538.5573797277475</v>
      </c>
      <c r="CA809" s="158">
        <f ca="1">CA405</f>
        <v>-2810.3324367390596</v>
      </c>
      <c r="CB809" s="158">
        <f ca="1">CB405</f>
        <v>-3204.3548008850062</v>
      </c>
      <c r="CC809" s="117"/>
    </row>
    <row r="810" spans="1:81" x14ac:dyDescent="0.55000000000000004">
      <c r="A810" s="116" t="str">
        <f t="shared" si="917"/>
        <v>Tax benefit from share-based award activity</v>
      </c>
      <c r="B810" s="87"/>
      <c r="C810" s="117">
        <f t="shared" si="918"/>
        <v>59</v>
      </c>
      <c r="D810" s="117">
        <f t="shared" si="919"/>
        <v>89</v>
      </c>
      <c r="E810" s="117">
        <f t="shared" si="919"/>
        <v>129</v>
      </c>
      <c r="F810" s="117">
        <f t="shared" si="919"/>
        <v>325</v>
      </c>
      <c r="G810" s="117">
        <f t="shared" si="920"/>
        <v>345</v>
      </c>
      <c r="H810" s="117">
        <f t="shared" si="921"/>
        <v>530</v>
      </c>
      <c r="I810" s="117">
        <f t="shared" si="921"/>
        <v>479</v>
      </c>
      <c r="J810" s="117">
        <f t="shared" si="921"/>
        <v>499</v>
      </c>
      <c r="K810" s="117">
        <f t="shared" si="922"/>
        <v>423</v>
      </c>
      <c r="L810" s="117">
        <f t="shared" si="923"/>
        <v>386</v>
      </c>
      <c r="M810" s="117">
        <f t="shared" si="923"/>
        <v>346</v>
      </c>
      <c r="N810" s="117">
        <f t="shared" si="923"/>
        <v>566</v>
      </c>
      <c r="O810" s="117">
        <f t="shared" si="924"/>
        <v>0</v>
      </c>
      <c r="P810" s="117">
        <f t="shared" si="925"/>
        <v>0</v>
      </c>
      <c r="Q810" s="117">
        <f t="shared" si="925"/>
        <v>0</v>
      </c>
      <c r="R810" s="117">
        <f t="shared" si="925"/>
        <v>0</v>
      </c>
      <c r="S810" s="117">
        <f t="shared" si="926"/>
        <v>0</v>
      </c>
      <c r="T810" s="117">
        <f t="shared" si="927"/>
        <v>0</v>
      </c>
      <c r="U810" s="117">
        <f t="shared" si="927"/>
        <v>0</v>
      </c>
      <c r="V810" s="117">
        <f t="shared" si="927"/>
        <v>0</v>
      </c>
      <c r="W810" s="117">
        <f t="shared" si="928"/>
        <v>0</v>
      </c>
      <c r="X810" s="117">
        <f t="shared" si="929"/>
        <v>0</v>
      </c>
      <c r="Y810" s="117">
        <f t="shared" si="929"/>
        <v>0</v>
      </c>
      <c r="Z810" s="117">
        <f t="shared" si="929"/>
        <v>0</v>
      </c>
      <c r="AA810" s="117">
        <f t="shared" si="930"/>
        <v>0</v>
      </c>
      <c r="AB810" s="117">
        <f t="shared" si="931"/>
        <v>0</v>
      </c>
      <c r="AC810" s="117">
        <f t="shared" si="931"/>
        <v>0</v>
      </c>
      <c r="AD810" s="117">
        <f t="shared" si="931"/>
        <v>0</v>
      </c>
      <c r="AE810" s="117">
        <f t="shared" si="932"/>
        <v>0</v>
      </c>
      <c r="AF810" s="117">
        <f t="shared" si="933"/>
        <v>0</v>
      </c>
      <c r="AG810" s="117">
        <f t="shared" si="933"/>
        <v>0</v>
      </c>
      <c r="AH810" s="117">
        <f t="shared" si="933"/>
        <v>0</v>
      </c>
      <c r="AI810" s="117">
        <f t="shared" si="934"/>
        <v>0</v>
      </c>
      <c r="AJ810" s="117">
        <f t="shared" si="935"/>
        <v>0</v>
      </c>
      <c r="AK810" s="117">
        <f t="shared" si="935"/>
        <v>0</v>
      </c>
      <c r="AL810" s="117">
        <f t="shared" si="935"/>
        <v>0</v>
      </c>
      <c r="AM810" s="117">
        <f t="shared" si="936"/>
        <v>0</v>
      </c>
      <c r="AN810" s="117">
        <f t="shared" si="937"/>
        <v>0</v>
      </c>
      <c r="AO810" s="117">
        <f t="shared" si="937"/>
        <v>0</v>
      </c>
      <c r="AP810" s="117">
        <f t="shared" si="937"/>
        <v>0</v>
      </c>
      <c r="AQ810" s="117">
        <f t="shared" si="938"/>
        <v>0</v>
      </c>
      <c r="AR810" s="117">
        <f t="shared" si="939"/>
        <v>0</v>
      </c>
      <c r="AS810" s="117">
        <f t="shared" si="939"/>
        <v>0</v>
      </c>
      <c r="AT810" s="117">
        <f t="shared" si="939"/>
        <v>0</v>
      </c>
      <c r="AU810" s="117">
        <f t="shared" si="940"/>
        <v>0</v>
      </c>
      <c r="AV810" s="117">
        <f t="shared" si="941"/>
        <v>0</v>
      </c>
      <c r="AW810" s="117">
        <f t="shared" si="941"/>
        <v>0</v>
      </c>
      <c r="AX810" s="117">
        <f t="shared" si="941"/>
        <v>0</v>
      </c>
      <c r="AY810" s="273">
        <f t="shared" si="942"/>
        <v>0</v>
      </c>
      <c r="AZ810" s="37"/>
      <c r="BA810" s="37"/>
      <c r="BB810" s="37"/>
      <c r="BC810" s="37"/>
      <c r="BD810" s="37"/>
      <c r="BE810" s="37"/>
      <c r="BF810" s="37"/>
      <c r="BG810" s="37"/>
      <c r="BH810" s="876">
        <f t="shared" ref="BH810:BW810" si="956">BH741</f>
        <v>50</v>
      </c>
      <c r="BI810" s="876">
        <f t="shared" si="956"/>
        <v>115</v>
      </c>
      <c r="BJ810" s="876">
        <f t="shared" si="956"/>
        <v>433</v>
      </c>
      <c r="BK810" s="876">
        <f t="shared" si="956"/>
        <v>1033</v>
      </c>
      <c r="BL810" s="876">
        <f t="shared" si="956"/>
        <v>602</v>
      </c>
      <c r="BM810" s="876">
        <f t="shared" si="956"/>
        <v>1853</v>
      </c>
      <c r="BN810" s="876">
        <f t="shared" si="956"/>
        <v>1721</v>
      </c>
      <c r="BO810" s="876">
        <f t="shared" si="956"/>
        <v>0</v>
      </c>
      <c r="BP810" s="876">
        <f t="shared" si="956"/>
        <v>0</v>
      </c>
      <c r="BQ810" s="876">
        <f t="shared" si="956"/>
        <v>0</v>
      </c>
      <c r="BR810" s="876">
        <f t="shared" si="956"/>
        <v>0</v>
      </c>
      <c r="BS810" s="876">
        <f t="shared" si="956"/>
        <v>0</v>
      </c>
      <c r="BT810" s="876">
        <f t="shared" si="956"/>
        <v>0</v>
      </c>
      <c r="BU810" s="876">
        <f t="shared" si="956"/>
        <v>0</v>
      </c>
      <c r="BV810" s="876">
        <f t="shared" si="956"/>
        <v>0</v>
      </c>
      <c r="BW810" s="915">
        <f t="shared" si="956"/>
        <v>0</v>
      </c>
      <c r="BX810" s="158">
        <f t="shared" si="945"/>
        <v>0</v>
      </c>
      <c r="BY810" s="158">
        <f t="shared" si="946"/>
        <v>0</v>
      </c>
      <c r="BZ810" s="158"/>
      <c r="CA810" s="158"/>
      <c r="CB810" s="158"/>
      <c r="CC810" s="117"/>
    </row>
    <row r="811" spans="1:81" x14ac:dyDescent="0.55000000000000004">
      <c r="A811" s="116" t="str">
        <f t="shared" si="917"/>
        <v>Fair value adjustments for non-marketable securities</v>
      </c>
      <c r="B811" s="87"/>
      <c r="C811" s="117">
        <f t="shared" si="918"/>
        <v>0</v>
      </c>
      <c r="D811" s="117">
        <f t="shared" si="919"/>
        <v>0</v>
      </c>
      <c r="E811" s="117">
        <f t="shared" si="919"/>
        <v>0</v>
      </c>
      <c r="F811" s="117">
        <f t="shared" si="919"/>
        <v>0</v>
      </c>
      <c r="G811" s="117">
        <f t="shared" si="920"/>
        <v>0</v>
      </c>
      <c r="H811" s="117">
        <f t="shared" si="921"/>
        <v>0</v>
      </c>
      <c r="I811" s="117">
        <f t="shared" si="921"/>
        <v>0</v>
      </c>
      <c r="J811" s="117">
        <f t="shared" si="921"/>
        <v>0</v>
      </c>
      <c r="K811" s="117">
        <f t="shared" si="922"/>
        <v>0</v>
      </c>
      <c r="L811" s="117">
        <f t="shared" si="923"/>
        <v>0</v>
      </c>
      <c r="M811" s="117">
        <f t="shared" si="923"/>
        <v>0</v>
      </c>
      <c r="N811" s="117">
        <f t="shared" si="923"/>
        <v>0</v>
      </c>
      <c r="O811" s="117">
        <f t="shared" si="924"/>
        <v>0</v>
      </c>
      <c r="P811" s="117">
        <f t="shared" si="925"/>
        <v>0</v>
      </c>
      <c r="Q811" s="117">
        <f t="shared" si="925"/>
        <v>0</v>
      </c>
      <c r="R811" s="117">
        <f t="shared" si="925"/>
        <v>0</v>
      </c>
      <c r="S811" s="117">
        <f t="shared" si="926"/>
        <v>0</v>
      </c>
      <c r="T811" s="117">
        <f t="shared" si="927"/>
        <v>0</v>
      </c>
      <c r="U811" s="117">
        <f t="shared" si="927"/>
        <v>0</v>
      </c>
      <c r="V811" s="117">
        <f t="shared" si="927"/>
        <v>0</v>
      </c>
      <c r="W811" s="117">
        <f t="shared" si="928"/>
        <v>0</v>
      </c>
      <c r="X811" s="117">
        <f t="shared" si="929"/>
        <v>0</v>
      </c>
      <c r="Y811" s="117">
        <f t="shared" si="929"/>
        <v>0</v>
      </c>
      <c r="Z811" s="117">
        <f t="shared" si="929"/>
        <v>0</v>
      </c>
      <c r="AA811" s="117">
        <f t="shared" si="930"/>
        <v>0</v>
      </c>
      <c r="AB811" s="117">
        <f t="shared" si="931"/>
        <v>0</v>
      </c>
      <c r="AC811" s="117">
        <f t="shared" si="931"/>
        <v>0</v>
      </c>
      <c r="AD811" s="117">
        <f t="shared" si="931"/>
        <v>0</v>
      </c>
      <c r="AE811" s="117">
        <f t="shared" si="932"/>
        <v>0</v>
      </c>
      <c r="AF811" s="117">
        <f t="shared" si="933"/>
        <v>0</v>
      </c>
      <c r="AG811" s="117">
        <f t="shared" si="933"/>
        <v>0</v>
      </c>
      <c r="AH811" s="117">
        <f t="shared" si="933"/>
        <v>0</v>
      </c>
      <c r="AI811" s="117">
        <f t="shared" si="934"/>
        <v>0</v>
      </c>
      <c r="AJ811" s="117">
        <f t="shared" si="935"/>
        <v>0</v>
      </c>
      <c r="AK811" s="117">
        <f t="shared" si="935"/>
        <v>0</v>
      </c>
      <c r="AL811" s="117">
        <f t="shared" si="935"/>
        <v>0</v>
      </c>
      <c r="AM811" s="117">
        <f t="shared" si="936"/>
        <v>0</v>
      </c>
      <c r="AN811" s="117">
        <f t="shared" si="937"/>
        <v>0</v>
      </c>
      <c r="AO811" s="117">
        <f t="shared" si="937"/>
        <v>0</v>
      </c>
      <c r="AP811" s="117">
        <f t="shared" si="937"/>
        <v>463</v>
      </c>
      <c r="AQ811" s="117">
        <f t="shared" si="938"/>
        <v>0</v>
      </c>
      <c r="AR811" s="117">
        <f t="shared" si="939"/>
        <v>0</v>
      </c>
      <c r="AS811" s="117">
        <f t="shared" si="939"/>
        <v>0</v>
      </c>
      <c r="AT811" s="117">
        <f t="shared" si="939"/>
        <v>0</v>
      </c>
      <c r="AU811" s="117">
        <f t="shared" si="940"/>
        <v>0</v>
      </c>
      <c r="AV811" s="117">
        <f t="shared" si="941"/>
        <v>0</v>
      </c>
      <c r="AW811" s="117">
        <f t="shared" si="941"/>
        <v>0</v>
      </c>
      <c r="AX811" s="117">
        <f t="shared" si="941"/>
        <v>0</v>
      </c>
      <c r="AY811" s="273">
        <f t="shared" si="942"/>
        <v>0</v>
      </c>
      <c r="AZ811" s="37"/>
      <c r="BA811" s="37"/>
      <c r="BB811" s="37"/>
      <c r="BC811" s="37"/>
      <c r="BD811" s="37"/>
      <c r="BE811" s="37"/>
      <c r="BF811" s="37"/>
      <c r="BG811" s="37"/>
      <c r="BH811" s="876">
        <f t="shared" ref="BH811:BW811" si="957">BH742</f>
        <v>0</v>
      </c>
      <c r="BI811" s="876">
        <f t="shared" si="957"/>
        <v>0</v>
      </c>
      <c r="BJ811" s="876">
        <f t="shared" si="957"/>
        <v>0</v>
      </c>
      <c r="BK811" s="876">
        <f t="shared" si="957"/>
        <v>0</v>
      </c>
      <c r="BL811" s="876">
        <f t="shared" si="957"/>
        <v>0</v>
      </c>
      <c r="BM811" s="876">
        <f t="shared" si="957"/>
        <v>0</v>
      </c>
      <c r="BN811" s="876">
        <f t="shared" si="957"/>
        <v>0</v>
      </c>
      <c r="BO811" s="876">
        <f t="shared" si="957"/>
        <v>0</v>
      </c>
      <c r="BP811" s="876">
        <f t="shared" si="957"/>
        <v>0</v>
      </c>
      <c r="BQ811" s="876">
        <f t="shared" si="957"/>
        <v>0</v>
      </c>
      <c r="BR811" s="876">
        <f t="shared" si="957"/>
        <v>0</v>
      </c>
      <c r="BS811" s="876">
        <f t="shared" si="957"/>
        <v>0</v>
      </c>
      <c r="BT811" s="876">
        <f t="shared" si="957"/>
        <v>0</v>
      </c>
      <c r="BU811" s="876">
        <f t="shared" si="957"/>
        <v>463</v>
      </c>
      <c r="BV811" s="876">
        <f t="shared" si="957"/>
        <v>0</v>
      </c>
      <c r="BW811" s="915">
        <f t="shared" si="957"/>
        <v>0</v>
      </c>
      <c r="BX811" s="158">
        <f t="shared" si="945"/>
        <v>0</v>
      </c>
      <c r="BY811" s="158">
        <f t="shared" si="946"/>
        <v>0</v>
      </c>
      <c r="BZ811" s="158"/>
      <c r="CA811" s="158"/>
      <c r="CB811" s="158"/>
      <c r="CC811" s="117"/>
    </row>
    <row r="812" spans="1:81" x14ac:dyDescent="0.55000000000000004">
      <c r="A812" s="116" t="str">
        <f t="shared" si="917"/>
        <v>Excess tax benefit from share-based award activity</v>
      </c>
      <c r="B812" s="87"/>
      <c r="C812" s="117">
        <f t="shared" si="918"/>
        <v>-62</v>
      </c>
      <c r="D812" s="117">
        <f t="shared" si="919"/>
        <v>-93</v>
      </c>
      <c r="E812" s="117">
        <f t="shared" si="919"/>
        <v>-130</v>
      </c>
      <c r="F812" s="117">
        <f t="shared" si="919"/>
        <v>-324</v>
      </c>
      <c r="G812" s="117">
        <f t="shared" si="920"/>
        <v>-348</v>
      </c>
      <c r="H812" s="117">
        <f t="shared" si="921"/>
        <v>-535</v>
      </c>
      <c r="I812" s="117">
        <f t="shared" si="921"/>
        <v>-482</v>
      </c>
      <c r="J812" s="117">
        <f t="shared" si="921"/>
        <v>-504</v>
      </c>
      <c r="K812" s="117">
        <f t="shared" si="922"/>
        <v>-423</v>
      </c>
      <c r="L812" s="117">
        <f t="shared" si="923"/>
        <v>-386</v>
      </c>
      <c r="M812" s="117">
        <f t="shared" si="923"/>
        <v>-346</v>
      </c>
      <c r="N812" s="117">
        <f t="shared" si="923"/>
        <v>-566</v>
      </c>
      <c r="O812" s="117">
        <f t="shared" si="924"/>
        <v>0</v>
      </c>
      <c r="P812" s="117">
        <f t="shared" si="925"/>
        <v>0</v>
      </c>
      <c r="Q812" s="117">
        <f t="shared" si="925"/>
        <v>0</v>
      </c>
      <c r="R812" s="117">
        <f t="shared" si="925"/>
        <v>0</v>
      </c>
      <c r="S812" s="117">
        <f t="shared" si="926"/>
        <v>0</v>
      </c>
      <c r="T812" s="117">
        <f t="shared" si="927"/>
        <v>0</v>
      </c>
      <c r="U812" s="117">
        <f t="shared" si="927"/>
        <v>0</v>
      </c>
      <c r="V812" s="117">
        <f t="shared" si="927"/>
        <v>0</v>
      </c>
      <c r="W812" s="117">
        <f t="shared" si="928"/>
        <v>0</v>
      </c>
      <c r="X812" s="117">
        <f t="shared" si="929"/>
        <v>0</v>
      </c>
      <c r="Y812" s="117">
        <f t="shared" si="929"/>
        <v>0</v>
      </c>
      <c r="Z812" s="117">
        <f t="shared" si="929"/>
        <v>0</v>
      </c>
      <c r="AA812" s="117">
        <f t="shared" si="930"/>
        <v>0</v>
      </c>
      <c r="AB812" s="117">
        <f t="shared" si="931"/>
        <v>0</v>
      </c>
      <c r="AC812" s="117">
        <f t="shared" si="931"/>
        <v>0</v>
      </c>
      <c r="AD812" s="117">
        <f t="shared" si="931"/>
        <v>0</v>
      </c>
      <c r="AE812" s="117">
        <f t="shared" si="932"/>
        <v>0</v>
      </c>
      <c r="AF812" s="117">
        <f t="shared" si="933"/>
        <v>0</v>
      </c>
      <c r="AG812" s="117">
        <f t="shared" si="933"/>
        <v>0</v>
      </c>
      <c r="AH812" s="117">
        <f t="shared" si="933"/>
        <v>0</v>
      </c>
      <c r="AI812" s="117">
        <f t="shared" si="934"/>
        <v>0</v>
      </c>
      <c r="AJ812" s="117">
        <f t="shared" si="935"/>
        <v>0</v>
      </c>
      <c r="AK812" s="117">
        <f t="shared" si="935"/>
        <v>0</v>
      </c>
      <c r="AL812" s="117">
        <f t="shared" si="935"/>
        <v>0</v>
      </c>
      <c r="AM812" s="117">
        <f t="shared" si="936"/>
        <v>0</v>
      </c>
      <c r="AN812" s="117">
        <f t="shared" si="937"/>
        <v>0</v>
      </c>
      <c r="AO812" s="117">
        <f t="shared" si="937"/>
        <v>0</v>
      </c>
      <c r="AP812" s="117">
        <f t="shared" si="937"/>
        <v>0</v>
      </c>
      <c r="AQ812" s="117">
        <f t="shared" si="938"/>
        <v>0</v>
      </c>
      <c r="AR812" s="117">
        <f t="shared" si="939"/>
        <v>0</v>
      </c>
      <c r="AS812" s="117">
        <f t="shared" si="939"/>
        <v>0</v>
      </c>
      <c r="AT812" s="117">
        <f t="shared" si="939"/>
        <v>0</v>
      </c>
      <c r="AU812" s="117">
        <f t="shared" si="940"/>
        <v>0</v>
      </c>
      <c r="AV812" s="117">
        <f t="shared" si="941"/>
        <v>0</v>
      </c>
      <c r="AW812" s="117">
        <f t="shared" si="941"/>
        <v>0</v>
      </c>
      <c r="AX812" s="117">
        <f t="shared" si="941"/>
        <v>0</v>
      </c>
      <c r="AY812" s="273">
        <f t="shared" si="942"/>
        <v>0</v>
      </c>
      <c r="AZ812" s="37"/>
      <c r="BA812" s="37"/>
      <c r="BB812" s="37"/>
      <c r="BC812" s="37"/>
      <c r="BD812" s="37"/>
      <c r="BE812" s="37"/>
      <c r="BF812" s="37"/>
      <c r="BG812" s="37"/>
      <c r="BH812" s="876">
        <f t="shared" ref="BH812:BW812" si="958">BH743</f>
        <v>-51</v>
      </c>
      <c r="BI812" s="876">
        <f t="shared" si="958"/>
        <v>-115</v>
      </c>
      <c r="BJ812" s="876">
        <f t="shared" si="958"/>
        <v>-433</v>
      </c>
      <c r="BK812" s="876">
        <f t="shared" si="958"/>
        <v>-1033</v>
      </c>
      <c r="BL812" s="876">
        <f t="shared" si="958"/>
        <v>-609</v>
      </c>
      <c r="BM812" s="876">
        <f t="shared" si="958"/>
        <v>-1869</v>
      </c>
      <c r="BN812" s="876">
        <f t="shared" si="958"/>
        <v>-1721</v>
      </c>
      <c r="BO812" s="876">
        <f t="shared" si="958"/>
        <v>0</v>
      </c>
      <c r="BP812" s="876">
        <f t="shared" si="958"/>
        <v>0</v>
      </c>
      <c r="BQ812" s="876">
        <f t="shared" si="958"/>
        <v>0</v>
      </c>
      <c r="BR812" s="876">
        <f t="shared" si="958"/>
        <v>0</v>
      </c>
      <c r="BS812" s="876">
        <f t="shared" si="958"/>
        <v>0</v>
      </c>
      <c r="BT812" s="876">
        <f t="shared" si="958"/>
        <v>0</v>
      </c>
      <c r="BU812" s="876">
        <f t="shared" si="958"/>
        <v>0</v>
      </c>
      <c r="BV812" s="876">
        <f t="shared" si="958"/>
        <v>0</v>
      </c>
      <c r="BW812" s="915">
        <f t="shared" si="958"/>
        <v>0</v>
      </c>
      <c r="BX812" s="158">
        <f t="shared" si="945"/>
        <v>0</v>
      </c>
      <c r="BY812" s="158">
        <f t="shared" si="946"/>
        <v>0</v>
      </c>
      <c r="BZ812" s="158"/>
      <c r="CA812" s="158"/>
      <c r="CB812" s="158"/>
      <c r="CC812" s="117"/>
    </row>
    <row r="813" spans="1:81" x14ac:dyDescent="0.55000000000000004">
      <c r="A813" s="116" t="str">
        <f t="shared" si="917"/>
        <v>Impairment related to leases and leasehold improvements</v>
      </c>
      <c r="B813" s="87"/>
      <c r="C813" s="117">
        <f t="shared" si="918"/>
        <v>0</v>
      </c>
      <c r="D813" s="117">
        <f t="shared" si="919"/>
        <v>0</v>
      </c>
      <c r="E813" s="117">
        <f t="shared" si="919"/>
        <v>0</v>
      </c>
      <c r="F813" s="117">
        <f t="shared" si="919"/>
        <v>0</v>
      </c>
      <c r="G813" s="117">
        <f t="shared" si="920"/>
        <v>0</v>
      </c>
      <c r="H813" s="117">
        <f t="shared" si="921"/>
        <v>0</v>
      </c>
      <c r="I813" s="117">
        <f t="shared" si="921"/>
        <v>0</v>
      </c>
      <c r="J813" s="117">
        <f t="shared" si="921"/>
        <v>0</v>
      </c>
      <c r="K813" s="117">
        <f t="shared" si="922"/>
        <v>0</v>
      </c>
      <c r="L813" s="117">
        <f t="shared" si="923"/>
        <v>0</v>
      </c>
      <c r="M813" s="117">
        <f t="shared" si="923"/>
        <v>0</v>
      </c>
      <c r="N813" s="117">
        <f t="shared" si="923"/>
        <v>0</v>
      </c>
      <c r="O813" s="117">
        <f t="shared" si="924"/>
        <v>0</v>
      </c>
      <c r="P813" s="117">
        <f t="shared" si="925"/>
        <v>0</v>
      </c>
      <c r="Q813" s="117">
        <f t="shared" si="925"/>
        <v>0</v>
      </c>
      <c r="R813" s="117">
        <f t="shared" si="925"/>
        <v>0</v>
      </c>
      <c r="S813" s="117">
        <f t="shared" si="926"/>
        <v>0</v>
      </c>
      <c r="T813" s="117">
        <f t="shared" si="927"/>
        <v>0</v>
      </c>
      <c r="U813" s="117">
        <f t="shared" si="927"/>
        <v>0</v>
      </c>
      <c r="V813" s="117">
        <f t="shared" si="927"/>
        <v>0</v>
      </c>
      <c r="W813" s="117">
        <f t="shared" si="928"/>
        <v>0</v>
      </c>
      <c r="X813" s="117">
        <f t="shared" si="929"/>
        <v>0</v>
      </c>
      <c r="Y813" s="117">
        <f t="shared" si="929"/>
        <v>0</v>
      </c>
      <c r="Z813" s="117">
        <f t="shared" si="929"/>
        <v>0</v>
      </c>
      <c r="AA813" s="117">
        <f t="shared" si="930"/>
        <v>0</v>
      </c>
      <c r="AB813" s="117">
        <f t="shared" si="931"/>
        <v>0</v>
      </c>
      <c r="AC813" s="117">
        <f t="shared" si="931"/>
        <v>0</v>
      </c>
      <c r="AD813" s="117">
        <f t="shared" si="931"/>
        <v>0</v>
      </c>
      <c r="AE813" s="117">
        <f t="shared" si="932"/>
        <v>0</v>
      </c>
      <c r="AF813" s="117">
        <f t="shared" si="933"/>
        <v>0</v>
      </c>
      <c r="AG813" s="117">
        <f t="shared" si="933"/>
        <v>0</v>
      </c>
      <c r="AH813" s="117">
        <f t="shared" si="933"/>
        <v>0</v>
      </c>
      <c r="AI813" s="117">
        <f t="shared" si="934"/>
        <v>0</v>
      </c>
      <c r="AJ813" s="117">
        <f t="shared" si="935"/>
        <v>0</v>
      </c>
      <c r="AK813" s="117">
        <f t="shared" si="935"/>
        <v>0</v>
      </c>
      <c r="AL813" s="117">
        <f t="shared" si="935"/>
        <v>0</v>
      </c>
      <c r="AM813" s="117">
        <f t="shared" si="936"/>
        <v>0</v>
      </c>
      <c r="AN813" s="117">
        <f t="shared" si="937"/>
        <v>0</v>
      </c>
      <c r="AO813" s="117">
        <f t="shared" si="937"/>
        <v>413</v>
      </c>
      <c r="AP813" s="117">
        <f t="shared" si="937"/>
        <v>1805</v>
      </c>
      <c r="AQ813" s="117">
        <f t="shared" si="938"/>
        <v>770</v>
      </c>
      <c r="AR813" s="117">
        <f t="shared" si="939"/>
        <v>232</v>
      </c>
      <c r="AS813" s="117">
        <f t="shared" si="939"/>
        <v>340</v>
      </c>
      <c r="AT813" s="117">
        <f t="shared" si="939"/>
        <v>1090</v>
      </c>
      <c r="AU813" s="117">
        <f t="shared" si="940"/>
        <v>240</v>
      </c>
      <c r="AV813" s="117">
        <f t="shared" si="941"/>
        <v>40</v>
      </c>
      <c r="AW813" s="117">
        <f t="shared" si="941"/>
        <v>8</v>
      </c>
      <c r="AX813" s="117">
        <f t="shared" si="941"/>
        <v>95</v>
      </c>
      <c r="AY813" s="273">
        <f t="shared" si="942"/>
        <v>0</v>
      </c>
      <c r="AZ813" s="37"/>
      <c r="BA813" s="37"/>
      <c r="BB813" s="37"/>
      <c r="BC813" s="37"/>
      <c r="BD813" s="37"/>
      <c r="BE813" s="37"/>
      <c r="BF813" s="37"/>
      <c r="BG813" s="37"/>
      <c r="BH813" s="876">
        <f t="shared" ref="BH813:BW813" si="959">BH744</f>
        <v>0</v>
      </c>
      <c r="BI813" s="876">
        <f t="shared" si="959"/>
        <v>0</v>
      </c>
      <c r="BJ813" s="876">
        <f t="shared" si="959"/>
        <v>0</v>
      </c>
      <c r="BK813" s="876">
        <f t="shared" si="959"/>
        <v>0</v>
      </c>
      <c r="BL813" s="876">
        <f t="shared" si="959"/>
        <v>0</v>
      </c>
      <c r="BM813" s="876">
        <f t="shared" si="959"/>
        <v>0</v>
      </c>
      <c r="BN813" s="876">
        <f t="shared" si="959"/>
        <v>0</v>
      </c>
      <c r="BO813" s="876">
        <f t="shared" si="959"/>
        <v>0</v>
      </c>
      <c r="BP813" s="876">
        <f t="shared" si="959"/>
        <v>0</v>
      </c>
      <c r="BQ813" s="876">
        <f t="shared" si="959"/>
        <v>0</v>
      </c>
      <c r="BR813" s="876">
        <f t="shared" si="959"/>
        <v>0</v>
      </c>
      <c r="BS813" s="876">
        <f t="shared" si="959"/>
        <v>0</v>
      </c>
      <c r="BT813" s="876">
        <f t="shared" si="959"/>
        <v>0</v>
      </c>
      <c r="BU813" s="876">
        <f t="shared" si="959"/>
        <v>2218</v>
      </c>
      <c r="BV813" s="876">
        <f t="shared" si="959"/>
        <v>2432</v>
      </c>
      <c r="BW813" s="915">
        <f t="shared" si="959"/>
        <v>383</v>
      </c>
      <c r="BX813" s="158">
        <f t="shared" si="945"/>
        <v>0</v>
      </c>
      <c r="BY813" s="158">
        <f t="shared" si="946"/>
        <v>0</v>
      </c>
      <c r="BZ813" s="158"/>
      <c r="CA813" s="158"/>
      <c r="CB813" s="158"/>
      <c r="CC813" s="117"/>
    </row>
    <row r="814" spans="1:81" x14ac:dyDescent="0.55000000000000004">
      <c r="A814" s="18" t="str">
        <f t="shared" si="917"/>
        <v>Other</v>
      </c>
      <c r="B814" s="244"/>
      <c r="C814" s="14">
        <f t="shared" si="918"/>
        <v>9</v>
      </c>
      <c r="D814" s="14">
        <f t="shared" si="919"/>
        <v>11</v>
      </c>
      <c r="E814" s="14">
        <f t="shared" si="919"/>
        <v>19</v>
      </c>
      <c r="F814" s="14">
        <f t="shared" si="919"/>
        <v>17</v>
      </c>
      <c r="G814" s="14">
        <f t="shared" si="920"/>
        <v>-4</v>
      </c>
      <c r="H814" s="14">
        <f t="shared" si="921"/>
        <v>-19</v>
      </c>
      <c r="I814" s="14">
        <f t="shared" si="921"/>
        <v>-3</v>
      </c>
      <c r="J814" s="14">
        <f t="shared" si="921"/>
        <v>33</v>
      </c>
      <c r="K814" s="14">
        <f t="shared" si="922"/>
        <v>6</v>
      </c>
      <c r="L814" s="14">
        <f t="shared" si="923"/>
        <v>1</v>
      </c>
      <c r="M814" s="14">
        <f t="shared" si="923"/>
        <v>6</v>
      </c>
      <c r="N814" s="14">
        <f t="shared" si="923"/>
        <v>4</v>
      </c>
      <c r="O814" s="14">
        <f t="shared" si="924"/>
        <v>13</v>
      </c>
      <c r="P814" s="14">
        <f t="shared" si="925"/>
        <v>6</v>
      </c>
      <c r="Q814" s="14">
        <f t="shared" si="925"/>
        <v>4</v>
      </c>
      <c r="R814" s="14">
        <f t="shared" si="925"/>
        <v>7</v>
      </c>
      <c r="S814" s="14">
        <f t="shared" si="926"/>
        <v>5</v>
      </c>
      <c r="T814" s="14">
        <f t="shared" si="927"/>
        <v>7</v>
      </c>
      <c r="U814" s="14">
        <f t="shared" si="927"/>
        <v>6</v>
      </c>
      <c r="V814" s="14">
        <f t="shared" si="927"/>
        <v>6</v>
      </c>
      <c r="W814" s="14">
        <f t="shared" si="928"/>
        <v>8</v>
      </c>
      <c r="X814" s="14">
        <f t="shared" si="929"/>
        <v>10</v>
      </c>
      <c r="Y814" s="14">
        <f t="shared" si="929"/>
        <v>1</v>
      </c>
      <c r="Z814" s="14">
        <f t="shared" si="929"/>
        <v>-83</v>
      </c>
      <c r="AA814" s="14">
        <f t="shared" si="930"/>
        <v>6</v>
      </c>
      <c r="AB814" s="14">
        <f t="shared" si="931"/>
        <v>8</v>
      </c>
      <c r="AC814" s="14">
        <f t="shared" si="931"/>
        <v>30</v>
      </c>
      <c r="AD814" s="14">
        <f t="shared" si="931"/>
        <v>-5</v>
      </c>
      <c r="AE814" s="14">
        <f t="shared" si="932"/>
        <v>6</v>
      </c>
      <c r="AF814" s="14">
        <f t="shared" si="933"/>
        <v>43</v>
      </c>
      <c r="AG814" s="14">
        <f t="shared" si="933"/>
        <v>7</v>
      </c>
      <c r="AH814" s="14">
        <f t="shared" si="933"/>
        <v>62</v>
      </c>
      <c r="AI814" s="14">
        <f t="shared" si="934"/>
        <v>-66</v>
      </c>
      <c r="AJ814" s="14">
        <f t="shared" si="935"/>
        <v>-22</v>
      </c>
      <c r="AK814" s="14">
        <f t="shared" si="935"/>
        <v>-73</v>
      </c>
      <c r="AL814" s="14">
        <f t="shared" si="935"/>
        <v>34</v>
      </c>
      <c r="AM814" s="14">
        <f t="shared" si="936"/>
        <v>-221</v>
      </c>
      <c r="AN814" s="14">
        <f t="shared" si="937"/>
        <v>188</v>
      </c>
      <c r="AO814" s="14">
        <f t="shared" si="937"/>
        <v>104</v>
      </c>
      <c r="AP814" s="14">
        <f t="shared" si="937"/>
        <v>107</v>
      </c>
      <c r="AQ814" s="14">
        <f t="shared" si="938"/>
        <v>-7</v>
      </c>
      <c r="AR814" s="14">
        <f t="shared" si="939"/>
        <v>211</v>
      </c>
      <c r="AS814" s="14">
        <f t="shared" si="939"/>
        <v>74</v>
      </c>
      <c r="AT814" s="14">
        <f t="shared" si="939"/>
        <v>357</v>
      </c>
      <c r="AU814" s="14">
        <f t="shared" si="940"/>
        <v>-66</v>
      </c>
      <c r="AV814" s="14">
        <f t="shared" si="941"/>
        <v>-5</v>
      </c>
      <c r="AW814" s="14">
        <f t="shared" si="941"/>
        <v>-11</v>
      </c>
      <c r="AX814" s="14">
        <f t="shared" si="941"/>
        <v>169</v>
      </c>
      <c r="AY814" s="406">
        <f t="shared" si="942"/>
        <v>-231</v>
      </c>
      <c r="AZ814" s="82"/>
      <c r="BA814" s="82"/>
      <c r="BB814" s="82"/>
      <c r="BC814" s="82"/>
      <c r="BD814" s="82"/>
      <c r="BE814" s="82"/>
      <c r="BF814" s="82"/>
      <c r="BG814" s="82"/>
      <c r="BH814" s="877">
        <f t="shared" ref="BH814:BW814" si="960">BH745</f>
        <v>0</v>
      </c>
      <c r="BI814" s="877">
        <f t="shared" si="960"/>
        <v>0</v>
      </c>
      <c r="BJ814" s="877">
        <f t="shared" si="960"/>
        <v>0</v>
      </c>
      <c r="BK814" s="877">
        <f t="shared" si="960"/>
        <v>0</v>
      </c>
      <c r="BL814" s="877">
        <f t="shared" si="960"/>
        <v>56</v>
      </c>
      <c r="BM814" s="877">
        <f t="shared" si="960"/>
        <v>7</v>
      </c>
      <c r="BN814" s="877">
        <f t="shared" si="960"/>
        <v>17</v>
      </c>
      <c r="BO814" s="877">
        <f t="shared" si="960"/>
        <v>30</v>
      </c>
      <c r="BP814" s="877">
        <f t="shared" si="960"/>
        <v>24</v>
      </c>
      <c r="BQ814" s="877">
        <f t="shared" si="960"/>
        <v>-64</v>
      </c>
      <c r="BR814" s="877">
        <f t="shared" si="960"/>
        <v>39</v>
      </c>
      <c r="BS814" s="877">
        <f t="shared" si="960"/>
        <v>118</v>
      </c>
      <c r="BT814" s="877">
        <f t="shared" si="960"/>
        <v>-127</v>
      </c>
      <c r="BU814" s="877">
        <f t="shared" si="960"/>
        <v>178</v>
      </c>
      <c r="BV814" s="877">
        <f t="shared" si="960"/>
        <v>635</v>
      </c>
      <c r="BW814" s="913">
        <f t="shared" si="960"/>
        <v>87</v>
      </c>
      <c r="BX814" s="854">
        <f t="shared" si="945"/>
        <v>-231</v>
      </c>
      <c r="BY814" s="854">
        <f t="shared" si="946"/>
        <v>0</v>
      </c>
      <c r="BZ814" s="854"/>
      <c r="CA814" s="854"/>
      <c r="CB814" s="854"/>
      <c r="CC814" s="117"/>
    </row>
    <row r="815" spans="1:81" x14ac:dyDescent="0.55000000000000004">
      <c r="A815" s="20" t="str">
        <f t="shared" si="917"/>
        <v>CFO before WC</v>
      </c>
      <c r="B815" s="195"/>
      <c r="C815" s="5">
        <f t="shared" ref="C815:AH815" si="961">SUM(C803:C814)</f>
        <v>629</v>
      </c>
      <c r="D815" s="5">
        <f t="shared" si="961"/>
        <v>877</v>
      </c>
      <c r="E815" s="5">
        <f t="shared" si="961"/>
        <v>1001</v>
      </c>
      <c r="F815" s="5">
        <f t="shared" si="961"/>
        <v>1039</v>
      </c>
      <c r="G815" s="5">
        <f t="shared" si="961"/>
        <v>1172</v>
      </c>
      <c r="H815" s="5">
        <f t="shared" si="961"/>
        <v>1305</v>
      </c>
      <c r="I815" s="5">
        <f t="shared" si="961"/>
        <v>1446</v>
      </c>
      <c r="J815" s="5">
        <f t="shared" si="961"/>
        <v>1796</v>
      </c>
      <c r="K815" s="5">
        <f t="shared" si="961"/>
        <v>1446</v>
      </c>
      <c r="L815" s="5">
        <f t="shared" si="961"/>
        <v>1876</v>
      </c>
      <c r="M815" s="5">
        <f t="shared" si="961"/>
        <v>1762</v>
      </c>
      <c r="N815" s="5">
        <f t="shared" si="961"/>
        <v>2731</v>
      </c>
      <c r="O815" s="5">
        <f t="shared" si="961"/>
        <v>2972</v>
      </c>
      <c r="P815" s="5">
        <f t="shared" si="961"/>
        <v>3590</v>
      </c>
      <c r="Q815" s="5">
        <f t="shared" si="961"/>
        <v>4023</v>
      </c>
      <c r="R815" s="5">
        <f t="shared" si="961"/>
        <v>4765</v>
      </c>
      <c r="S815" s="5">
        <f t="shared" si="961"/>
        <v>4523</v>
      </c>
      <c r="T815" s="5">
        <f t="shared" si="961"/>
        <v>5689</v>
      </c>
      <c r="U815" s="5">
        <f t="shared" si="961"/>
        <v>6400</v>
      </c>
      <c r="V815" s="5">
        <f t="shared" si="961"/>
        <v>5717</v>
      </c>
      <c r="W815" s="5">
        <f t="shared" si="961"/>
        <v>6853</v>
      </c>
      <c r="X815" s="5">
        <f t="shared" si="961"/>
        <v>7436</v>
      </c>
      <c r="Y815" s="5">
        <f t="shared" si="961"/>
        <v>7313</v>
      </c>
      <c r="Z815" s="5">
        <f t="shared" si="961"/>
        <v>9199</v>
      </c>
      <c r="AA815" s="5">
        <f t="shared" si="961"/>
        <v>4983</v>
      </c>
      <c r="AB815" s="5">
        <f t="shared" si="961"/>
        <v>5430</v>
      </c>
      <c r="AC815" s="5">
        <f t="shared" si="961"/>
        <v>8960</v>
      </c>
      <c r="AD815" s="5">
        <f t="shared" si="961"/>
        <v>9691</v>
      </c>
      <c r="AE815" s="5">
        <f t="shared" si="961"/>
        <v>8317</v>
      </c>
      <c r="AF815" s="5">
        <f t="shared" si="961"/>
        <v>8834</v>
      </c>
      <c r="AG815" s="5">
        <f t="shared" si="961"/>
        <v>9767</v>
      </c>
      <c r="AH815" s="5">
        <f t="shared" si="961"/>
        <v>14552</v>
      </c>
      <c r="AI815" s="5">
        <f t="shared" ref="AI815:BF815" si="962">SUM(AI803:AI814)</f>
        <v>13651</v>
      </c>
      <c r="AJ815" s="5">
        <f t="shared" si="962"/>
        <v>15137</v>
      </c>
      <c r="AK815" s="5">
        <f t="shared" si="962"/>
        <v>12707</v>
      </c>
      <c r="AL815" s="5">
        <f t="shared" si="962"/>
        <v>15488</v>
      </c>
      <c r="AM815" s="5">
        <f t="shared" si="962"/>
        <v>11335</v>
      </c>
      <c r="AN815" s="5">
        <f t="shared" si="962"/>
        <v>11753</v>
      </c>
      <c r="AO815" s="5">
        <f t="shared" si="962"/>
        <v>9124</v>
      </c>
      <c r="AP815" s="5">
        <f t="shared" si="962"/>
        <v>12580</v>
      </c>
      <c r="AQ815" s="5">
        <f t="shared" si="962"/>
        <v>11427</v>
      </c>
      <c r="AR815" s="5">
        <f t="shared" si="962"/>
        <v>13778</v>
      </c>
      <c r="AS815" s="5">
        <f t="shared" si="962"/>
        <v>21397</v>
      </c>
      <c r="AT815" s="5">
        <f t="shared" si="962"/>
        <v>20675</v>
      </c>
      <c r="AU815" s="5">
        <f t="shared" si="962"/>
        <v>19023</v>
      </c>
      <c r="AV815" s="5">
        <f t="shared" si="962"/>
        <v>20111</v>
      </c>
      <c r="AW815" s="5">
        <f t="shared" si="962"/>
        <v>22654</v>
      </c>
      <c r="AX815" s="5">
        <f t="shared" si="962"/>
        <v>28492</v>
      </c>
      <c r="AY815" s="409">
        <f t="shared" si="962"/>
        <v>23467</v>
      </c>
      <c r="AZ815" s="33">
        <f t="shared" si="962"/>
        <v>25521.461178418551</v>
      </c>
      <c r="BA815" s="33">
        <f t="shared" ca="1" si="962"/>
        <v>28026.679482758067</v>
      </c>
      <c r="BB815" s="33">
        <f t="shared" ca="1" si="962"/>
        <v>31672.335982328921</v>
      </c>
      <c r="BC815" s="33">
        <f t="shared" ca="1" si="962"/>
        <v>34528.534464188488</v>
      </c>
      <c r="BD815" s="33">
        <f t="shared" ca="1" si="962"/>
        <v>31876.345789979467</v>
      </c>
      <c r="BE815" s="33">
        <f t="shared" ca="1" si="962"/>
        <v>34054.759835898745</v>
      </c>
      <c r="BF815" s="33">
        <f t="shared" ca="1" si="962"/>
        <v>37483.199251311846</v>
      </c>
      <c r="BG815" s="33"/>
      <c r="BH815" s="834">
        <f t="shared" ref="BH815:CB815" si="963">SUM(BH803:BH814)</f>
        <v>334</v>
      </c>
      <c r="BI815" s="834">
        <f t="shared" si="963"/>
        <v>768</v>
      </c>
      <c r="BJ815" s="834">
        <f t="shared" si="963"/>
        <v>1514</v>
      </c>
      <c r="BK815" s="834">
        <f t="shared" si="963"/>
        <v>2111</v>
      </c>
      <c r="BL815" s="834">
        <f t="shared" si="963"/>
        <v>3546</v>
      </c>
      <c r="BM815" s="834">
        <f t="shared" si="963"/>
        <v>5719</v>
      </c>
      <c r="BN815" s="834">
        <f t="shared" si="963"/>
        <v>7815</v>
      </c>
      <c r="BO815" s="834">
        <f t="shared" si="963"/>
        <v>15350</v>
      </c>
      <c r="BP815" s="834">
        <f t="shared" si="963"/>
        <v>22329</v>
      </c>
      <c r="BQ815" s="834">
        <f t="shared" si="963"/>
        <v>30801</v>
      </c>
      <c r="BR815" s="834">
        <f t="shared" si="963"/>
        <v>29064</v>
      </c>
      <c r="BS815" s="834">
        <f t="shared" si="963"/>
        <v>41470</v>
      </c>
      <c r="BT815" s="834">
        <f t="shared" si="963"/>
        <v>56983</v>
      </c>
      <c r="BU815" s="834">
        <f t="shared" si="963"/>
        <v>44792</v>
      </c>
      <c r="BV815" s="834">
        <f t="shared" si="963"/>
        <v>67277</v>
      </c>
      <c r="BW815" s="914">
        <f t="shared" si="963"/>
        <v>90280</v>
      </c>
      <c r="BX815" s="833">
        <f t="shared" ca="1" si="963"/>
        <v>108687.47664350554</v>
      </c>
      <c r="BY815" s="833">
        <f t="shared" ca="1" si="963"/>
        <v>137942.83934137857</v>
      </c>
      <c r="BZ815" s="833">
        <f t="shared" ca="1" si="963"/>
        <v>154825.16863699688</v>
      </c>
      <c r="CA815" s="833">
        <f t="shared" ca="1" si="963"/>
        <v>162750.42362573851</v>
      </c>
      <c r="CB815" s="833">
        <f t="shared" ca="1" si="963"/>
        <v>181622.99280145092</v>
      </c>
      <c r="CC815" s="6"/>
    </row>
    <row r="816" spans="1:81" x14ac:dyDescent="0.55000000000000004">
      <c r="A816" s="86" t="str">
        <f t="shared" si="917"/>
        <v>Accounts receivable</v>
      </c>
      <c r="B816" s="87"/>
      <c r="C816" s="37">
        <f t="shared" ref="C816:C826" si="964">C747</f>
        <v>54</v>
      </c>
      <c r="D816" s="37">
        <f t="shared" ref="D816:F826" si="965">D747-C747</f>
        <v>-116</v>
      </c>
      <c r="E816" s="37">
        <f t="shared" si="965"/>
        <v>-83</v>
      </c>
      <c r="F816" s="37">
        <f t="shared" si="965"/>
        <v>-233</v>
      </c>
      <c r="G816" s="37">
        <f t="shared" ref="G816:G826" si="966">G747</f>
        <v>105</v>
      </c>
      <c r="H816" s="37">
        <f t="shared" ref="H816:J826" si="967">H747-G747</f>
        <v>-187</v>
      </c>
      <c r="I816" s="37">
        <f t="shared" si="967"/>
        <v>-182</v>
      </c>
      <c r="J816" s="37">
        <f t="shared" si="967"/>
        <v>-346</v>
      </c>
      <c r="K816" s="37">
        <f t="shared" ref="K816:K826" si="968">K747</f>
        <v>84</v>
      </c>
      <c r="L816" s="37">
        <f t="shared" ref="L816:N826" si="969">L747-K747</f>
        <v>-282</v>
      </c>
      <c r="M816" s="37">
        <f t="shared" si="969"/>
        <v>-207</v>
      </c>
      <c r="N816" s="37">
        <f t="shared" si="969"/>
        <v>-568</v>
      </c>
      <c r="O816" s="37">
        <f t="shared" ref="O816:O826" si="970">O747</f>
        <v>267</v>
      </c>
      <c r="P816" s="37">
        <f t="shared" ref="P816:R826" si="971">P747-O747</f>
        <v>-492</v>
      </c>
      <c r="Q816" s="37">
        <f t="shared" si="971"/>
        <v>-253</v>
      </c>
      <c r="R816" s="37">
        <f t="shared" si="971"/>
        <v>-1011</v>
      </c>
      <c r="S816" s="37">
        <f t="shared" ref="S816:S826" si="972">S747</f>
        <v>609</v>
      </c>
      <c r="T816" s="37">
        <f t="shared" ref="T816:V826" si="973">T747-S747</f>
        <v>-386</v>
      </c>
      <c r="U816" s="37">
        <f t="shared" si="973"/>
        <v>-458</v>
      </c>
      <c r="V816" s="37">
        <f t="shared" si="973"/>
        <v>-1374</v>
      </c>
      <c r="W816" s="37">
        <f t="shared" ref="W816:W826" si="974">W747</f>
        <v>788</v>
      </c>
      <c r="X816" s="37">
        <f t="shared" ref="X816:Z826" si="975">X747-W747</f>
        <v>-627</v>
      </c>
      <c r="Y816" s="37">
        <f t="shared" si="975"/>
        <v>-489</v>
      </c>
      <c r="Z816" s="37">
        <f t="shared" si="975"/>
        <v>-1564</v>
      </c>
      <c r="AA816" s="37">
        <f t="shared" ref="AA816:AA826" si="976">AA747</f>
        <v>1070</v>
      </c>
      <c r="AB816" s="37">
        <f t="shared" ref="AB816:AD826" si="977">AB747-AA747</f>
        <v>-1006</v>
      </c>
      <c r="AC816" s="37">
        <f t="shared" si="977"/>
        <v>-328</v>
      </c>
      <c r="AD816" s="37">
        <f t="shared" si="977"/>
        <v>-1697</v>
      </c>
      <c r="AE816" s="37">
        <f t="shared" ref="AE816:AE826" si="978">AE747</f>
        <v>2046</v>
      </c>
      <c r="AF816" s="37">
        <f t="shared" ref="AF816:AH826" si="979">AF747-AE747</f>
        <v>-122</v>
      </c>
      <c r="AG816" s="37">
        <f t="shared" si="979"/>
        <v>-377</v>
      </c>
      <c r="AH816" s="37">
        <f t="shared" si="979"/>
        <v>-3059</v>
      </c>
      <c r="AI816" s="37">
        <f t="shared" ref="AI816:AI826" si="980">AI747</f>
        <v>849</v>
      </c>
      <c r="AJ816" s="37">
        <f t="shared" ref="AJ816:AL826" si="981">AJ747-AI747</f>
        <v>-1366</v>
      </c>
      <c r="AK816" s="37">
        <f t="shared" si="981"/>
        <v>-555</v>
      </c>
      <c r="AL816" s="37">
        <f t="shared" si="981"/>
        <v>-2038</v>
      </c>
      <c r="AM816" s="37">
        <f t="shared" ref="AM816:AM826" si="982">AM747</f>
        <v>2557</v>
      </c>
      <c r="AN816" s="37">
        <f t="shared" ref="AN816:AP826" si="983">AN747-AM747</f>
        <v>-522</v>
      </c>
      <c r="AO816" s="37">
        <f t="shared" si="983"/>
        <v>-105</v>
      </c>
      <c r="AP816" s="37">
        <f t="shared" si="983"/>
        <v>-1699</v>
      </c>
      <c r="AQ816" s="37">
        <f t="shared" ref="AQ816:AQ826" si="984">AQ747</f>
        <v>2546</v>
      </c>
      <c r="AR816" s="37">
        <f t="shared" ref="AR816:AT826" si="985">AR747-AQ747</f>
        <v>-1424</v>
      </c>
      <c r="AS816" s="37">
        <f t="shared" si="985"/>
        <v>-678</v>
      </c>
      <c r="AT816" s="37">
        <f t="shared" si="985"/>
        <v>-2843</v>
      </c>
      <c r="AU816" s="37">
        <f t="shared" ref="AU816:AU826" si="986">AU747</f>
        <v>2520</v>
      </c>
      <c r="AV816" s="37">
        <f t="shared" ref="AV816:AX826" si="987">AV747-AU747</f>
        <v>-1170</v>
      </c>
      <c r="AW816" s="37">
        <f t="shared" si="987"/>
        <v>143</v>
      </c>
      <c r="AX816" s="37">
        <f t="shared" si="987"/>
        <v>-2978</v>
      </c>
      <c r="AY816" s="273">
        <f t="shared" ref="AY816:AY826" si="988">AY747</f>
        <v>2804</v>
      </c>
      <c r="AZ816" s="37">
        <f>AY905-AZ905</f>
        <v>-2410.3052607772588</v>
      </c>
      <c r="BA816" s="37">
        <f>AZ905-BA905</f>
        <v>-15.635585176682071</v>
      </c>
      <c r="BB816" s="37">
        <f>BA905-BB905</f>
        <v>-2474.6336870065461</v>
      </c>
      <c r="BC816" s="37">
        <f>BX905-BC905</f>
        <v>2927.6772154603823</v>
      </c>
      <c r="BD816" s="37">
        <f>BC905-BD905</f>
        <v>-2708.8562454709936</v>
      </c>
      <c r="BE816" s="37">
        <f>BD905-BE905</f>
        <v>34.218159081858175</v>
      </c>
      <c r="BF816" s="37">
        <f>BE905-BF905</f>
        <v>-2726.8143470182367</v>
      </c>
      <c r="BG816" s="37"/>
      <c r="BH816" s="158">
        <f t="shared" ref="BH816:BW816" si="989">BH747</f>
        <v>-112</v>
      </c>
      <c r="BI816" s="158">
        <f t="shared" si="989"/>
        <v>-209</v>
      </c>
      <c r="BJ816" s="158">
        <f t="shared" si="989"/>
        <v>-174</v>
      </c>
      <c r="BK816" s="158">
        <f t="shared" si="989"/>
        <v>-170</v>
      </c>
      <c r="BL816" s="158">
        <f t="shared" si="989"/>
        <v>-378</v>
      </c>
      <c r="BM816" s="158">
        <f t="shared" si="989"/>
        <v>-610</v>
      </c>
      <c r="BN816" s="158">
        <f t="shared" si="989"/>
        <v>-973</v>
      </c>
      <c r="BO816" s="158">
        <f t="shared" si="989"/>
        <v>-1489</v>
      </c>
      <c r="BP816" s="158">
        <f t="shared" si="989"/>
        <v>-1609</v>
      </c>
      <c r="BQ816" s="158">
        <f t="shared" si="989"/>
        <v>-1892</v>
      </c>
      <c r="BR816" s="158">
        <f t="shared" si="989"/>
        <v>-1961</v>
      </c>
      <c r="BS816" s="158">
        <f t="shared" si="989"/>
        <v>-1512</v>
      </c>
      <c r="BT816" s="158">
        <f t="shared" si="989"/>
        <v>-3110</v>
      </c>
      <c r="BU816" s="158">
        <f t="shared" si="989"/>
        <v>231</v>
      </c>
      <c r="BV816" s="158">
        <f t="shared" si="989"/>
        <v>-2399</v>
      </c>
      <c r="BW816" s="846">
        <f t="shared" si="989"/>
        <v>-1485</v>
      </c>
      <c r="BX816" s="158">
        <f t="shared" ref="BX816:BX826" si="990">SUM(AY816,AZ816,BA816,BB816)</f>
        <v>-2096.574532960487</v>
      </c>
      <c r="BY816" s="158">
        <f t="shared" ref="BY816:BY826" si="991">SUM(BC816,BD816,BE816,BF816)</f>
        <v>-2473.7752179469899</v>
      </c>
      <c r="BZ816" s="158">
        <f>BY905-BZ905</f>
        <v>-2470.4931270099696</v>
      </c>
      <c r="CA816" s="158">
        <f>BZ905-CA905</f>
        <v>-1294.648017860356</v>
      </c>
      <c r="CB816" s="158">
        <f>CA905-CB905</f>
        <v>-1276.6101059694192</v>
      </c>
      <c r="CC816" s="117"/>
    </row>
    <row r="817" spans="1:81" x14ac:dyDescent="0.55000000000000004">
      <c r="A817" s="86" t="str">
        <f t="shared" si="917"/>
        <v>Income tax refundable</v>
      </c>
      <c r="B817" s="87"/>
      <c r="C817" s="37">
        <f t="shared" si="964"/>
        <v>0</v>
      </c>
      <c r="D817" s="37">
        <f t="shared" si="965"/>
        <v>0</v>
      </c>
      <c r="E817" s="37">
        <f t="shared" si="965"/>
        <v>0</v>
      </c>
      <c r="F817" s="37">
        <f t="shared" si="965"/>
        <v>0</v>
      </c>
      <c r="G817" s="37">
        <f t="shared" si="966"/>
        <v>0</v>
      </c>
      <c r="H817" s="37">
        <f t="shared" si="967"/>
        <v>0</v>
      </c>
      <c r="I817" s="37">
        <f t="shared" si="967"/>
        <v>0</v>
      </c>
      <c r="J817" s="37">
        <f t="shared" si="967"/>
        <v>0</v>
      </c>
      <c r="K817" s="37">
        <f t="shared" si="968"/>
        <v>0</v>
      </c>
      <c r="L817" s="37">
        <f t="shared" si="969"/>
        <v>0</v>
      </c>
      <c r="M817" s="37">
        <f t="shared" si="969"/>
        <v>0</v>
      </c>
      <c r="N817" s="37">
        <f t="shared" si="969"/>
        <v>0</v>
      </c>
      <c r="O817" s="37">
        <f t="shared" si="970"/>
        <v>0</v>
      </c>
      <c r="P817" s="37">
        <f t="shared" si="971"/>
        <v>0</v>
      </c>
      <c r="Q817" s="37">
        <f t="shared" si="971"/>
        <v>0</v>
      </c>
      <c r="R817" s="37">
        <f t="shared" si="971"/>
        <v>0</v>
      </c>
      <c r="S817" s="37">
        <f t="shared" si="972"/>
        <v>0</v>
      </c>
      <c r="T817" s="37">
        <f t="shared" si="973"/>
        <v>0</v>
      </c>
      <c r="U817" s="37">
        <f t="shared" si="973"/>
        <v>0</v>
      </c>
      <c r="V817" s="37">
        <f t="shared" si="973"/>
        <v>0</v>
      </c>
      <c r="W817" s="37">
        <f t="shared" si="974"/>
        <v>0</v>
      </c>
      <c r="X817" s="37">
        <f t="shared" si="975"/>
        <v>0</v>
      </c>
      <c r="Y817" s="37">
        <f t="shared" si="975"/>
        <v>0</v>
      </c>
      <c r="Z817" s="37">
        <f t="shared" si="975"/>
        <v>0</v>
      </c>
      <c r="AA817" s="37">
        <f t="shared" si="976"/>
        <v>0</v>
      </c>
      <c r="AB817" s="37">
        <f t="shared" si="977"/>
        <v>0</v>
      </c>
      <c r="AC817" s="37">
        <f t="shared" si="977"/>
        <v>0</v>
      </c>
      <c r="AD817" s="37">
        <f t="shared" si="977"/>
        <v>0</v>
      </c>
      <c r="AE817" s="37">
        <f t="shared" si="978"/>
        <v>0</v>
      </c>
      <c r="AF817" s="37">
        <f t="shared" si="979"/>
        <v>0</v>
      </c>
      <c r="AG817" s="37">
        <f t="shared" si="979"/>
        <v>0</v>
      </c>
      <c r="AH817" s="37">
        <f t="shared" si="979"/>
        <v>0</v>
      </c>
      <c r="AI817" s="37">
        <f t="shared" si="980"/>
        <v>0</v>
      </c>
      <c r="AJ817" s="37">
        <f t="shared" si="981"/>
        <v>0</v>
      </c>
      <c r="AK817" s="37">
        <f t="shared" si="981"/>
        <v>0</v>
      </c>
      <c r="AL817" s="37">
        <f t="shared" si="981"/>
        <v>0</v>
      </c>
      <c r="AM817" s="37">
        <f t="shared" si="982"/>
        <v>0</v>
      </c>
      <c r="AN817" s="37">
        <f t="shared" si="983"/>
        <v>0</v>
      </c>
      <c r="AO817" s="37">
        <f t="shared" si="983"/>
        <v>0</v>
      </c>
      <c r="AP817" s="37">
        <f t="shared" si="983"/>
        <v>0</v>
      </c>
      <c r="AQ817" s="37">
        <f t="shared" si="984"/>
        <v>0</v>
      </c>
      <c r="AR817" s="37">
        <f t="shared" si="985"/>
        <v>0</v>
      </c>
      <c r="AS817" s="37">
        <f t="shared" si="985"/>
        <v>0</v>
      </c>
      <c r="AT817" s="37">
        <f t="shared" si="985"/>
        <v>0</v>
      </c>
      <c r="AU817" s="37">
        <f t="shared" si="986"/>
        <v>0</v>
      </c>
      <c r="AV817" s="37">
        <f t="shared" si="987"/>
        <v>0</v>
      </c>
      <c r="AW817" s="37">
        <f t="shared" si="987"/>
        <v>0</v>
      </c>
      <c r="AX817" s="37">
        <f t="shared" si="987"/>
        <v>0</v>
      </c>
      <c r="AY817" s="273">
        <f t="shared" si="988"/>
        <v>0</v>
      </c>
      <c r="AZ817" s="37"/>
      <c r="BA817" s="37"/>
      <c r="BB817" s="37"/>
      <c r="BC817" s="37"/>
      <c r="BD817" s="37"/>
      <c r="BE817" s="37"/>
      <c r="BF817" s="37"/>
      <c r="BG817" s="37"/>
      <c r="BH817" s="158">
        <f t="shared" ref="BH817:BW817" si="992">BH748</f>
        <v>0</v>
      </c>
      <c r="BI817" s="158">
        <f t="shared" si="992"/>
        <v>0</v>
      </c>
      <c r="BJ817" s="158">
        <f t="shared" si="992"/>
        <v>0</v>
      </c>
      <c r="BK817" s="158">
        <f t="shared" si="992"/>
        <v>-451</v>
      </c>
      <c r="BL817" s="158">
        <f t="shared" si="992"/>
        <v>0</v>
      </c>
      <c r="BM817" s="158">
        <f t="shared" si="992"/>
        <v>0</v>
      </c>
      <c r="BN817" s="158">
        <f t="shared" si="992"/>
        <v>0</v>
      </c>
      <c r="BO817" s="158">
        <f t="shared" si="992"/>
        <v>0</v>
      </c>
      <c r="BP817" s="158">
        <f t="shared" si="992"/>
        <v>0</v>
      </c>
      <c r="BQ817" s="158">
        <f t="shared" si="992"/>
        <v>0</v>
      </c>
      <c r="BR817" s="158">
        <f t="shared" si="992"/>
        <v>0</v>
      </c>
      <c r="BS817" s="158">
        <f t="shared" si="992"/>
        <v>0</v>
      </c>
      <c r="BT817" s="158">
        <f t="shared" si="992"/>
        <v>0</v>
      </c>
      <c r="BU817" s="158">
        <f t="shared" si="992"/>
        <v>0</v>
      </c>
      <c r="BV817" s="158">
        <f t="shared" si="992"/>
        <v>0</v>
      </c>
      <c r="BW817" s="846">
        <f t="shared" si="992"/>
        <v>0</v>
      </c>
      <c r="BX817" s="158">
        <f t="shared" si="990"/>
        <v>0</v>
      </c>
      <c r="BY817" s="158">
        <f t="shared" si="991"/>
        <v>0</v>
      </c>
      <c r="BZ817" s="158"/>
      <c r="CA817" s="158"/>
      <c r="CB817" s="158"/>
      <c r="CC817" s="117"/>
    </row>
    <row r="818" spans="1:81" x14ac:dyDescent="0.55000000000000004">
      <c r="A818" s="86" t="str">
        <f t="shared" si="917"/>
        <v>Prepaid expenses and other current assets</v>
      </c>
      <c r="B818" s="87"/>
      <c r="C818" s="37">
        <f t="shared" si="964"/>
        <v>-1</v>
      </c>
      <c r="D818" s="37">
        <f t="shared" si="965"/>
        <v>429</v>
      </c>
      <c r="E818" s="37">
        <f t="shared" si="965"/>
        <v>5</v>
      </c>
      <c r="F818" s="37">
        <f t="shared" si="965"/>
        <v>-78</v>
      </c>
      <c r="G818" s="37">
        <f t="shared" si="966"/>
        <v>-4</v>
      </c>
      <c r="H818" s="37">
        <f t="shared" si="967"/>
        <v>14</v>
      </c>
      <c r="I818" s="37">
        <f t="shared" si="967"/>
        <v>-55</v>
      </c>
      <c r="J818" s="37">
        <f t="shared" si="967"/>
        <v>-78</v>
      </c>
      <c r="K818" s="37">
        <f t="shared" si="968"/>
        <v>-43</v>
      </c>
      <c r="L818" s="37">
        <f t="shared" si="969"/>
        <v>-47</v>
      </c>
      <c r="M818" s="37">
        <f t="shared" si="969"/>
        <v>-55</v>
      </c>
      <c r="N818" s="37">
        <f t="shared" si="969"/>
        <v>1</v>
      </c>
      <c r="O818" s="37">
        <f t="shared" si="970"/>
        <v>-107</v>
      </c>
      <c r="P818" s="37">
        <f t="shared" si="971"/>
        <v>-150</v>
      </c>
      <c r="Q818" s="37">
        <f t="shared" si="971"/>
        <v>-57</v>
      </c>
      <c r="R818" s="37">
        <f t="shared" si="971"/>
        <v>155</v>
      </c>
      <c r="S818" s="37">
        <f t="shared" si="972"/>
        <v>-365</v>
      </c>
      <c r="T818" s="37">
        <f t="shared" si="973"/>
        <v>-212</v>
      </c>
      <c r="U818" s="37">
        <f t="shared" si="973"/>
        <v>-57</v>
      </c>
      <c r="V818" s="37">
        <f t="shared" si="973"/>
        <v>442</v>
      </c>
      <c r="W818" s="37">
        <f t="shared" si="974"/>
        <v>-365</v>
      </c>
      <c r="X818" s="37">
        <f t="shared" si="975"/>
        <v>-533</v>
      </c>
      <c r="Y818" s="37">
        <f t="shared" si="975"/>
        <v>9</v>
      </c>
      <c r="Z818" s="37">
        <f t="shared" si="975"/>
        <v>199</v>
      </c>
      <c r="AA818" s="37">
        <f t="shared" si="976"/>
        <v>84</v>
      </c>
      <c r="AB818" s="37">
        <f t="shared" si="977"/>
        <v>-252</v>
      </c>
      <c r="AC818" s="37">
        <f t="shared" si="977"/>
        <v>-359</v>
      </c>
      <c r="AD818" s="37">
        <f t="shared" si="977"/>
        <v>574</v>
      </c>
      <c r="AE818" s="37">
        <f t="shared" si="978"/>
        <v>-29</v>
      </c>
      <c r="AF818" s="37">
        <f t="shared" si="979"/>
        <v>-324</v>
      </c>
      <c r="AG818" s="37">
        <f t="shared" si="979"/>
        <v>264</v>
      </c>
      <c r="AH818" s="37">
        <f t="shared" si="979"/>
        <v>224</v>
      </c>
      <c r="AI818" s="37">
        <f t="shared" si="980"/>
        <v>-461</v>
      </c>
      <c r="AJ818" s="37">
        <f t="shared" si="981"/>
        <v>-1852</v>
      </c>
      <c r="AK818" s="37">
        <f t="shared" si="981"/>
        <v>-253</v>
      </c>
      <c r="AL818" s="37">
        <f t="shared" si="981"/>
        <v>816</v>
      </c>
      <c r="AM818" s="37">
        <f t="shared" si="982"/>
        <v>573</v>
      </c>
      <c r="AN818" s="37">
        <f t="shared" si="983"/>
        <v>-435</v>
      </c>
      <c r="AO818" s="37">
        <f t="shared" si="983"/>
        <v>-831</v>
      </c>
      <c r="AP818" s="37">
        <f t="shared" si="983"/>
        <v>855</v>
      </c>
      <c r="AQ818" s="37">
        <f t="shared" si="984"/>
        <v>821</v>
      </c>
      <c r="AR818" s="37">
        <f t="shared" si="985"/>
        <v>-54</v>
      </c>
      <c r="AS818" s="37">
        <f t="shared" si="985"/>
        <v>-908</v>
      </c>
      <c r="AT818" s="37">
        <f t="shared" si="985"/>
        <v>700</v>
      </c>
      <c r="AU818" s="37">
        <f t="shared" si="986"/>
        <v>100</v>
      </c>
      <c r="AV818" s="37">
        <f t="shared" si="987"/>
        <v>-84</v>
      </c>
      <c r="AW818" s="37">
        <f t="shared" si="987"/>
        <v>-184</v>
      </c>
      <c r="AX818" s="37">
        <f t="shared" si="987"/>
        <v>-530</v>
      </c>
      <c r="AY818" s="273">
        <f t="shared" si="988"/>
        <v>360</v>
      </c>
      <c r="AZ818" s="37"/>
      <c r="BA818" s="37"/>
      <c r="BB818" s="37"/>
      <c r="BC818" s="37"/>
      <c r="BD818" s="37"/>
      <c r="BE818" s="37"/>
      <c r="BF818" s="37"/>
      <c r="BG818" s="37"/>
      <c r="BH818" s="158">
        <f t="shared" ref="BH818:BW818" si="993">BH749</f>
        <v>-30</v>
      </c>
      <c r="BI818" s="158">
        <f t="shared" si="993"/>
        <v>-38</v>
      </c>
      <c r="BJ818" s="158">
        <f t="shared" si="993"/>
        <v>-24</v>
      </c>
      <c r="BK818" s="158">
        <f t="shared" si="993"/>
        <v>-14</v>
      </c>
      <c r="BL818" s="158">
        <f t="shared" si="993"/>
        <v>355</v>
      </c>
      <c r="BM818" s="158">
        <f t="shared" si="993"/>
        <v>-123</v>
      </c>
      <c r="BN818" s="158">
        <f t="shared" si="993"/>
        <v>-144</v>
      </c>
      <c r="BO818" s="158">
        <f t="shared" si="993"/>
        <v>-159</v>
      </c>
      <c r="BP818" s="158">
        <f t="shared" si="993"/>
        <v>-192</v>
      </c>
      <c r="BQ818" s="158">
        <f t="shared" si="993"/>
        <v>-690</v>
      </c>
      <c r="BR818" s="158">
        <f t="shared" si="993"/>
        <v>47</v>
      </c>
      <c r="BS818" s="158">
        <f t="shared" si="993"/>
        <v>135</v>
      </c>
      <c r="BT818" s="158">
        <f t="shared" si="993"/>
        <v>-1750</v>
      </c>
      <c r="BU818" s="158">
        <f t="shared" si="993"/>
        <v>162</v>
      </c>
      <c r="BV818" s="158">
        <f t="shared" si="993"/>
        <v>559</v>
      </c>
      <c r="BW818" s="846">
        <f t="shared" si="993"/>
        <v>-698</v>
      </c>
      <c r="BX818" s="158">
        <f t="shared" si="990"/>
        <v>360</v>
      </c>
      <c r="BY818" s="158">
        <f t="shared" si="991"/>
        <v>0</v>
      </c>
      <c r="BZ818" s="158"/>
      <c r="CA818" s="158"/>
      <c r="CB818" s="158"/>
      <c r="CC818" s="117"/>
    </row>
    <row r="819" spans="1:81" x14ac:dyDescent="0.55000000000000004">
      <c r="A819" s="86" t="str">
        <f t="shared" si="917"/>
        <v>Other assets</v>
      </c>
      <c r="B819" s="87"/>
      <c r="C819" s="37">
        <f t="shared" si="964"/>
        <v>-36</v>
      </c>
      <c r="D819" s="37">
        <f t="shared" si="965"/>
        <v>-8</v>
      </c>
      <c r="E819" s="37">
        <f t="shared" si="965"/>
        <v>9</v>
      </c>
      <c r="F819" s="37">
        <f t="shared" si="965"/>
        <v>-107</v>
      </c>
      <c r="G819" s="37">
        <f t="shared" si="966"/>
        <v>16</v>
      </c>
      <c r="H819" s="37">
        <f t="shared" si="967"/>
        <v>2</v>
      </c>
      <c r="I819" s="37">
        <f t="shared" si="967"/>
        <v>-176</v>
      </c>
      <c r="J819" s="37">
        <f t="shared" si="967"/>
        <v>-58</v>
      </c>
      <c r="K819" s="37">
        <f t="shared" si="968"/>
        <v>-32</v>
      </c>
      <c r="L819" s="37">
        <f t="shared" si="969"/>
        <v>7</v>
      </c>
      <c r="M819" s="37">
        <f t="shared" si="969"/>
        <v>29</v>
      </c>
      <c r="N819" s="37">
        <f t="shared" si="969"/>
        <v>-7</v>
      </c>
      <c r="O819" s="37">
        <f t="shared" si="970"/>
        <v>15</v>
      </c>
      <c r="P819" s="37">
        <f t="shared" si="971"/>
        <v>-11</v>
      </c>
      <c r="Q819" s="37">
        <f t="shared" si="971"/>
        <v>42</v>
      </c>
      <c r="R819" s="37">
        <f t="shared" si="971"/>
        <v>-32</v>
      </c>
      <c r="S819" s="37">
        <f t="shared" si="972"/>
        <v>31</v>
      </c>
      <c r="T819" s="37">
        <f t="shared" si="973"/>
        <v>51</v>
      </c>
      <c r="U819" s="37">
        <f t="shared" si="973"/>
        <v>48</v>
      </c>
      <c r="V819" s="37">
        <f t="shared" si="973"/>
        <v>24</v>
      </c>
      <c r="W819" s="37">
        <f t="shared" si="974"/>
        <v>22</v>
      </c>
      <c r="X819" s="37">
        <f t="shared" si="975"/>
        <v>-81</v>
      </c>
      <c r="Y819" s="37">
        <f t="shared" si="975"/>
        <v>-40</v>
      </c>
      <c r="Z819" s="37">
        <f t="shared" si="975"/>
        <v>-60</v>
      </c>
      <c r="AA819" s="37">
        <f t="shared" si="976"/>
        <v>41</v>
      </c>
      <c r="AB819" s="37">
        <f t="shared" si="977"/>
        <v>24</v>
      </c>
      <c r="AC819" s="37">
        <f t="shared" si="977"/>
        <v>1</v>
      </c>
      <c r="AD819" s="37">
        <f t="shared" si="977"/>
        <v>-25</v>
      </c>
      <c r="AE819" s="37">
        <f t="shared" si="978"/>
        <v>-16</v>
      </c>
      <c r="AF819" s="37">
        <f t="shared" si="979"/>
        <v>1</v>
      </c>
      <c r="AG819" s="37">
        <f t="shared" si="979"/>
        <v>7</v>
      </c>
      <c r="AH819" s="37">
        <f t="shared" si="979"/>
        <v>-26</v>
      </c>
      <c r="AI819" s="37">
        <f t="shared" si="980"/>
        <v>-10</v>
      </c>
      <c r="AJ819" s="37">
        <f t="shared" si="981"/>
        <v>-185</v>
      </c>
      <c r="AK819" s="37">
        <f t="shared" si="981"/>
        <v>11</v>
      </c>
      <c r="AL819" s="37">
        <f t="shared" si="981"/>
        <v>-165</v>
      </c>
      <c r="AM819" s="37">
        <f t="shared" si="982"/>
        <v>-108</v>
      </c>
      <c r="AN819" s="37">
        <f t="shared" si="983"/>
        <v>-24</v>
      </c>
      <c r="AO819" s="37">
        <f t="shared" si="983"/>
        <v>-28</v>
      </c>
      <c r="AP819" s="37">
        <f t="shared" si="983"/>
        <v>54</v>
      </c>
      <c r="AQ819" s="37">
        <f t="shared" si="984"/>
        <v>30</v>
      </c>
      <c r="AR819" s="37">
        <f t="shared" si="985"/>
        <v>37</v>
      </c>
      <c r="AS819" s="37">
        <f t="shared" si="985"/>
        <v>-36</v>
      </c>
      <c r="AT819" s="37">
        <f t="shared" si="985"/>
        <v>-111</v>
      </c>
      <c r="AU819" s="37">
        <f t="shared" si="986"/>
        <v>-94</v>
      </c>
      <c r="AV819" s="37">
        <f t="shared" si="987"/>
        <v>53</v>
      </c>
      <c r="AW819" s="37">
        <f t="shared" si="987"/>
        <v>-29</v>
      </c>
      <c r="AX819" s="37">
        <f t="shared" si="987"/>
        <v>-200</v>
      </c>
      <c r="AY819" s="273">
        <f t="shared" si="988"/>
        <v>-52</v>
      </c>
      <c r="AZ819" s="37"/>
      <c r="BA819" s="37"/>
      <c r="BB819" s="37"/>
      <c r="BC819" s="37"/>
      <c r="BD819" s="37"/>
      <c r="BE819" s="37"/>
      <c r="BF819" s="37"/>
      <c r="BG819" s="37"/>
      <c r="BH819" s="158">
        <f t="shared" ref="BH819:BW819" si="994">BH750</f>
        <v>-59</v>
      </c>
      <c r="BI819" s="158">
        <f t="shared" si="994"/>
        <v>17</v>
      </c>
      <c r="BJ819" s="158">
        <f t="shared" si="994"/>
        <v>-5</v>
      </c>
      <c r="BK819" s="158">
        <f t="shared" si="994"/>
        <v>2</v>
      </c>
      <c r="BL819" s="158">
        <f t="shared" si="994"/>
        <v>-142</v>
      </c>
      <c r="BM819" s="158">
        <f t="shared" si="994"/>
        <v>-216</v>
      </c>
      <c r="BN819" s="158">
        <f t="shared" si="994"/>
        <v>-3</v>
      </c>
      <c r="BO819" s="158">
        <f t="shared" si="994"/>
        <v>14</v>
      </c>
      <c r="BP819" s="158">
        <f t="shared" si="994"/>
        <v>154</v>
      </c>
      <c r="BQ819" s="158">
        <f t="shared" si="994"/>
        <v>-159</v>
      </c>
      <c r="BR819" s="158">
        <f t="shared" si="994"/>
        <v>41</v>
      </c>
      <c r="BS819" s="158">
        <f t="shared" si="994"/>
        <v>-34</v>
      </c>
      <c r="BT819" s="158">
        <f t="shared" si="994"/>
        <v>-349</v>
      </c>
      <c r="BU819" s="158">
        <f t="shared" si="994"/>
        <v>-106</v>
      </c>
      <c r="BV819" s="158">
        <f t="shared" si="994"/>
        <v>-80</v>
      </c>
      <c r="BW819" s="846">
        <f t="shared" si="994"/>
        <v>-270</v>
      </c>
      <c r="BX819" s="158">
        <f t="shared" si="990"/>
        <v>-52</v>
      </c>
      <c r="BY819" s="158">
        <f t="shared" si="991"/>
        <v>0</v>
      </c>
      <c r="BZ819" s="158"/>
      <c r="CA819" s="158"/>
      <c r="CB819" s="158"/>
      <c r="CC819" s="117"/>
    </row>
    <row r="820" spans="1:81" x14ac:dyDescent="0.55000000000000004">
      <c r="A820" s="86" t="str">
        <f t="shared" si="917"/>
        <v>Operating lease right-of-use assets, net</v>
      </c>
      <c r="B820" s="87"/>
      <c r="C820" s="37">
        <f t="shared" si="964"/>
        <v>0</v>
      </c>
      <c r="D820" s="37">
        <f t="shared" si="965"/>
        <v>0</v>
      </c>
      <c r="E820" s="37">
        <f t="shared" si="965"/>
        <v>0</v>
      </c>
      <c r="F820" s="37">
        <f t="shared" si="965"/>
        <v>0</v>
      </c>
      <c r="G820" s="37">
        <f t="shared" si="966"/>
        <v>0</v>
      </c>
      <c r="H820" s="37">
        <f t="shared" si="967"/>
        <v>0</v>
      </c>
      <c r="I820" s="37">
        <f t="shared" si="967"/>
        <v>0</v>
      </c>
      <c r="J820" s="37">
        <f t="shared" si="967"/>
        <v>0</v>
      </c>
      <c r="K820" s="37">
        <f t="shared" si="968"/>
        <v>0</v>
      </c>
      <c r="L820" s="37">
        <f t="shared" si="969"/>
        <v>0</v>
      </c>
      <c r="M820" s="37">
        <f t="shared" si="969"/>
        <v>0</v>
      </c>
      <c r="N820" s="37">
        <f t="shared" si="969"/>
        <v>0</v>
      </c>
      <c r="O820" s="37">
        <f t="shared" si="970"/>
        <v>0</v>
      </c>
      <c r="P820" s="37">
        <f t="shared" si="971"/>
        <v>0</v>
      </c>
      <c r="Q820" s="37">
        <f t="shared" si="971"/>
        <v>0</v>
      </c>
      <c r="R820" s="37">
        <f t="shared" si="971"/>
        <v>0</v>
      </c>
      <c r="S820" s="37">
        <f t="shared" si="972"/>
        <v>0</v>
      </c>
      <c r="T820" s="37">
        <f t="shared" si="973"/>
        <v>0</v>
      </c>
      <c r="U820" s="37">
        <f t="shared" si="973"/>
        <v>0</v>
      </c>
      <c r="V820" s="37">
        <f t="shared" si="973"/>
        <v>0</v>
      </c>
      <c r="W820" s="37">
        <f t="shared" si="974"/>
        <v>0</v>
      </c>
      <c r="X820" s="37">
        <f t="shared" si="975"/>
        <v>0</v>
      </c>
      <c r="Y820" s="37">
        <f t="shared" si="975"/>
        <v>0</v>
      </c>
      <c r="Z820" s="37">
        <f t="shared" si="975"/>
        <v>0</v>
      </c>
      <c r="AA820" s="37">
        <f t="shared" si="976"/>
        <v>0</v>
      </c>
      <c r="AB820" s="37">
        <f t="shared" si="977"/>
        <v>0</v>
      </c>
      <c r="AC820" s="37">
        <f t="shared" si="977"/>
        <v>0</v>
      </c>
      <c r="AD820" s="37">
        <f t="shared" si="977"/>
        <v>0</v>
      </c>
      <c r="AE820" s="37">
        <f t="shared" si="978"/>
        <v>0</v>
      </c>
      <c r="AF820" s="37">
        <f t="shared" si="979"/>
        <v>0</v>
      </c>
      <c r="AG820" s="37">
        <f t="shared" si="979"/>
        <v>0</v>
      </c>
      <c r="AH820" s="37">
        <f t="shared" si="979"/>
        <v>0</v>
      </c>
      <c r="AI820" s="37">
        <f t="shared" si="980"/>
        <v>0</v>
      </c>
      <c r="AJ820" s="37">
        <f t="shared" si="981"/>
        <v>0</v>
      </c>
      <c r="AK820" s="37">
        <f t="shared" si="981"/>
        <v>0</v>
      </c>
      <c r="AL820" s="37">
        <f t="shared" si="981"/>
        <v>0</v>
      </c>
      <c r="AM820" s="37">
        <f t="shared" si="982"/>
        <v>0</v>
      </c>
      <c r="AN820" s="37">
        <f t="shared" si="983"/>
        <v>0</v>
      </c>
      <c r="AO820" s="37">
        <f t="shared" si="983"/>
        <v>0</v>
      </c>
      <c r="AP820" s="37">
        <f t="shared" si="983"/>
        <v>0</v>
      </c>
      <c r="AQ820" s="37">
        <f t="shared" si="984"/>
        <v>0</v>
      </c>
      <c r="AR820" s="37">
        <f t="shared" si="985"/>
        <v>0</v>
      </c>
      <c r="AS820" s="37">
        <f t="shared" si="985"/>
        <v>0</v>
      </c>
      <c r="AT820" s="37">
        <f t="shared" si="985"/>
        <v>0</v>
      </c>
      <c r="AU820" s="37">
        <f t="shared" si="986"/>
        <v>0</v>
      </c>
      <c r="AV820" s="37">
        <f t="shared" si="987"/>
        <v>0</v>
      </c>
      <c r="AW820" s="37">
        <f t="shared" si="987"/>
        <v>0</v>
      </c>
      <c r="AX820" s="37">
        <f t="shared" si="987"/>
        <v>0</v>
      </c>
      <c r="AY820" s="273">
        <f t="shared" si="988"/>
        <v>0</v>
      </c>
      <c r="AZ820" s="37"/>
      <c r="BA820" s="37"/>
      <c r="BB820" s="37"/>
      <c r="BC820" s="37"/>
      <c r="BD820" s="37"/>
      <c r="BE820" s="37"/>
      <c r="BF820" s="37"/>
      <c r="BG820" s="37"/>
      <c r="BH820" s="158">
        <f t="shared" ref="BH820:BW820" si="995">BH751</f>
        <v>0</v>
      </c>
      <c r="BI820" s="158">
        <f t="shared" si="995"/>
        <v>0</v>
      </c>
      <c r="BJ820" s="158">
        <f t="shared" si="995"/>
        <v>0</v>
      </c>
      <c r="BK820" s="158">
        <f t="shared" si="995"/>
        <v>0</v>
      </c>
      <c r="BL820" s="158">
        <f t="shared" si="995"/>
        <v>0</v>
      </c>
      <c r="BM820" s="158">
        <f t="shared" si="995"/>
        <v>0</v>
      </c>
      <c r="BN820" s="158">
        <f t="shared" si="995"/>
        <v>0</v>
      </c>
      <c r="BO820" s="158">
        <f t="shared" si="995"/>
        <v>0</v>
      </c>
      <c r="BP820" s="158">
        <f t="shared" si="995"/>
        <v>0</v>
      </c>
      <c r="BQ820" s="158">
        <f t="shared" si="995"/>
        <v>0</v>
      </c>
      <c r="BR820" s="158">
        <f t="shared" si="995"/>
        <v>0</v>
      </c>
      <c r="BS820" s="158">
        <f t="shared" si="995"/>
        <v>0</v>
      </c>
      <c r="BT820" s="158">
        <f t="shared" si="995"/>
        <v>0</v>
      </c>
      <c r="BU820" s="158">
        <f t="shared" si="995"/>
        <v>0</v>
      </c>
      <c r="BV820" s="158">
        <f t="shared" si="995"/>
        <v>0</v>
      </c>
      <c r="BW820" s="846">
        <f t="shared" si="995"/>
        <v>0</v>
      </c>
      <c r="BX820" s="158">
        <f t="shared" si="990"/>
        <v>0</v>
      </c>
      <c r="BY820" s="158">
        <f t="shared" si="991"/>
        <v>0</v>
      </c>
      <c r="BZ820" s="158"/>
      <c r="CA820" s="158"/>
      <c r="CB820" s="158"/>
      <c r="CC820" s="117"/>
    </row>
    <row r="821" spans="1:81" x14ac:dyDescent="0.55000000000000004">
      <c r="A821" s="86" t="str">
        <f t="shared" si="917"/>
        <v>Accounts payable</v>
      </c>
      <c r="B821" s="87"/>
      <c r="C821" s="37">
        <f t="shared" si="964"/>
        <v>1</v>
      </c>
      <c r="D821" s="37">
        <f t="shared" si="965"/>
        <v>1</v>
      </c>
      <c r="E821" s="37">
        <f t="shared" si="965"/>
        <v>-19</v>
      </c>
      <c r="F821" s="37">
        <f t="shared" si="965"/>
        <v>43</v>
      </c>
      <c r="G821" s="37">
        <f t="shared" si="966"/>
        <v>-10</v>
      </c>
      <c r="H821" s="37">
        <f t="shared" si="967"/>
        <v>79</v>
      </c>
      <c r="I821" s="37">
        <f t="shared" si="967"/>
        <v>-57</v>
      </c>
      <c r="J821" s="37">
        <f t="shared" si="967"/>
        <v>19</v>
      </c>
      <c r="K821" s="37">
        <f t="shared" si="968"/>
        <v>-15</v>
      </c>
      <c r="L821" s="37">
        <f t="shared" si="969"/>
        <v>31</v>
      </c>
      <c r="M821" s="37">
        <f t="shared" si="969"/>
        <v>-9</v>
      </c>
      <c r="N821" s="37">
        <f t="shared" si="969"/>
        <v>11</v>
      </c>
      <c r="O821" s="37">
        <f t="shared" si="970"/>
        <v>2</v>
      </c>
      <c r="P821" s="37">
        <f t="shared" si="971"/>
        <v>-41</v>
      </c>
      <c r="Q821" s="37">
        <f t="shared" si="971"/>
        <v>18</v>
      </c>
      <c r="R821" s="37">
        <f t="shared" si="971"/>
        <v>35</v>
      </c>
      <c r="S821" s="37">
        <f t="shared" si="972"/>
        <v>-10</v>
      </c>
      <c r="T821" s="37">
        <f t="shared" si="973"/>
        <v>-28</v>
      </c>
      <c r="U821" s="37">
        <f t="shared" si="973"/>
        <v>31</v>
      </c>
      <c r="V821" s="37">
        <f t="shared" si="973"/>
        <v>50</v>
      </c>
      <c r="W821" s="37">
        <f t="shared" si="974"/>
        <v>1</v>
      </c>
      <c r="X821" s="37">
        <f t="shared" si="975"/>
        <v>49</v>
      </c>
      <c r="Y821" s="37">
        <f t="shared" si="975"/>
        <v>38</v>
      </c>
      <c r="Z821" s="37">
        <f t="shared" si="975"/>
        <v>133</v>
      </c>
      <c r="AA821" s="37">
        <f t="shared" si="976"/>
        <v>-96</v>
      </c>
      <c r="AB821" s="37">
        <f t="shared" si="977"/>
        <v>9</v>
      </c>
      <c r="AC821" s="37">
        <f t="shared" si="977"/>
        <v>89</v>
      </c>
      <c r="AD821" s="37">
        <f t="shared" si="977"/>
        <v>111</v>
      </c>
      <c r="AE821" s="37">
        <f t="shared" si="978"/>
        <v>-44</v>
      </c>
      <c r="AF821" s="37">
        <f t="shared" si="979"/>
        <v>-56</v>
      </c>
      <c r="AG821" s="37">
        <f t="shared" si="979"/>
        <v>139</v>
      </c>
      <c r="AH821" s="37">
        <f t="shared" si="979"/>
        <v>-56</v>
      </c>
      <c r="AI821" s="37">
        <f t="shared" si="980"/>
        <v>-250</v>
      </c>
      <c r="AJ821" s="37">
        <f t="shared" si="981"/>
        <v>116</v>
      </c>
      <c r="AK821" s="37">
        <f t="shared" si="981"/>
        <v>694</v>
      </c>
      <c r="AL821" s="37">
        <f t="shared" si="981"/>
        <v>876</v>
      </c>
      <c r="AM821" s="37">
        <f t="shared" si="982"/>
        <v>-882</v>
      </c>
      <c r="AN821" s="37">
        <f t="shared" si="983"/>
        <v>237</v>
      </c>
      <c r="AO821" s="37">
        <f t="shared" si="983"/>
        <v>-21</v>
      </c>
      <c r="AP821" s="37">
        <f t="shared" si="983"/>
        <v>876</v>
      </c>
      <c r="AQ821" s="37">
        <f t="shared" si="984"/>
        <v>-1104</v>
      </c>
      <c r="AR821" s="37">
        <f t="shared" si="985"/>
        <v>-51</v>
      </c>
      <c r="AS821" s="37">
        <f t="shared" si="985"/>
        <v>612</v>
      </c>
      <c r="AT821" s="37">
        <f t="shared" si="985"/>
        <v>594</v>
      </c>
      <c r="AU821" s="37">
        <f t="shared" si="986"/>
        <v>-1112</v>
      </c>
      <c r="AV821" s="37">
        <f t="shared" si="987"/>
        <v>250</v>
      </c>
      <c r="AW821" s="37">
        <f t="shared" si="987"/>
        <v>667</v>
      </c>
      <c r="AX821" s="37">
        <f t="shared" si="987"/>
        <v>568</v>
      </c>
      <c r="AY821" s="273">
        <f t="shared" si="988"/>
        <v>-1034</v>
      </c>
      <c r="AZ821" s="37"/>
      <c r="BA821" s="37"/>
      <c r="BB821" s="37"/>
      <c r="BC821" s="37"/>
      <c r="BD821" s="37"/>
      <c r="BE821" s="37"/>
      <c r="BF821" s="37"/>
      <c r="BG821" s="37"/>
      <c r="BH821" s="158">
        <f t="shared" ref="BH821:BW821" si="996">BH752</f>
        <v>-7</v>
      </c>
      <c r="BI821" s="158">
        <f t="shared" si="996"/>
        <v>12</v>
      </c>
      <c r="BJ821" s="158">
        <f t="shared" si="996"/>
        <v>6</v>
      </c>
      <c r="BK821" s="158">
        <f t="shared" si="996"/>
        <v>1</v>
      </c>
      <c r="BL821" s="158">
        <f t="shared" si="996"/>
        <v>26</v>
      </c>
      <c r="BM821" s="158">
        <f t="shared" si="996"/>
        <v>31</v>
      </c>
      <c r="BN821" s="158">
        <f t="shared" si="996"/>
        <v>18</v>
      </c>
      <c r="BO821" s="158">
        <f t="shared" si="996"/>
        <v>14</v>
      </c>
      <c r="BP821" s="158">
        <f t="shared" si="996"/>
        <v>43</v>
      </c>
      <c r="BQ821" s="158">
        <f t="shared" si="996"/>
        <v>221</v>
      </c>
      <c r="BR821" s="158">
        <f t="shared" si="996"/>
        <v>113</v>
      </c>
      <c r="BS821" s="158">
        <f t="shared" si="996"/>
        <v>-17</v>
      </c>
      <c r="BT821" s="158">
        <f t="shared" si="996"/>
        <v>1436</v>
      </c>
      <c r="BU821" s="158">
        <f t="shared" si="996"/>
        <v>210</v>
      </c>
      <c r="BV821" s="158">
        <f t="shared" si="996"/>
        <v>51</v>
      </c>
      <c r="BW821" s="846">
        <f t="shared" si="996"/>
        <v>373</v>
      </c>
      <c r="BX821" s="158">
        <f t="shared" si="990"/>
        <v>-1034</v>
      </c>
      <c r="BY821" s="158">
        <f t="shared" si="991"/>
        <v>0</v>
      </c>
      <c r="BZ821" s="158"/>
      <c r="CA821" s="158"/>
      <c r="CB821" s="158"/>
      <c r="CC821" s="117"/>
    </row>
    <row r="822" spans="1:81" x14ac:dyDescent="0.55000000000000004">
      <c r="A822" s="86" t="str">
        <f t="shared" si="917"/>
        <v>Partners payable</v>
      </c>
      <c r="B822" s="87"/>
      <c r="C822" s="37">
        <f t="shared" si="964"/>
        <v>21</v>
      </c>
      <c r="D822" s="37">
        <f t="shared" si="965"/>
        <v>-18</v>
      </c>
      <c r="E822" s="37">
        <f t="shared" si="965"/>
        <v>-1</v>
      </c>
      <c r="F822" s="37">
        <f t="shared" si="965"/>
        <v>10</v>
      </c>
      <c r="G822" s="37">
        <f t="shared" si="966"/>
        <v>7</v>
      </c>
      <c r="H822" s="37">
        <f t="shared" si="967"/>
        <v>-12</v>
      </c>
      <c r="I822" s="37">
        <f t="shared" si="967"/>
        <v>-17</v>
      </c>
      <c r="J822" s="37">
        <f t="shared" si="967"/>
        <v>-6</v>
      </c>
      <c r="K822" s="37">
        <f t="shared" si="968"/>
        <v>-13</v>
      </c>
      <c r="L822" s="37">
        <f t="shared" si="969"/>
        <v>-6</v>
      </c>
      <c r="M822" s="37">
        <f t="shared" si="969"/>
        <v>59</v>
      </c>
      <c r="N822" s="37">
        <f t="shared" si="969"/>
        <v>-23</v>
      </c>
      <c r="O822" s="37">
        <f t="shared" si="970"/>
        <v>-3</v>
      </c>
      <c r="P822" s="37">
        <f t="shared" si="971"/>
        <v>17</v>
      </c>
      <c r="Q822" s="37">
        <f t="shared" si="971"/>
        <v>6</v>
      </c>
      <c r="R822" s="37">
        <f t="shared" si="971"/>
        <v>47</v>
      </c>
      <c r="S822" s="37">
        <f t="shared" si="972"/>
        <v>-3</v>
      </c>
      <c r="T822" s="37">
        <f t="shared" si="973"/>
        <v>-7</v>
      </c>
      <c r="U822" s="37">
        <f t="shared" si="973"/>
        <v>32</v>
      </c>
      <c r="V822" s="37">
        <f t="shared" si="973"/>
        <v>73</v>
      </c>
      <c r="W822" s="37">
        <f t="shared" si="974"/>
        <v>2</v>
      </c>
      <c r="X822" s="37">
        <f t="shared" si="975"/>
        <v>51</v>
      </c>
      <c r="Y822" s="37">
        <f t="shared" si="975"/>
        <v>63</v>
      </c>
      <c r="Z822" s="37">
        <f t="shared" si="975"/>
        <v>41</v>
      </c>
      <c r="AA822" s="37">
        <f t="shared" si="976"/>
        <v>-1</v>
      </c>
      <c r="AB822" s="37">
        <f t="shared" si="977"/>
        <v>21</v>
      </c>
      <c r="AC822" s="37">
        <f t="shared" si="977"/>
        <v>39</v>
      </c>
      <c r="AD822" s="37">
        <f t="shared" si="977"/>
        <v>289</v>
      </c>
      <c r="AE822" s="37">
        <f t="shared" si="978"/>
        <v>-169</v>
      </c>
      <c r="AF822" s="37">
        <f t="shared" si="979"/>
        <v>11</v>
      </c>
      <c r="AG822" s="37">
        <f t="shared" si="979"/>
        <v>58</v>
      </c>
      <c r="AH822" s="37">
        <f t="shared" si="979"/>
        <v>278</v>
      </c>
      <c r="AI822" s="37">
        <f t="shared" si="980"/>
        <v>-72</v>
      </c>
      <c r="AJ822" s="37">
        <f t="shared" si="981"/>
        <v>-61</v>
      </c>
      <c r="AK822" s="37">
        <f t="shared" si="981"/>
        <v>-30</v>
      </c>
      <c r="AL822" s="37">
        <f t="shared" si="981"/>
        <v>151</v>
      </c>
      <c r="AM822" s="37">
        <f t="shared" si="982"/>
        <v>-105</v>
      </c>
      <c r="AN822" s="37">
        <f t="shared" si="983"/>
        <v>72</v>
      </c>
      <c r="AO822" s="37">
        <f t="shared" si="983"/>
        <v>21</v>
      </c>
      <c r="AP822" s="37">
        <f t="shared" si="983"/>
        <v>102</v>
      </c>
      <c r="AQ822" s="37">
        <f t="shared" si="984"/>
        <v>-240</v>
      </c>
      <c r="AR822" s="37">
        <f t="shared" si="985"/>
        <v>-116</v>
      </c>
      <c r="AS822" s="37">
        <f t="shared" si="985"/>
        <v>9</v>
      </c>
      <c r="AT822" s="37">
        <f t="shared" si="985"/>
        <v>76</v>
      </c>
      <c r="AU822" s="37">
        <f t="shared" si="986"/>
        <v>0</v>
      </c>
      <c r="AV822" s="37">
        <f t="shared" si="987"/>
        <v>0</v>
      </c>
      <c r="AW822" s="37">
        <f t="shared" si="987"/>
        <v>0</v>
      </c>
      <c r="AX822" s="37">
        <f t="shared" si="987"/>
        <v>0</v>
      </c>
      <c r="AY822" s="273">
        <f t="shared" si="988"/>
        <v>0</v>
      </c>
      <c r="AZ822" s="37"/>
      <c r="BA822" s="37"/>
      <c r="BB822" s="37"/>
      <c r="BC822" s="37"/>
      <c r="BD822" s="37"/>
      <c r="BE822" s="37"/>
      <c r="BF822" s="37"/>
      <c r="BG822" s="37"/>
      <c r="BH822" s="158">
        <f t="shared" ref="BH822:BW822" si="997">BH753</f>
        <v>0</v>
      </c>
      <c r="BI822" s="158">
        <f t="shared" si="997"/>
        <v>75</v>
      </c>
      <c r="BJ822" s="158">
        <f t="shared" si="997"/>
        <v>96</v>
      </c>
      <c r="BK822" s="158">
        <f t="shared" si="997"/>
        <v>-2</v>
      </c>
      <c r="BL822" s="158">
        <f t="shared" si="997"/>
        <v>12</v>
      </c>
      <c r="BM822" s="158">
        <f t="shared" si="997"/>
        <v>-28</v>
      </c>
      <c r="BN822" s="158">
        <f t="shared" si="997"/>
        <v>17</v>
      </c>
      <c r="BO822" s="158">
        <f t="shared" si="997"/>
        <v>67</v>
      </c>
      <c r="BP822" s="158">
        <f t="shared" si="997"/>
        <v>95</v>
      </c>
      <c r="BQ822" s="158">
        <f t="shared" si="997"/>
        <v>157</v>
      </c>
      <c r="BR822" s="158">
        <f t="shared" si="997"/>
        <v>348</v>
      </c>
      <c r="BS822" s="158">
        <f t="shared" si="997"/>
        <v>178</v>
      </c>
      <c r="BT822" s="158">
        <f t="shared" si="997"/>
        <v>-12</v>
      </c>
      <c r="BU822" s="158">
        <f t="shared" si="997"/>
        <v>90</v>
      </c>
      <c r="BV822" s="158">
        <f t="shared" si="997"/>
        <v>-271</v>
      </c>
      <c r="BW822" s="846">
        <f t="shared" si="997"/>
        <v>0</v>
      </c>
      <c r="BX822" s="158">
        <f t="shared" si="990"/>
        <v>0</v>
      </c>
      <c r="BY822" s="158">
        <f t="shared" si="991"/>
        <v>0</v>
      </c>
      <c r="BZ822" s="158"/>
      <c r="CA822" s="158"/>
      <c r="CB822" s="158"/>
      <c r="CC822" s="117"/>
    </row>
    <row r="823" spans="1:81" x14ac:dyDescent="0.55000000000000004">
      <c r="A823" s="86" t="str">
        <f t="shared" si="917"/>
        <v>Accrued expenses and other current liabilities</v>
      </c>
      <c r="B823" s="87"/>
      <c r="C823" s="37">
        <f t="shared" si="964"/>
        <v>-33</v>
      </c>
      <c r="D823" s="37">
        <f t="shared" si="965"/>
        <v>42</v>
      </c>
      <c r="E823" s="37">
        <f t="shared" si="965"/>
        <v>-114</v>
      </c>
      <c r="F823" s="37">
        <f t="shared" si="965"/>
        <v>67</v>
      </c>
      <c r="G823" s="37">
        <f t="shared" si="966"/>
        <v>-27</v>
      </c>
      <c r="H823" s="37">
        <f t="shared" si="967"/>
        <v>102</v>
      </c>
      <c r="I823" s="37">
        <f t="shared" si="967"/>
        <v>123</v>
      </c>
      <c r="J823" s="37">
        <f t="shared" si="967"/>
        <v>130</v>
      </c>
      <c r="K823" s="37">
        <f t="shared" si="968"/>
        <v>134</v>
      </c>
      <c r="L823" s="37">
        <f t="shared" si="969"/>
        <v>107</v>
      </c>
      <c r="M823" s="37">
        <f t="shared" si="969"/>
        <v>50</v>
      </c>
      <c r="N823" s="37">
        <f t="shared" si="969"/>
        <v>222</v>
      </c>
      <c r="O823" s="37">
        <f t="shared" si="970"/>
        <v>-18</v>
      </c>
      <c r="P823" s="37">
        <f t="shared" si="971"/>
        <v>432</v>
      </c>
      <c r="Q823" s="37">
        <f t="shared" si="971"/>
        <v>228</v>
      </c>
      <c r="R823" s="37">
        <f t="shared" si="971"/>
        <v>372</v>
      </c>
      <c r="S823" s="37">
        <f t="shared" si="972"/>
        <v>61</v>
      </c>
      <c r="T823" s="37">
        <f t="shared" si="973"/>
        <v>96</v>
      </c>
      <c r="U823" s="37">
        <f t="shared" si="973"/>
        <v>-62</v>
      </c>
      <c r="V823" s="37">
        <f t="shared" si="973"/>
        <v>214</v>
      </c>
      <c r="W823" s="37">
        <f t="shared" si="974"/>
        <v>707</v>
      </c>
      <c r="X823" s="37">
        <f t="shared" si="975"/>
        <v>-17</v>
      </c>
      <c r="Y823" s="37">
        <f t="shared" si="975"/>
        <v>354</v>
      </c>
      <c r="Z823" s="37">
        <f t="shared" si="975"/>
        <v>373</v>
      </c>
      <c r="AA823" s="37">
        <f t="shared" si="976"/>
        <v>3154</v>
      </c>
      <c r="AB823" s="37">
        <f t="shared" si="977"/>
        <v>2828</v>
      </c>
      <c r="AC823" s="37">
        <f t="shared" si="977"/>
        <v>457</v>
      </c>
      <c r="AD823" s="37">
        <f t="shared" si="977"/>
        <v>861</v>
      </c>
      <c r="AE823" s="37">
        <f t="shared" si="978"/>
        <v>980</v>
      </c>
      <c r="AF823" s="37">
        <f t="shared" si="979"/>
        <v>-3996</v>
      </c>
      <c r="AG823" s="37">
        <f t="shared" si="979"/>
        <v>-257</v>
      </c>
      <c r="AH823" s="37">
        <f t="shared" si="979"/>
        <v>2219</v>
      </c>
      <c r="AI823" s="37">
        <f t="shared" si="980"/>
        <v>-1681</v>
      </c>
      <c r="AJ823" s="37">
        <f t="shared" si="981"/>
        <v>1481</v>
      </c>
      <c r="AK823" s="37">
        <f t="shared" si="981"/>
        <v>1095</v>
      </c>
      <c r="AL823" s="37">
        <f t="shared" si="981"/>
        <v>2462</v>
      </c>
      <c r="AM823" s="37">
        <f t="shared" si="982"/>
        <v>763</v>
      </c>
      <c r="AN823" s="37">
        <f t="shared" si="983"/>
        <v>1180</v>
      </c>
      <c r="AO823" s="37">
        <f t="shared" si="983"/>
        <v>999</v>
      </c>
      <c r="AP823" s="37">
        <f t="shared" si="983"/>
        <v>1268</v>
      </c>
      <c r="AQ823" s="37">
        <f t="shared" si="984"/>
        <v>334</v>
      </c>
      <c r="AR823" s="37">
        <f t="shared" si="985"/>
        <v>5290</v>
      </c>
      <c r="AS823" s="37">
        <f t="shared" si="985"/>
        <v>78</v>
      </c>
      <c r="AT823" s="37">
        <f t="shared" si="985"/>
        <v>-350</v>
      </c>
      <c r="AU823" s="37">
        <f t="shared" si="986"/>
        <v>-1274</v>
      </c>
      <c r="AV823" s="37">
        <f t="shared" si="987"/>
        <v>-497</v>
      </c>
      <c r="AW823" s="37">
        <f t="shared" si="987"/>
        <v>572</v>
      </c>
      <c r="AX823" s="37">
        <f t="shared" si="987"/>
        <v>1522</v>
      </c>
      <c r="AY823" s="273">
        <f t="shared" si="988"/>
        <v>-2231</v>
      </c>
      <c r="AZ823" s="37">
        <f>AZ931-AY931</f>
        <v>2167.0607021491123</v>
      </c>
      <c r="BA823" s="37">
        <f>BA931-AZ931</f>
        <v>1693.8726674820646</v>
      </c>
      <c r="BB823" s="37">
        <f>BB931-BA931</f>
        <v>117.85442791289825</v>
      </c>
      <c r="BC823" s="37">
        <f>BC931-BX931</f>
        <v>-797.73894649423164</v>
      </c>
      <c r="BD823" s="37">
        <f>BD931-BC931</f>
        <v>2417.6918300221114</v>
      </c>
      <c r="BE823" s="37">
        <f>BE931-BD931</f>
        <v>1837.5997669016251</v>
      </c>
      <c r="BF823" s="37">
        <f>BF931-BE931</f>
        <v>31.265205786545266</v>
      </c>
      <c r="BG823" s="37"/>
      <c r="BH823" s="158">
        <f t="shared" ref="BH823:BW823" si="998">BH754</f>
        <v>27</v>
      </c>
      <c r="BI823" s="158">
        <f t="shared" si="998"/>
        <v>20</v>
      </c>
      <c r="BJ823" s="158">
        <f t="shared" si="998"/>
        <v>37</v>
      </c>
      <c r="BK823" s="158">
        <f t="shared" si="998"/>
        <v>152</v>
      </c>
      <c r="BL823" s="158">
        <f t="shared" si="998"/>
        <v>-38</v>
      </c>
      <c r="BM823" s="158">
        <f t="shared" si="998"/>
        <v>328</v>
      </c>
      <c r="BN823" s="158">
        <f t="shared" si="998"/>
        <v>513</v>
      </c>
      <c r="BO823" s="158">
        <f t="shared" si="998"/>
        <v>1014</v>
      </c>
      <c r="BP823" s="158">
        <f t="shared" si="998"/>
        <v>309</v>
      </c>
      <c r="BQ823" s="158">
        <f t="shared" si="998"/>
        <v>1417</v>
      </c>
      <c r="BR823" s="158">
        <f t="shared" si="998"/>
        <v>7300</v>
      </c>
      <c r="BS823" s="158">
        <f t="shared" si="998"/>
        <v>-1054</v>
      </c>
      <c r="BT823" s="158">
        <f t="shared" si="998"/>
        <v>3357</v>
      </c>
      <c r="BU823" s="158">
        <f t="shared" si="998"/>
        <v>4210</v>
      </c>
      <c r="BV823" s="158">
        <f t="shared" si="998"/>
        <v>5352</v>
      </c>
      <c r="BW823" s="846">
        <f t="shared" si="998"/>
        <v>323</v>
      </c>
      <c r="BX823" s="158">
        <f t="shared" si="990"/>
        <v>1747.7877975440751</v>
      </c>
      <c r="BY823" s="158">
        <f t="shared" si="991"/>
        <v>3488.8178562160501</v>
      </c>
      <c r="BZ823" s="158">
        <f>BZ931-BY931</f>
        <v>3484.1890534922859</v>
      </c>
      <c r="CA823" s="158">
        <f>CA931-BZ931</f>
        <v>1825.8696624725926</v>
      </c>
      <c r="CB823" s="158">
        <f>CB931-CA931</f>
        <v>1800.4304113080507</v>
      </c>
      <c r="CC823" s="117"/>
    </row>
    <row r="824" spans="1:81" x14ac:dyDescent="0.55000000000000004">
      <c r="A824" s="116" t="str">
        <f t="shared" si="917"/>
        <v>Deferred revenue and deposits</v>
      </c>
      <c r="B824" s="87"/>
      <c r="C824" s="117">
        <f t="shared" si="964"/>
        <v>0</v>
      </c>
      <c r="D824" s="117">
        <f t="shared" si="965"/>
        <v>2</v>
      </c>
      <c r="E824" s="117">
        <f t="shared" si="965"/>
        <v>4</v>
      </c>
      <c r="F824" s="117">
        <f t="shared" si="965"/>
        <v>2</v>
      </c>
      <c r="G824" s="117">
        <f t="shared" si="966"/>
        <v>0</v>
      </c>
      <c r="H824" s="117">
        <f t="shared" si="967"/>
        <v>15</v>
      </c>
      <c r="I824" s="117">
        <f t="shared" si="967"/>
        <v>-12</v>
      </c>
      <c r="J824" s="117">
        <f t="shared" si="967"/>
        <v>7</v>
      </c>
      <c r="K824" s="117">
        <f t="shared" si="968"/>
        <v>-10</v>
      </c>
      <c r="L824" s="117">
        <f t="shared" si="969"/>
        <v>-7</v>
      </c>
      <c r="M824" s="117">
        <f t="shared" si="969"/>
        <v>-1</v>
      </c>
      <c r="N824" s="117">
        <f t="shared" si="969"/>
        <v>9</v>
      </c>
      <c r="O824" s="117">
        <f t="shared" si="970"/>
        <v>-2</v>
      </c>
      <c r="P824" s="117">
        <f t="shared" si="971"/>
        <v>25</v>
      </c>
      <c r="Q824" s="117">
        <f t="shared" si="971"/>
        <v>-2</v>
      </c>
      <c r="R824" s="117">
        <f t="shared" si="971"/>
        <v>14</v>
      </c>
      <c r="S824" s="117">
        <f t="shared" si="972"/>
        <v>-10</v>
      </c>
      <c r="T824" s="117">
        <f t="shared" si="973"/>
        <v>6</v>
      </c>
      <c r="U824" s="117">
        <f t="shared" si="973"/>
        <v>16</v>
      </c>
      <c r="V824" s="117">
        <f t="shared" si="973"/>
        <v>-8</v>
      </c>
      <c r="W824" s="117">
        <f t="shared" si="974"/>
        <v>-5</v>
      </c>
      <c r="X824" s="117">
        <f t="shared" si="975"/>
        <v>1</v>
      </c>
      <c r="Y824" s="117">
        <f t="shared" si="975"/>
        <v>24</v>
      </c>
      <c r="Z824" s="117">
        <f t="shared" si="975"/>
        <v>33</v>
      </c>
      <c r="AA824" s="117">
        <f t="shared" si="976"/>
        <v>-4</v>
      </c>
      <c r="AB824" s="117">
        <f t="shared" si="977"/>
        <v>55</v>
      </c>
      <c r="AC824" s="117">
        <f t="shared" si="977"/>
        <v>31</v>
      </c>
      <c r="AD824" s="117">
        <f t="shared" si="977"/>
        <v>41</v>
      </c>
      <c r="AE824" s="117">
        <f t="shared" si="978"/>
        <v>-16</v>
      </c>
      <c r="AF824" s="117">
        <f t="shared" si="979"/>
        <v>15</v>
      </c>
      <c r="AG824" s="117">
        <f t="shared" si="979"/>
        <v>112</v>
      </c>
      <c r="AH824" s="117">
        <f t="shared" si="979"/>
        <v>-3</v>
      </c>
      <c r="AI824" s="117">
        <f t="shared" si="980"/>
        <v>6</v>
      </c>
      <c r="AJ824" s="117">
        <f t="shared" si="981"/>
        <v>3</v>
      </c>
      <c r="AK824" s="117">
        <f t="shared" si="981"/>
        <v>78</v>
      </c>
      <c r="AL824" s="117">
        <f t="shared" si="981"/>
        <v>100</v>
      </c>
      <c r="AM824" s="117">
        <f t="shared" si="982"/>
        <v>-52</v>
      </c>
      <c r="AN824" s="117">
        <f t="shared" si="983"/>
        <v>24</v>
      </c>
      <c r="AO824" s="117">
        <f t="shared" si="983"/>
        <v>-7</v>
      </c>
      <c r="AP824" s="117">
        <f t="shared" si="983"/>
        <v>35</v>
      </c>
      <c r="AQ824" s="117">
        <f t="shared" si="984"/>
        <v>0</v>
      </c>
      <c r="AR824" s="117">
        <f t="shared" si="985"/>
        <v>0</v>
      </c>
      <c r="AS824" s="117">
        <f t="shared" si="985"/>
        <v>0</v>
      </c>
      <c r="AT824" s="117">
        <f t="shared" si="985"/>
        <v>0</v>
      </c>
      <c r="AU824" s="117">
        <f t="shared" si="986"/>
        <v>0</v>
      </c>
      <c r="AV824" s="117">
        <f t="shared" si="987"/>
        <v>0</v>
      </c>
      <c r="AW824" s="117">
        <f t="shared" si="987"/>
        <v>0</v>
      </c>
      <c r="AX824" s="117">
        <f t="shared" si="987"/>
        <v>0</v>
      </c>
      <c r="AY824" s="273">
        <f t="shared" si="988"/>
        <v>0</v>
      </c>
      <c r="AZ824" s="37"/>
      <c r="BA824" s="37"/>
      <c r="BB824" s="37"/>
      <c r="BC824" s="37"/>
      <c r="BD824" s="37"/>
      <c r="BE824" s="37"/>
      <c r="BF824" s="37"/>
      <c r="BG824" s="37"/>
      <c r="BH824" s="876">
        <f t="shared" ref="BH824:BW824" si="999">BH755</f>
        <v>1</v>
      </c>
      <c r="BI824" s="876">
        <f t="shared" si="999"/>
        <v>37</v>
      </c>
      <c r="BJ824" s="876">
        <f t="shared" si="999"/>
        <v>49</v>
      </c>
      <c r="BK824" s="876">
        <f t="shared" si="999"/>
        <v>-60</v>
      </c>
      <c r="BL824" s="876">
        <f t="shared" si="999"/>
        <v>8</v>
      </c>
      <c r="BM824" s="876">
        <f t="shared" si="999"/>
        <v>10</v>
      </c>
      <c r="BN824" s="876">
        <f t="shared" si="999"/>
        <v>-9</v>
      </c>
      <c r="BO824" s="876">
        <f t="shared" si="999"/>
        <v>35</v>
      </c>
      <c r="BP824" s="876">
        <f t="shared" si="999"/>
        <v>4</v>
      </c>
      <c r="BQ824" s="876">
        <f t="shared" si="999"/>
        <v>53</v>
      </c>
      <c r="BR824" s="876">
        <f t="shared" si="999"/>
        <v>123</v>
      </c>
      <c r="BS824" s="876">
        <f t="shared" si="999"/>
        <v>108</v>
      </c>
      <c r="BT824" s="876">
        <f t="shared" si="999"/>
        <v>187</v>
      </c>
      <c r="BU824" s="876">
        <f t="shared" si="999"/>
        <v>0</v>
      </c>
      <c r="BV824" s="876">
        <f t="shared" si="999"/>
        <v>0</v>
      </c>
      <c r="BW824" s="915">
        <f t="shared" si="999"/>
        <v>0</v>
      </c>
      <c r="BX824" s="158">
        <f t="shared" si="990"/>
        <v>0</v>
      </c>
      <c r="BY824" s="158">
        <f t="shared" si="991"/>
        <v>0</v>
      </c>
      <c r="BZ824" s="158"/>
      <c r="CA824" s="158"/>
      <c r="CB824" s="158"/>
      <c r="CC824" s="117"/>
    </row>
    <row r="825" spans="1:81" x14ac:dyDescent="0.55000000000000004">
      <c r="A825" s="116" t="str">
        <f t="shared" si="917"/>
        <v>Operating lease liabilities, non-current</v>
      </c>
      <c r="B825" s="87"/>
      <c r="C825" s="117">
        <f t="shared" si="964"/>
        <v>0</v>
      </c>
      <c r="D825" s="117">
        <f t="shared" si="965"/>
        <v>0</v>
      </c>
      <c r="E825" s="117">
        <f t="shared" si="965"/>
        <v>0</v>
      </c>
      <c r="F825" s="117">
        <f t="shared" si="965"/>
        <v>0</v>
      </c>
      <c r="G825" s="117">
        <f t="shared" si="966"/>
        <v>0</v>
      </c>
      <c r="H825" s="117">
        <f t="shared" si="967"/>
        <v>0</v>
      </c>
      <c r="I825" s="117">
        <f t="shared" si="967"/>
        <v>0</v>
      </c>
      <c r="J825" s="117">
        <f t="shared" si="967"/>
        <v>0</v>
      </c>
      <c r="K825" s="117">
        <f t="shared" si="968"/>
        <v>0</v>
      </c>
      <c r="L825" s="117">
        <f t="shared" si="969"/>
        <v>0</v>
      </c>
      <c r="M825" s="117">
        <f t="shared" si="969"/>
        <v>0</v>
      </c>
      <c r="N825" s="117">
        <f t="shared" si="969"/>
        <v>0</v>
      </c>
      <c r="O825" s="117">
        <f t="shared" si="970"/>
        <v>0</v>
      </c>
      <c r="P825" s="117">
        <f t="shared" si="971"/>
        <v>0</v>
      </c>
      <c r="Q825" s="117">
        <f t="shared" si="971"/>
        <v>0</v>
      </c>
      <c r="R825" s="117">
        <f t="shared" si="971"/>
        <v>0</v>
      </c>
      <c r="S825" s="117">
        <f t="shared" si="972"/>
        <v>0</v>
      </c>
      <c r="T825" s="117">
        <f t="shared" si="973"/>
        <v>0</v>
      </c>
      <c r="U825" s="117">
        <f t="shared" si="973"/>
        <v>0</v>
      </c>
      <c r="V825" s="117">
        <f t="shared" si="973"/>
        <v>0</v>
      </c>
      <c r="W825" s="117">
        <f t="shared" si="974"/>
        <v>0</v>
      </c>
      <c r="X825" s="117">
        <f t="shared" si="975"/>
        <v>0</v>
      </c>
      <c r="Y825" s="117">
        <f t="shared" si="975"/>
        <v>0</v>
      </c>
      <c r="Z825" s="117">
        <f t="shared" si="975"/>
        <v>0</v>
      </c>
      <c r="AA825" s="117">
        <f t="shared" si="976"/>
        <v>0</v>
      </c>
      <c r="AB825" s="117">
        <f t="shared" si="977"/>
        <v>0</v>
      </c>
      <c r="AC825" s="117">
        <f t="shared" si="977"/>
        <v>0</v>
      </c>
      <c r="AD825" s="117">
        <f t="shared" si="977"/>
        <v>0</v>
      </c>
      <c r="AE825" s="117">
        <f t="shared" si="978"/>
        <v>0</v>
      </c>
      <c r="AF825" s="117">
        <f t="shared" si="979"/>
        <v>0</v>
      </c>
      <c r="AG825" s="117">
        <f t="shared" si="979"/>
        <v>0</v>
      </c>
      <c r="AH825" s="117">
        <f t="shared" si="979"/>
        <v>0</v>
      </c>
      <c r="AI825" s="117">
        <f t="shared" si="980"/>
        <v>0</v>
      </c>
      <c r="AJ825" s="117">
        <f t="shared" si="981"/>
        <v>0</v>
      </c>
      <c r="AK825" s="117">
        <f t="shared" si="981"/>
        <v>0</v>
      </c>
      <c r="AL825" s="117">
        <f t="shared" si="981"/>
        <v>0</v>
      </c>
      <c r="AM825" s="117">
        <f t="shared" si="982"/>
        <v>0</v>
      </c>
      <c r="AN825" s="117">
        <f t="shared" si="983"/>
        <v>0</v>
      </c>
      <c r="AO825" s="117">
        <f t="shared" si="983"/>
        <v>0</v>
      </c>
      <c r="AP825" s="117">
        <f t="shared" si="983"/>
        <v>0</v>
      </c>
      <c r="AQ825" s="117">
        <f t="shared" si="984"/>
        <v>0</v>
      </c>
      <c r="AR825" s="117">
        <f t="shared" si="985"/>
        <v>0</v>
      </c>
      <c r="AS825" s="117">
        <f t="shared" si="985"/>
        <v>0</v>
      </c>
      <c r="AT825" s="117">
        <f t="shared" si="985"/>
        <v>0</v>
      </c>
      <c r="AU825" s="117">
        <f t="shared" si="986"/>
        <v>0</v>
      </c>
      <c r="AV825" s="117">
        <f t="shared" si="987"/>
        <v>0</v>
      </c>
      <c r="AW825" s="117">
        <f t="shared" si="987"/>
        <v>0</v>
      </c>
      <c r="AX825" s="117">
        <f t="shared" si="987"/>
        <v>0</v>
      </c>
      <c r="AY825" s="273">
        <f t="shared" si="988"/>
        <v>0</v>
      </c>
      <c r="AZ825" s="37"/>
      <c r="BA825" s="37"/>
      <c r="BB825" s="37"/>
      <c r="BC825" s="37"/>
      <c r="BD825" s="37"/>
      <c r="BE825" s="37"/>
      <c r="BF825" s="37"/>
      <c r="BG825" s="37"/>
      <c r="BH825" s="876">
        <f t="shared" ref="BH825:BW825" si="1000">BH756</f>
        <v>0</v>
      </c>
      <c r="BI825" s="876">
        <f t="shared" si="1000"/>
        <v>0</v>
      </c>
      <c r="BJ825" s="876">
        <f t="shared" si="1000"/>
        <v>0</v>
      </c>
      <c r="BK825" s="876">
        <f t="shared" si="1000"/>
        <v>0</v>
      </c>
      <c r="BL825" s="876">
        <f t="shared" si="1000"/>
        <v>0</v>
      </c>
      <c r="BM825" s="876">
        <f t="shared" si="1000"/>
        <v>0</v>
      </c>
      <c r="BN825" s="876">
        <f t="shared" si="1000"/>
        <v>0</v>
      </c>
      <c r="BO825" s="876">
        <f t="shared" si="1000"/>
        <v>0</v>
      </c>
      <c r="BP825" s="876">
        <f t="shared" si="1000"/>
        <v>0</v>
      </c>
      <c r="BQ825" s="876">
        <f t="shared" si="1000"/>
        <v>0</v>
      </c>
      <c r="BR825" s="876">
        <f t="shared" si="1000"/>
        <v>0</v>
      </c>
      <c r="BS825" s="876">
        <f t="shared" si="1000"/>
        <v>0</v>
      </c>
      <c r="BT825" s="876">
        <f t="shared" si="1000"/>
        <v>0</v>
      </c>
      <c r="BU825" s="876">
        <f t="shared" si="1000"/>
        <v>0</v>
      </c>
      <c r="BV825" s="876">
        <f t="shared" si="1000"/>
        <v>0</v>
      </c>
      <c r="BW825" s="915">
        <f t="shared" si="1000"/>
        <v>0</v>
      </c>
      <c r="BX825" s="158">
        <f t="shared" si="990"/>
        <v>0</v>
      </c>
      <c r="BY825" s="158">
        <f t="shared" si="991"/>
        <v>0</v>
      </c>
      <c r="BZ825" s="158"/>
      <c r="CA825" s="158"/>
      <c r="CB825" s="158"/>
      <c r="CC825" s="117"/>
    </row>
    <row r="826" spans="1:81" x14ac:dyDescent="0.55000000000000004">
      <c r="A826" s="18" t="str">
        <f t="shared" si="917"/>
        <v>Other liabilities</v>
      </c>
      <c r="B826" s="244"/>
      <c r="C826" s="14">
        <f t="shared" si="964"/>
        <v>84</v>
      </c>
      <c r="D826" s="14">
        <f t="shared" si="965"/>
        <v>113</v>
      </c>
      <c r="E826" s="14">
        <f t="shared" si="965"/>
        <v>148</v>
      </c>
      <c r="F826" s="14">
        <f t="shared" si="965"/>
        <v>488</v>
      </c>
      <c r="G826" s="14">
        <f t="shared" si="966"/>
        <v>26</v>
      </c>
      <c r="H826" s="14">
        <f t="shared" si="967"/>
        <v>23</v>
      </c>
      <c r="I826" s="14">
        <f t="shared" si="967"/>
        <v>178</v>
      </c>
      <c r="J826" s="14">
        <f t="shared" si="967"/>
        <v>119</v>
      </c>
      <c r="K826" s="14">
        <f t="shared" si="968"/>
        <v>149</v>
      </c>
      <c r="L826" s="14">
        <f t="shared" si="969"/>
        <v>201</v>
      </c>
      <c r="M826" s="14">
        <f t="shared" si="969"/>
        <v>564</v>
      </c>
      <c r="N826" s="14">
        <f t="shared" si="969"/>
        <v>451</v>
      </c>
      <c r="O826" s="14">
        <f t="shared" si="970"/>
        <v>351</v>
      </c>
      <c r="P826" s="14">
        <f t="shared" si="971"/>
        <v>295</v>
      </c>
      <c r="Q826" s="14">
        <f t="shared" si="971"/>
        <v>31</v>
      </c>
      <c r="R826" s="14">
        <f t="shared" si="971"/>
        <v>585</v>
      </c>
      <c r="S826" s="14">
        <f t="shared" si="972"/>
        <v>222</v>
      </c>
      <c r="T826" s="14">
        <f t="shared" si="973"/>
        <v>151</v>
      </c>
      <c r="U826" s="14">
        <f t="shared" si="973"/>
        <v>177</v>
      </c>
      <c r="V826" s="14">
        <f t="shared" si="973"/>
        <v>2533</v>
      </c>
      <c r="W826" s="14">
        <f t="shared" si="974"/>
        <v>-143</v>
      </c>
      <c r="X826" s="14">
        <f t="shared" si="975"/>
        <v>19</v>
      </c>
      <c r="Y826" s="14">
        <f t="shared" si="975"/>
        <v>226</v>
      </c>
      <c r="Z826" s="14">
        <f t="shared" si="975"/>
        <v>-736</v>
      </c>
      <c r="AA826" s="14">
        <f t="shared" si="976"/>
        <v>77</v>
      </c>
      <c r="AB826" s="14">
        <f t="shared" si="977"/>
        <v>1507</v>
      </c>
      <c r="AC826" s="14">
        <f t="shared" si="977"/>
        <v>417</v>
      </c>
      <c r="AD826" s="14">
        <f t="shared" si="977"/>
        <v>-762</v>
      </c>
      <c r="AE826" s="14">
        <f t="shared" si="978"/>
        <v>-68</v>
      </c>
      <c r="AF826" s="14">
        <f t="shared" si="979"/>
        <v>-486</v>
      </c>
      <c r="AG826" s="14">
        <f t="shared" si="979"/>
        <v>116</v>
      </c>
      <c r="AH826" s="14">
        <f t="shared" si="979"/>
        <v>-89</v>
      </c>
      <c r="AI826" s="14">
        <f t="shared" si="980"/>
        <v>210</v>
      </c>
      <c r="AJ826" s="14">
        <f t="shared" si="981"/>
        <v>-26</v>
      </c>
      <c r="AK826" s="14">
        <f t="shared" si="981"/>
        <v>343</v>
      </c>
      <c r="AL826" s="14">
        <f t="shared" si="981"/>
        <v>414</v>
      </c>
      <c r="AM826" s="14">
        <f t="shared" si="982"/>
        <v>-5</v>
      </c>
      <c r="AN826" s="14">
        <f t="shared" si="983"/>
        <v>-89</v>
      </c>
      <c r="AO826" s="14">
        <f t="shared" si="983"/>
        <v>540</v>
      </c>
      <c r="AP826" s="14">
        <f t="shared" si="983"/>
        <v>440</v>
      </c>
      <c r="AQ826" s="14">
        <f t="shared" si="984"/>
        <v>184</v>
      </c>
      <c r="AR826" s="14">
        <f t="shared" si="985"/>
        <v>-151</v>
      </c>
      <c r="AS826" s="14">
        <f t="shared" si="985"/>
        <v>-72</v>
      </c>
      <c r="AT826" s="14">
        <f t="shared" si="985"/>
        <v>663</v>
      </c>
      <c r="AU826" s="14">
        <f t="shared" si="986"/>
        <v>83</v>
      </c>
      <c r="AV826" s="14">
        <f t="shared" si="987"/>
        <v>707</v>
      </c>
      <c r="AW826" s="14">
        <f t="shared" si="987"/>
        <v>901</v>
      </c>
      <c r="AX826" s="14">
        <f t="shared" si="987"/>
        <v>1114</v>
      </c>
      <c r="AY826" s="406">
        <f t="shared" si="988"/>
        <v>712</v>
      </c>
      <c r="AZ826" s="82"/>
      <c r="BA826" s="82"/>
      <c r="BB826" s="82"/>
      <c r="BC826" s="82"/>
      <c r="BD826" s="82"/>
      <c r="BE826" s="82"/>
      <c r="BF826" s="82"/>
      <c r="BG826" s="82"/>
      <c r="BH826" s="877">
        <f t="shared" ref="BH826:BW826" si="1001">BH757</f>
        <v>1</v>
      </c>
      <c r="BI826" s="877">
        <f t="shared" si="1001"/>
        <v>16</v>
      </c>
      <c r="BJ826" s="877">
        <f t="shared" si="1001"/>
        <v>50</v>
      </c>
      <c r="BK826" s="877">
        <f t="shared" si="1001"/>
        <v>43</v>
      </c>
      <c r="BL826" s="877">
        <f t="shared" si="1001"/>
        <v>833</v>
      </c>
      <c r="BM826" s="877">
        <f t="shared" si="1001"/>
        <v>346</v>
      </c>
      <c r="BN826" s="877">
        <f t="shared" si="1001"/>
        <v>1365</v>
      </c>
      <c r="BO826" s="877">
        <f t="shared" si="1001"/>
        <v>1262</v>
      </c>
      <c r="BP826" s="877">
        <f t="shared" si="1001"/>
        <v>3083</v>
      </c>
      <c r="BQ826" s="877">
        <f t="shared" si="1001"/>
        <v>-634</v>
      </c>
      <c r="BR826" s="877">
        <f t="shared" si="1001"/>
        <v>1239</v>
      </c>
      <c r="BS826" s="877">
        <f t="shared" si="1001"/>
        <v>-527</v>
      </c>
      <c r="BT826" s="877">
        <f t="shared" si="1001"/>
        <v>941</v>
      </c>
      <c r="BU826" s="877">
        <f t="shared" si="1001"/>
        <v>886</v>
      </c>
      <c r="BV826" s="877">
        <f t="shared" si="1001"/>
        <v>624</v>
      </c>
      <c r="BW826" s="913">
        <f t="shared" si="1001"/>
        <v>2805</v>
      </c>
      <c r="BX826" s="854">
        <f t="shared" si="990"/>
        <v>712</v>
      </c>
      <c r="BY826" s="854">
        <f t="shared" si="991"/>
        <v>0</v>
      </c>
      <c r="BZ826" s="854"/>
      <c r="CA826" s="854"/>
      <c r="CB826" s="854"/>
      <c r="CC826" s="117"/>
    </row>
    <row r="827" spans="1:81" x14ac:dyDescent="0.55000000000000004">
      <c r="A827" s="20" t="str">
        <f t="shared" si="917"/>
        <v>Net CFO</v>
      </c>
      <c r="B827" s="195"/>
      <c r="C827" s="5">
        <f t="shared" ref="C827:AH827" si="1002">SUM(C815:C826)</f>
        <v>719</v>
      </c>
      <c r="D827" s="5">
        <f t="shared" si="1002"/>
        <v>1322</v>
      </c>
      <c r="E827" s="5">
        <f t="shared" si="1002"/>
        <v>950</v>
      </c>
      <c r="F827" s="5">
        <f t="shared" si="1002"/>
        <v>1231</v>
      </c>
      <c r="G827" s="5">
        <f t="shared" si="1002"/>
        <v>1285</v>
      </c>
      <c r="H827" s="5">
        <f t="shared" si="1002"/>
        <v>1341</v>
      </c>
      <c r="I827" s="5">
        <f t="shared" si="1002"/>
        <v>1248</v>
      </c>
      <c r="J827" s="5">
        <f t="shared" si="1002"/>
        <v>1583</v>
      </c>
      <c r="K827" s="5">
        <f t="shared" si="1002"/>
        <v>1700</v>
      </c>
      <c r="L827" s="5">
        <f t="shared" si="1002"/>
        <v>1880</v>
      </c>
      <c r="M827" s="5">
        <f t="shared" si="1002"/>
        <v>2192</v>
      </c>
      <c r="N827" s="5">
        <f t="shared" si="1002"/>
        <v>2827</v>
      </c>
      <c r="O827" s="5">
        <f t="shared" si="1002"/>
        <v>3477</v>
      </c>
      <c r="P827" s="5">
        <f t="shared" si="1002"/>
        <v>3665</v>
      </c>
      <c r="Q827" s="5">
        <f t="shared" si="1002"/>
        <v>4036</v>
      </c>
      <c r="R827" s="5">
        <f t="shared" si="1002"/>
        <v>4930</v>
      </c>
      <c r="S827" s="5">
        <f t="shared" si="1002"/>
        <v>5058</v>
      </c>
      <c r="T827" s="5">
        <f t="shared" si="1002"/>
        <v>5360</v>
      </c>
      <c r="U827" s="5">
        <f t="shared" si="1002"/>
        <v>6127</v>
      </c>
      <c r="V827" s="5">
        <f t="shared" si="1002"/>
        <v>7671</v>
      </c>
      <c r="W827" s="5">
        <f t="shared" si="1002"/>
        <v>7860</v>
      </c>
      <c r="X827" s="5">
        <f t="shared" si="1002"/>
        <v>6298</v>
      </c>
      <c r="Y827" s="5">
        <f t="shared" si="1002"/>
        <v>7498</v>
      </c>
      <c r="Z827" s="5">
        <f t="shared" si="1002"/>
        <v>7618</v>
      </c>
      <c r="AA827" s="5">
        <f t="shared" si="1002"/>
        <v>9308</v>
      </c>
      <c r="AB827" s="5">
        <f t="shared" si="1002"/>
        <v>8616</v>
      </c>
      <c r="AC827" s="5">
        <f t="shared" si="1002"/>
        <v>9307</v>
      </c>
      <c r="AD827" s="5">
        <f t="shared" si="1002"/>
        <v>9083</v>
      </c>
      <c r="AE827" s="5">
        <f t="shared" si="1002"/>
        <v>11001</v>
      </c>
      <c r="AF827" s="5">
        <f t="shared" si="1002"/>
        <v>3877</v>
      </c>
      <c r="AG827" s="5">
        <f t="shared" si="1002"/>
        <v>9829</v>
      </c>
      <c r="AH827" s="5">
        <f t="shared" si="1002"/>
        <v>14040</v>
      </c>
      <c r="AI827" s="5">
        <f t="shared" ref="AI827:BF827" si="1003">SUM(AI815:AI826)</f>
        <v>12242</v>
      </c>
      <c r="AJ827" s="5">
        <f t="shared" si="1003"/>
        <v>13247</v>
      </c>
      <c r="AK827" s="5">
        <f t="shared" si="1003"/>
        <v>14090</v>
      </c>
      <c r="AL827" s="5">
        <f t="shared" si="1003"/>
        <v>18104</v>
      </c>
      <c r="AM827" s="5">
        <f t="shared" si="1003"/>
        <v>14076</v>
      </c>
      <c r="AN827" s="5">
        <f t="shared" si="1003"/>
        <v>12196</v>
      </c>
      <c r="AO827" s="5">
        <f t="shared" si="1003"/>
        <v>9692</v>
      </c>
      <c r="AP827" s="5">
        <f t="shared" si="1003"/>
        <v>14511</v>
      </c>
      <c r="AQ827" s="5">
        <f t="shared" si="1003"/>
        <v>13998</v>
      </c>
      <c r="AR827" s="5">
        <f t="shared" si="1003"/>
        <v>17309</v>
      </c>
      <c r="AS827" s="5">
        <f t="shared" si="1003"/>
        <v>20402</v>
      </c>
      <c r="AT827" s="5">
        <f t="shared" si="1003"/>
        <v>19404</v>
      </c>
      <c r="AU827" s="5">
        <f t="shared" si="1003"/>
        <v>19246</v>
      </c>
      <c r="AV827" s="5">
        <f t="shared" si="1003"/>
        <v>19370</v>
      </c>
      <c r="AW827" s="5">
        <f t="shared" si="1003"/>
        <v>24724</v>
      </c>
      <c r="AX827" s="5">
        <f t="shared" si="1003"/>
        <v>27988</v>
      </c>
      <c r="AY827" s="409">
        <f t="shared" si="1003"/>
        <v>24026</v>
      </c>
      <c r="AZ827" s="33">
        <f t="shared" si="1003"/>
        <v>25278.216619790404</v>
      </c>
      <c r="BA827" s="33">
        <f t="shared" ca="1" si="1003"/>
        <v>29704.91656506345</v>
      </c>
      <c r="BB827" s="33">
        <f t="shared" ca="1" si="1003"/>
        <v>29315.556723235273</v>
      </c>
      <c r="BC827" s="33">
        <f t="shared" ca="1" si="1003"/>
        <v>36658.472733154638</v>
      </c>
      <c r="BD827" s="33">
        <f t="shared" ca="1" si="1003"/>
        <v>31585.181374530584</v>
      </c>
      <c r="BE827" s="33">
        <f t="shared" ca="1" si="1003"/>
        <v>35926.577761882232</v>
      </c>
      <c r="BF827" s="33">
        <f t="shared" ca="1" si="1003"/>
        <v>34787.650110080154</v>
      </c>
      <c r="BG827" s="33"/>
      <c r="BH827" s="834">
        <f t="shared" ref="BH827:CB827" si="1004">SUM(BH815:BH826)</f>
        <v>155</v>
      </c>
      <c r="BI827" s="834">
        <f t="shared" si="1004"/>
        <v>698</v>
      </c>
      <c r="BJ827" s="834">
        <f t="shared" si="1004"/>
        <v>1549</v>
      </c>
      <c r="BK827" s="834">
        <f t="shared" si="1004"/>
        <v>1612</v>
      </c>
      <c r="BL827" s="834">
        <f t="shared" si="1004"/>
        <v>4222</v>
      </c>
      <c r="BM827" s="834">
        <f t="shared" si="1004"/>
        <v>5457</v>
      </c>
      <c r="BN827" s="834">
        <f t="shared" si="1004"/>
        <v>8599</v>
      </c>
      <c r="BO827" s="834">
        <f t="shared" si="1004"/>
        <v>16108</v>
      </c>
      <c r="BP827" s="834">
        <f t="shared" si="1004"/>
        <v>24216</v>
      </c>
      <c r="BQ827" s="834">
        <f t="shared" si="1004"/>
        <v>29274</v>
      </c>
      <c r="BR827" s="834">
        <f t="shared" si="1004"/>
        <v>36314</v>
      </c>
      <c r="BS827" s="834">
        <f t="shared" si="1004"/>
        <v>38747</v>
      </c>
      <c r="BT827" s="834">
        <f t="shared" si="1004"/>
        <v>57683</v>
      </c>
      <c r="BU827" s="834">
        <f t="shared" si="1004"/>
        <v>50475</v>
      </c>
      <c r="BV827" s="834">
        <f t="shared" si="1004"/>
        <v>71113</v>
      </c>
      <c r="BW827" s="914">
        <f t="shared" si="1004"/>
        <v>91328</v>
      </c>
      <c r="BX827" s="833">
        <f t="shared" ca="1" si="1004"/>
        <v>108324.68990808913</v>
      </c>
      <c r="BY827" s="833">
        <f t="shared" ca="1" si="1004"/>
        <v>138957.88197964762</v>
      </c>
      <c r="BZ827" s="833">
        <f t="shared" ca="1" si="1004"/>
        <v>155838.8645634792</v>
      </c>
      <c r="CA827" s="833">
        <f t="shared" ca="1" si="1004"/>
        <v>163281.64527035074</v>
      </c>
      <c r="CB827" s="833">
        <f t="shared" ca="1" si="1004"/>
        <v>182146.81310678954</v>
      </c>
      <c r="CC827" s="6"/>
    </row>
    <row r="828" spans="1:81" x14ac:dyDescent="0.55000000000000004">
      <c r="A828" s="192"/>
      <c r="B828" s="193"/>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s="272"/>
      <c r="AZ828" s="35"/>
      <c r="BA828" s="35"/>
      <c r="BB828" s="35"/>
      <c r="BC828" s="35"/>
      <c r="BD828" s="35"/>
      <c r="BE828" s="35"/>
      <c r="BF828" s="35"/>
      <c r="BG828" s="35"/>
      <c r="BH828" s="812"/>
      <c r="BI828" s="812"/>
      <c r="BJ828" s="812"/>
      <c r="BK828" s="812"/>
      <c r="BL828" s="812"/>
      <c r="BM828" s="812"/>
      <c r="BN828" s="812"/>
      <c r="BO828" s="812"/>
      <c r="BP828" s="812"/>
      <c r="BQ828" s="812"/>
      <c r="BR828" s="812"/>
      <c r="BS828" s="812"/>
      <c r="BT828" s="812"/>
      <c r="BU828" s="812"/>
      <c r="BV828" s="812"/>
      <c r="BW828" s="814"/>
      <c r="BX828" s="812"/>
      <c r="BY828" s="812"/>
      <c r="BZ828" s="812"/>
      <c r="CA828" s="812"/>
      <c r="CB828" s="812"/>
      <c r="CC828" s="6"/>
    </row>
    <row r="829" spans="1:81" x14ac:dyDescent="0.55000000000000004">
      <c r="A829" s="19" t="str">
        <f t="shared" ref="A829:A841" si="1005">A760</f>
        <v>CFI</v>
      </c>
      <c r="B829" s="193"/>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c r="AU829" s="35"/>
      <c r="AV829" s="35"/>
      <c r="AW829" s="35"/>
      <c r="AX829" s="35"/>
      <c r="AY829" s="272"/>
      <c r="AZ829" s="35"/>
      <c r="BA829" s="35"/>
      <c r="BB829" s="35"/>
      <c r="BC829" s="35"/>
      <c r="BD829" s="35"/>
      <c r="BE829" s="35"/>
      <c r="BF829" s="35"/>
      <c r="BG829" s="35"/>
      <c r="BH829" s="812"/>
      <c r="BI829" s="812"/>
      <c r="BJ829" s="812"/>
      <c r="BK829" s="812"/>
      <c r="BL829" s="812"/>
      <c r="BM829" s="812"/>
      <c r="BN829" s="812"/>
      <c r="BO829" s="812"/>
      <c r="BP829" s="812"/>
      <c r="BQ829" s="812"/>
      <c r="BR829" s="812"/>
      <c r="BS829" s="812"/>
      <c r="BT829" s="812"/>
      <c r="BU829" s="812"/>
      <c r="BV829" s="812"/>
      <c r="BW829" s="814"/>
      <c r="BX829" s="812"/>
      <c r="BY829" s="812"/>
      <c r="BZ829" s="812"/>
      <c r="CA829" s="812"/>
      <c r="CB829" s="812"/>
      <c r="CC829" s="6"/>
    </row>
    <row r="830" spans="1:81" x14ac:dyDescent="0.55000000000000004">
      <c r="A830" s="116" t="str">
        <f t="shared" si="1005"/>
        <v>Purchases of property and equipment</v>
      </c>
      <c r="B830" s="37"/>
      <c r="C830" s="117">
        <f t="shared" ref="C830:C840" si="1006">C761</f>
        <v>-327</v>
      </c>
      <c r="D830" s="117">
        <f t="shared" ref="D830:F840" si="1007">D761-C761</f>
        <v>-268</v>
      </c>
      <c r="E830" s="117">
        <f t="shared" si="1007"/>
        <v>-284</v>
      </c>
      <c r="F830" s="117">
        <f t="shared" si="1007"/>
        <v>-483</v>
      </c>
      <c r="G830" s="117">
        <f t="shared" ref="G830:G840" si="1008">G761</f>
        <v>-363</v>
      </c>
      <c r="H830" s="117">
        <f t="shared" ref="H830:J840" si="1009">H761-G761</f>
        <v>-469</v>
      </c>
      <c r="I830" s="117">
        <f t="shared" si="1009"/>
        <v>-482</v>
      </c>
      <c r="J830" s="117">
        <f t="shared" si="1009"/>
        <v>-517</v>
      </c>
      <c r="K830" s="117">
        <f t="shared" ref="K830:K840" si="1010">K761</f>
        <v>-502</v>
      </c>
      <c r="L830" s="117">
        <f t="shared" ref="L830:N840" si="1011">L761-K761</f>
        <v>-549</v>
      </c>
      <c r="M830" s="117">
        <f t="shared" si="1011"/>
        <v>-780</v>
      </c>
      <c r="N830" s="117">
        <f t="shared" si="1011"/>
        <v>-692</v>
      </c>
      <c r="O830" s="117">
        <f t="shared" ref="O830:O840" si="1012">O761</f>
        <v>-1132</v>
      </c>
      <c r="P830" s="117">
        <f t="shared" ref="P830:R840" si="1013">P761-O761</f>
        <v>-995</v>
      </c>
      <c r="Q830" s="117">
        <f t="shared" si="1013"/>
        <v>-1095</v>
      </c>
      <c r="R830" s="117">
        <f t="shared" si="1013"/>
        <v>-1269</v>
      </c>
      <c r="S830" s="117">
        <f t="shared" ref="S830:S840" si="1014">S761</f>
        <v>-1271</v>
      </c>
      <c r="T830" s="117">
        <f t="shared" ref="T830:V840" si="1015">T761-S761</f>
        <v>-1444</v>
      </c>
      <c r="U830" s="117">
        <f t="shared" si="1015"/>
        <v>-1755</v>
      </c>
      <c r="V830" s="117">
        <f t="shared" si="1015"/>
        <v>-2263</v>
      </c>
      <c r="W830" s="117">
        <f t="shared" ref="W830:W840" si="1016">W761</f>
        <v>-2812</v>
      </c>
      <c r="X830" s="117">
        <f t="shared" ref="X830:Z840" si="1017">X761-W761</f>
        <v>-3460</v>
      </c>
      <c r="Y830" s="117">
        <f t="shared" si="1017"/>
        <v>-3342</v>
      </c>
      <c r="Z830" s="117">
        <f t="shared" si="1017"/>
        <v>-4301</v>
      </c>
      <c r="AA830" s="117">
        <f t="shared" ref="AA830:AA840" si="1018">AA761</f>
        <v>-3837</v>
      </c>
      <c r="AB830" s="117">
        <f t="shared" ref="AB830:AD840" si="1019">AB761-AA761</f>
        <v>-3633</v>
      </c>
      <c r="AC830" s="117">
        <f t="shared" si="1019"/>
        <v>-3532</v>
      </c>
      <c r="AD830" s="117">
        <f t="shared" si="1019"/>
        <v>-4100</v>
      </c>
      <c r="AE830" s="117">
        <f t="shared" ref="AE830:AE840" si="1020">AE761</f>
        <v>-3558</v>
      </c>
      <c r="AF830" s="117">
        <f t="shared" ref="AF830:AH840" si="1021">AF761-AE761</f>
        <v>-3255</v>
      </c>
      <c r="AG830" s="117">
        <f t="shared" si="1021"/>
        <v>-3689</v>
      </c>
      <c r="AH830" s="117">
        <f t="shared" si="1021"/>
        <v>-4613</v>
      </c>
      <c r="AI830" s="117">
        <f t="shared" ref="AI830:AI840" si="1022">AI761</f>
        <v>-4272</v>
      </c>
      <c r="AJ830" s="117">
        <f t="shared" ref="AJ830:AL840" si="1023">AJ761-AI761</f>
        <v>-4612</v>
      </c>
      <c r="AK830" s="117">
        <f t="shared" si="1023"/>
        <v>-4314</v>
      </c>
      <c r="AL830" s="117">
        <f t="shared" si="1023"/>
        <v>-5369</v>
      </c>
      <c r="AM830" s="117">
        <f t="shared" ref="AM830:AM840" si="1024">AM761</f>
        <v>-5441</v>
      </c>
      <c r="AN830" s="117">
        <f t="shared" ref="AN830:AP840" si="1025">AN761-AM761</f>
        <v>-7572</v>
      </c>
      <c r="AO830" s="117">
        <f t="shared" si="1025"/>
        <v>-9375</v>
      </c>
      <c r="AP830" s="117">
        <f t="shared" si="1025"/>
        <v>-9043</v>
      </c>
      <c r="AQ830" s="117">
        <f t="shared" ref="AQ830:AQ840" si="1026">AQ761</f>
        <v>-6842</v>
      </c>
      <c r="AR830" s="117">
        <f t="shared" ref="AR830:AT840" si="1027">AR761-AQ761</f>
        <v>-6216</v>
      </c>
      <c r="AS830" s="117">
        <f t="shared" si="1027"/>
        <v>-6543</v>
      </c>
      <c r="AT830" s="117">
        <f t="shared" si="1027"/>
        <v>-7665</v>
      </c>
      <c r="AU830" s="117">
        <f t="shared" ref="AU830:AU840" si="1028">AU761</f>
        <v>-6400</v>
      </c>
      <c r="AV830" s="117">
        <f t="shared" ref="AV830:AX840" si="1029">AV761-AU761</f>
        <v>-8173</v>
      </c>
      <c r="AW830" s="117">
        <f t="shared" si="1029"/>
        <v>-8258</v>
      </c>
      <c r="AX830" s="117">
        <f t="shared" si="1029"/>
        <v>-14425</v>
      </c>
      <c r="AY830" s="273">
        <f t="shared" ref="AY830:AY840" si="1030">AY761</f>
        <v>-12941</v>
      </c>
      <c r="AZ830" s="37">
        <f t="shared" ref="AZ830:BF830" si="1031">AZ665</f>
        <v>-15625</v>
      </c>
      <c r="BA830" s="37">
        <f t="shared" si="1031"/>
        <v>-15625</v>
      </c>
      <c r="BB830" s="37">
        <f t="shared" si="1031"/>
        <v>-15625</v>
      </c>
      <c r="BC830" s="37">
        <f t="shared" si="1031"/>
        <v>-10100</v>
      </c>
      <c r="BD830" s="37">
        <f t="shared" si="1031"/>
        <v>-10100</v>
      </c>
      <c r="BE830" s="37">
        <f t="shared" si="1031"/>
        <v>-10100</v>
      </c>
      <c r="BF830" s="37">
        <f t="shared" si="1031"/>
        <v>-10100</v>
      </c>
      <c r="BG830" s="37"/>
      <c r="BH830" s="876">
        <f t="shared" ref="BH830:BW830" si="1032">BH761</f>
        <v>-33</v>
      </c>
      <c r="BI830" s="876">
        <f t="shared" si="1032"/>
        <v>-293</v>
      </c>
      <c r="BJ830" s="876">
        <f t="shared" si="1032"/>
        <v>-606</v>
      </c>
      <c r="BK830" s="876">
        <f t="shared" si="1032"/>
        <v>-1235</v>
      </c>
      <c r="BL830" s="876">
        <f t="shared" si="1032"/>
        <v>-1362</v>
      </c>
      <c r="BM830" s="876">
        <f t="shared" si="1032"/>
        <v>-1831</v>
      </c>
      <c r="BN830" s="876">
        <f t="shared" si="1032"/>
        <v>-2523</v>
      </c>
      <c r="BO830" s="876">
        <f t="shared" si="1032"/>
        <v>-4491</v>
      </c>
      <c r="BP830" s="876">
        <f t="shared" si="1032"/>
        <v>-6733</v>
      </c>
      <c r="BQ830" s="876">
        <f t="shared" si="1032"/>
        <v>-13915</v>
      </c>
      <c r="BR830" s="876">
        <f t="shared" si="1032"/>
        <v>-15102</v>
      </c>
      <c r="BS830" s="876">
        <f t="shared" si="1032"/>
        <v>-15115</v>
      </c>
      <c r="BT830" s="876">
        <f t="shared" si="1032"/>
        <v>-18567</v>
      </c>
      <c r="BU830" s="876">
        <f t="shared" si="1032"/>
        <v>-31431</v>
      </c>
      <c r="BV830" s="876">
        <f t="shared" si="1032"/>
        <v>-27266</v>
      </c>
      <c r="BW830" s="915">
        <f t="shared" si="1032"/>
        <v>-37256</v>
      </c>
      <c r="BX830" s="158">
        <f t="shared" ref="BX830:BX840" si="1033">SUM(AY830,AZ830,BA830,BB830)</f>
        <v>-59816</v>
      </c>
      <c r="BY830" s="158">
        <f t="shared" ref="BY830:BY840" si="1034">SUM(BC830,BD830,BE830,BF830)</f>
        <v>-40400</v>
      </c>
      <c r="BZ830" s="158">
        <f>BZ665</f>
        <v>-40400</v>
      </c>
      <c r="CA830" s="158">
        <f>CA665</f>
        <v>-40400</v>
      </c>
      <c r="CB830" s="158">
        <f>CB665</f>
        <v>-40400</v>
      </c>
      <c r="CC830" s="117"/>
    </row>
    <row r="831" spans="1:81" x14ac:dyDescent="0.55000000000000004">
      <c r="A831" s="116" t="str">
        <f t="shared" si="1005"/>
        <v>Purchases of marketable securities</v>
      </c>
      <c r="B831" s="37"/>
      <c r="C831" s="117">
        <f t="shared" si="1006"/>
        <v>-1508</v>
      </c>
      <c r="D831" s="117">
        <f t="shared" si="1007"/>
        <v>-1952</v>
      </c>
      <c r="E831" s="117">
        <f t="shared" si="1007"/>
        <v>-904</v>
      </c>
      <c r="F831" s="117">
        <f t="shared" si="1007"/>
        <v>-3069</v>
      </c>
      <c r="G831" s="117">
        <f t="shared" si="1008"/>
        <v>-2974</v>
      </c>
      <c r="H831" s="117">
        <f t="shared" si="1009"/>
        <v>-1508</v>
      </c>
      <c r="I831" s="117">
        <f t="shared" si="1009"/>
        <v>-1733</v>
      </c>
      <c r="J831" s="117">
        <f t="shared" si="1009"/>
        <v>-2889</v>
      </c>
      <c r="K831" s="117">
        <f t="shared" si="1010"/>
        <v>-3055</v>
      </c>
      <c r="L831" s="117">
        <f t="shared" si="1011"/>
        <v>-2505</v>
      </c>
      <c r="M831" s="117">
        <f t="shared" si="1011"/>
        <v>-4773</v>
      </c>
      <c r="N831" s="117">
        <f t="shared" si="1011"/>
        <v>-5605</v>
      </c>
      <c r="O831" s="117">
        <f t="shared" si="1012"/>
        <v>-3126</v>
      </c>
      <c r="P831" s="117">
        <f t="shared" si="1013"/>
        <v>-6509</v>
      </c>
      <c r="Q831" s="117">
        <f t="shared" si="1013"/>
        <v>-7733</v>
      </c>
      <c r="R831" s="117">
        <f t="shared" si="1013"/>
        <v>-4973</v>
      </c>
      <c r="S831" s="117">
        <f t="shared" si="1014"/>
        <v>-6992</v>
      </c>
      <c r="T831" s="117">
        <f t="shared" si="1015"/>
        <v>-7145</v>
      </c>
      <c r="U831" s="117">
        <f t="shared" si="1015"/>
        <v>-6273</v>
      </c>
      <c r="V831" s="117">
        <f t="shared" si="1015"/>
        <v>-5272</v>
      </c>
      <c r="W831" s="117">
        <f t="shared" si="1016"/>
        <v>-4022</v>
      </c>
      <c r="X831" s="117">
        <f t="shared" si="1017"/>
        <v>-4261</v>
      </c>
      <c r="Y831" s="117">
        <f t="shared" si="1017"/>
        <v>-4375</v>
      </c>
      <c r="Z831" s="117">
        <f t="shared" si="1017"/>
        <v>-1998</v>
      </c>
      <c r="AA831" s="117">
        <f t="shared" si="1018"/>
        <v>-6603</v>
      </c>
      <c r="AB831" s="117">
        <f t="shared" si="1019"/>
        <v>-5152</v>
      </c>
      <c r="AC831" s="117">
        <f t="shared" si="1019"/>
        <v>-7397</v>
      </c>
      <c r="AD831" s="117">
        <f t="shared" si="1019"/>
        <v>-4758</v>
      </c>
      <c r="AE831" s="117">
        <f t="shared" si="1020"/>
        <v>-7884</v>
      </c>
      <c r="AF831" s="117">
        <f t="shared" si="1021"/>
        <v>-6179</v>
      </c>
      <c r="AG831" s="117">
        <f t="shared" si="1021"/>
        <v>-14130</v>
      </c>
      <c r="AH831" s="117">
        <f t="shared" si="1021"/>
        <v>-5737</v>
      </c>
      <c r="AI831" s="117">
        <f t="shared" si="1022"/>
        <v>-6231</v>
      </c>
      <c r="AJ831" s="117">
        <f t="shared" si="1023"/>
        <v>-10297</v>
      </c>
      <c r="AK831" s="117">
        <f t="shared" si="1023"/>
        <v>-7786</v>
      </c>
      <c r="AL831" s="117">
        <f t="shared" si="1023"/>
        <v>-6093</v>
      </c>
      <c r="AM831" s="117">
        <f t="shared" si="1024"/>
        <v>-4068</v>
      </c>
      <c r="AN831" s="117">
        <f t="shared" si="1025"/>
        <v>-2220</v>
      </c>
      <c r="AO831" s="117">
        <f t="shared" si="1025"/>
        <v>-2597</v>
      </c>
      <c r="AP831" s="117">
        <f t="shared" si="1025"/>
        <v>-741</v>
      </c>
      <c r="AQ831" s="117">
        <f t="shared" si="1026"/>
        <v>-85</v>
      </c>
      <c r="AR831" s="117">
        <f t="shared" si="1027"/>
        <v>-718</v>
      </c>
      <c r="AS831" s="117">
        <f t="shared" si="1027"/>
        <v>-1007</v>
      </c>
      <c r="AT831" s="117">
        <f t="shared" si="1027"/>
        <v>-1172</v>
      </c>
      <c r="AU831" s="117">
        <f t="shared" si="1028"/>
        <v>-6887</v>
      </c>
      <c r="AV831" s="117">
        <f t="shared" si="1029"/>
        <v>-3289</v>
      </c>
      <c r="AW831" s="117">
        <f t="shared" si="1029"/>
        <v>-4468</v>
      </c>
      <c r="AX831" s="117">
        <f t="shared" si="1029"/>
        <v>-10898</v>
      </c>
      <c r="AY831" s="273">
        <f t="shared" si="1030"/>
        <v>-11763</v>
      </c>
      <c r="AZ831" s="37"/>
      <c r="BA831" s="37"/>
      <c r="BB831" s="37"/>
      <c r="BC831" s="37"/>
      <c r="BD831" s="37"/>
      <c r="BE831" s="37"/>
      <c r="BF831" s="37"/>
      <c r="BG831" s="37"/>
      <c r="BH831" s="876">
        <f t="shared" ref="BH831:BW831" si="1035">BH762</f>
        <v>0</v>
      </c>
      <c r="BI831" s="876">
        <f t="shared" si="1035"/>
        <v>0</v>
      </c>
      <c r="BJ831" s="876">
        <f t="shared" si="1035"/>
        <v>-3025</v>
      </c>
      <c r="BK831" s="876">
        <f t="shared" si="1035"/>
        <v>-10307</v>
      </c>
      <c r="BL831" s="876">
        <f t="shared" si="1035"/>
        <v>-7433</v>
      </c>
      <c r="BM831" s="876">
        <f t="shared" si="1035"/>
        <v>-9104</v>
      </c>
      <c r="BN831" s="876">
        <f t="shared" si="1035"/>
        <v>-15938</v>
      </c>
      <c r="BO831" s="876">
        <f t="shared" si="1035"/>
        <v>-22341</v>
      </c>
      <c r="BP831" s="876">
        <f t="shared" si="1035"/>
        <v>-25682</v>
      </c>
      <c r="BQ831" s="876">
        <f t="shared" si="1035"/>
        <v>-14656</v>
      </c>
      <c r="BR831" s="876">
        <f t="shared" si="1035"/>
        <v>-23910</v>
      </c>
      <c r="BS831" s="876">
        <f t="shared" si="1035"/>
        <v>-33930</v>
      </c>
      <c r="BT831" s="876">
        <f t="shared" si="1035"/>
        <v>-30407</v>
      </c>
      <c r="BU831" s="876">
        <f t="shared" si="1035"/>
        <v>-9626</v>
      </c>
      <c r="BV831" s="876">
        <f t="shared" si="1035"/>
        <v>-2982</v>
      </c>
      <c r="BW831" s="915">
        <f t="shared" si="1035"/>
        <v>-25542</v>
      </c>
      <c r="BX831" s="158">
        <f t="shared" si="1033"/>
        <v>-11763</v>
      </c>
      <c r="BY831" s="158">
        <f t="shared" si="1034"/>
        <v>0</v>
      </c>
      <c r="BZ831" s="158"/>
      <c r="CA831" s="158"/>
      <c r="CB831" s="158"/>
      <c r="CC831" s="117"/>
    </row>
    <row r="832" spans="1:81" x14ac:dyDescent="0.55000000000000004">
      <c r="A832" s="116" t="str">
        <f t="shared" si="1005"/>
        <v>Proceeds relating to property and equipment</v>
      </c>
      <c r="B832" s="37"/>
      <c r="C832" s="117">
        <f t="shared" si="1006"/>
        <v>0</v>
      </c>
      <c r="D832" s="117">
        <f t="shared" si="1007"/>
        <v>0</v>
      </c>
      <c r="E832" s="117">
        <f t="shared" si="1007"/>
        <v>0</v>
      </c>
      <c r="F832" s="117">
        <f t="shared" si="1007"/>
        <v>0</v>
      </c>
      <c r="G832" s="117">
        <f t="shared" si="1008"/>
        <v>0</v>
      </c>
      <c r="H832" s="117">
        <f t="shared" si="1009"/>
        <v>0</v>
      </c>
      <c r="I832" s="117">
        <f t="shared" si="1009"/>
        <v>0</v>
      </c>
      <c r="J832" s="117">
        <f t="shared" si="1009"/>
        <v>0</v>
      </c>
      <c r="K832" s="117">
        <f t="shared" si="1010"/>
        <v>0</v>
      </c>
      <c r="L832" s="117">
        <f t="shared" si="1011"/>
        <v>0</v>
      </c>
      <c r="M832" s="117">
        <f t="shared" si="1011"/>
        <v>0</v>
      </c>
      <c r="N832" s="117">
        <f t="shared" si="1011"/>
        <v>0</v>
      </c>
      <c r="O832" s="117">
        <f t="shared" si="1012"/>
        <v>0</v>
      </c>
      <c r="P832" s="117">
        <f t="shared" si="1013"/>
        <v>0</v>
      </c>
      <c r="Q832" s="117">
        <f t="shared" si="1013"/>
        <v>0</v>
      </c>
      <c r="R832" s="117">
        <f t="shared" si="1013"/>
        <v>0</v>
      </c>
      <c r="S832" s="117">
        <f t="shared" si="1014"/>
        <v>0</v>
      </c>
      <c r="T832" s="117">
        <f t="shared" si="1015"/>
        <v>0</v>
      </c>
      <c r="U832" s="117">
        <f t="shared" si="1015"/>
        <v>0</v>
      </c>
      <c r="V832" s="117">
        <f t="shared" si="1015"/>
        <v>0</v>
      </c>
      <c r="W832" s="117">
        <f t="shared" si="1016"/>
        <v>0</v>
      </c>
      <c r="X832" s="117">
        <f t="shared" si="1017"/>
        <v>0</v>
      </c>
      <c r="Y832" s="117">
        <f t="shared" si="1017"/>
        <v>0</v>
      </c>
      <c r="Z832" s="117">
        <f t="shared" si="1017"/>
        <v>0</v>
      </c>
      <c r="AA832" s="117">
        <f t="shared" si="1018"/>
        <v>0</v>
      </c>
      <c r="AB832" s="117">
        <f t="shared" si="1019"/>
        <v>0</v>
      </c>
      <c r="AC832" s="117">
        <f t="shared" si="1019"/>
        <v>0</v>
      </c>
      <c r="AD832" s="117">
        <f t="shared" si="1019"/>
        <v>0</v>
      </c>
      <c r="AE832" s="117">
        <f t="shared" si="1020"/>
        <v>0</v>
      </c>
      <c r="AF832" s="117">
        <f t="shared" si="1021"/>
        <v>0</v>
      </c>
      <c r="AG832" s="117">
        <f t="shared" si="1021"/>
        <v>0</v>
      </c>
      <c r="AH832" s="117">
        <f t="shared" si="1021"/>
        <v>0</v>
      </c>
      <c r="AI832" s="117">
        <f t="shared" si="1022"/>
        <v>0</v>
      </c>
      <c r="AJ832" s="117">
        <f t="shared" si="1023"/>
        <v>0</v>
      </c>
      <c r="AK832" s="117">
        <f t="shared" si="1023"/>
        <v>0</v>
      </c>
      <c r="AL832" s="117">
        <f t="shared" si="1023"/>
        <v>0</v>
      </c>
      <c r="AM832" s="117">
        <f t="shared" si="1024"/>
        <v>126</v>
      </c>
      <c r="AN832" s="117">
        <f t="shared" si="1025"/>
        <v>44</v>
      </c>
      <c r="AO832" s="117">
        <f t="shared" si="1025"/>
        <v>20</v>
      </c>
      <c r="AP832" s="117">
        <f t="shared" si="1025"/>
        <v>55</v>
      </c>
      <c r="AQ832" s="117">
        <f t="shared" si="1026"/>
        <v>19</v>
      </c>
      <c r="AR832" s="117">
        <f t="shared" si="1027"/>
        <v>82</v>
      </c>
      <c r="AS832" s="117">
        <f t="shared" si="1027"/>
        <v>47</v>
      </c>
      <c r="AT832" s="117">
        <f t="shared" si="1027"/>
        <v>73</v>
      </c>
      <c r="AU832" s="117">
        <f t="shared" si="1028"/>
        <v>0</v>
      </c>
      <c r="AV832" s="117">
        <f t="shared" si="1029"/>
        <v>0</v>
      </c>
      <c r="AW832" s="117">
        <f t="shared" si="1029"/>
        <v>0</v>
      </c>
      <c r="AX832" s="117">
        <f t="shared" si="1029"/>
        <v>0</v>
      </c>
      <c r="AY832" s="273">
        <f t="shared" si="1030"/>
        <v>0</v>
      </c>
      <c r="AZ832" s="37"/>
      <c r="BA832" s="37"/>
      <c r="BB832" s="37"/>
      <c r="BC832" s="37"/>
      <c r="BD832" s="37"/>
      <c r="BE832" s="37"/>
      <c r="BF832" s="37"/>
      <c r="BG832" s="37"/>
      <c r="BH832" s="876">
        <f t="shared" ref="BH832:BW832" si="1036">BH763</f>
        <v>0</v>
      </c>
      <c r="BI832" s="876">
        <f t="shared" si="1036"/>
        <v>0</v>
      </c>
      <c r="BJ832" s="876">
        <f t="shared" si="1036"/>
        <v>0</v>
      </c>
      <c r="BK832" s="876">
        <f t="shared" si="1036"/>
        <v>0</v>
      </c>
      <c r="BL832" s="876">
        <f t="shared" si="1036"/>
        <v>0</v>
      </c>
      <c r="BM832" s="876">
        <f t="shared" si="1036"/>
        <v>0</v>
      </c>
      <c r="BN832" s="876">
        <f t="shared" si="1036"/>
        <v>0</v>
      </c>
      <c r="BO832" s="876">
        <f t="shared" si="1036"/>
        <v>0</v>
      </c>
      <c r="BP832" s="876">
        <f t="shared" si="1036"/>
        <v>0</v>
      </c>
      <c r="BQ832" s="876">
        <f t="shared" si="1036"/>
        <v>0</v>
      </c>
      <c r="BR832" s="876">
        <f t="shared" si="1036"/>
        <v>0</v>
      </c>
      <c r="BS832" s="876">
        <f t="shared" si="1036"/>
        <v>0</v>
      </c>
      <c r="BT832" s="876">
        <f t="shared" si="1036"/>
        <v>0</v>
      </c>
      <c r="BU832" s="876">
        <f t="shared" si="1036"/>
        <v>245</v>
      </c>
      <c r="BV832" s="876">
        <f t="shared" si="1036"/>
        <v>221</v>
      </c>
      <c r="BW832" s="915">
        <f t="shared" si="1036"/>
        <v>0</v>
      </c>
      <c r="BX832" s="158">
        <f t="shared" si="1033"/>
        <v>0</v>
      </c>
      <c r="BY832" s="158">
        <f t="shared" si="1034"/>
        <v>0</v>
      </c>
      <c r="BZ832" s="158"/>
      <c r="CA832" s="158"/>
      <c r="CB832" s="158"/>
      <c r="CC832" s="117"/>
    </row>
    <row r="833" spans="1:81" x14ac:dyDescent="0.55000000000000004">
      <c r="A833" s="116" t="str">
        <f t="shared" si="1005"/>
        <v>Sales of marketable securities</v>
      </c>
      <c r="B833" s="37"/>
      <c r="C833" s="117">
        <f t="shared" si="1006"/>
        <v>699</v>
      </c>
      <c r="D833" s="117">
        <f t="shared" si="1007"/>
        <v>576</v>
      </c>
      <c r="E833" s="117">
        <f t="shared" si="1007"/>
        <v>1158</v>
      </c>
      <c r="F833" s="117">
        <f t="shared" si="1007"/>
        <v>555</v>
      </c>
      <c r="G833" s="117">
        <f t="shared" si="1008"/>
        <v>847</v>
      </c>
      <c r="H833" s="117">
        <f t="shared" si="1009"/>
        <v>1121</v>
      </c>
      <c r="I833" s="117">
        <f t="shared" si="1009"/>
        <v>5423</v>
      </c>
      <c r="J833" s="117">
        <f t="shared" si="1009"/>
        <v>1047</v>
      </c>
      <c r="K833" s="117">
        <f t="shared" si="1010"/>
        <v>608</v>
      </c>
      <c r="L833" s="117">
        <f t="shared" si="1011"/>
        <v>2118</v>
      </c>
      <c r="M833" s="117">
        <f t="shared" si="1011"/>
        <v>1399</v>
      </c>
      <c r="N833" s="117">
        <f t="shared" si="1011"/>
        <v>2803</v>
      </c>
      <c r="O833" s="117">
        <f t="shared" si="1012"/>
        <v>2013</v>
      </c>
      <c r="P833" s="117">
        <f t="shared" si="1013"/>
        <v>2145</v>
      </c>
      <c r="Q833" s="117">
        <f t="shared" si="1013"/>
        <v>5633</v>
      </c>
      <c r="R833" s="117">
        <f t="shared" si="1013"/>
        <v>4103</v>
      </c>
      <c r="S833" s="117">
        <f t="shared" si="1014"/>
        <v>1762</v>
      </c>
      <c r="T833" s="117">
        <f t="shared" si="1015"/>
        <v>2236</v>
      </c>
      <c r="U833" s="117">
        <f t="shared" si="1015"/>
        <v>3651</v>
      </c>
      <c r="V833" s="117">
        <f t="shared" si="1015"/>
        <v>1795</v>
      </c>
      <c r="W833" s="117">
        <f t="shared" si="1016"/>
        <v>4330</v>
      </c>
      <c r="X833" s="117">
        <f t="shared" si="1017"/>
        <v>4282</v>
      </c>
      <c r="Y833" s="117">
        <f t="shared" si="1017"/>
        <v>2492</v>
      </c>
      <c r="Z833" s="117">
        <f t="shared" si="1017"/>
        <v>1254</v>
      </c>
      <c r="AA833" s="117">
        <f t="shared" si="1018"/>
        <v>1512</v>
      </c>
      <c r="AB833" s="117">
        <f t="shared" si="1019"/>
        <v>2944</v>
      </c>
      <c r="AC833" s="117">
        <f t="shared" si="1019"/>
        <v>2946</v>
      </c>
      <c r="AD833" s="117">
        <f t="shared" si="1019"/>
        <v>2163</v>
      </c>
      <c r="AE833" s="117">
        <f t="shared" si="1020"/>
        <v>2764</v>
      </c>
      <c r="AF833" s="117">
        <f t="shared" si="1021"/>
        <v>2617</v>
      </c>
      <c r="AG833" s="117">
        <f t="shared" si="1021"/>
        <v>4398</v>
      </c>
      <c r="AH833" s="117">
        <f t="shared" si="1021"/>
        <v>2008</v>
      </c>
      <c r="AI833" s="117">
        <f t="shared" si="1022"/>
        <v>1650</v>
      </c>
      <c r="AJ833" s="117">
        <f t="shared" si="1023"/>
        <v>4687</v>
      </c>
      <c r="AK833" s="117">
        <f t="shared" si="1023"/>
        <v>8994</v>
      </c>
      <c r="AL833" s="117">
        <f t="shared" si="1023"/>
        <v>16340</v>
      </c>
      <c r="AM833" s="117">
        <f t="shared" si="1024"/>
        <v>5065</v>
      </c>
      <c r="AN833" s="117">
        <f t="shared" si="1025"/>
        <v>2648</v>
      </c>
      <c r="AO833" s="117">
        <f t="shared" si="1025"/>
        <v>1620</v>
      </c>
      <c r="AP833" s="117">
        <f t="shared" si="1025"/>
        <v>1750</v>
      </c>
      <c r="AQ833" s="117">
        <f t="shared" si="1026"/>
        <v>0</v>
      </c>
      <c r="AR833" s="117">
        <f t="shared" si="1027"/>
        <v>0</v>
      </c>
      <c r="AS833" s="117">
        <f t="shared" si="1027"/>
        <v>0</v>
      </c>
      <c r="AT833" s="117">
        <f t="shared" si="1027"/>
        <v>0</v>
      </c>
      <c r="AU833" s="117">
        <f t="shared" si="1028"/>
        <v>0</v>
      </c>
      <c r="AV833" s="117">
        <f t="shared" si="1029"/>
        <v>0</v>
      </c>
      <c r="AW833" s="117">
        <f t="shared" si="1029"/>
        <v>0</v>
      </c>
      <c r="AX833" s="117">
        <f t="shared" si="1029"/>
        <v>0</v>
      </c>
      <c r="AY833" s="273">
        <f t="shared" si="1030"/>
        <v>0</v>
      </c>
      <c r="AZ833" s="37"/>
      <c r="BA833" s="37"/>
      <c r="BB833" s="37"/>
      <c r="BC833" s="37"/>
      <c r="BD833" s="37"/>
      <c r="BE833" s="37"/>
      <c r="BF833" s="37"/>
      <c r="BG833" s="37"/>
      <c r="BH833" s="876">
        <f t="shared" ref="BH833:BW833" si="1037">BH764</f>
        <v>0</v>
      </c>
      <c r="BI833" s="876">
        <f t="shared" si="1037"/>
        <v>0</v>
      </c>
      <c r="BJ833" s="876">
        <f t="shared" si="1037"/>
        <v>113</v>
      </c>
      <c r="BK833" s="876">
        <f t="shared" si="1037"/>
        <v>2100</v>
      </c>
      <c r="BL833" s="876">
        <f t="shared" si="1037"/>
        <v>2988</v>
      </c>
      <c r="BM833" s="876">
        <f t="shared" si="1037"/>
        <v>8438</v>
      </c>
      <c r="BN833" s="876">
        <f t="shared" si="1037"/>
        <v>6928</v>
      </c>
      <c r="BO833" s="876">
        <f t="shared" si="1037"/>
        <v>13894</v>
      </c>
      <c r="BP833" s="876">
        <f t="shared" si="1037"/>
        <v>9444</v>
      </c>
      <c r="BQ833" s="876">
        <f t="shared" si="1037"/>
        <v>12358</v>
      </c>
      <c r="BR833" s="876">
        <f t="shared" si="1037"/>
        <v>9565</v>
      </c>
      <c r="BS833" s="876">
        <f t="shared" si="1037"/>
        <v>11787</v>
      </c>
      <c r="BT833" s="876">
        <f t="shared" si="1037"/>
        <v>31671</v>
      </c>
      <c r="BU833" s="876">
        <f t="shared" si="1037"/>
        <v>11083</v>
      </c>
      <c r="BV833" s="876">
        <f t="shared" si="1037"/>
        <v>0</v>
      </c>
      <c r="BW833" s="915">
        <f t="shared" si="1037"/>
        <v>0</v>
      </c>
      <c r="BX833" s="158">
        <f t="shared" si="1033"/>
        <v>0</v>
      </c>
      <c r="BY833" s="158">
        <f t="shared" si="1034"/>
        <v>0</v>
      </c>
      <c r="BZ833" s="158"/>
      <c r="CA833" s="158"/>
      <c r="CB833" s="158"/>
      <c r="CC833" s="117"/>
    </row>
    <row r="834" spans="1:81" x14ac:dyDescent="0.55000000000000004">
      <c r="A834" s="116" t="str">
        <f t="shared" si="1005"/>
        <v>Maturities of marketable securities</v>
      </c>
      <c r="B834" s="37"/>
      <c r="C834" s="117">
        <f t="shared" si="1006"/>
        <v>903</v>
      </c>
      <c r="D834" s="117">
        <f t="shared" si="1007"/>
        <v>1271</v>
      </c>
      <c r="E834" s="117">
        <f t="shared" si="1007"/>
        <v>780</v>
      </c>
      <c r="F834" s="117">
        <f t="shared" si="1007"/>
        <v>609</v>
      </c>
      <c r="G834" s="117">
        <f t="shared" si="1008"/>
        <v>619</v>
      </c>
      <c r="H834" s="117">
        <f t="shared" si="1009"/>
        <v>455</v>
      </c>
      <c r="I834" s="117">
        <f t="shared" si="1009"/>
        <v>636</v>
      </c>
      <c r="J834" s="117">
        <f t="shared" si="1009"/>
        <v>199</v>
      </c>
      <c r="K834" s="117">
        <f t="shared" si="1010"/>
        <v>339</v>
      </c>
      <c r="L834" s="117">
        <f t="shared" si="1011"/>
        <v>376</v>
      </c>
      <c r="M834" s="117">
        <f t="shared" si="1011"/>
        <v>848</v>
      </c>
      <c r="N834" s="117">
        <f t="shared" si="1011"/>
        <v>747</v>
      </c>
      <c r="O834" s="117">
        <f t="shared" si="1012"/>
        <v>537</v>
      </c>
      <c r="P834" s="117">
        <f t="shared" si="1013"/>
        <v>366</v>
      </c>
      <c r="Q834" s="117">
        <f t="shared" si="1013"/>
        <v>131</v>
      </c>
      <c r="R834" s="117">
        <f t="shared" si="1013"/>
        <v>227</v>
      </c>
      <c r="S834" s="117">
        <f t="shared" si="1014"/>
        <v>599</v>
      </c>
      <c r="T834" s="117">
        <f t="shared" si="1015"/>
        <v>899</v>
      </c>
      <c r="U834" s="117">
        <f t="shared" si="1015"/>
        <v>730</v>
      </c>
      <c r="V834" s="117">
        <f t="shared" si="1015"/>
        <v>760</v>
      </c>
      <c r="W834" s="117">
        <f t="shared" si="1016"/>
        <v>1267</v>
      </c>
      <c r="X834" s="117">
        <f t="shared" si="1017"/>
        <v>1071</v>
      </c>
      <c r="Y834" s="117">
        <f t="shared" si="1017"/>
        <v>1053</v>
      </c>
      <c r="Z834" s="117">
        <f t="shared" si="1017"/>
        <v>1381</v>
      </c>
      <c r="AA834" s="117">
        <f t="shared" si="1018"/>
        <v>2210</v>
      </c>
      <c r="AB834" s="117">
        <f t="shared" si="1019"/>
        <v>1895</v>
      </c>
      <c r="AC834" s="117">
        <f t="shared" si="1019"/>
        <v>2943</v>
      </c>
      <c r="AD834" s="117">
        <f t="shared" si="1019"/>
        <v>3104</v>
      </c>
      <c r="AE834" s="117">
        <f t="shared" si="1020"/>
        <v>4644</v>
      </c>
      <c r="AF834" s="117">
        <f t="shared" si="1021"/>
        <v>3224</v>
      </c>
      <c r="AG834" s="117">
        <f t="shared" si="1021"/>
        <v>2857</v>
      </c>
      <c r="AH834" s="117">
        <f t="shared" si="1021"/>
        <v>3259</v>
      </c>
      <c r="AI834" s="117">
        <f t="shared" si="1022"/>
        <v>3981</v>
      </c>
      <c r="AJ834" s="117">
        <f t="shared" si="1023"/>
        <v>2346</v>
      </c>
      <c r="AK834" s="117">
        <f t="shared" si="1023"/>
        <v>2991</v>
      </c>
      <c r="AL834" s="117">
        <f t="shared" si="1023"/>
        <v>1597</v>
      </c>
      <c r="AM834" s="117">
        <f t="shared" si="1024"/>
        <v>402</v>
      </c>
      <c r="AN834" s="117">
        <f t="shared" si="1025"/>
        <v>511</v>
      </c>
      <c r="AO834" s="117">
        <f t="shared" si="1025"/>
        <v>649</v>
      </c>
      <c r="AP834" s="117">
        <f t="shared" si="1025"/>
        <v>513</v>
      </c>
      <c r="AQ834" s="117">
        <f t="shared" si="1026"/>
        <v>534</v>
      </c>
      <c r="AR834" s="117">
        <f t="shared" si="1027"/>
        <v>1817</v>
      </c>
      <c r="AS834" s="117">
        <f t="shared" si="1027"/>
        <v>1474</v>
      </c>
      <c r="AT834" s="117">
        <f t="shared" si="1027"/>
        <v>2359</v>
      </c>
      <c r="AU834" s="117">
        <f t="shared" si="1028"/>
        <v>4625</v>
      </c>
      <c r="AV834" s="117">
        <f t="shared" si="1029"/>
        <v>3233</v>
      </c>
      <c r="AW834" s="117">
        <f t="shared" si="1029"/>
        <v>4114</v>
      </c>
      <c r="AX834" s="117">
        <f t="shared" si="1029"/>
        <v>3817</v>
      </c>
      <c r="AY834" s="273">
        <f t="shared" si="1030"/>
        <v>4784</v>
      </c>
      <c r="AZ834" s="37"/>
      <c r="BA834" s="37"/>
      <c r="BB834" s="37"/>
      <c r="BC834" s="37"/>
      <c r="BD834" s="37"/>
      <c r="BE834" s="37"/>
      <c r="BF834" s="37"/>
      <c r="BG834" s="37"/>
      <c r="BH834" s="876">
        <f t="shared" ref="BH834:BW834" si="1038">BH765</f>
        <v>0</v>
      </c>
      <c r="BI834" s="876">
        <f t="shared" si="1038"/>
        <v>0</v>
      </c>
      <c r="BJ834" s="876">
        <f t="shared" si="1038"/>
        <v>516</v>
      </c>
      <c r="BK834" s="876">
        <f t="shared" si="1038"/>
        <v>3333</v>
      </c>
      <c r="BL834" s="876">
        <f t="shared" si="1038"/>
        <v>3563</v>
      </c>
      <c r="BM834" s="876">
        <f t="shared" si="1038"/>
        <v>1909</v>
      </c>
      <c r="BN834" s="876">
        <f t="shared" si="1038"/>
        <v>2310</v>
      </c>
      <c r="BO834" s="876">
        <f t="shared" si="1038"/>
        <v>1261</v>
      </c>
      <c r="BP834" s="876">
        <f t="shared" si="1038"/>
        <v>2988</v>
      </c>
      <c r="BQ834" s="876">
        <f t="shared" si="1038"/>
        <v>4772</v>
      </c>
      <c r="BR834" s="876">
        <f t="shared" si="1038"/>
        <v>10152</v>
      </c>
      <c r="BS834" s="876">
        <f t="shared" si="1038"/>
        <v>13984</v>
      </c>
      <c r="BT834" s="876">
        <f t="shared" si="1038"/>
        <v>10915</v>
      </c>
      <c r="BU834" s="876">
        <f t="shared" si="1038"/>
        <v>2075</v>
      </c>
      <c r="BV834" s="876">
        <f t="shared" si="1038"/>
        <v>6184</v>
      </c>
      <c r="BW834" s="915">
        <f t="shared" si="1038"/>
        <v>15789</v>
      </c>
      <c r="BX834" s="158">
        <f t="shared" si="1033"/>
        <v>4784</v>
      </c>
      <c r="BY834" s="158">
        <f t="shared" si="1034"/>
        <v>0</v>
      </c>
      <c r="BZ834" s="158"/>
      <c r="CA834" s="158"/>
      <c r="CB834" s="158"/>
      <c r="CC834" s="117"/>
    </row>
    <row r="835" spans="1:81" x14ac:dyDescent="0.55000000000000004">
      <c r="A835" s="116" t="str">
        <f t="shared" si="1005"/>
        <v>Investments in non-marketable equity securities</v>
      </c>
      <c r="B835" s="37"/>
      <c r="C835" s="117">
        <f t="shared" si="1006"/>
        <v>0</v>
      </c>
      <c r="D835" s="117">
        <f t="shared" si="1007"/>
        <v>0</v>
      </c>
      <c r="E835" s="117">
        <f t="shared" si="1007"/>
        <v>0</v>
      </c>
      <c r="F835" s="117">
        <f t="shared" si="1007"/>
        <v>0</v>
      </c>
      <c r="G835" s="117">
        <f t="shared" si="1008"/>
        <v>0</v>
      </c>
      <c r="H835" s="117">
        <f t="shared" si="1009"/>
        <v>0</v>
      </c>
      <c r="I835" s="117">
        <f t="shared" si="1009"/>
        <v>0</v>
      </c>
      <c r="J835" s="117">
        <f t="shared" si="1009"/>
        <v>0</v>
      </c>
      <c r="K835" s="117">
        <f t="shared" si="1010"/>
        <v>0</v>
      </c>
      <c r="L835" s="117">
        <f t="shared" si="1011"/>
        <v>0</v>
      </c>
      <c r="M835" s="117">
        <f t="shared" si="1011"/>
        <v>0</v>
      </c>
      <c r="N835" s="117">
        <f t="shared" si="1011"/>
        <v>0</v>
      </c>
      <c r="O835" s="117">
        <f t="shared" si="1012"/>
        <v>0</v>
      </c>
      <c r="P835" s="117">
        <f t="shared" si="1013"/>
        <v>0</v>
      </c>
      <c r="Q835" s="117">
        <f t="shared" si="1013"/>
        <v>0</v>
      </c>
      <c r="R835" s="117">
        <f t="shared" si="1013"/>
        <v>0</v>
      </c>
      <c r="S835" s="117">
        <f t="shared" si="1014"/>
        <v>0</v>
      </c>
      <c r="T835" s="117">
        <f t="shared" si="1015"/>
        <v>0</v>
      </c>
      <c r="U835" s="117">
        <f t="shared" si="1015"/>
        <v>0</v>
      </c>
      <c r="V835" s="117">
        <f t="shared" si="1015"/>
        <v>0</v>
      </c>
      <c r="W835" s="117">
        <f t="shared" si="1016"/>
        <v>0</v>
      </c>
      <c r="X835" s="117">
        <f t="shared" si="1017"/>
        <v>0</v>
      </c>
      <c r="Y835" s="117">
        <f t="shared" si="1017"/>
        <v>0</v>
      </c>
      <c r="Z835" s="117">
        <f t="shared" si="1017"/>
        <v>0</v>
      </c>
      <c r="AA835" s="117">
        <f t="shared" si="1018"/>
        <v>0</v>
      </c>
      <c r="AB835" s="117">
        <f t="shared" si="1019"/>
        <v>0</v>
      </c>
      <c r="AC835" s="117">
        <f t="shared" si="1019"/>
        <v>0</v>
      </c>
      <c r="AD835" s="117">
        <f t="shared" si="1019"/>
        <v>0</v>
      </c>
      <c r="AE835" s="117">
        <f t="shared" si="1020"/>
        <v>0</v>
      </c>
      <c r="AF835" s="117">
        <f t="shared" si="1021"/>
        <v>0</v>
      </c>
      <c r="AG835" s="117">
        <f t="shared" si="1021"/>
        <v>0</v>
      </c>
      <c r="AH835" s="117">
        <f t="shared" si="1021"/>
        <v>0</v>
      </c>
      <c r="AI835" s="117">
        <f t="shared" si="1022"/>
        <v>0</v>
      </c>
      <c r="AJ835" s="117">
        <f t="shared" si="1023"/>
        <v>0</v>
      </c>
      <c r="AK835" s="117">
        <f t="shared" si="1023"/>
        <v>0</v>
      </c>
      <c r="AL835" s="117">
        <f t="shared" si="1023"/>
        <v>0</v>
      </c>
      <c r="AM835" s="117">
        <f t="shared" si="1024"/>
        <v>0</v>
      </c>
      <c r="AN835" s="117">
        <f t="shared" si="1025"/>
        <v>0</v>
      </c>
      <c r="AO835" s="117">
        <f t="shared" si="1025"/>
        <v>0</v>
      </c>
      <c r="AP835" s="117">
        <f t="shared" si="1025"/>
        <v>0</v>
      </c>
      <c r="AQ835" s="117">
        <f t="shared" si="1026"/>
        <v>0</v>
      </c>
      <c r="AR835" s="117">
        <f t="shared" si="1027"/>
        <v>0</v>
      </c>
      <c r="AS835" s="117">
        <f t="shared" si="1027"/>
        <v>0</v>
      </c>
      <c r="AT835" s="117">
        <f t="shared" si="1027"/>
        <v>0</v>
      </c>
      <c r="AU835" s="117">
        <f t="shared" si="1028"/>
        <v>0</v>
      </c>
      <c r="AV835" s="117">
        <f t="shared" si="1029"/>
        <v>0</v>
      </c>
      <c r="AW835" s="117">
        <f t="shared" si="1029"/>
        <v>0</v>
      </c>
      <c r="AX835" s="117">
        <f t="shared" si="1029"/>
        <v>0</v>
      </c>
      <c r="AY835" s="273">
        <f t="shared" si="1030"/>
        <v>0</v>
      </c>
      <c r="AZ835" s="37"/>
      <c r="BA835" s="37"/>
      <c r="BB835" s="37"/>
      <c r="BC835" s="37"/>
      <c r="BD835" s="37"/>
      <c r="BE835" s="37"/>
      <c r="BF835" s="37"/>
      <c r="BG835" s="37"/>
      <c r="BH835" s="876">
        <f t="shared" ref="BH835:BW835" si="1039">BH766</f>
        <v>0</v>
      </c>
      <c r="BI835" s="876">
        <f t="shared" si="1039"/>
        <v>0</v>
      </c>
      <c r="BJ835" s="876">
        <f t="shared" si="1039"/>
        <v>-3</v>
      </c>
      <c r="BK835" s="876">
        <f t="shared" si="1039"/>
        <v>-2</v>
      </c>
      <c r="BL835" s="876">
        <f t="shared" si="1039"/>
        <v>0</v>
      </c>
      <c r="BM835" s="876">
        <f t="shared" si="1039"/>
        <v>0</v>
      </c>
      <c r="BN835" s="876">
        <f t="shared" si="1039"/>
        <v>0</v>
      </c>
      <c r="BO835" s="876">
        <f t="shared" si="1039"/>
        <v>0</v>
      </c>
      <c r="BP835" s="876">
        <f t="shared" si="1039"/>
        <v>0</v>
      </c>
      <c r="BQ835" s="876">
        <f t="shared" si="1039"/>
        <v>0</v>
      </c>
      <c r="BR835" s="876">
        <f t="shared" si="1039"/>
        <v>0</v>
      </c>
      <c r="BS835" s="876">
        <f t="shared" si="1039"/>
        <v>0</v>
      </c>
      <c r="BT835" s="876">
        <f t="shared" si="1039"/>
        <v>0</v>
      </c>
      <c r="BU835" s="876">
        <f t="shared" si="1039"/>
        <v>0</v>
      </c>
      <c r="BV835" s="876">
        <f t="shared" si="1039"/>
        <v>0</v>
      </c>
      <c r="BW835" s="915">
        <f t="shared" si="1039"/>
        <v>0</v>
      </c>
      <c r="BX835" s="158">
        <f t="shared" si="1033"/>
        <v>0</v>
      </c>
      <c r="BY835" s="158">
        <f t="shared" si="1034"/>
        <v>0</v>
      </c>
      <c r="BZ835" s="158"/>
      <c r="CA835" s="158"/>
      <c r="CB835" s="158"/>
      <c r="CC835" s="117"/>
    </row>
    <row r="836" spans="1:81" x14ac:dyDescent="0.55000000000000004">
      <c r="A836" s="116" t="str">
        <f t="shared" si="1005"/>
        <v>Purchase of equity investments</v>
      </c>
      <c r="B836" s="37"/>
      <c r="C836" s="117">
        <f t="shared" si="1006"/>
        <v>0</v>
      </c>
      <c r="D836" s="117">
        <f t="shared" si="1007"/>
        <v>0</v>
      </c>
      <c r="E836" s="117">
        <f t="shared" si="1007"/>
        <v>0</v>
      </c>
      <c r="F836" s="117">
        <f t="shared" si="1007"/>
        <v>0</v>
      </c>
      <c r="G836" s="117">
        <f t="shared" si="1008"/>
        <v>0</v>
      </c>
      <c r="H836" s="117">
        <f t="shared" si="1009"/>
        <v>0</v>
      </c>
      <c r="I836" s="117">
        <f t="shared" si="1009"/>
        <v>0</v>
      </c>
      <c r="J836" s="117">
        <f t="shared" si="1009"/>
        <v>0</v>
      </c>
      <c r="K836" s="117">
        <f t="shared" si="1010"/>
        <v>0</v>
      </c>
      <c r="L836" s="117">
        <f t="shared" si="1011"/>
        <v>0</v>
      </c>
      <c r="M836" s="117">
        <f t="shared" si="1011"/>
        <v>0</v>
      </c>
      <c r="N836" s="117">
        <f t="shared" si="1011"/>
        <v>0</v>
      </c>
      <c r="O836" s="117">
        <f t="shared" si="1012"/>
        <v>0</v>
      </c>
      <c r="P836" s="117">
        <f t="shared" si="1013"/>
        <v>0</v>
      </c>
      <c r="Q836" s="117">
        <f t="shared" si="1013"/>
        <v>0</v>
      </c>
      <c r="R836" s="117">
        <f t="shared" si="1013"/>
        <v>0</v>
      </c>
      <c r="S836" s="117">
        <f t="shared" si="1014"/>
        <v>0</v>
      </c>
      <c r="T836" s="117">
        <f t="shared" si="1015"/>
        <v>0</v>
      </c>
      <c r="U836" s="117">
        <f t="shared" si="1015"/>
        <v>0</v>
      </c>
      <c r="V836" s="117">
        <f t="shared" si="1015"/>
        <v>0</v>
      </c>
      <c r="W836" s="117">
        <f t="shared" si="1016"/>
        <v>0</v>
      </c>
      <c r="X836" s="117">
        <f t="shared" si="1017"/>
        <v>0</v>
      </c>
      <c r="Y836" s="117">
        <f t="shared" si="1017"/>
        <v>0</v>
      </c>
      <c r="Z836" s="117">
        <f t="shared" si="1017"/>
        <v>0</v>
      </c>
      <c r="AA836" s="117">
        <f t="shared" si="1018"/>
        <v>0</v>
      </c>
      <c r="AB836" s="117">
        <f t="shared" si="1019"/>
        <v>0</v>
      </c>
      <c r="AC836" s="117">
        <f t="shared" si="1019"/>
        <v>0</v>
      </c>
      <c r="AD836" s="117">
        <f t="shared" si="1019"/>
        <v>0</v>
      </c>
      <c r="AE836" s="117">
        <f t="shared" si="1020"/>
        <v>0</v>
      </c>
      <c r="AF836" s="117">
        <f t="shared" si="1021"/>
        <v>0</v>
      </c>
      <c r="AG836" s="117">
        <f t="shared" si="1021"/>
        <v>-6302</v>
      </c>
      <c r="AH836" s="117">
        <f t="shared" si="1021"/>
        <v>-59</v>
      </c>
      <c r="AI836" s="117">
        <f t="shared" si="1022"/>
        <v>0</v>
      </c>
      <c r="AJ836" s="117">
        <f t="shared" si="1023"/>
        <v>0</v>
      </c>
      <c r="AK836" s="117">
        <f t="shared" si="1023"/>
        <v>-46</v>
      </c>
      <c r="AL836" s="117">
        <f t="shared" si="1023"/>
        <v>-1</v>
      </c>
      <c r="AM836" s="117">
        <f t="shared" si="1024"/>
        <v>0</v>
      </c>
      <c r="AN836" s="117">
        <f t="shared" si="1025"/>
        <v>0</v>
      </c>
      <c r="AO836" s="117">
        <f t="shared" si="1025"/>
        <v>0</v>
      </c>
      <c r="AP836" s="117">
        <f t="shared" si="1025"/>
        <v>-5</v>
      </c>
      <c r="AQ836" s="117">
        <f t="shared" si="1026"/>
        <v>0</v>
      </c>
      <c r="AR836" s="117">
        <f t="shared" si="1027"/>
        <v>0</v>
      </c>
      <c r="AS836" s="117">
        <f t="shared" si="1027"/>
        <v>0</v>
      </c>
      <c r="AT836" s="117">
        <f t="shared" si="1027"/>
        <v>0</v>
      </c>
      <c r="AU836" s="117">
        <f t="shared" si="1028"/>
        <v>0</v>
      </c>
      <c r="AV836" s="117">
        <f t="shared" si="1029"/>
        <v>0</v>
      </c>
      <c r="AW836" s="117">
        <f t="shared" si="1029"/>
        <v>0</v>
      </c>
      <c r="AX836" s="117">
        <f t="shared" si="1029"/>
        <v>0</v>
      </c>
      <c r="AY836" s="273">
        <f t="shared" si="1030"/>
        <v>0</v>
      </c>
      <c r="AZ836" s="37"/>
      <c r="BA836" s="37"/>
      <c r="BB836" s="37"/>
      <c r="BC836" s="37"/>
      <c r="BD836" s="37"/>
      <c r="BE836" s="37"/>
      <c r="BF836" s="37"/>
      <c r="BG836" s="37"/>
      <c r="BH836" s="876">
        <f t="shared" ref="BH836:BW836" si="1040">BH767</f>
        <v>0</v>
      </c>
      <c r="BI836" s="876">
        <f t="shared" si="1040"/>
        <v>0</v>
      </c>
      <c r="BJ836" s="876">
        <f t="shared" si="1040"/>
        <v>0</v>
      </c>
      <c r="BK836" s="876">
        <f t="shared" si="1040"/>
        <v>0</v>
      </c>
      <c r="BL836" s="876">
        <f t="shared" si="1040"/>
        <v>0</v>
      </c>
      <c r="BM836" s="876">
        <f t="shared" si="1040"/>
        <v>0</v>
      </c>
      <c r="BN836" s="876">
        <f t="shared" si="1040"/>
        <v>0</v>
      </c>
      <c r="BO836" s="876">
        <f t="shared" si="1040"/>
        <v>0</v>
      </c>
      <c r="BP836" s="876">
        <f t="shared" si="1040"/>
        <v>0</v>
      </c>
      <c r="BQ836" s="876">
        <f t="shared" si="1040"/>
        <v>0</v>
      </c>
      <c r="BR836" s="876">
        <f t="shared" si="1040"/>
        <v>0</v>
      </c>
      <c r="BS836" s="876">
        <f t="shared" si="1040"/>
        <v>-6361</v>
      </c>
      <c r="BT836" s="876">
        <f t="shared" si="1040"/>
        <v>-47</v>
      </c>
      <c r="BU836" s="876">
        <f t="shared" si="1040"/>
        <v>-5</v>
      </c>
      <c r="BV836" s="876">
        <f t="shared" si="1040"/>
        <v>0</v>
      </c>
      <c r="BW836" s="915">
        <f t="shared" si="1040"/>
        <v>0</v>
      </c>
      <c r="BX836" s="158">
        <f t="shared" si="1033"/>
        <v>0</v>
      </c>
      <c r="BY836" s="158">
        <f t="shared" si="1034"/>
        <v>0</v>
      </c>
      <c r="BZ836" s="158"/>
      <c r="CA836" s="158"/>
      <c r="CB836" s="158"/>
      <c r="CC836" s="117"/>
    </row>
    <row r="837" spans="1:81" x14ac:dyDescent="0.55000000000000004">
      <c r="A837" s="116" t="str">
        <f t="shared" si="1005"/>
        <v>Acquisitions of businesses, net of cash acquired, and purchases of intangible assets</v>
      </c>
      <c r="B837" s="37"/>
      <c r="C837" s="117">
        <f t="shared" si="1006"/>
        <v>-99</v>
      </c>
      <c r="D837" s="117">
        <f t="shared" si="1007"/>
        <v>-122</v>
      </c>
      <c r="E837" s="117">
        <f t="shared" si="1007"/>
        <v>-16</v>
      </c>
      <c r="F837" s="117">
        <f t="shared" si="1007"/>
        <v>-131</v>
      </c>
      <c r="G837" s="117">
        <f t="shared" si="1008"/>
        <v>0</v>
      </c>
      <c r="H837" s="117">
        <f t="shared" si="1009"/>
        <v>-19</v>
      </c>
      <c r="I837" s="117">
        <f t="shared" si="1009"/>
        <v>-735</v>
      </c>
      <c r="J837" s="117">
        <f t="shared" si="1009"/>
        <v>-4221</v>
      </c>
      <c r="K837" s="117">
        <f t="shared" si="1010"/>
        <v>-257</v>
      </c>
      <c r="L837" s="117">
        <f t="shared" si="1011"/>
        <v>-25</v>
      </c>
      <c r="M837" s="117">
        <f t="shared" si="1011"/>
        <v>-27</v>
      </c>
      <c r="N837" s="117">
        <f t="shared" si="1011"/>
        <v>-4</v>
      </c>
      <c r="O837" s="117">
        <f t="shared" si="1012"/>
        <v>-1</v>
      </c>
      <c r="P837" s="117">
        <f t="shared" si="1013"/>
        <v>-19</v>
      </c>
      <c r="Q837" s="117">
        <f t="shared" si="1013"/>
        <v>-61</v>
      </c>
      <c r="R837" s="117">
        <f t="shared" si="1013"/>
        <v>-42</v>
      </c>
      <c r="S837" s="117">
        <f t="shared" si="1014"/>
        <v>0</v>
      </c>
      <c r="T837" s="117">
        <f t="shared" si="1015"/>
        <v>-8</v>
      </c>
      <c r="U837" s="117">
        <f t="shared" si="1015"/>
        <v>-98</v>
      </c>
      <c r="V837" s="117">
        <f t="shared" si="1015"/>
        <v>-16</v>
      </c>
      <c r="W837" s="117">
        <f t="shared" si="1016"/>
        <v>-49</v>
      </c>
      <c r="X837" s="117">
        <f t="shared" si="1017"/>
        <v>-16</v>
      </c>
      <c r="Y837" s="117">
        <f t="shared" si="1017"/>
        <v>-72</v>
      </c>
      <c r="Z837" s="117">
        <f t="shared" si="1017"/>
        <v>0</v>
      </c>
      <c r="AA837" s="117">
        <f t="shared" si="1018"/>
        <v>0</v>
      </c>
      <c r="AB837" s="117">
        <f t="shared" si="1019"/>
        <v>0</v>
      </c>
      <c r="AC837" s="117">
        <f t="shared" si="1019"/>
        <v>0</v>
      </c>
      <c r="AD837" s="117">
        <f t="shared" si="1019"/>
        <v>-508</v>
      </c>
      <c r="AE837" s="117">
        <f t="shared" si="1020"/>
        <v>-33</v>
      </c>
      <c r="AF837" s="117">
        <f t="shared" si="1021"/>
        <v>-339</v>
      </c>
      <c r="AG837" s="117">
        <f t="shared" si="1021"/>
        <v>-12</v>
      </c>
      <c r="AH837" s="117">
        <f t="shared" si="1021"/>
        <v>-4</v>
      </c>
      <c r="AI837" s="117">
        <f t="shared" si="1022"/>
        <v>0</v>
      </c>
      <c r="AJ837" s="117">
        <f t="shared" si="1023"/>
        <v>-259</v>
      </c>
      <c r="AK837" s="117">
        <f t="shared" si="1023"/>
        <v>-71</v>
      </c>
      <c r="AL837" s="117">
        <f t="shared" si="1023"/>
        <v>-521</v>
      </c>
      <c r="AM837" s="117">
        <f t="shared" si="1024"/>
        <v>-853</v>
      </c>
      <c r="AN837" s="117">
        <f t="shared" si="1025"/>
        <v>-363</v>
      </c>
      <c r="AO837" s="117">
        <f t="shared" si="1025"/>
        <v>-34</v>
      </c>
      <c r="AP837" s="117">
        <f t="shared" si="1025"/>
        <v>-62</v>
      </c>
      <c r="AQ837" s="117">
        <f t="shared" si="1026"/>
        <v>-444</v>
      </c>
      <c r="AR837" s="117">
        <f t="shared" si="1027"/>
        <v>-83</v>
      </c>
      <c r="AS837" s="117">
        <f t="shared" si="1027"/>
        <v>-38</v>
      </c>
      <c r="AT837" s="117">
        <f t="shared" si="1027"/>
        <v>-64</v>
      </c>
      <c r="AU837" s="117">
        <f t="shared" si="1028"/>
        <v>-72</v>
      </c>
      <c r="AV837" s="117">
        <f t="shared" si="1029"/>
        <v>-57</v>
      </c>
      <c r="AW837" s="117">
        <f t="shared" si="1029"/>
        <v>-132</v>
      </c>
      <c r="AX837" s="117">
        <f t="shared" si="1029"/>
        <v>-9</v>
      </c>
      <c r="AY837" s="273">
        <f t="shared" si="1030"/>
        <v>-90</v>
      </c>
      <c r="AZ837" s="37">
        <f t="shared" ref="AZ837:BF837" si="1041">AZ668</f>
        <v>0</v>
      </c>
      <c r="BA837" s="37">
        <f t="shared" si="1041"/>
        <v>0</v>
      </c>
      <c r="BB837" s="37">
        <f t="shared" si="1041"/>
        <v>0</v>
      </c>
      <c r="BC837" s="37">
        <f t="shared" si="1041"/>
        <v>0</v>
      </c>
      <c r="BD837" s="37">
        <f t="shared" si="1041"/>
        <v>0</v>
      </c>
      <c r="BE837" s="37">
        <f t="shared" si="1041"/>
        <v>0</v>
      </c>
      <c r="BF837" s="37">
        <f t="shared" si="1041"/>
        <v>0</v>
      </c>
      <c r="BG837" s="37"/>
      <c r="BH837" s="876">
        <f t="shared" ref="BH837:BW837" si="1042">BH768</f>
        <v>3</v>
      </c>
      <c r="BI837" s="876">
        <f t="shared" si="1042"/>
        <v>-22</v>
      </c>
      <c r="BJ837" s="876">
        <f t="shared" si="1042"/>
        <v>-24</v>
      </c>
      <c r="BK837" s="876">
        <f t="shared" si="1042"/>
        <v>-911</v>
      </c>
      <c r="BL837" s="876">
        <f t="shared" si="1042"/>
        <v>-368</v>
      </c>
      <c r="BM837" s="876">
        <f t="shared" si="1042"/>
        <v>-4975</v>
      </c>
      <c r="BN837" s="876">
        <f t="shared" si="1042"/>
        <v>-313</v>
      </c>
      <c r="BO837" s="876">
        <f t="shared" si="1042"/>
        <v>-123</v>
      </c>
      <c r="BP837" s="876">
        <f t="shared" si="1042"/>
        <v>-122</v>
      </c>
      <c r="BQ837" s="876">
        <f t="shared" si="1042"/>
        <v>-137</v>
      </c>
      <c r="BR837" s="876">
        <f t="shared" si="1042"/>
        <v>-508</v>
      </c>
      <c r="BS837" s="876">
        <f t="shared" si="1042"/>
        <v>-388</v>
      </c>
      <c r="BT837" s="876">
        <f t="shared" si="1042"/>
        <v>-851</v>
      </c>
      <c r="BU837" s="876">
        <f t="shared" si="1042"/>
        <v>-1312</v>
      </c>
      <c r="BV837" s="876">
        <f t="shared" si="1042"/>
        <v>-629</v>
      </c>
      <c r="BW837" s="915">
        <f t="shared" si="1042"/>
        <v>-270</v>
      </c>
      <c r="BX837" s="158">
        <f t="shared" si="1033"/>
        <v>-90</v>
      </c>
      <c r="BY837" s="158">
        <f t="shared" si="1034"/>
        <v>0</v>
      </c>
      <c r="BZ837" s="158">
        <f>BZ668</f>
        <v>0</v>
      </c>
      <c r="CA837" s="158">
        <f>CA668</f>
        <v>0</v>
      </c>
      <c r="CB837" s="158">
        <f>CB668</f>
        <v>0</v>
      </c>
      <c r="CC837" s="117"/>
    </row>
    <row r="838" spans="1:81" x14ac:dyDescent="0.55000000000000004">
      <c r="A838" s="116" t="str">
        <f t="shared" si="1005"/>
        <v>Change in restricted cash and deposits</v>
      </c>
      <c r="B838" s="37"/>
      <c r="C838" s="117">
        <f t="shared" si="1006"/>
        <v>0</v>
      </c>
      <c r="D838" s="117">
        <f t="shared" si="1007"/>
        <v>0</v>
      </c>
      <c r="E838" s="117">
        <f t="shared" si="1007"/>
        <v>4</v>
      </c>
      <c r="F838" s="117">
        <f t="shared" si="1007"/>
        <v>-15</v>
      </c>
      <c r="G838" s="117">
        <f t="shared" si="1008"/>
        <v>0</v>
      </c>
      <c r="H838" s="117">
        <f t="shared" si="1009"/>
        <v>-2</v>
      </c>
      <c r="I838" s="117">
        <f t="shared" si="1009"/>
        <v>-111</v>
      </c>
      <c r="J838" s="117">
        <f t="shared" si="1009"/>
        <v>-235</v>
      </c>
      <c r="K838" s="117">
        <f t="shared" si="1010"/>
        <v>23</v>
      </c>
      <c r="L838" s="117">
        <f t="shared" si="1011"/>
        <v>21</v>
      </c>
      <c r="M838" s="117">
        <f t="shared" si="1011"/>
        <v>33</v>
      </c>
      <c r="N838" s="117">
        <f t="shared" si="1011"/>
        <v>25</v>
      </c>
      <c r="O838" s="117">
        <f t="shared" si="1012"/>
        <v>33</v>
      </c>
      <c r="P838" s="117">
        <f t="shared" si="1013"/>
        <v>41</v>
      </c>
      <c r="Q838" s="117">
        <f t="shared" si="1013"/>
        <v>8</v>
      </c>
      <c r="R838" s="117">
        <f t="shared" si="1013"/>
        <v>-21</v>
      </c>
      <c r="S838" s="117">
        <f t="shared" si="1014"/>
        <v>11</v>
      </c>
      <c r="T838" s="117">
        <f t="shared" si="1015"/>
        <v>22</v>
      </c>
      <c r="U838" s="117">
        <f t="shared" si="1015"/>
        <v>31</v>
      </c>
      <c r="V838" s="117">
        <f t="shared" si="1015"/>
        <v>3</v>
      </c>
      <c r="W838" s="117">
        <f t="shared" si="1016"/>
        <v>0</v>
      </c>
      <c r="X838" s="117">
        <f t="shared" si="1017"/>
        <v>0</v>
      </c>
      <c r="Y838" s="117">
        <f t="shared" si="1017"/>
        <v>0</v>
      </c>
      <c r="Z838" s="117">
        <f t="shared" si="1017"/>
        <v>0</v>
      </c>
      <c r="AA838" s="117">
        <f t="shared" si="1018"/>
        <v>0</v>
      </c>
      <c r="AB838" s="117">
        <f t="shared" si="1019"/>
        <v>0</v>
      </c>
      <c r="AC838" s="117">
        <f t="shared" si="1019"/>
        <v>0</v>
      </c>
      <c r="AD838" s="117">
        <f t="shared" si="1019"/>
        <v>0</v>
      </c>
      <c r="AE838" s="117">
        <f t="shared" si="1020"/>
        <v>0</v>
      </c>
      <c r="AF838" s="117">
        <f t="shared" si="1021"/>
        <v>0</v>
      </c>
      <c r="AG838" s="117">
        <f t="shared" si="1021"/>
        <v>0</v>
      </c>
      <c r="AH838" s="117">
        <f t="shared" si="1021"/>
        <v>0</v>
      </c>
      <c r="AI838" s="117">
        <f t="shared" si="1022"/>
        <v>0</v>
      </c>
      <c r="AJ838" s="117">
        <f t="shared" si="1023"/>
        <v>0</v>
      </c>
      <c r="AK838" s="117">
        <f t="shared" si="1023"/>
        <v>0</v>
      </c>
      <c r="AL838" s="117">
        <f t="shared" si="1023"/>
        <v>0</v>
      </c>
      <c r="AM838" s="117">
        <f t="shared" si="1024"/>
        <v>0</v>
      </c>
      <c r="AN838" s="117">
        <f t="shared" si="1025"/>
        <v>0</v>
      </c>
      <c r="AO838" s="117">
        <f t="shared" si="1025"/>
        <v>0</v>
      </c>
      <c r="AP838" s="117">
        <f t="shared" si="1025"/>
        <v>0</v>
      </c>
      <c r="AQ838" s="117">
        <f t="shared" si="1026"/>
        <v>0</v>
      </c>
      <c r="AR838" s="117">
        <f t="shared" si="1027"/>
        <v>0</v>
      </c>
      <c r="AS838" s="117">
        <f t="shared" si="1027"/>
        <v>0</v>
      </c>
      <c r="AT838" s="117">
        <f t="shared" si="1027"/>
        <v>0</v>
      </c>
      <c r="AU838" s="117">
        <f t="shared" si="1028"/>
        <v>0</v>
      </c>
      <c r="AV838" s="117">
        <f t="shared" si="1029"/>
        <v>0</v>
      </c>
      <c r="AW838" s="117">
        <f t="shared" si="1029"/>
        <v>0</v>
      </c>
      <c r="AX838" s="117">
        <f t="shared" si="1029"/>
        <v>0</v>
      </c>
      <c r="AY838" s="273">
        <f t="shared" si="1030"/>
        <v>0</v>
      </c>
      <c r="AZ838" s="37"/>
      <c r="BA838" s="37"/>
      <c r="BB838" s="37"/>
      <c r="BC838" s="37"/>
      <c r="BD838" s="37"/>
      <c r="BE838" s="37"/>
      <c r="BF838" s="37"/>
      <c r="BG838" s="37"/>
      <c r="BH838" s="876">
        <f t="shared" ref="BH838:BW838" si="1043">BH769</f>
        <v>-32</v>
      </c>
      <c r="BI838" s="876">
        <f t="shared" si="1043"/>
        <v>-9</v>
      </c>
      <c r="BJ838" s="876">
        <f t="shared" si="1043"/>
        <v>6</v>
      </c>
      <c r="BK838" s="876">
        <f t="shared" si="1043"/>
        <v>-2</v>
      </c>
      <c r="BL838" s="876">
        <f t="shared" si="1043"/>
        <v>-11</v>
      </c>
      <c r="BM838" s="876">
        <f t="shared" si="1043"/>
        <v>-348</v>
      </c>
      <c r="BN838" s="876">
        <f t="shared" si="1043"/>
        <v>102</v>
      </c>
      <c r="BO838" s="876">
        <f t="shared" si="1043"/>
        <v>61</v>
      </c>
      <c r="BP838" s="876">
        <f t="shared" si="1043"/>
        <v>67</v>
      </c>
      <c r="BQ838" s="876">
        <f t="shared" si="1043"/>
        <v>0</v>
      </c>
      <c r="BR838" s="876">
        <f t="shared" si="1043"/>
        <v>0</v>
      </c>
      <c r="BS838" s="876">
        <f t="shared" si="1043"/>
        <v>0</v>
      </c>
      <c r="BT838" s="876">
        <f t="shared" si="1043"/>
        <v>0</v>
      </c>
      <c r="BU838" s="876">
        <f t="shared" si="1043"/>
        <v>0</v>
      </c>
      <c r="BV838" s="876">
        <f t="shared" si="1043"/>
        <v>0</v>
      </c>
      <c r="BW838" s="915">
        <f t="shared" si="1043"/>
        <v>0</v>
      </c>
      <c r="BX838" s="158">
        <f t="shared" si="1033"/>
        <v>0</v>
      </c>
      <c r="BY838" s="158">
        <f t="shared" si="1034"/>
        <v>0</v>
      </c>
      <c r="BZ838" s="158"/>
      <c r="CA838" s="158"/>
      <c r="CB838" s="158"/>
      <c r="CC838" s="117"/>
    </row>
    <row r="839" spans="1:81" x14ac:dyDescent="0.55000000000000004">
      <c r="A839" s="116" t="str">
        <f t="shared" si="1005"/>
        <v>Divestiture of business segment</v>
      </c>
      <c r="B839" s="37"/>
      <c r="C839" s="117">
        <f t="shared" si="1006"/>
        <v>0</v>
      </c>
      <c r="D839" s="117">
        <f t="shared" si="1007"/>
        <v>0</v>
      </c>
      <c r="E839" s="117">
        <f t="shared" si="1007"/>
        <v>0</v>
      </c>
      <c r="F839" s="117">
        <f t="shared" si="1007"/>
        <v>0</v>
      </c>
      <c r="G839" s="117">
        <f t="shared" si="1008"/>
        <v>0</v>
      </c>
      <c r="H839" s="117">
        <f t="shared" si="1009"/>
        <v>0</v>
      </c>
      <c r="I839" s="117">
        <f t="shared" si="1009"/>
        <v>0</v>
      </c>
      <c r="J839" s="117">
        <f t="shared" si="1009"/>
        <v>0</v>
      </c>
      <c r="K839" s="117">
        <f t="shared" si="1010"/>
        <v>0</v>
      </c>
      <c r="L839" s="117">
        <f t="shared" si="1011"/>
        <v>0</v>
      </c>
      <c r="M839" s="117">
        <f t="shared" si="1011"/>
        <v>0</v>
      </c>
      <c r="N839" s="117">
        <f t="shared" si="1011"/>
        <v>0</v>
      </c>
      <c r="O839" s="117">
        <f t="shared" si="1012"/>
        <v>0</v>
      </c>
      <c r="P839" s="117">
        <f t="shared" si="1013"/>
        <v>0</v>
      </c>
      <c r="Q839" s="117">
        <f t="shared" si="1013"/>
        <v>0</v>
      </c>
      <c r="R839" s="117">
        <f t="shared" si="1013"/>
        <v>0</v>
      </c>
      <c r="S839" s="117">
        <f t="shared" si="1014"/>
        <v>0</v>
      </c>
      <c r="T839" s="117">
        <f t="shared" si="1015"/>
        <v>0</v>
      </c>
      <c r="U839" s="117">
        <f t="shared" si="1015"/>
        <v>0</v>
      </c>
      <c r="V839" s="117">
        <f t="shared" si="1015"/>
        <v>0</v>
      </c>
      <c r="W839" s="117">
        <f t="shared" si="1016"/>
        <v>0</v>
      </c>
      <c r="X839" s="117">
        <f t="shared" si="1017"/>
        <v>0</v>
      </c>
      <c r="Y839" s="117">
        <f t="shared" si="1017"/>
        <v>0</v>
      </c>
      <c r="Z839" s="117">
        <f t="shared" si="1017"/>
        <v>0</v>
      </c>
      <c r="AA839" s="117">
        <f t="shared" si="1018"/>
        <v>0</v>
      </c>
      <c r="AB839" s="117">
        <f t="shared" si="1019"/>
        <v>0</v>
      </c>
      <c r="AC839" s="117">
        <f t="shared" si="1019"/>
        <v>0</v>
      </c>
      <c r="AD839" s="117">
        <f t="shared" si="1019"/>
        <v>0</v>
      </c>
      <c r="AE839" s="117">
        <f t="shared" si="1020"/>
        <v>0</v>
      </c>
      <c r="AF839" s="117">
        <f t="shared" si="1021"/>
        <v>0</v>
      </c>
      <c r="AG839" s="117">
        <f t="shared" si="1021"/>
        <v>0</v>
      </c>
      <c r="AH839" s="117">
        <f t="shared" si="1021"/>
        <v>0</v>
      </c>
      <c r="AI839" s="117">
        <f t="shared" si="1022"/>
        <v>0</v>
      </c>
      <c r="AJ839" s="117">
        <f t="shared" si="1023"/>
        <v>0</v>
      </c>
      <c r="AK839" s="117">
        <f t="shared" si="1023"/>
        <v>0</v>
      </c>
      <c r="AL839" s="117">
        <f t="shared" si="1023"/>
        <v>0</v>
      </c>
      <c r="AM839" s="117">
        <f t="shared" si="1024"/>
        <v>0</v>
      </c>
      <c r="AN839" s="117">
        <f t="shared" si="1025"/>
        <v>0</v>
      </c>
      <c r="AO839" s="117">
        <f t="shared" si="1025"/>
        <v>0</v>
      </c>
      <c r="AP839" s="117">
        <f t="shared" si="1025"/>
        <v>0</v>
      </c>
      <c r="AQ839" s="117">
        <f t="shared" si="1026"/>
        <v>0</v>
      </c>
      <c r="AR839" s="117">
        <f t="shared" si="1027"/>
        <v>0</v>
      </c>
      <c r="AS839" s="117">
        <f t="shared" si="1027"/>
        <v>0</v>
      </c>
      <c r="AT839" s="117">
        <f t="shared" si="1027"/>
        <v>0</v>
      </c>
      <c r="AU839" s="117">
        <f t="shared" si="1028"/>
        <v>0</v>
      </c>
      <c r="AV839" s="117">
        <f t="shared" si="1029"/>
        <v>0</v>
      </c>
      <c r="AW839" s="117">
        <f t="shared" si="1029"/>
        <v>0</v>
      </c>
      <c r="AX839" s="117">
        <f t="shared" si="1029"/>
        <v>0</v>
      </c>
      <c r="AY839" s="273">
        <f t="shared" si="1030"/>
        <v>0</v>
      </c>
      <c r="AZ839" s="37">
        <f t="shared" ref="AZ839:BF839" si="1044">AZ669</f>
        <v>0</v>
      </c>
      <c r="BA839" s="37">
        <f t="shared" si="1044"/>
        <v>0</v>
      </c>
      <c r="BB839" s="37">
        <f t="shared" si="1044"/>
        <v>0</v>
      </c>
      <c r="BC839" s="37">
        <f t="shared" si="1044"/>
        <v>0</v>
      </c>
      <c r="BD839" s="37">
        <f t="shared" si="1044"/>
        <v>0</v>
      </c>
      <c r="BE839" s="37">
        <f t="shared" si="1044"/>
        <v>0</v>
      </c>
      <c r="BF839" s="37">
        <f t="shared" si="1044"/>
        <v>0</v>
      </c>
      <c r="BG839" s="37"/>
      <c r="BH839" s="876">
        <f t="shared" ref="BH839:BW839" si="1045">BH770</f>
        <v>0</v>
      </c>
      <c r="BI839" s="876">
        <f t="shared" si="1045"/>
        <v>0</v>
      </c>
      <c r="BJ839" s="876">
        <f t="shared" si="1045"/>
        <v>0</v>
      </c>
      <c r="BK839" s="876">
        <f t="shared" si="1045"/>
        <v>0</v>
      </c>
      <c r="BL839" s="876">
        <f t="shared" si="1045"/>
        <v>0</v>
      </c>
      <c r="BM839" s="876">
        <f t="shared" si="1045"/>
        <v>0</v>
      </c>
      <c r="BN839" s="876">
        <f t="shared" si="1045"/>
        <v>0</v>
      </c>
      <c r="BO839" s="876">
        <f t="shared" si="1045"/>
        <v>0</v>
      </c>
      <c r="BP839" s="876">
        <f t="shared" si="1045"/>
        <v>0</v>
      </c>
      <c r="BQ839" s="876">
        <f t="shared" si="1045"/>
        <v>0</v>
      </c>
      <c r="BR839" s="876">
        <f t="shared" si="1045"/>
        <v>0</v>
      </c>
      <c r="BS839" s="876">
        <f t="shared" si="1045"/>
        <v>0</v>
      </c>
      <c r="BT839" s="876">
        <f t="shared" si="1045"/>
        <v>0</v>
      </c>
      <c r="BU839" s="876">
        <f t="shared" si="1045"/>
        <v>0</v>
      </c>
      <c r="BV839" s="876">
        <f t="shared" si="1045"/>
        <v>0</v>
      </c>
      <c r="BW839" s="915">
        <f t="shared" si="1045"/>
        <v>0</v>
      </c>
      <c r="BX839" s="158">
        <f t="shared" si="1033"/>
        <v>0</v>
      </c>
      <c r="BY839" s="158">
        <f t="shared" si="1034"/>
        <v>0</v>
      </c>
      <c r="BZ839" s="158">
        <f>BZ669</f>
        <v>0</v>
      </c>
      <c r="CA839" s="158">
        <f>CA669</f>
        <v>0</v>
      </c>
      <c r="CB839" s="158">
        <f>CB669</f>
        <v>0</v>
      </c>
      <c r="CC839" s="117"/>
    </row>
    <row r="840" spans="1:81" x14ac:dyDescent="0.55000000000000004">
      <c r="A840" s="18" t="str">
        <f t="shared" si="1005"/>
        <v>Other investing activities, net</v>
      </c>
      <c r="B840" s="82"/>
      <c r="C840" s="14">
        <f t="shared" si="1006"/>
        <v>6</v>
      </c>
      <c r="D840" s="14">
        <f t="shared" si="1007"/>
        <v>-3</v>
      </c>
      <c r="E840" s="14">
        <f t="shared" si="1007"/>
        <v>-4</v>
      </c>
      <c r="F840" s="14">
        <f t="shared" si="1007"/>
        <v>0</v>
      </c>
      <c r="G840" s="14">
        <f t="shared" si="1008"/>
        <v>-1</v>
      </c>
      <c r="H840" s="14">
        <f t="shared" si="1009"/>
        <v>0</v>
      </c>
      <c r="I840" s="14">
        <f t="shared" si="1009"/>
        <v>-1</v>
      </c>
      <c r="J840" s="14">
        <f t="shared" si="1009"/>
        <v>0</v>
      </c>
      <c r="K840" s="14">
        <f t="shared" si="1010"/>
        <v>0</v>
      </c>
      <c r="L840" s="14">
        <f t="shared" si="1011"/>
        <v>0</v>
      </c>
      <c r="M840" s="14">
        <f t="shared" si="1011"/>
        <v>0</v>
      </c>
      <c r="N840" s="14">
        <f t="shared" si="1011"/>
        <v>0</v>
      </c>
      <c r="O840" s="14">
        <f t="shared" si="1012"/>
        <v>0</v>
      </c>
      <c r="P840" s="14">
        <f t="shared" si="1013"/>
        <v>0</v>
      </c>
      <c r="Q840" s="14">
        <f t="shared" si="1013"/>
        <v>0</v>
      </c>
      <c r="R840" s="14">
        <f t="shared" si="1013"/>
        <v>0</v>
      </c>
      <c r="S840" s="14">
        <f t="shared" si="1014"/>
        <v>0</v>
      </c>
      <c r="T840" s="14">
        <f t="shared" si="1015"/>
        <v>0</v>
      </c>
      <c r="U840" s="14">
        <f t="shared" si="1015"/>
        <v>0</v>
      </c>
      <c r="V840" s="14">
        <f t="shared" si="1015"/>
        <v>0</v>
      </c>
      <c r="W840" s="14">
        <f t="shared" si="1016"/>
        <v>-1</v>
      </c>
      <c r="X840" s="14">
        <f t="shared" si="1017"/>
        <v>0</v>
      </c>
      <c r="Y840" s="14">
        <f t="shared" si="1017"/>
        <v>-3</v>
      </c>
      <c r="Z840" s="14">
        <f t="shared" si="1017"/>
        <v>-21</v>
      </c>
      <c r="AA840" s="14">
        <f t="shared" si="1018"/>
        <v>-50</v>
      </c>
      <c r="AB840" s="14">
        <f t="shared" si="1019"/>
        <v>-64</v>
      </c>
      <c r="AC840" s="14">
        <f t="shared" si="1019"/>
        <v>-10</v>
      </c>
      <c r="AD840" s="14">
        <f t="shared" si="1019"/>
        <v>63</v>
      </c>
      <c r="AE840" s="14">
        <f t="shared" si="1020"/>
        <v>-42</v>
      </c>
      <c r="AF840" s="14">
        <f t="shared" si="1021"/>
        <v>-246</v>
      </c>
      <c r="AG840" s="14">
        <f t="shared" si="1021"/>
        <v>279</v>
      </c>
      <c r="AH840" s="14">
        <f t="shared" si="1021"/>
        <v>-27</v>
      </c>
      <c r="AI840" s="14">
        <f t="shared" si="1022"/>
        <v>-2</v>
      </c>
      <c r="AJ840" s="14">
        <f t="shared" si="1023"/>
        <v>-60</v>
      </c>
      <c r="AK840" s="14">
        <f t="shared" si="1023"/>
        <v>-98</v>
      </c>
      <c r="AL840" s="14">
        <f t="shared" si="1023"/>
        <v>-124</v>
      </c>
      <c r="AM840" s="14">
        <f t="shared" si="1024"/>
        <v>-10</v>
      </c>
      <c r="AN840" s="14">
        <f t="shared" si="1025"/>
        <v>-7</v>
      </c>
      <c r="AO840" s="14">
        <f t="shared" si="1025"/>
        <v>16</v>
      </c>
      <c r="AP840" s="14">
        <f t="shared" si="1025"/>
        <v>2</v>
      </c>
      <c r="AQ840" s="14">
        <f t="shared" si="1026"/>
        <v>75</v>
      </c>
      <c r="AR840" s="14">
        <f t="shared" si="1027"/>
        <v>-85</v>
      </c>
      <c r="AS840" s="14">
        <f t="shared" si="1027"/>
        <v>-10</v>
      </c>
      <c r="AT840" s="14">
        <f t="shared" si="1027"/>
        <v>-3</v>
      </c>
      <c r="AU840" s="14">
        <f t="shared" si="1028"/>
        <v>0</v>
      </c>
      <c r="AV840" s="14">
        <f t="shared" si="1029"/>
        <v>-12</v>
      </c>
      <c r="AW840" s="14">
        <f t="shared" si="1029"/>
        <v>124</v>
      </c>
      <c r="AX840" s="14">
        <f t="shared" si="1029"/>
        <v>17</v>
      </c>
      <c r="AY840" s="406">
        <f t="shared" si="1030"/>
        <v>0</v>
      </c>
      <c r="AZ840" s="82"/>
      <c r="BA840" s="82"/>
      <c r="BB840" s="82"/>
      <c r="BC840" s="82"/>
      <c r="BD840" s="82"/>
      <c r="BE840" s="82"/>
      <c r="BF840" s="82"/>
      <c r="BG840" s="82"/>
      <c r="BH840" s="877">
        <f t="shared" ref="BH840:BW840" si="1046">BH771</f>
        <v>0</v>
      </c>
      <c r="BI840" s="877">
        <f t="shared" si="1046"/>
        <v>0</v>
      </c>
      <c r="BJ840" s="877">
        <f t="shared" si="1046"/>
        <v>0</v>
      </c>
      <c r="BK840" s="877">
        <f t="shared" si="1046"/>
        <v>0</v>
      </c>
      <c r="BL840" s="877">
        <f t="shared" si="1046"/>
        <v>-1</v>
      </c>
      <c r="BM840" s="877">
        <f t="shared" si="1046"/>
        <v>-2</v>
      </c>
      <c r="BN840" s="877">
        <f t="shared" si="1046"/>
        <v>0</v>
      </c>
      <c r="BO840" s="877">
        <f t="shared" si="1046"/>
        <v>0</v>
      </c>
      <c r="BP840" s="877">
        <f t="shared" si="1046"/>
        <v>0</v>
      </c>
      <c r="BQ840" s="877">
        <f t="shared" si="1046"/>
        <v>-25</v>
      </c>
      <c r="BR840" s="877">
        <f t="shared" si="1046"/>
        <v>-61</v>
      </c>
      <c r="BS840" s="877">
        <f t="shared" si="1046"/>
        <v>-36</v>
      </c>
      <c r="BT840" s="877">
        <f t="shared" si="1046"/>
        <v>-284</v>
      </c>
      <c r="BU840" s="877">
        <f t="shared" si="1046"/>
        <v>1</v>
      </c>
      <c r="BV840" s="877">
        <f t="shared" si="1046"/>
        <v>-23</v>
      </c>
      <c r="BW840" s="913">
        <f t="shared" si="1046"/>
        <v>129</v>
      </c>
      <c r="BX840" s="854">
        <f t="shared" si="1033"/>
        <v>0</v>
      </c>
      <c r="BY840" s="854">
        <f t="shared" si="1034"/>
        <v>0</v>
      </c>
      <c r="BZ840" s="854"/>
      <c r="CA840" s="854"/>
      <c r="CB840" s="854"/>
      <c r="CC840" s="117"/>
    </row>
    <row r="841" spans="1:81" x14ac:dyDescent="0.55000000000000004">
      <c r="A841" s="20" t="str">
        <f t="shared" si="1005"/>
        <v>Net CFI</v>
      </c>
      <c r="B841" s="195"/>
      <c r="C841" s="5">
        <f t="shared" ref="C841:AH841" si="1047">SUM(C830:C840)</f>
        <v>-326</v>
      </c>
      <c r="D841" s="5">
        <f t="shared" si="1047"/>
        <v>-498</v>
      </c>
      <c r="E841" s="5">
        <f t="shared" si="1047"/>
        <v>734</v>
      </c>
      <c r="F841" s="5">
        <f t="shared" si="1047"/>
        <v>-2534</v>
      </c>
      <c r="G841" s="5">
        <f t="shared" si="1047"/>
        <v>-1872</v>
      </c>
      <c r="H841" s="5">
        <f t="shared" si="1047"/>
        <v>-422</v>
      </c>
      <c r="I841" s="5">
        <f t="shared" si="1047"/>
        <v>2997</v>
      </c>
      <c r="J841" s="5">
        <f t="shared" si="1047"/>
        <v>-6616</v>
      </c>
      <c r="K841" s="5">
        <f t="shared" si="1047"/>
        <v>-2844</v>
      </c>
      <c r="L841" s="5">
        <f t="shared" si="1047"/>
        <v>-564</v>
      </c>
      <c r="M841" s="5">
        <f t="shared" si="1047"/>
        <v>-3300</v>
      </c>
      <c r="N841" s="5">
        <f t="shared" si="1047"/>
        <v>-2726</v>
      </c>
      <c r="O841" s="5">
        <f t="shared" si="1047"/>
        <v>-1676</v>
      </c>
      <c r="P841" s="5">
        <f t="shared" si="1047"/>
        <v>-4971</v>
      </c>
      <c r="Q841" s="5">
        <f t="shared" si="1047"/>
        <v>-3117</v>
      </c>
      <c r="R841" s="5">
        <f t="shared" si="1047"/>
        <v>-1975</v>
      </c>
      <c r="S841" s="5">
        <f t="shared" si="1047"/>
        <v>-5891</v>
      </c>
      <c r="T841" s="5">
        <f t="shared" si="1047"/>
        <v>-5440</v>
      </c>
      <c r="U841" s="5">
        <f t="shared" si="1047"/>
        <v>-3714</v>
      </c>
      <c r="V841" s="5">
        <f t="shared" si="1047"/>
        <v>-4993</v>
      </c>
      <c r="W841" s="5">
        <f t="shared" si="1047"/>
        <v>-1287</v>
      </c>
      <c r="X841" s="5">
        <f t="shared" si="1047"/>
        <v>-2384</v>
      </c>
      <c r="Y841" s="5">
        <f t="shared" si="1047"/>
        <v>-4247</v>
      </c>
      <c r="Z841" s="5">
        <f t="shared" si="1047"/>
        <v>-3685</v>
      </c>
      <c r="AA841" s="5">
        <f t="shared" si="1047"/>
        <v>-6768</v>
      </c>
      <c r="AB841" s="5">
        <f t="shared" si="1047"/>
        <v>-4010</v>
      </c>
      <c r="AC841" s="5">
        <f t="shared" si="1047"/>
        <v>-5050</v>
      </c>
      <c r="AD841" s="5">
        <f t="shared" si="1047"/>
        <v>-4036</v>
      </c>
      <c r="AE841" s="5">
        <f t="shared" si="1047"/>
        <v>-4109</v>
      </c>
      <c r="AF841" s="5">
        <f t="shared" si="1047"/>
        <v>-4178</v>
      </c>
      <c r="AG841" s="5">
        <f t="shared" si="1047"/>
        <v>-16599</v>
      </c>
      <c r="AH841" s="5">
        <f t="shared" si="1047"/>
        <v>-5173</v>
      </c>
      <c r="AI841" s="5">
        <f t="shared" ref="AI841:BF841" si="1048">SUM(AI830:AI840)</f>
        <v>-4874</v>
      </c>
      <c r="AJ841" s="5">
        <f t="shared" si="1048"/>
        <v>-8195</v>
      </c>
      <c r="AK841" s="5">
        <f t="shared" si="1048"/>
        <v>-330</v>
      </c>
      <c r="AL841" s="5">
        <f t="shared" si="1048"/>
        <v>5829</v>
      </c>
      <c r="AM841" s="5">
        <f t="shared" si="1048"/>
        <v>-4779</v>
      </c>
      <c r="AN841" s="5">
        <f t="shared" si="1048"/>
        <v>-6959</v>
      </c>
      <c r="AO841" s="5">
        <f t="shared" si="1048"/>
        <v>-9701</v>
      </c>
      <c r="AP841" s="5">
        <f t="shared" si="1048"/>
        <v>-7531</v>
      </c>
      <c r="AQ841" s="5">
        <f t="shared" si="1048"/>
        <v>-6743</v>
      </c>
      <c r="AR841" s="5">
        <f t="shared" si="1048"/>
        <v>-5203</v>
      </c>
      <c r="AS841" s="5">
        <f t="shared" si="1048"/>
        <v>-6077</v>
      </c>
      <c r="AT841" s="5">
        <f t="shared" si="1048"/>
        <v>-6472</v>
      </c>
      <c r="AU841" s="5">
        <f t="shared" si="1048"/>
        <v>-8734</v>
      </c>
      <c r="AV841" s="5">
        <f t="shared" si="1048"/>
        <v>-8298</v>
      </c>
      <c r="AW841" s="5">
        <f t="shared" si="1048"/>
        <v>-8620</v>
      </c>
      <c r="AX841" s="5">
        <f t="shared" si="1048"/>
        <v>-21498</v>
      </c>
      <c r="AY841" s="409">
        <f t="shared" si="1048"/>
        <v>-20010</v>
      </c>
      <c r="AZ841" s="33">
        <f t="shared" si="1048"/>
        <v>-15625</v>
      </c>
      <c r="BA841" s="33">
        <f t="shared" si="1048"/>
        <v>-15625</v>
      </c>
      <c r="BB841" s="33">
        <f t="shared" si="1048"/>
        <v>-15625</v>
      </c>
      <c r="BC841" s="33">
        <f t="shared" si="1048"/>
        <v>-10100</v>
      </c>
      <c r="BD841" s="33">
        <f t="shared" si="1048"/>
        <v>-10100</v>
      </c>
      <c r="BE841" s="33">
        <f t="shared" si="1048"/>
        <v>-10100</v>
      </c>
      <c r="BF841" s="33">
        <f t="shared" si="1048"/>
        <v>-10100</v>
      </c>
      <c r="BG841" s="33"/>
      <c r="BH841" s="834">
        <f t="shared" ref="BH841:CB841" si="1049">SUM(BH830:BH840)</f>
        <v>-62</v>
      </c>
      <c r="BI841" s="834">
        <f t="shared" si="1049"/>
        <v>-324</v>
      </c>
      <c r="BJ841" s="834">
        <f t="shared" si="1049"/>
        <v>-3023</v>
      </c>
      <c r="BK841" s="834">
        <f t="shared" si="1049"/>
        <v>-7024</v>
      </c>
      <c r="BL841" s="834">
        <f t="shared" si="1049"/>
        <v>-2624</v>
      </c>
      <c r="BM841" s="834">
        <f t="shared" si="1049"/>
        <v>-5913</v>
      </c>
      <c r="BN841" s="834">
        <f t="shared" si="1049"/>
        <v>-9434</v>
      </c>
      <c r="BO841" s="834">
        <f t="shared" si="1049"/>
        <v>-11739</v>
      </c>
      <c r="BP841" s="834">
        <f t="shared" si="1049"/>
        <v>-20038</v>
      </c>
      <c r="BQ841" s="834">
        <f t="shared" si="1049"/>
        <v>-11603</v>
      </c>
      <c r="BR841" s="834">
        <f t="shared" si="1049"/>
        <v>-19864</v>
      </c>
      <c r="BS841" s="834">
        <f t="shared" si="1049"/>
        <v>-30059</v>
      </c>
      <c r="BT841" s="834">
        <f t="shared" si="1049"/>
        <v>-7570</v>
      </c>
      <c r="BU841" s="834">
        <f t="shared" si="1049"/>
        <v>-28970</v>
      </c>
      <c r="BV841" s="834">
        <f t="shared" si="1049"/>
        <v>-24495</v>
      </c>
      <c r="BW841" s="914">
        <f t="shared" si="1049"/>
        <v>-47150</v>
      </c>
      <c r="BX841" s="833">
        <f t="shared" si="1049"/>
        <v>-66885</v>
      </c>
      <c r="BY841" s="833">
        <f t="shared" si="1049"/>
        <v>-40400</v>
      </c>
      <c r="BZ841" s="833">
        <f t="shared" si="1049"/>
        <v>-40400</v>
      </c>
      <c r="CA841" s="833">
        <f t="shared" si="1049"/>
        <v>-40400</v>
      </c>
      <c r="CB841" s="833">
        <f t="shared" si="1049"/>
        <v>-40400</v>
      </c>
      <c r="CC841" s="6"/>
    </row>
    <row r="842" spans="1:81" x14ac:dyDescent="0.55000000000000004">
      <c r="A842" s="192"/>
      <c r="B842" s="193"/>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c r="AU842" s="35"/>
      <c r="AV842" s="35"/>
      <c r="AW842" s="35"/>
      <c r="AX842" s="35"/>
      <c r="AY842" s="272"/>
      <c r="AZ842" s="35"/>
      <c r="BA842" s="35"/>
      <c r="BB842" s="35"/>
      <c r="BC842" s="35"/>
      <c r="BD842" s="35"/>
      <c r="BE842" s="35"/>
      <c r="BF842" s="35"/>
      <c r="BG842" s="35"/>
      <c r="BH842" s="812"/>
      <c r="BI842" s="812"/>
      <c r="BJ842" s="812"/>
      <c r="BK842" s="812"/>
      <c r="BL842" s="812"/>
      <c r="BM842" s="812"/>
      <c r="BN842" s="812"/>
      <c r="BO842" s="812"/>
      <c r="BP842" s="812"/>
      <c r="BQ842" s="812"/>
      <c r="BR842" s="812"/>
      <c r="BS842" s="812"/>
      <c r="BT842" s="812"/>
      <c r="BU842" s="812"/>
      <c r="BV842" s="812"/>
      <c r="BW842" s="814"/>
      <c r="BX842" s="812"/>
      <c r="BY842" s="812"/>
      <c r="BZ842" s="812"/>
      <c r="CA842" s="812"/>
      <c r="CB842" s="812"/>
      <c r="CC842" s="6"/>
    </row>
    <row r="843" spans="1:81" x14ac:dyDescent="0.55000000000000004">
      <c r="A843" s="19" t="str">
        <f t="shared" ref="A843:A857" si="1050">A774</f>
        <v>CFF</v>
      </c>
      <c r="B843" s="193"/>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s="272"/>
      <c r="AZ843" s="35"/>
      <c r="BA843" s="35"/>
      <c r="BB843" s="35"/>
      <c r="BC843" s="35"/>
      <c r="BD843" s="35"/>
      <c r="BE843" s="35"/>
      <c r="BF843" s="35"/>
      <c r="BG843" s="35"/>
      <c r="BH843" s="812"/>
      <c r="BI843" s="812"/>
      <c r="BJ843" s="812"/>
      <c r="BK843" s="812"/>
      <c r="BL843" s="812"/>
      <c r="BM843" s="812"/>
      <c r="BN843" s="812"/>
      <c r="BO843" s="812"/>
      <c r="BP843" s="812"/>
      <c r="BQ843" s="812"/>
      <c r="BR843" s="812"/>
      <c r="BS843" s="812"/>
      <c r="BT843" s="812"/>
      <c r="BU843" s="812"/>
      <c r="BV843" s="812"/>
      <c r="BW843" s="814"/>
      <c r="BX843" s="812"/>
      <c r="BY843" s="812"/>
      <c r="BZ843" s="812"/>
      <c r="CA843" s="812"/>
      <c r="CB843" s="812"/>
      <c r="CC843" s="6"/>
    </row>
    <row r="844" spans="1:81" x14ac:dyDescent="0.55000000000000004">
      <c r="A844" s="116" t="str">
        <f t="shared" si="1050"/>
        <v>Net proceeds from issuance of common stock</v>
      </c>
      <c r="B844" s="37"/>
      <c r="C844" s="117">
        <f t="shared" ref="C844:C856" si="1051">C775</f>
        <v>0</v>
      </c>
      <c r="D844" s="117">
        <f t="shared" ref="D844:F856" si="1052">D775-C775</f>
        <v>0</v>
      </c>
      <c r="E844" s="117">
        <f t="shared" si="1052"/>
        <v>0</v>
      </c>
      <c r="F844" s="117">
        <f t="shared" si="1052"/>
        <v>1478</v>
      </c>
      <c r="G844" s="117">
        <f t="shared" ref="G844:G856" si="1053">G775</f>
        <v>0</v>
      </c>
      <c r="H844" s="117">
        <f t="shared" ref="H844:J856" si="1054">H775-G775</f>
        <v>0</v>
      </c>
      <c r="I844" s="117">
        <f t="shared" si="1054"/>
        <v>0</v>
      </c>
      <c r="J844" s="117">
        <f t="shared" si="1054"/>
        <v>0</v>
      </c>
      <c r="K844" s="117">
        <f t="shared" ref="K844:K856" si="1055">K775</f>
        <v>0</v>
      </c>
      <c r="L844" s="117">
        <f t="shared" ref="L844:N856" si="1056">L775-K775</f>
        <v>0</v>
      </c>
      <c r="M844" s="117">
        <f t="shared" si="1056"/>
        <v>0</v>
      </c>
      <c r="N844" s="117">
        <f t="shared" si="1056"/>
        <v>0</v>
      </c>
      <c r="O844" s="117">
        <f t="shared" ref="O844:O856" si="1057">O775</f>
        <v>0</v>
      </c>
      <c r="P844" s="117">
        <f t="shared" ref="P844:R856" si="1058">P775-O775</f>
        <v>0</v>
      </c>
      <c r="Q844" s="117">
        <f t="shared" si="1058"/>
        <v>0</v>
      </c>
      <c r="R844" s="117">
        <f t="shared" si="1058"/>
        <v>0</v>
      </c>
      <c r="S844" s="117">
        <f t="shared" ref="S844:S856" si="1059">S775</f>
        <v>0</v>
      </c>
      <c r="T844" s="117">
        <f t="shared" ref="T844:V856" si="1060">T775-S775</f>
        <v>0</v>
      </c>
      <c r="U844" s="117">
        <f t="shared" si="1060"/>
        <v>0</v>
      </c>
      <c r="V844" s="117">
        <f t="shared" si="1060"/>
        <v>0</v>
      </c>
      <c r="W844" s="117">
        <f t="shared" ref="W844:W856" si="1061">W775</f>
        <v>0</v>
      </c>
      <c r="X844" s="117">
        <f t="shared" ref="X844:Z856" si="1062">X775-W775</f>
        <v>0</v>
      </c>
      <c r="Y844" s="117">
        <f t="shared" si="1062"/>
        <v>0</v>
      </c>
      <c r="Z844" s="117">
        <f t="shared" si="1062"/>
        <v>0</v>
      </c>
      <c r="AA844" s="117">
        <f t="shared" ref="AA844:AA856" si="1063">AA775</f>
        <v>0</v>
      </c>
      <c r="AB844" s="117">
        <f t="shared" ref="AB844:AD856" si="1064">AB775-AA775</f>
        <v>0</v>
      </c>
      <c r="AC844" s="117">
        <f t="shared" si="1064"/>
        <v>0</v>
      </c>
      <c r="AD844" s="117">
        <f t="shared" si="1064"/>
        <v>0</v>
      </c>
      <c r="AE844" s="117">
        <f t="shared" ref="AE844:AE856" si="1065">AE775</f>
        <v>0</v>
      </c>
      <c r="AF844" s="117">
        <f t="shared" ref="AF844:AH856" si="1066">AF775-AE775</f>
        <v>0</v>
      </c>
      <c r="AG844" s="117">
        <f t="shared" si="1066"/>
        <v>0</v>
      </c>
      <c r="AH844" s="117">
        <f t="shared" si="1066"/>
        <v>0</v>
      </c>
      <c r="AI844" s="117">
        <f t="shared" ref="AI844:AI856" si="1067">AI775</f>
        <v>0</v>
      </c>
      <c r="AJ844" s="117">
        <f t="shared" ref="AJ844:AL856" si="1068">AJ775-AI775</f>
        <v>0</v>
      </c>
      <c r="AK844" s="117">
        <f t="shared" si="1068"/>
        <v>0</v>
      </c>
      <c r="AL844" s="117">
        <f t="shared" si="1068"/>
        <v>0</v>
      </c>
      <c r="AM844" s="117">
        <f t="shared" ref="AM844:AM856" si="1069">AM775</f>
        <v>0</v>
      </c>
      <c r="AN844" s="117">
        <f t="shared" ref="AN844:AP856" si="1070">AN775-AM775</f>
        <v>0</v>
      </c>
      <c r="AO844" s="117">
        <f t="shared" si="1070"/>
        <v>0</v>
      </c>
      <c r="AP844" s="117">
        <f t="shared" si="1070"/>
        <v>0</v>
      </c>
      <c r="AQ844" s="117">
        <f t="shared" ref="AQ844:AQ856" si="1071">AQ775</f>
        <v>0</v>
      </c>
      <c r="AR844" s="117">
        <f t="shared" ref="AR844:AT856" si="1072">AR775-AQ775</f>
        <v>0</v>
      </c>
      <c r="AS844" s="117">
        <f t="shared" si="1072"/>
        <v>0</v>
      </c>
      <c r="AT844" s="117">
        <f t="shared" si="1072"/>
        <v>0</v>
      </c>
      <c r="AU844" s="117">
        <f t="shared" ref="AU844:AU856" si="1073">AU775</f>
        <v>0</v>
      </c>
      <c r="AV844" s="117">
        <f t="shared" ref="AV844:AX856" si="1074">AV775-AU775</f>
        <v>0</v>
      </c>
      <c r="AW844" s="117">
        <f t="shared" si="1074"/>
        <v>0</v>
      </c>
      <c r="AX844" s="117">
        <f t="shared" si="1074"/>
        <v>0</v>
      </c>
      <c r="AY844" s="273">
        <f t="shared" ref="AY844:AY856" si="1075">AY775</f>
        <v>0</v>
      </c>
      <c r="AZ844" s="37"/>
      <c r="BA844" s="37"/>
      <c r="BB844" s="37"/>
      <c r="BC844" s="37"/>
      <c r="BD844" s="37"/>
      <c r="BE844" s="37"/>
      <c r="BF844" s="37"/>
      <c r="BG844" s="37"/>
      <c r="BH844" s="876">
        <f t="shared" ref="BH844:BW844" si="1076">BH775</f>
        <v>0</v>
      </c>
      <c r="BI844" s="876">
        <f t="shared" si="1076"/>
        <v>500</v>
      </c>
      <c r="BJ844" s="876">
        <f t="shared" si="1076"/>
        <v>998</v>
      </c>
      <c r="BK844" s="876">
        <f t="shared" si="1076"/>
        <v>6760</v>
      </c>
      <c r="BL844" s="876">
        <f t="shared" si="1076"/>
        <v>1478</v>
      </c>
      <c r="BM844" s="876">
        <f t="shared" si="1076"/>
        <v>0</v>
      </c>
      <c r="BN844" s="876">
        <f t="shared" si="1076"/>
        <v>0</v>
      </c>
      <c r="BO844" s="876">
        <f t="shared" si="1076"/>
        <v>0</v>
      </c>
      <c r="BP844" s="876">
        <f t="shared" si="1076"/>
        <v>0</v>
      </c>
      <c r="BQ844" s="876">
        <f t="shared" si="1076"/>
        <v>0</v>
      </c>
      <c r="BR844" s="876">
        <f t="shared" si="1076"/>
        <v>0</v>
      </c>
      <c r="BS844" s="876">
        <f t="shared" si="1076"/>
        <v>0</v>
      </c>
      <c r="BT844" s="876">
        <f t="shared" si="1076"/>
        <v>0</v>
      </c>
      <c r="BU844" s="876">
        <f t="shared" si="1076"/>
        <v>0</v>
      </c>
      <c r="BV844" s="876">
        <f t="shared" si="1076"/>
        <v>0</v>
      </c>
      <c r="BW844" s="915">
        <f t="shared" si="1076"/>
        <v>0</v>
      </c>
      <c r="BX844" s="158">
        <f t="shared" ref="BX844:BX856" si="1077">SUM(AY844,AZ844,BA844,BB844)</f>
        <v>0</v>
      </c>
      <c r="BY844" s="158">
        <f t="shared" ref="BY844:BY856" si="1078">SUM(BC844,BD844,BE844,BF844)</f>
        <v>0</v>
      </c>
      <c r="BZ844" s="158"/>
      <c r="CA844" s="158"/>
      <c r="CB844" s="158"/>
      <c r="CC844" s="117"/>
    </row>
    <row r="845" spans="1:81" x14ac:dyDescent="0.55000000000000004">
      <c r="A845" s="116" t="str">
        <f t="shared" si="1050"/>
        <v>Net proceeds from issuance of convertible preferred stock</v>
      </c>
      <c r="B845" s="37"/>
      <c r="C845" s="117">
        <f t="shared" si="1051"/>
        <v>0</v>
      </c>
      <c r="D845" s="117">
        <f t="shared" si="1052"/>
        <v>0</v>
      </c>
      <c r="E845" s="117">
        <f t="shared" si="1052"/>
        <v>0</v>
      </c>
      <c r="F845" s="117">
        <f t="shared" si="1052"/>
        <v>0</v>
      </c>
      <c r="G845" s="117">
        <f t="shared" si="1053"/>
        <v>0</v>
      </c>
      <c r="H845" s="117">
        <f t="shared" si="1054"/>
        <v>0</v>
      </c>
      <c r="I845" s="117">
        <f t="shared" si="1054"/>
        <v>0</v>
      </c>
      <c r="J845" s="117">
        <f t="shared" si="1054"/>
        <v>0</v>
      </c>
      <c r="K845" s="117">
        <f t="shared" si="1055"/>
        <v>0</v>
      </c>
      <c r="L845" s="117">
        <f t="shared" si="1056"/>
        <v>0</v>
      </c>
      <c r="M845" s="117">
        <f t="shared" si="1056"/>
        <v>0</v>
      </c>
      <c r="N845" s="117">
        <f t="shared" si="1056"/>
        <v>0</v>
      </c>
      <c r="O845" s="117">
        <f t="shared" si="1057"/>
        <v>0</v>
      </c>
      <c r="P845" s="117">
        <f t="shared" si="1058"/>
        <v>0</v>
      </c>
      <c r="Q845" s="117">
        <f t="shared" si="1058"/>
        <v>0</v>
      </c>
      <c r="R845" s="117">
        <f t="shared" si="1058"/>
        <v>0</v>
      </c>
      <c r="S845" s="117">
        <f t="shared" si="1059"/>
        <v>0</v>
      </c>
      <c r="T845" s="117">
        <f t="shared" si="1060"/>
        <v>0</v>
      </c>
      <c r="U845" s="117">
        <f t="shared" si="1060"/>
        <v>0</v>
      </c>
      <c r="V845" s="117">
        <f t="shared" si="1060"/>
        <v>0</v>
      </c>
      <c r="W845" s="117">
        <f t="shared" si="1061"/>
        <v>0</v>
      </c>
      <c r="X845" s="117">
        <f t="shared" si="1062"/>
        <v>0</v>
      </c>
      <c r="Y845" s="117">
        <f t="shared" si="1062"/>
        <v>0</v>
      </c>
      <c r="Z845" s="117">
        <f t="shared" si="1062"/>
        <v>0</v>
      </c>
      <c r="AA845" s="117">
        <f t="shared" si="1063"/>
        <v>0</v>
      </c>
      <c r="AB845" s="117">
        <f t="shared" si="1064"/>
        <v>0</v>
      </c>
      <c r="AC845" s="117">
        <f t="shared" si="1064"/>
        <v>0</v>
      </c>
      <c r="AD845" s="117">
        <f t="shared" si="1064"/>
        <v>0</v>
      </c>
      <c r="AE845" s="117">
        <f t="shared" si="1065"/>
        <v>0</v>
      </c>
      <c r="AF845" s="117">
        <f t="shared" si="1066"/>
        <v>0</v>
      </c>
      <c r="AG845" s="117">
        <f t="shared" si="1066"/>
        <v>0</v>
      </c>
      <c r="AH845" s="117">
        <f t="shared" si="1066"/>
        <v>0</v>
      </c>
      <c r="AI845" s="117">
        <f t="shared" si="1067"/>
        <v>0</v>
      </c>
      <c r="AJ845" s="117">
        <f t="shared" si="1068"/>
        <v>0</v>
      </c>
      <c r="AK845" s="117">
        <f t="shared" si="1068"/>
        <v>0</v>
      </c>
      <c r="AL845" s="117">
        <f t="shared" si="1068"/>
        <v>0</v>
      </c>
      <c r="AM845" s="117">
        <f t="shared" si="1069"/>
        <v>0</v>
      </c>
      <c r="AN845" s="117">
        <f t="shared" si="1070"/>
        <v>0</v>
      </c>
      <c r="AO845" s="117">
        <f t="shared" si="1070"/>
        <v>0</v>
      </c>
      <c r="AP845" s="117">
        <f t="shared" si="1070"/>
        <v>0</v>
      </c>
      <c r="AQ845" s="117">
        <f t="shared" si="1071"/>
        <v>0</v>
      </c>
      <c r="AR845" s="117">
        <f t="shared" si="1072"/>
        <v>0</v>
      </c>
      <c r="AS845" s="117">
        <f t="shared" si="1072"/>
        <v>0</v>
      </c>
      <c r="AT845" s="117">
        <f t="shared" si="1072"/>
        <v>0</v>
      </c>
      <c r="AU845" s="117">
        <f t="shared" si="1073"/>
        <v>0</v>
      </c>
      <c r="AV845" s="117">
        <f t="shared" si="1074"/>
        <v>0</v>
      </c>
      <c r="AW845" s="117">
        <f t="shared" si="1074"/>
        <v>0</v>
      </c>
      <c r="AX845" s="117">
        <f t="shared" si="1074"/>
        <v>0</v>
      </c>
      <c r="AY845" s="273">
        <f t="shared" si="1075"/>
        <v>0</v>
      </c>
      <c r="AZ845" s="37"/>
      <c r="BA845" s="37"/>
      <c r="BB845" s="37"/>
      <c r="BC845" s="37"/>
      <c r="BD845" s="37"/>
      <c r="BE845" s="37"/>
      <c r="BF845" s="37"/>
      <c r="BG845" s="37"/>
      <c r="BH845" s="876">
        <f t="shared" ref="BH845:BW845" si="1079">BH776</f>
        <v>200</v>
      </c>
      <c r="BI845" s="876">
        <f t="shared" si="1079"/>
        <v>0</v>
      </c>
      <c r="BJ845" s="876">
        <f t="shared" si="1079"/>
        <v>0</v>
      </c>
      <c r="BK845" s="876">
        <f t="shared" si="1079"/>
        <v>0</v>
      </c>
      <c r="BL845" s="876">
        <f t="shared" si="1079"/>
        <v>0</v>
      </c>
      <c r="BM845" s="876">
        <f t="shared" si="1079"/>
        <v>0</v>
      </c>
      <c r="BN845" s="876">
        <f t="shared" si="1079"/>
        <v>0</v>
      </c>
      <c r="BO845" s="876">
        <f t="shared" si="1079"/>
        <v>0</v>
      </c>
      <c r="BP845" s="876">
        <f t="shared" si="1079"/>
        <v>0</v>
      </c>
      <c r="BQ845" s="876">
        <f t="shared" si="1079"/>
        <v>0</v>
      </c>
      <c r="BR845" s="876">
        <f t="shared" si="1079"/>
        <v>0</v>
      </c>
      <c r="BS845" s="876">
        <f t="shared" si="1079"/>
        <v>0</v>
      </c>
      <c r="BT845" s="876">
        <f t="shared" si="1079"/>
        <v>0</v>
      </c>
      <c r="BU845" s="876">
        <f t="shared" si="1079"/>
        <v>0</v>
      </c>
      <c r="BV845" s="876">
        <f t="shared" si="1079"/>
        <v>0</v>
      </c>
      <c r="BW845" s="915">
        <f t="shared" si="1079"/>
        <v>0</v>
      </c>
      <c r="BX845" s="158">
        <f t="shared" si="1077"/>
        <v>0</v>
      </c>
      <c r="BY845" s="158">
        <f t="shared" si="1078"/>
        <v>0</v>
      </c>
      <c r="BZ845" s="158"/>
      <c r="CA845" s="158"/>
      <c r="CB845" s="158"/>
      <c r="CC845" s="117"/>
    </row>
    <row r="846" spans="1:81" x14ac:dyDescent="0.55000000000000004">
      <c r="A846" s="116" t="str">
        <f t="shared" si="1050"/>
        <v>Taxes paid related to net share settlement</v>
      </c>
      <c r="B846" s="37"/>
      <c r="C846" s="117">
        <f t="shared" si="1051"/>
        <v>-405</v>
      </c>
      <c r="D846" s="117">
        <f t="shared" si="1052"/>
        <v>-153</v>
      </c>
      <c r="E846" s="117">
        <f t="shared" si="1052"/>
        <v>-148</v>
      </c>
      <c r="F846" s="117">
        <f t="shared" si="1052"/>
        <v>-183</v>
      </c>
      <c r="G846" s="117">
        <f t="shared" si="1053"/>
        <v>-3</v>
      </c>
      <c r="H846" s="117">
        <f t="shared" si="1054"/>
        <v>0</v>
      </c>
      <c r="I846" s="117">
        <f t="shared" si="1054"/>
        <v>0</v>
      </c>
      <c r="J846" s="117">
        <f t="shared" si="1054"/>
        <v>-70</v>
      </c>
      <c r="K846" s="117">
        <f t="shared" si="1055"/>
        <v>0</v>
      </c>
      <c r="L846" s="117">
        <f t="shared" si="1056"/>
        <v>-12</v>
      </c>
      <c r="M846" s="117">
        <f t="shared" si="1056"/>
        <v>-8</v>
      </c>
      <c r="N846" s="117">
        <f t="shared" si="1056"/>
        <v>0</v>
      </c>
      <c r="O846" s="117">
        <f t="shared" si="1057"/>
        <v>0</v>
      </c>
      <c r="P846" s="117">
        <f t="shared" si="1058"/>
        <v>0</v>
      </c>
      <c r="Q846" s="117">
        <f t="shared" si="1058"/>
        <v>-6</v>
      </c>
      <c r="R846" s="117">
        <f t="shared" si="1058"/>
        <v>0</v>
      </c>
      <c r="S846" s="117">
        <f t="shared" si="1059"/>
        <v>-771</v>
      </c>
      <c r="T846" s="117">
        <f t="shared" si="1060"/>
        <v>-724</v>
      </c>
      <c r="U846" s="117">
        <f t="shared" si="1060"/>
        <v>-865</v>
      </c>
      <c r="V846" s="117">
        <f t="shared" si="1060"/>
        <v>-886</v>
      </c>
      <c r="W846" s="117">
        <f t="shared" si="1061"/>
        <v>-832</v>
      </c>
      <c r="X846" s="117">
        <f t="shared" si="1062"/>
        <v>-926</v>
      </c>
      <c r="Y846" s="117">
        <f t="shared" si="1062"/>
        <v>-905</v>
      </c>
      <c r="Z846" s="117">
        <f t="shared" si="1062"/>
        <v>-545</v>
      </c>
      <c r="AA846" s="117">
        <f t="shared" si="1063"/>
        <v>-512</v>
      </c>
      <c r="AB846" s="117">
        <f t="shared" si="1064"/>
        <v>-607</v>
      </c>
      <c r="AC846" s="117">
        <f t="shared" si="1064"/>
        <v>-591</v>
      </c>
      <c r="AD846" s="117">
        <f t="shared" si="1064"/>
        <v>-627</v>
      </c>
      <c r="AE846" s="117">
        <f t="shared" si="1065"/>
        <v>-690</v>
      </c>
      <c r="AF846" s="117">
        <f t="shared" si="1066"/>
        <v>-754</v>
      </c>
      <c r="AG846" s="117">
        <f t="shared" si="1066"/>
        <v>-1000</v>
      </c>
      <c r="AH846" s="117">
        <f t="shared" si="1066"/>
        <v>-1120</v>
      </c>
      <c r="AI846" s="117">
        <f t="shared" si="1067"/>
        <v>-1077</v>
      </c>
      <c r="AJ846" s="117">
        <f t="shared" si="1068"/>
        <v>-1355</v>
      </c>
      <c r="AK846" s="117">
        <f t="shared" si="1068"/>
        <v>-1575</v>
      </c>
      <c r="AL846" s="117">
        <f t="shared" si="1068"/>
        <v>-1508</v>
      </c>
      <c r="AM846" s="117">
        <f t="shared" si="1069"/>
        <v>-925</v>
      </c>
      <c r="AN846" s="117">
        <f t="shared" si="1070"/>
        <v>-1002</v>
      </c>
      <c r="AO846" s="117">
        <f t="shared" si="1070"/>
        <v>-1011</v>
      </c>
      <c r="AP846" s="117">
        <f t="shared" si="1070"/>
        <v>-657</v>
      </c>
      <c r="AQ846" s="117">
        <f t="shared" si="1071"/>
        <v>-1009</v>
      </c>
      <c r="AR846" s="117">
        <f t="shared" si="1072"/>
        <v>-1692</v>
      </c>
      <c r="AS846" s="117">
        <f t="shared" si="1072"/>
        <v>-2088</v>
      </c>
      <c r="AT846" s="117">
        <f t="shared" si="1072"/>
        <v>-2223</v>
      </c>
      <c r="AU846" s="117">
        <f t="shared" si="1073"/>
        <v>-3162</v>
      </c>
      <c r="AV846" s="117">
        <f t="shared" si="1074"/>
        <v>-3208</v>
      </c>
      <c r="AW846" s="117">
        <f t="shared" si="1074"/>
        <v>-3543</v>
      </c>
      <c r="AX846" s="117">
        <f t="shared" si="1074"/>
        <v>-3857</v>
      </c>
      <c r="AY846" s="273">
        <f t="shared" si="1075"/>
        <v>-4883</v>
      </c>
      <c r="AZ846" s="37"/>
      <c r="BA846" s="37"/>
      <c r="BB846" s="37"/>
      <c r="BC846" s="37"/>
      <c r="BD846" s="37"/>
      <c r="BE846" s="37"/>
      <c r="BF846" s="37"/>
      <c r="BG846" s="37"/>
      <c r="BH846" s="876">
        <f t="shared" ref="BH846:BW846" si="1080">BH777</f>
        <v>0</v>
      </c>
      <c r="BI846" s="876">
        <f t="shared" si="1080"/>
        <v>0</v>
      </c>
      <c r="BJ846" s="876">
        <f t="shared" si="1080"/>
        <v>0</v>
      </c>
      <c r="BK846" s="876">
        <f t="shared" si="1080"/>
        <v>-2862</v>
      </c>
      <c r="BL846" s="876">
        <f t="shared" si="1080"/>
        <v>-889</v>
      </c>
      <c r="BM846" s="876">
        <f t="shared" si="1080"/>
        <v>-73</v>
      </c>
      <c r="BN846" s="876">
        <f t="shared" si="1080"/>
        <v>-20</v>
      </c>
      <c r="BO846" s="876">
        <f t="shared" si="1080"/>
        <v>-6</v>
      </c>
      <c r="BP846" s="876">
        <f t="shared" si="1080"/>
        <v>-3246</v>
      </c>
      <c r="BQ846" s="876">
        <f t="shared" si="1080"/>
        <v>-3208</v>
      </c>
      <c r="BR846" s="876">
        <f t="shared" si="1080"/>
        <v>-2337</v>
      </c>
      <c r="BS846" s="876">
        <f t="shared" si="1080"/>
        <v>-3564</v>
      </c>
      <c r="BT846" s="876">
        <f t="shared" si="1080"/>
        <v>-5515</v>
      </c>
      <c r="BU846" s="876">
        <f t="shared" si="1080"/>
        <v>-3595</v>
      </c>
      <c r="BV846" s="876">
        <f t="shared" si="1080"/>
        <v>-7012</v>
      </c>
      <c r="BW846" s="915">
        <f t="shared" si="1080"/>
        <v>-13770</v>
      </c>
      <c r="BX846" s="158">
        <f t="shared" si="1077"/>
        <v>-4883</v>
      </c>
      <c r="BY846" s="158">
        <f t="shared" si="1078"/>
        <v>0</v>
      </c>
      <c r="BZ846" s="158"/>
      <c r="CA846" s="158"/>
      <c r="CB846" s="158"/>
      <c r="CC846" s="117"/>
    </row>
    <row r="847" spans="1:81" x14ac:dyDescent="0.55000000000000004">
      <c r="A847" s="116" t="str">
        <f t="shared" si="1050"/>
        <v>Proceeds from exercise of stock options</v>
      </c>
      <c r="B847" s="37"/>
      <c r="C847" s="117">
        <f t="shared" si="1051"/>
        <v>8</v>
      </c>
      <c r="D847" s="117">
        <f t="shared" si="1052"/>
        <v>2</v>
      </c>
      <c r="E847" s="117">
        <f t="shared" si="1052"/>
        <v>10</v>
      </c>
      <c r="F847" s="117">
        <f t="shared" si="1052"/>
        <v>6</v>
      </c>
      <c r="G847" s="117">
        <f t="shared" si="1053"/>
        <v>1</v>
      </c>
      <c r="H847" s="117">
        <f t="shared" si="1054"/>
        <v>1</v>
      </c>
      <c r="I847" s="117">
        <f t="shared" si="1054"/>
        <v>5</v>
      </c>
      <c r="J847" s="117">
        <f t="shared" si="1054"/>
        <v>11</v>
      </c>
      <c r="K847" s="117">
        <f t="shared" si="1055"/>
        <v>0</v>
      </c>
      <c r="L847" s="117">
        <f t="shared" si="1056"/>
        <v>0</v>
      </c>
      <c r="M847" s="117">
        <f t="shared" si="1056"/>
        <v>0</v>
      </c>
      <c r="N847" s="117">
        <f t="shared" si="1056"/>
        <v>0</v>
      </c>
      <c r="O847" s="117">
        <f t="shared" si="1057"/>
        <v>0</v>
      </c>
      <c r="P847" s="117">
        <f t="shared" si="1058"/>
        <v>0</v>
      </c>
      <c r="Q847" s="117">
        <f t="shared" si="1058"/>
        <v>0</v>
      </c>
      <c r="R847" s="117">
        <f t="shared" si="1058"/>
        <v>0</v>
      </c>
      <c r="S847" s="117">
        <f t="shared" si="1059"/>
        <v>0</v>
      </c>
      <c r="T847" s="117">
        <f t="shared" si="1060"/>
        <v>0</v>
      </c>
      <c r="U847" s="117">
        <f t="shared" si="1060"/>
        <v>0</v>
      </c>
      <c r="V847" s="117">
        <f t="shared" si="1060"/>
        <v>0</v>
      </c>
      <c r="W847" s="117">
        <f t="shared" si="1061"/>
        <v>0</v>
      </c>
      <c r="X847" s="117">
        <f t="shared" si="1062"/>
        <v>0</v>
      </c>
      <c r="Y847" s="117">
        <f t="shared" si="1062"/>
        <v>0</v>
      </c>
      <c r="Z847" s="117">
        <f t="shared" si="1062"/>
        <v>0</v>
      </c>
      <c r="AA847" s="117">
        <f t="shared" si="1063"/>
        <v>0</v>
      </c>
      <c r="AB847" s="117">
        <f t="shared" si="1064"/>
        <v>0</v>
      </c>
      <c r="AC847" s="117">
        <f t="shared" si="1064"/>
        <v>0</v>
      </c>
      <c r="AD847" s="117">
        <f t="shared" si="1064"/>
        <v>0</v>
      </c>
      <c r="AE847" s="117">
        <f t="shared" si="1065"/>
        <v>0</v>
      </c>
      <c r="AF847" s="117">
        <f t="shared" si="1066"/>
        <v>0</v>
      </c>
      <c r="AG847" s="117">
        <f t="shared" si="1066"/>
        <v>0</v>
      </c>
      <c r="AH847" s="117">
        <f t="shared" si="1066"/>
        <v>0</v>
      </c>
      <c r="AI847" s="117">
        <f t="shared" si="1067"/>
        <v>0</v>
      </c>
      <c r="AJ847" s="117">
        <f t="shared" si="1068"/>
        <v>0</v>
      </c>
      <c r="AK847" s="117">
        <f t="shared" si="1068"/>
        <v>0</v>
      </c>
      <c r="AL847" s="117">
        <f t="shared" si="1068"/>
        <v>0</v>
      </c>
      <c r="AM847" s="117">
        <f t="shared" si="1069"/>
        <v>0</v>
      </c>
      <c r="AN847" s="117">
        <f t="shared" si="1070"/>
        <v>0</v>
      </c>
      <c r="AO847" s="117">
        <f t="shared" si="1070"/>
        <v>0</v>
      </c>
      <c r="AP847" s="117">
        <f t="shared" si="1070"/>
        <v>0</v>
      </c>
      <c r="AQ847" s="117">
        <f t="shared" si="1071"/>
        <v>0</v>
      </c>
      <c r="AR847" s="117">
        <f t="shared" si="1072"/>
        <v>0</v>
      </c>
      <c r="AS847" s="117">
        <f t="shared" si="1072"/>
        <v>0</v>
      </c>
      <c r="AT847" s="117">
        <f t="shared" si="1072"/>
        <v>0</v>
      </c>
      <c r="AU847" s="117">
        <f t="shared" si="1073"/>
        <v>0</v>
      </c>
      <c r="AV847" s="117">
        <f t="shared" si="1074"/>
        <v>0</v>
      </c>
      <c r="AW847" s="117">
        <f t="shared" si="1074"/>
        <v>0</v>
      </c>
      <c r="AX847" s="117">
        <f t="shared" si="1074"/>
        <v>0</v>
      </c>
      <c r="AY847" s="273">
        <f t="shared" si="1075"/>
        <v>0</v>
      </c>
      <c r="AZ847" s="37"/>
      <c r="BA847" s="37"/>
      <c r="BB847" s="37"/>
      <c r="BC847" s="37"/>
      <c r="BD847" s="37"/>
      <c r="BE847" s="37"/>
      <c r="BF847" s="37"/>
      <c r="BG847" s="37"/>
      <c r="BH847" s="876">
        <f t="shared" ref="BH847:BW847" si="1081">BH778</f>
        <v>9</v>
      </c>
      <c r="BI847" s="876">
        <f t="shared" si="1081"/>
        <v>6</v>
      </c>
      <c r="BJ847" s="876">
        <f t="shared" si="1081"/>
        <v>28</v>
      </c>
      <c r="BK847" s="876">
        <f t="shared" si="1081"/>
        <v>17</v>
      </c>
      <c r="BL847" s="876">
        <f t="shared" si="1081"/>
        <v>26</v>
      </c>
      <c r="BM847" s="876">
        <f t="shared" si="1081"/>
        <v>18</v>
      </c>
      <c r="BN847" s="876">
        <f t="shared" si="1081"/>
        <v>0</v>
      </c>
      <c r="BO847" s="876">
        <f t="shared" si="1081"/>
        <v>0</v>
      </c>
      <c r="BP847" s="876">
        <f t="shared" si="1081"/>
        <v>0</v>
      </c>
      <c r="BQ847" s="876">
        <f t="shared" si="1081"/>
        <v>0</v>
      </c>
      <c r="BR847" s="876">
        <f t="shared" si="1081"/>
        <v>0</v>
      </c>
      <c r="BS847" s="876">
        <f t="shared" si="1081"/>
        <v>0</v>
      </c>
      <c r="BT847" s="876">
        <f t="shared" si="1081"/>
        <v>0</v>
      </c>
      <c r="BU847" s="876">
        <f t="shared" si="1081"/>
        <v>0</v>
      </c>
      <c r="BV847" s="876">
        <f t="shared" si="1081"/>
        <v>0</v>
      </c>
      <c r="BW847" s="915">
        <f t="shared" si="1081"/>
        <v>0</v>
      </c>
      <c r="BX847" s="158">
        <f t="shared" si="1077"/>
        <v>0</v>
      </c>
      <c r="BY847" s="158">
        <f t="shared" si="1078"/>
        <v>0</v>
      </c>
      <c r="BZ847" s="158"/>
      <c r="CA847" s="158"/>
      <c r="CB847" s="158"/>
      <c r="CC847" s="117"/>
    </row>
    <row r="848" spans="1:81" x14ac:dyDescent="0.55000000000000004">
      <c r="A848" s="86" t="str">
        <f t="shared" si="1050"/>
        <v>Proceeds from long-term debt, net of issuance cost</v>
      </c>
      <c r="B848" s="37"/>
      <c r="C848" s="37">
        <f t="shared" si="1051"/>
        <v>0</v>
      </c>
      <c r="D848" s="37">
        <f t="shared" si="1052"/>
        <v>0</v>
      </c>
      <c r="E848" s="37">
        <f t="shared" si="1052"/>
        <v>0</v>
      </c>
      <c r="F848" s="37">
        <f t="shared" si="1052"/>
        <v>0</v>
      </c>
      <c r="G848" s="37">
        <f t="shared" si="1053"/>
        <v>0</v>
      </c>
      <c r="H848" s="37">
        <f t="shared" si="1054"/>
        <v>0</v>
      </c>
      <c r="I848" s="37">
        <f t="shared" si="1054"/>
        <v>0</v>
      </c>
      <c r="J848" s="37">
        <f t="shared" si="1054"/>
        <v>0</v>
      </c>
      <c r="K848" s="37">
        <f t="shared" si="1055"/>
        <v>0</v>
      </c>
      <c r="L848" s="37">
        <f t="shared" si="1056"/>
        <v>0</v>
      </c>
      <c r="M848" s="37">
        <f t="shared" si="1056"/>
        <v>0</v>
      </c>
      <c r="N848" s="37">
        <f t="shared" si="1056"/>
        <v>0</v>
      </c>
      <c r="O848" s="37">
        <f t="shared" si="1057"/>
        <v>0</v>
      </c>
      <c r="P848" s="37">
        <f t="shared" si="1058"/>
        <v>0</v>
      </c>
      <c r="Q848" s="37">
        <f t="shared" si="1058"/>
        <v>0</v>
      </c>
      <c r="R848" s="37">
        <f t="shared" si="1058"/>
        <v>0</v>
      </c>
      <c r="S848" s="37">
        <f t="shared" si="1059"/>
        <v>0</v>
      </c>
      <c r="T848" s="37">
        <f t="shared" si="1060"/>
        <v>0</v>
      </c>
      <c r="U848" s="37">
        <f t="shared" si="1060"/>
        <v>0</v>
      </c>
      <c r="V848" s="37">
        <f t="shared" si="1060"/>
        <v>0</v>
      </c>
      <c r="W848" s="37">
        <f t="shared" si="1061"/>
        <v>0</v>
      </c>
      <c r="X848" s="37">
        <f t="shared" si="1062"/>
        <v>0</v>
      </c>
      <c r="Y848" s="37">
        <f t="shared" si="1062"/>
        <v>0</v>
      </c>
      <c r="Z848" s="37">
        <f t="shared" si="1062"/>
        <v>0</v>
      </c>
      <c r="AA848" s="37">
        <f t="shared" si="1063"/>
        <v>0</v>
      </c>
      <c r="AB848" s="37">
        <f t="shared" si="1064"/>
        <v>0</v>
      </c>
      <c r="AC848" s="37">
        <f t="shared" si="1064"/>
        <v>0</v>
      </c>
      <c r="AD848" s="37">
        <f t="shared" si="1064"/>
        <v>0</v>
      </c>
      <c r="AE848" s="37">
        <f t="shared" si="1065"/>
        <v>0</v>
      </c>
      <c r="AF848" s="37">
        <f t="shared" si="1066"/>
        <v>0</v>
      </c>
      <c r="AG848" s="37">
        <f t="shared" si="1066"/>
        <v>0</v>
      </c>
      <c r="AH848" s="37">
        <f t="shared" si="1066"/>
        <v>0</v>
      </c>
      <c r="AI848" s="37">
        <f t="shared" si="1067"/>
        <v>0</v>
      </c>
      <c r="AJ848" s="37">
        <f t="shared" si="1068"/>
        <v>0</v>
      </c>
      <c r="AK848" s="37">
        <f t="shared" si="1068"/>
        <v>0</v>
      </c>
      <c r="AL848" s="37">
        <f t="shared" si="1068"/>
        <v>0</v>
      </c>
      <c r="AM848" s="37">
        <f t="shared" si="1069"/>
        <v>0</v>
      </c>
      <c r="AN848" s="37">
        <f t="shared" si="1070"/>
        <v>0</v>
      </c>
      <c r="AO848" s="37">
        <f t="shared" si="1070"/>
        <v>9921</v>
      </c>
      <c r="AP848" s="37">
        <f t="shared" si="1070"/>
        <v>0</v>
      </c>
      <c r="AQ848" s="37">
        <f t="shared" si="1071"/>
        <v>0</v>
      </c>
      <c r="AR848" s="37">
        <f t="shared" si="1072"/>
        <v>8455</v>
      </c>
      <c r="AS848" s="37">
        <f t="shared" si="1072"/>
        <v>0</v>
      </c>
      <c r="AT848" s="37">
        <f t="shared" si="1072"/>
        <v>0</v>
      </c>
      <c r="AU848" s="37">
        <f t="shared" si="1073"/>
        <v>0</v>
      </c>
      <c r="AV848" s="37">
        <f t="shared" si="1074"/>
        <v>0</v>
      </c>
      <c r="AW848" s="37">
        <f t="shared" si="1074"/>
        <v>10432</v>
      </c>
      <c r="AX848" s="37">
        <f t="shared" si="1074"/>
        <v>0</v>
      </c>
      <c r="AY848" s="273">
        <f t="shared" si="1075"/>
        <v>0</v>
      </c>
      <c r="AZ848" s="37">
        <f t="shared" ref="AZ848:BF848" si="1082">AZ673</f>
        <v>0</v>
      </c>
      <c r="BA848" s="37">
        <f t="shared" si="1082"/>
        <v>0</v>
      </c>
      <c r="BB848" s="37">
        <f t="shared" si="1082"/>
        <v>0</v>
      </c>
      <c r="BC848" s="37">
        <f t="shared" si="1082"/>
        <v>0</v>
      </c>
      <c r="BD848" s="37">
        <f t="shared" si="1082"/>
        <v>0</v>
      </c>
      <c r="BE848" s="37">
        <f t="shared" si="1082"/>
        <v>0</v>
      </c>
      <c r="BF848" s="37">
        <f t="shared" si="1082"/>
        <v>0</v>
      </c>
      <c r="BG848" s="37"/>
      <c r="BH848" s="158">
        <f t="shared" ref="BH848:BW848" si="1083">BH779</f>
        <v>0</v>
      </c>
      <c r="BI848" s="158">
        <f t="shared" si="1083"/>
        <v>250</v>
      </c>
      <c r="BJ848" s="158">
        <f t="shared" si="1083"/>
        <v>0</v>
      </c>
      <c r="BK848" s="158">
        <f t="shared" si="1083"/>
        <v>1496</v>
      </c>
      <c r="BL848" s="158">
        <f t="shared" si="1083"/>
        <v>0</v>
      </c>
      <c r="BM848" s="158">
        <f t="shared" si="1083"/>
        <v>0</v>
      </c>
      <c r="BN848" s="158">
        <f t="shared" si="1083"/>
        <v>0</v>
      </c>
      <c r="BO848" s="158">
        <f t="shared" si="1083"/>
        <v>0</v>
      </c>
      <c r="BP848" s="158">
        <f t="shared" si="1083"/>
        <v>0</v>
      </c>
      <c r="BQ848" s="158">
        <f t="shared" si="1083"/>
        <v>0</v>
      </c>
      <c r="BR848" s="158">
        <f t="shared" si="1083"/>
        <v>0</v>
      </c>
      <c r="BS848" s="158">
        <f t="shared" si="1083"/>
        <v>0</v>
      </c>
      <c r="BT848" s="158">
        <f t="shared" si="1083"/>
        <v>0</v>
      </c>
      <c r="BU848" s="158">
        <f t="shared" si="1083"/>
        <v>9921</v>
      </c>
      <c r="BV848" s="158">
        <f t="shared" si="1083"/>
        <v>8455</v>
      </c>
      <c r="BW848" s="846">
        <f t="shared" si="1083"/>
        <v>10432</v>
      </c>
      <c r="BX848" s="158">
        <f t="shared" si="1077"/>
        <v>0</v>
      </c>
      <c r="BY848" s="158">
        <f t="shared" si="1078"/>
        <v>0</v>
      </c>
      <c r="BZ848" s="158">
        <f>BZ673</f>
        <v>0</v>
      </c>
      <c r="CA848" s="158">
        <f>CA673</f>
        <v>0</v>
      </c>
      <c r="CB848" s="158">
        <f>CB673</f>
        <v>0</v>
      </c>
      <c r="CC848" s="117"/>
    </row>
    <row r="849" spans="1:81" x14ac:dyDescent="0.55000000000000004">
      <c r="A849" s="116" t="str">
        <f t="shared" si="1050"/>
        <v>Repayment of long-term debt</v>
      </c>
      <c r="B849" s="37"/>
      <c r="C849" s="117">
        <f t="shared" si="1051"/>
        <v>0</v>
      </c>
      <c r="D849" s="117">
        <f t="shared" si="1052"/>
        <v>0</v>
      </c>
      <c r="E849" s="117">
        <f t="shared" si="1052"/>
        <v>-1500</v>
      </c>
      <c r="F849" s="117">
        <f t="shared" si="1052"/>
        <v>0</v>
      </c>
      <c r="G849" s="117">
        <f t="shared" si="1053"/>
        <v>0</v>
      </c>
      <c r="H849" s="117">
        <f t="shared" si="1054"/>
        <v>0</v>
      </c>
      <c r="I849" s="117">
        <f t="shared" si="1054"/>
        <v>0</v>
      </c>
      <c r="J849" s="117">
        <f t="shared" si="1054"/>
        <v>0</v>
      </c>
      <c r="K849" s="117">
        <f t="shared" si="1055"/>
        <v>0</v>
      </c>
      <c r="L849" s="117">
        <f t="shared" si="1056"/>
        <v>0</v>
      </c>
      <c r="M849" s="117">
        <f t="shared" si="1056"/>
        <v>0</v>
      </c>
      <c r="N849" s="117">
        <f t="shared" si="1056"/>
        <v>0</v>
      </c>
      <c r="O849" s="117">
        <f t="shared" si="1057"/>
        <v>0</v>
      </c>
      <c r="P849" s="117">
        <f t="shared" si="1058"/>
        <v>0</v>
      </c>
      <c r="Q849" s="117">
        <f t="shared" si="1058"/>
        <v>0</v>
      </c>
      <c r="R849" s="117">
        <f t="shared" si="1058"/>
        <v>0</v>
      </c>
      <c r="S849" s="117">
        <f t="shared" si="1059"/>
        <v>0</v>
      </c>
      <c r="T849" s="117">
        <f t="shared" si="1060"/>
        <v>0</v>
      </c>
      <c r="U849" s="117">
        <f t="shared" si="1060"/>
        <v>0</v>
      </c>
      <c r="V849" s="117">
        <f t="shared" si="1060"/>
        <v>0</v>
      </c>
      <c r="W849" s="117">
        <f t="shared" si="1061"/>
        <v>0</v>
      </c>
      <c r="X849" s="117">
        <f t="shared" si="1062"/>
        <v>0</v>
      </c>
      <c r="Y849" s="117">
        <f t="shared" si="1062"/>
        <v>0</v>
      </c>
      <c r="Z849" s="117">
        <f t="shared" si="1062"/>
        <v>0</v>
      </c>
      <c r="AA849" s="117">
        <f t="shared" si="1063"/>
        <v>0</v>
      </c>
      <c r="AB849" s="117">
        <f t="shared" si="1064"/>
        <v>0</v>
      </c>
      <c r="AC849" s="117">
        <f t="shared" si="1064"/>
        <v>0</v>
      </c>
      <c r="AD849" s="117">
        <f t="shared" si="1064"/>
        <v>0</v>
      </c>
      <c r="AE849" s="117">
        <f t="shared" si="1065"/>
        <v>0</v>
      </c>
      <c r="AF849" s="117">
        <f t="shared" si="1066"/>
        <v>0</v>
      </c>
      <c r="AG849" s="117">
        <f t="shared" si="1066"/>
        <v>0</v>
      </c>
      <c r="AH849" s="117">
        <f t="shared" si="1066"/>
        <v>0</v>
      </c>
      <c r="AI849" s="117">
        <f t="shared" si="1067"/>
        <v>0</v>
      </c>
      <c r="AJ849" s="117">
        <f t="shared" si="1068"/>
        <v>0</v>
      </c>
      <c r="AK849" s="117">
        <f t="shared" si="1068"/>
        <v>0</v>
      </c>
      <c r="AL849" s="117">
        <f t="shared" si="1068"/>
        <v>0</v>
      </c>
      <c r="AM849" s="117">
        <f t="shared" si="1069"/>
        <v>0</v>
      </c>
      <c r="AN849" s="117">
        <f t="shared" si="1070"/>
        <v>0</v>
      </c>
      <c r="AO849" s="117">
        <f t="shared" si="1070"/>
        <v>0</v>
      </c>
      <c r="AP849" s="117">
        <f t="shared" si="1070"/>
        <v>0</v>
      </c>
      <c r="AQ849" s="117">
        <f t="shared" si="1071"/>
        <v>0</v>
      </c>
      <c r="AR849" s="117">
        <f t="shared" si="1072"/>
        <v>0</v>
      </c>
      <c r="AS849" s="117">
        <f t="shared" si="1072"/>
        <v>0</v>
      </c>
      <c r="AT849" s="117">
        <f t="shared" si="1072"/>
        <v>0</v>
      </c>
      <c r="AU849" s="117">
        <f t="shared" si="1073"/>
        <v>0</v>
      </c>
      <c r="AV849" s="117">
        <f t="shared" si="1074"/>
        <v>0</v>
      </c>
      <c r="AW849" s="117">
        <f t="shared" si="1074"/>
        <v>0</v>
      </c>
      <c r="AX849" s="117">
        <f t="shared" si="1074"/>
        <v>0</v>
      </c>
      <c r="AY849" s="273">
        <f t="shared" si="1075"/>
        <v>0</v>
      </c>
      <c r="AZ849" s="37"/>
      <c r="BA849" s="37"/>
      <c r="BB849" s="37"/>
      <c r="BC849" s="37"/>
      <c r="BD849" s="37"/>
      <c r="BE849" s="37"/>
      <c r="BF849" s="37"/>
      <c r="BG849" s="37"/>
      <c r="BH849" s="876">
        <f t="shared" ref="BH849:BW849" si="1084">BH780</f>
        <v>0</v>
      </c>
      <c r="BI849" s="876">
        <f t="shared" si="1084"/>
        <v>0</v>
      </c>
      <c r="BJ849" s="876">
        <f t="shared" si="1084"/>
        <v>-250</v>
      </c>
      <c r="BK849" s="876">
        <f t="shared" si="1084"/>
        <v>0</v>
      </c>
      <c r="BL849" s="876">
        <f t="shared" si="1084"/>
        <v>-1500</v>
      </c>
      <c r="BM849" s="876">
        <f t="shared" si="1084"/>
        <v>0</v>
      </c>
      <c r="BN849" s="876">
        <f t="shared" si="1084"/>
        <v>0</v>
      </c>
      <c r="BO849" s="876">
        <f t="shared" si="1084"/>
        <v>0</v>
      </c>
      <c r="BP849" s="876">
        <f t="shared" si="1084"/>
        <v>0</v>
      </c>
      <c r="BQ849" s="876">
        <f t="shared" si="1084"/>
        <v>0</v>
      </c>
      <c r="BR849" s="876">
        <f t="shared" si="1084"/>
        <v>0</v>
      </c>
      <c r="BS849" s="876">
        <f t="shared" si="1084"/>
        <v>0</v>
      </c>
      <c r="BT849" s="876">
        <f t="shared" si="1084"/>
        <v>0</v>
      </c>
      <c r="BU849" s="876">
        <f t="shared" si="1084"/>
        <v>0</v>
      </c>
      <c r="BV849" s="876">
        <f t="shared" si="1084"/>
        <v>0</v>
      </c>
      <c r="BW849" s="915">
        <f t="shared" si="1084"/>
        <v>0</v>
      </c>
      <c r="BX849" s="158">
        <f t="shared" si="1077"/>
        <v>0</v>
      </c>
      <c r="BY849" s="158">
        <f t="shared" si="1078"/>
        <v>0</v>
      </c>
      <c r="BZ849" s="158"/>
      <c r="CA849" s="158"/>
      <c r="CB849" s="158"/>
      <c r="CC849" s="117"/>
    </row>
    <row r="850" spans="1:81" x14ac:dyDescent="0.55000000000000004">
      <c r="A850" s="116" t="str">
        <f t="shared" si="1050"/>
        <v>Proceeds from sale and lease-back transactions</v>
      </c>
      <c r="B850" s="37"/>
      <c r="C850" s="117">
        <f t="shared" si="1051"/>
        <v>0</v>
      </c>
      <c r="D850" s="117">
        <f t="shared" si="1052"/>
        <v>0</v>
      </c>
      <c r="E850" s="117">
        <f t="shared" si="1052"/>
        <v>0</v>
      </c>
      <c r="F850" s="117">
        <f t="shared" si="1052"/>
        <v>0</v>
      </c>
      <c r="G850" s="117">
        <f t="shared" si="1053"/>
        <v>0</v>
      </c>
      <c r="H850" s="117">
        <f t="shared" si="1054"/>
        <v>0</v>
      </c>
      <c r="I850" s="117">
        <f t="shared" si="1054"/>
        <v>0</v>
      </c>
      <c r="J850" s="117">
        <f t="shared" si="1054"/>
        <v>0</v>
      </c>
      <c r="K850" s="117">
        <f t="shared" si="1055"/>
        <v>0</v>
      </c>
      <c r="L850" s="117">
        <f t="shared" si="1056"/>
        <v>0</v>
      </c>
      <c r="M850" s="117">
        <f t="shared" si="1056"/>
        <v>0</v>
      </c>
      <c r="N850" s="117">
        <f t="shared" si="1056"/>
        <v>0</v>
      </c>
      <c r="O850" s="117">
        <f t="shared" si="1057"/>
        <v>0</v>
      </c>
      <c r="P850" s="117">
        <f t="shared" si="1058"/>
        <v>0</v>
      </c>
      <c r="Q850" s="117">
        <f t="shared" si="1058"/>
        <v>0</v>
      </c>
      <c r="R850" s="117">
        <f t="shared" si="1058"/>
        <v>0</v>
      </c>
      <c r="S850" s="117">
        <f t="shared" si="1059"/>
        <v>0</v>
      </c>
      <c r="T850" s="117">
        <f t="shared" si="1060"/>
        <v>0</v>
      </c>
      <c r="U850" s="117">
        <f t="shared" si="1060"/>
        <v>0</v>
      </c>
      <c r="V850" s="117">
        <f t="shared" si="1060"/>
        <v>0</v>
      </c>
      <c r="W850" s="117">
        <f t="shared" si="1061"/>
        <v>0</v>
      </c>
      <c r="X850" s="117">
        <f t="shared" si="1062"/>
        <v>0</v>
      </c>
      <c r="Y850" s="117">
        <f t="shared" si="1062"/>
        <v>0</v>
      </c>
      <c r="Z850" s="117">
        <f t="shared" si="1062"/>
        <v>0</v>
      </c>
      <c r="AA850" s="117">
        <f t="shared" si="1063"/>
        <v>0</v>
      </c>
      <c r="AB850" s="117">
        <f t="shared" si="1064"/>
        <v>0</v>
      </c>
      <c r="AC850" s="117">
        <f t="shared" si="1064"/>
        <v>0</v>
      </c>
      <c r="AD850" s="117">
        <f t="shared" si="1064"/>
        <v>0</v>
      </c>
      <c r="AE850" s="117">
        <f t="shared" si="1065"/>
        <v>0</v>
      </c>
      <c r="AF850" s="117">
        <f t="shared" si="1066"/>
        <v>0</v>
      </c>
      <c r="AG850" s="117">
        <f t="shared" si="1066"/>
        <v>0</v>
      </c>
      <c r="AH850" s="117">
        <f t="shared" si="1066"/>
        <v>0</v>
      </c>
      <c r="AI850" s="117">
        <f t="shared" si="1067"/>
        <v>0</v>
      </c>
      <c r="AJ850" s="117">
        <f t="shared" si="1068"/>
        <v>0</v>
      </c>
      <c r="AK850" s="117">
        <f t="shared" si="1068"/>
        <v>0</v>
      </c>
      <c r="AL850" s="117">
        <f t="shared" si="1068"/>
        <v>0</v>
      </c>
      <c r="AM850" s="117">
        <f t="shared" si="1069"/>
        <v>0</v>
      </c>
      <c r="AN850" s="117">
        <f t="shared" si="1070"/>
        <v>0</v>
      </c>
      <c r="AO850" s="117">
        <f t="shared" si="1070"/>
        <v>0</v>
      </c>
      <c r="AP850" s="117">
        <f t="shared" si="1070"/>
        <v>0</v>
      </c>
      <c r="AQ850" s="117">
        <f t="shared" si="1071"/>
        <v>0</v>
      </c>
      <c r="AR850" s="117">
        <f t="shared" si="1072"/>
        <v>0</v>
      </c>
      <c r="AS850" s="117">
        <f t="shared" si="1072"/>
        <v>0</v>
      </c>
      <c r="AT850" s="117">
        <f t="shared" si="1072"/>
        <v>0</v>
      </c>
      <c r="AU850" s="117">
        <f t="shared" si="1073"/>
        <v>0</v>
      </c>
      <c r="AV850" s="117">
        <f t="shared" si="1074"/>
        <v>0</v>
      </c>
      <c r="AW850" s="117">
        <f t="shared" si="1074"/>
        <v>0</v>
      </c>
      <c r="AX850" s="117">
        <f t="shared" si="1074"/>
        <v>0</v>
      </c>
      <c r="AY850" s="273">
        <f t="shared" si="1075"/>
        <v>0</v>
      </c>
      <c r="AZ850" s="37"/>
      <c r="BA850" s="37"/>
      <c r="BB850" s="37"/>
      <c r="BC850" s="37"/>
      <c r="BD850" s="37"/>
      <c r="BE850" s="37"/>
      <c r="BF850" s="37"/>
      <c r="BG850" s="37"/>
      <c r="BH850" s="876">
        <f t="shared" ref="BH850:BW850" si="1085">BH781</f>
        <v>31</v>
      </c>
      <c r="BI850" s="876">
        <f t="shared" si="1085"/>
        <v>0</v>
      </c>
      <c r="BJ850" s="876">
        <f t="shared" si="1085"/>
        <v>170</v>
      </c>
      <c r="BK850" s="876">
        <f t="shared" si="1085"/>
        <v>205</v>
      </c>
      <c r="BL850" s="876">
        <f t="shared" si="1085"/>
        <v>0</v>
      </c>
      <c r="BM850" s="876">
        <f t="shared" si="1085"/>
        <v>0</v>
      </c>
      <c r="BN850" s="876">
        <f t="shared" si="1085"/>
        <v>0</v>
      </c>
      <c r="BO850" s="876">
        <f t="shared" si="1085"/>
        <v>0</v>
      </c>
      <c r="BP850" s="876">
        <f t="shared" si="1085"/>
        <v>0</v>
      </c>
      <c r="BQ850" s="876">
        <f t="shared" si="1085"/>
        <v>0</v>
      </c>
      <c r="BR850" s="876">
        <f t="shared" si="1085"/>
        <v>0</v>
      </c>
      <c r="BS850" s="876">
        <f t="shared" si="1085"/>
        <v>0</v>
      </c>
      <c r="BT850" s="876">
        <f t="shared" si="1085"/>
        <v>0</v>
      </c>
      <c r="BU850" s="876">
        <f t="shared" si="1085"/>
        <v>0</v>
      </c>
      <c r="BV850" s="876">
        <f t="shared" si="1085"/>
        <v>0</v>
      </c>
      <c r="BW850" s="915">
        <f t="shared" si="1085"/>
        <v>0</v>
      </c>
      <c r="BX850" s="158">
        <f t="shared" si="1077"/>
        <v>0</v>
      </c>
      <c r="BY850" s="158">
        <f t="shared" si="1078"/>
        <v>0</v>
      </c>
      <c r="BZ850" s="158"/>
      <c r="CA850" s="158"/>
      <c r="CB850" s="158"/>
      <c r="CC850" s="117"/>
    </row>
    <row r="851" spans="1:81" x14ac:dyDescent="0.55000000000000004">
      <c r="A851" s="116" t="str">
        <f t="shared" si="1050"/>
        <v>Principal payments on capital lease obligations</v>
      </c>
      <c r="B851" s="37"/>
      <c r="C851" s="117">
        <f t="shared" si="1051"/>
        <v>-109</v>
      </c>
      <c r="D851" s="117">
        <f t="shared" si="1052"/>
        <v>-91</v>
      </c>
      <c r="E851" s="117">
        <f t="shared" si="1052"/>
        <v>-91</v>
      </c>
      <c r="F851" s="117">
        <f t="shared" si="1052"/>
        <v>-100</v>
      </c>
      <c r="G851" s="117">
        <f t="shared" si="1053"/>
        <v>-84</v>
      </c>
      <c r="H851" s="117">
        <f t="shared" si="1054"/>
        <v>-66</v>
      </c>
      <c r="I851" s="117">
        <f t="shared" si="1054"/>
        <v>-49</v>
      </c>
      <c r="J851" s="117">
        <f t="shared" si="1054"/>
        <v>-44</v>
      </c>
      <c r="K851" s="117">
        <f t="shared" si="1055"/>
        <v>-47</v>
      </c>
      <c r="L851" s="117">
        <f t="shared" si="1056"/>
        <v>-37</v>
      </c>
      <c r="M851" s="117">
        <f t="shared" si="1056"/>
        <v>-23</v>
      </c>
      <c r="N851" s="117">
        <f t="shared" si="1056"/>
        <v>-12</v>
      </c>
      <c r="O851" s="117">
        <f t="shared" si="1057"/>
        <v>-312</v>
      </c>
      <c r="P851" s="117">
        <f t="shared" si="1058"/>
        <v>0</v>
      </c>
      <c r="Q851" s="117">
        <f t="shared" si="1058"/>
        <v>0</v>
      </c>
      <c r="R851" s="117">
        <f t="shared" si="1058"/>
        <v>0</v>
      </c>
      <c r="S851" s="117">
        <f t="shared" si="1059"/>
        <v>0</v>
      </c>
      <c r="T851" s="117">
        <f t="shared" si="1060"/>
        <v>0</v>
      </c>
      <c r="U851" s="117">
        <f t="shared" si="1060"/>
        <v>0</v>
      </c>
      <c r="V851" s="117">
        <f t="shared" si="1060"/>
        <v>0</v>
      </c>
      <c r="W851" s="117">
        <f t="shared" si="1061"/>
        <v>0</v>
      </c>
      <c r="X851" s="117">
        <f t="shared" si="1062"/>
        <v>0</v>
      </c>
      <c r="Y851" s="117">
        <f t="shared" si="1062"/>
        <v>0</v>
      </c>
      <c r="Z851" s="117">
        <f t="shared" si="1062"/>
        <v>0</v>
      </c>
      <c r="AA851" s="117">
        <f t="shared" si="1063"/>
        <v>-125</v>
      </c>
      <c r="AB851" s="117">
        <f t="shared" si="1064"/>
        <v>-142</v>
      </c>
      <c r="AC851" s="117">
        <f t="shared" si="1064"/>
        <v>-144</v>
      </c>
      <c r="AD851" s="117">
        <f t="shared" si="1064"/>
        <v>-141</v>
      </c>
      <c r="AE851" s="117">
        <f t="shared" si="1065"/>
        <v>-100</v>
      </c>
      <c r="AF851" s="117">
        <f t="shared" si="1066"/>
        <v>-109</v>
      </c>
      <c r="AG851" s="117">
        <f t="shared" si="1066"/>
        <v>-189</v>
      </c>
      <c r="AH851" s="117">
        <f t="shared" si="1066"/>
        <v>-206</v>
      </c>
      <c r="AI851" s="117">
        <f t="shared" si="1067"/>
        <v>-151</v>
      </c>
      <c r="AJ851" s="117">
        <f t="shared" si="1068"/>
        <v>-123</v>
      </c>
      <c r="AK851" s="117">
        <f t="shared" si="1068"/>
        <v>-231</v>
      </c>
      <c r="AL851" s="117">
        <f t="shared" si="1068"/>
        <v>-172</v>
      </c>
      <c r="AM851" s="117">
        <f t="shared" si="1069"/>
        <v>-233</v>
      </c>
      <c r="AN851" s="117">
        <f t="shared" si="1070"/>
        <v>-219</v>
      </c>
      <c r="AO851" s="117">
        <f t="shared" si="1070"/>
        <v>-163</v>
      </c>
      <c r="AP851" s="117">
        <f t="shared" si="1070"/>
        <v>-235</v>
      </c>
      <c r="AQ851" s="117">
        <f t="shared" si="1071"/>
        <v>-264</v>
      </c>
      <c r="AR851" s="117">
        <f t="shared" si="1072"/>
        <v>-220</v>
      </c>
      <c r="AS851" s="117">
        <f t="shared" si="1072"/>
        <v>-267</v>
      </c>
      <c r="AT851" s="117">
        <f t="shared" si="1072"/>
        <v>-307</v>
      </c>
      <c r="AU851" s="117">
        <f t="shared" si="1073"/>
        <v>-315</v>
      </c>
      <c r="AV851" s="117">
        <f t="shared" si="1074"/>
        <v>-299</v>
      </c>
      <c r="AW851" s="117">
        <f t="shared" si="1074"/>
        <v>-944</v>
      </c>
      <c r="AX851" s="117">
        <f t="shared" si="1074"/>
        <v>-411</v>
      </c>
      <c r="AY851" s="273">
        <f t="shared" si="1075"/>
        <v>-751</v>
      </c>
      <c r="AZ851" s="37"/>
      <c r="BA851" s="37"/>
      <c r="BB851" s="37"/>
      <c r="BC851" s="37"/>
      <c r="BD851" s="37"/>
      <c r="BE851" s="37"/>
      <c r="BF851" s="37"/>
      <c r="BG851" s="37"/>
      <c r="BH851" s="876">
        <f t="shared" ref="BH851:BW851" si="1086">BH782</f>
        <v>-48</v>
      </c>
      <c r="BI851" s="876">
        <f t="shared" si="1086"/>
        <v>-90</v>
      </c>
      <c r="BJ851" s="876">
        <f t="shared" si="1086"/>
        <v>-181</v>
      </c>
      <c r="BK851" s="876">
        <f t="shared" si="1086"/>
        <v>-366</v>
      </c>
      <c r="BL851" s="876">
        <f t="shared" si="1086"/>
        <v>-391</v>
      </c>
      <c r="BM851" s="876">
        <f t="shared" si="1086"/>
        <v>-243</v>
      </c>
      <c r="BN851" s="876">
        <f t="shared" si="1086"/>
        <v>-119</v>
      </c>
      <c r="BO851" s="876">
        <f t="shared" si="1086"/>
        <v>-312</v>
      </c>
      <c r="BP851" s="876">
        <f t="shared" si="1086"/>
        <v>0</v>
      </c>
      <c r="BQ851" s="876">
        <f t="shared" si="1086"/>
        <v>0</v>
      </c>
      <c r="BR851" s="876">
        <f t="shared" si="1086"/>
        <v>-552</v>
      </c>
      <c r="BS851" s="876">
        <f t="shared" si="1086"/>
        <v>-604</v>
      </c>
      <c r="BT851" s="876">
        <f t="shared" si="1086"/>
        <v>-677</v>
      </c>
      <c r="BU851" s="876">
        <f t="shared" si="1086"/>
        <v>-850</v>
      </c>
      <c r="BV851" s="876">
        <f t="shared" si="1086"/>
        <v>-1058</v>
      </c>
      <c r="BW851" s="915">
        <f t="shared" si="1086"/>
        <v>-1969</v>
      </c>
      <c r="BX851" s="158">
        <f t="shared" si="1077"/>
        <v>-751</v>
      </c>
      <c r="BY851" s="158">
        <f t="shared" si="1078"/>
        <v>0</v>
      </c>
      <c r="BZ851" s="158"/>
      <c r="CA851" s="158"/>
      <c r="CB851" s="158"/>
      <c r="CC851" s="117"/>
    </row>
    <row r="852" spans="1:81" x14ac:dyDescent="0.55000000000000004">
      <c r="A852" s="116" t="str">
        <f t="shared" si="1050"/>
        <v>Excess tax benefit from share-based award activity</v>
      </c>
      <c r="B852" s="37"/>
      <c r="C852" s="117">
        <f t="shared" si="1051"/>
        <v>62</v>
      </c>
      <c r="D852" s="117">
        <f t="shared" si="1052"/>
        <v>93</v>
      </c>
      <c r="E852" s="117">
        <f t="shared" si="1052"/>
        <v>130</v>
      </c>
      <c r="F852" s="117">
        <f t="shared" si="1052"/>
        <v>324</v>
      </c>
      <c r="G852" s="117">
        <f t="shared" si="1053"/>
        <v>348</v>
      </c>
      <c r="H852" s="117">
        <f t="shared" si="1054"/>
        <v>535</v>
      </c>
      <c r="I852" s="117">
        <f t="shared" si="1054"/>
        <v>482</v>
      </c>
      <c r="J852" s="117">
        <f t="shared" si="1054"/>
        <v>504</v>
      </c>
      <c r="K852" s="117">
        <f t="shared" si="1055"/>
        <v>423</v>
      </c>
      <c r="L852" s="117">
        <f t="shared" si="1056"/>
        <v>386</v>
      </c>
      <c r="M852" s="117">
        <f t="shared" si="1056"/>
        <v>346</v>
      </c>
      <c r="N852" s="117">
        <f t="shared" si="1056"/>
        <v>566</v>
      </c>
      <c r="O852" s="117">
        <f t="shared" si="1057"/>
        <v>0</v>
      </c>
      <c r="P852" s="117">
        <f t="shared" si="1058"/>
        <v>0</v>
      </c>
      <c r="Q852" s="117">
        <f t="shared" si="1058"/>
        <v>0</v>
      </c>
      <c r="R852" s="117">
        <f t="shared" si="1058"/>
        <v>0</v>
      </c>
      <c r="S852" s="117">
        <f t="shared" si="1059"/>
        <v>0</v>
      </c>
      <c r="T852" s="117">
        <f t="shared" si="1060"/>
        <v>0</v>
      </c>
      <c r="U852" s="117">
        <f t="shared" si="1060"/>
        <v>0</v>
      </c>
      <c r="V852" s="117">
        <f t="shared" si="1060"/>
        <v>0</v>
      </c>
      <c r="W852" s="117">
        <f t="shared" si="1061"/>
        <v>0</v>
      </c>
      <c r="X852" s="117">
        <f t="shared" si="1062"/>
        <v>0</v>
      </c>
      <c r="Y852" s="117">
        <f t="shared" si="1062"/>
        <v>0</v>
      </c>
      <c r="Z852" s="117">
        <f t="shared" si="1062"/>
        <v>0</v>
      </c>
      <c r="AA852" s="117">
        <f t="shared" si="1063"/>
        <v>0</v>
      </c>
      <c r="AB852" s="117">
        <f t="shared" si="1064"/>
        <v>0</v>
      </c>
      <c r="AC852" s="117">
        <f t="shared" si="1064"/>
        <v>0</v>
      </c>
      <c r="AD852" s="117">
        <f t="shared" si="1064"/>
        <v>0</v>
      </c>
      <c r="AE852" s="117">
        <f t="shared" si="1065"/>
        <v>0</v>
      </c>
      <c r="AF852" s="117">
        <f t="shared" si="1066"/>
        <v>0</v>
      </c>
      <c r="AG852" s="117">
        <f t="shared" si="1066"/>
        <v>0</v>
      </c>
      <c r="AH852" s="117">
        <f t="shared" si="1066"/>
        <v>0</v>
      </c>
      <c r="AI852" s="117">
        <f t="shared" si="1067"/>
        <v>0</v>
      </c>
      <c r="AJ852" s="117">
        <f t="shared" si="1068"/>
        <v>0</v>
      </c>
      <c r="AK852" s="117">
        <f t="shared" si="1068"/>
        <v>0</v>
      </c>
      <c r="AL852" s="117">
        <f t="shared" si="1068"/>
        <v>0</v>
      </c>
      <c r="AM852" s="117">
        <f t="shared" si="1069"/>
        <v>0</v>
      </c>
      <c r="AN852" s="117">
        <f t="shared" si="1070"/>
        <v>0</v>
      </c>
      <c r="AO852" s="117">
        <f t="shared" si="1070"/>
        <v>0</v>
      </c>
      <c r="AP852" s="117">
        <f t="shared" si="1070"/>
        <v>0</v>
      </c>
      <c r="AQ852" s="117">
        <f t="shared" si="1071"/>
        <v>0</v>
      </c>
      <c r="AR852" s="117">
        <f t="shared" si="1072"/>
        <v>0</v>
      </c>
      <c r="AS852" s="117">
        <f t="shared" si="1072"/>
        <v>0</v>
      </c>
      <c r="AT852" s="117">
        <f t="shared" si="1072"/>
        <v>0</v>
      </c>
      <c r="AU852" s="117">
        <f t="shared" si="1073"/>
        <v>0</v>
      </c>
      <c r="AV852" s="117">
        <f t="shared" si="1074"/>
        <v>0</v>
      </c>
      <c r="AW852" s="117">
        <f t="shared" si="1074"/>
        <v>0</v>
      </c>
      <c r="AX852" s="117">
        <f t="shared" si="1074"/>
        <v>0</v>
      </c>
      <c r="AY852" s="273">
        <f t="shared" si="1075"/>
        <v>0</v>
      </c>
      <c r="AZ852" s="37"/>
      <c r="BA852" s="37"/>
      <c r="BB852" s="37"/>
      <c r="BC852" s="37"/>
      <c r="BD852" s="37"/>
      <c r="BE852" s="37"/>
      <c r="BF852" s="37"/>
      <c r="BG852" s="37"/>
      <c r="BH852" s="876">
        <f t="shared" ref="BH852:BW852" si="1087">BH783</f>
        <v>51</v>
      </c>
      <c r="BI852" s="876">
        <f t="shared" si="1087"/>
        <v>115</v>
      </c>
      <c r="BJ852" s="876">
        <f t="shared" si="1087"/>
        <v>433</v>
      </c>
      <c r="BK852" s="876">
        <f t="shared" si="1087"/>
        <v>1033</v>
      </c>
      <c r="BL852" s="876">
        <f t="shared" si="1087"/>
        <v>609</v>
      </c>
      <c r="BM852" s="876">
        <f t="shared" si="1087"/>
        <v>1869</v>
      </c>
      <c r="BN852" s="876">
        <f t="shared" si="1087"/>
        <v>1721</v>
      </c>
      <c r="BO852" s="876">
        <f t="shared" si="1087"/>
        <v>0</v>
      </c>
      <c r="BP852" s="876">
        <f t="shared" si="1087"/>
        <v>0</v>
      </c>
      <c r="BQ852" s="876">
        <f t="shared" si="1087"/>
        <v>0</v>
      </c>
      <c r="BR852" s="876">
        <f t="shared" si="1087"/>
        <v>0</v>
      </c>
      <c r="BS852" s="876">
        <f t="shared" si="1087"/>
        <v>0</v>
      </c>
      <c r="BT852" s="876">
        <f t="shared" si="1087"/>
        <v>0</v>
      </c>
      <c r="BU852" s="876">
        <f t="shared" si="1087"/>
        <v>0</v>
      </c>
      <c r="BV852" s="876">
        <f t="shared" si="1087"/>
        <v>0</v>
      </c>
      <c r="BW852" s="915">
        <f t="shared" si="1087"/>
        <v>0</v>
      </c>
      <c r="BX852" s="158">
        <f t="shared" si="1077"/>
        <v>0</v>
      </c>
      <c r="BY852" s="158">
        <f t="shared" si="1078"/>
        <v>0</v>
      </c>
      <c r="BZ852" s="158"/>
      <c r="CA852" s="158"/>
      <c r="CB852" s="158"/>
      <c r="CC852" s="117"/>
    </row>
    <row r="853" spans="1:81" x14ac:dyDescent="0.55000000000000004">
      <c r="A853" s="86" t="str">
        <f t="shared" si="1050"/>
        <v>Repurchases of Class A common stock</v>
      </c>
      <c r="B853" s="37"/>
      <c r="C853" s="37">
        <f t="shared" si="1051"/>
        <v>0</v>
      </c>
      <c r="D853" s="37">
        <f t="shared" si="1052"/>
        <v>0</v>
      </c>
      <c r="E853" s="37">
        <f t="shared" si="1052"/>
        <v>0</v>
      </c>
      <c r="F853" s="37">
        <f t="shared" si="1052"/>
        <v>0</v>
      </c>
      <c r="G853" s="37">
        <f t="shared" si="1053"/>
        <v>0</v>
      </c>
      <c r="H853" s="37">
        <f t="shared" si="1054"/>
        <v>0</v>
      </c>
      <c r="I853" s="37">
        <f t="shared" si="1054"/>
        <v>0</v>
      </c>
      <c r="J853" s="37">
        <f t="shared" si="1054"/>
        <v>0</v>
      </c>
      <c r="K853" s="37">
        <f t="shared" si="1055"/>
        <v>0</v>
      </c>
      <c r="L853" s="37">
        <f t="shared" si="1056"/>
        <v>0</v>
      </c>
      <c r="M853" s="37">
        <f t="shared" si="1056"/>
        <v>0</v>
      </c>
      <c r="N853" s="37">
        <f t="shared" si="1056"/>
        <v>0</v>
      </c>
      <c r="O853" s="37">
        <f t="shared" si="1057"/>
        <v>0</v>
      </c>
      <c r="P853" s="37">
        <f t="shared" si="1058"/>
        <v>0</v>
      </c>
      <c r="Q853" s="37">
        <f t="shared" si="1058"/>
        <v>0</v>
      </c>
      <c r="R853" s="37">
        <f t="shared" si="1058"/>
        <v>0</v>
      </c>
      <c r="S853" s="37">
        <f t="shared" si="1059"/>
        <v>-228</v>
      </c>
      <c r="T853" s="37">
        <f t="shared" si="1060"/>
        <v>-150</v>
      </c>
      <c r="U853" s="37">
        <f t="shared" si="1060"/>
        <v>-640</v>
      </c>
      <c r="V853" s="37">
        <f t="shared" si="1060"/>
        <v>-958</v>
      </c>
      <c r="W853" s="37">
        <f t="shared" si="1061"/>
        <v>-1774</v>
      </c>
      <c r="X853" s="37">
        <f t="shared" si="1062"/>
        <v>-3349</v>
      </c>
      <c r="Y853" s="37">
        <f t="shared" si="1062"/>
        <v>-4256</v>
      </c>
      <c r="Z853" s="37">
        <f t="shared" si="1062"/>
        <v>-3500</v>
      </c>
      <c r="AA853" s="37">
        <f t="shared" si="1063"/>
        <v>-613</v>
      </c>
      <c r="AB853" s="37">
        <f t="shared" si="1064"/>
        <v>-1145</v>
      </c>
      <c r="AC853" s="37">
        <f t="shared" si="1064"/>
        <v>-1148</v>
      </c>
      <c r="AD853" s="37">
        <f t="shared" si="1064"/>
        <v>-1296</v>
      </c>
      <c r="AE853" s="37">
        <f t="shared" si="1065"/>
        <v>-1250</v>
      </c>
      <c r="AF853" s="37">
        <f t="shared" si="1066"/>
        <v>-1368</v>
      </c>
      <c r="AG853" s="37">
        <f t="shared" si="1066"/>
        <v>-1725</v>
      </c>
      <c r="AH853" s="37">
        <f t="shared" si="1066"/>
        <v>-1929</v>
      </c>
      <c r="AI853" s="37">
        <f t="shared" si="1067"/>
        <v>-3939</v>
      </c>
      <c r="AJ853" s="37">
        <f t="shared" si="1068"/>
        <v>-7079</v>
      </c>
      <c r="AK853" s="37">
        <f t="shared" si="1068"/>
        <v>-13458</v>
      </c>
      <c r="AL853" s="37">
        <f t="shared" si="1068"/>
        <v>-20061</v>
      </c>
      <c r="AM853" s="37">
        <f t="shared" si="1069"/>
        <v>-9506</v>
      </c>
      <c r="AN853" s="37">
        <f t="shared" si="1070"/>
        <v>-5233</v>
      </c>
      <c r="AO853" s="37">
        <f t="shared" si="1070"/>
        <v>-6354</v>
      </c>
      <c r="AP853" s="37">
        <f t="shared" si="1070"/>
        <v>-6863</v>
      </c>
      <c r="AQ853" s="37">
        <f t="shared" si="1071"/>
        <v>-9365</v>
      </c>
      <c r="AR853" s="37">
        <f t="shared" si="1072"/>
        <v>-898</v>
      </c>
      <c r="AS853" s="37">
        <f t="shared" si="1072"/>
        <v>-3569</v>
      </c>
      <c r="AT853" s="37">
        <f t="shared" si="1072"/>
        <v>-5942</v>
      </c>
      <c r="AU853" s="37">
        <f t="shared" si="1073"/>
        <v>-15008</v>
      </c>
      <c r="AV853" s="37">
        <f t="shared" si="1074"/>
        <v>-6299</v>
      </c>
      <c r="AW853" s="37">
        <f t="shared" si="1074"/>
        <v>-8818</v>
      </c>
      <c r="AX853" s="37">
        <f t="shared" si="1074"/>
        <v>0</v>
      </c>
      <c r="AY853" s="273">
        <f t="shared" si="1075"/>
        <v>-12754</v>
      </c>
      <c r="AZ853" s="37">
        <f t="shared" ref="AZ853:BF853" si="1088">AZ674</f>
        <v>-2000</v>
      </c>
      <c r="BA853" s="37">
        <f t="shared" si="1088"/>
        <v>-2000</v>
      </c>
      <c r="BB853" s="37">
        <f t="shared" si="1088"/>
        <v>-2000</v>
      </c>
      <c r="BC853" s="37">
        <f t="shared" si="1088"/>
        <v>0</v>
      </c>
      <c r="BD853" s="37">
        <f t="shared" si="1088"/>
        <v>0</v>
      </c>
      <c r="BE853" s="37">
        <f t="shared" si="1088"/>
        <v>0</v>
      </c>
      <c r="BF853" s="37">
        <f t="shared" si="1088"/>
        <v>0</v>
      </c>
      <c r="BG853" s="37"/>
      <c r="BH853" s="158">
        <f t="shared" ref="BH853:BW853" si="1089">BH784</f>
        <v>0</v>
      </c>
      <c r="BI853" s="158">
        <f t="shared" si="1089"/>
        <v>0</v>
      </c>
      <c r="BJ853" s="158">
        <f t="shared" si="1089"/>
        <v>0</v>
      </c>
      <c r="BK853" s="158">
        <f t="shared" si="1089"/>
        <v>0</v>
      </c>
      <c r="BL853" s="158">
        <f t="shared" si="1089"/>
        <v>0</v>
      </c>
      <c r="BM853" s="158">
        <f t="shared" si="1089"/>
        <v>0</v>
      </c>
      <c r="BN853" s="158">
        <f t="shared" si="1089"/>
        <v>0</v>
      </c>
      <c r="BO853" s="158">
        <f t="shared" si="1089"/>
        <v>0</v>
      </c>
      <c r="BP853" s="158">
        <f t="shared" si="1089"/>
        <v>-1976</v>
      </c>
      <c r="BQ853" s="158">
        <f t="shared" si="1089"/>
        <v>-12879</v>
      </c>
      <c r="BR853" s="158">
        <f t="shared" si="1089"/>
        <v>-4202</v>
      </c>
      <c r="BS853" s="158">
        <f t="shared" si="1089"/>
        <v>-6272</v>
      </c>
      <c r="BT853" s="158">
        <f t="shared" si="1089"/>
        <v>-44537</v>
      </c>
      <c r="BU853" s="158">
        <f t="shared" si="1089"/>
        <v>-27956</v>
      </c>
      <c r="BV853" s="158">
        <f t="shared" si="1089"/>
        <v>-19774</v>
      </c>
      <c r="BW853" s="846">
        <f t="shared" si="1089"/>
        <v>-30125</v>
      </c>
      <c r="BX853" s="158">
        <f t="shared" si="1077"/>
        <v>-18754</v>
      </c>
      <c r="BY853" s="158">
        <f t="shared" si="1078"/>
        <v>0</v>
      </c>
      <c r="BZ853" s="158">
        <f>BZ674</f>
        <v>-10000</v>
      </c>
      <c r="CA853" s="158">
        <f>CA674</f>
        <v>-10000</v>
      </c>
      <c r="CB853" s="158">
        <f>CB674</f>
        <v>-10000</v>
      </c>
      <c r="CC853" s="117"/>
    </row>
    <row r="854" spans="1:81" x14ac:dyDescent="0.55000000000000004">
      <c r="A854" s="116" t="str">
        <f t="shared" si="1050"/>
        <v>Net change in overdraft in cash pooling entities</v>
      </c>
      <c r="B854" s="37"/>
      <c r="C854" s="117">
        <f t="shared" si="1051"/>
        <v>0</v>
      </c>
      <c r="D854" s="117">
        <f t="shared" si="1052"/>
        <v>0</v>
      </c>
      <c r="E854" s="117">
        <f t="shared" si="1052"/>
        <v>0</v>
      </c>
      <c r="F854" s="117">
        <f t="shared" si="1052"/>
        <v>0</v>
      </c>
      <c r="G854" s="117">
        <f t="shared" si="1053"/>
        <v>0</v>
      </c>
      <c r="H854" s="117">
        <f t="shared" si="1054"/>
        <v>0</v>
      </c>
      <c r="I854" s="117">
        <f t="shared" si="1054"/>
        <v>0</v>
      </c>
      <c r="J854" s="117">
        <f t="shared" si="1054"/>
        <v>0</v>
      </c>
      <c r="K854" s="117">
        <f t="shared" si="1055"/>
        <v>0</v>
      </c>
      <c r="L854" s="117">
        <f t="shared" si="1056"/>
        <v>0</v>
      </c>
      <c r="M854" s="117">
        <f t="shared" si="1056"/>
        <v>0</v>
      </c>
      <c r="N854" s="117">
        <f t="shared" si="1056"/>
        <v>0</v>
      </c>
      <c r="O854" s="117">
        <f t="shared" si="1057"/>
        <v>0</v>
      </c>
      <c r="P854" s="117">
        <f t="shared" si="1058"/>
        <v>0</v>
      </c>
      <c r="Q854" s="117">
        <f t="shared" si="1058"/>
        <v>0</v>
      </c>
      <c r="R854" s="117">
        <f t="shared" si="1058"/>
        <v>0</v>
      </c>
      <c r="S854" s="117">
        <f t="shared" si="1059"/>
        <v>0</v>
      </c>
      <c r="T854" s="117">
        <f t="shared" si="1060"/>
        <v>0</v>
      </c>
      <c r="U854" s="117">
        <f t="shared" si="1060"/>
        <v>0</v>
      </c>
      <c r="V854" s="117">
        <f t="shared" si="1060"/>
        <v>0</v>
      </c>
      <c r="W854" s="117">
        <f t="shared" si="1061"/>
        <v>0</v>
      </c>
      <c r="X854" s="117">
        <f t="shared" si="1062"/>
        <v>0</v>
      </c>
      <c r="Y854" s="117">
        <f t="shared" si="1062"/>
        <v>0</v>
      </c>
      <c r="Z854" s="117">
        <f t="shared" si="1062"/>
        <v>500</v>
      </c>
      <c r="AA854" s="117">
        <f t="shared" si="1063"/>
        <v>-177</v>
      </c>
      <c r="AB854" s="117">
        <f t="shared" si="1064"/>
        <v>58</v>
      </c>
      <c r="AC854" s="117">
        <f t="shared" si="1064"/>
        <v>-141</v>
      </c>
      <c r="AD854" s="117">
        <f t="shared" si="1064"/>
        <v>37</v>
      </c>
      <c r="AE854" s="117">
        <f t="shared" si="1065"/>
        <v>-80</v>
      </c>
      <c r="AF854" s="117">
        <f t="shared" si="1066"/>
        <v>63</v>
      </c>
      <c r="AG854" s="117">
        <f t="shared" si="1066"/>
        <v>-7</v>
      </c>
      <c r="AH854" s="117">
        <f t="shared" si="1066"/>
        <v>48</v>
      </c>
      <c r="AI854" s="117">
        <f t="shared" si="1067"/>
        <v>-50</v>
      </c>
      <c r="AJ854" s="117">
        <f t="shared" si="1068"/>
        <v>53</v>
      </c>
      <c r="AK854" s="117">
        <f t="shared" si="1068"/>
        <v>12</v>
      </c>
      <c r="AL854" s="117">
        <f t="shared" si="1068"/>
        <v>-1</v>
      </c>
      <c r="AM854" s="117">
        <f t="shared" si="1069"/>
        <v>20</v>
      </c>
      <c r="AN854" s="117">
        <f t="shared" si="1070"/>
        <v>-79</v>
      </c>
      <c r="AO854" s="117">
        <f t="shared" si="1070"/>
        <v>-191</v>
      </c>
      <c r="AP854" s="117">
        <f t="shared" si="1070"/>
        <v>250</v>
      </c>
      <c r="AQ854" s="117">
        <f t="shared" si="1071"/>
        <v>0</v>
      </c>
      <c r="AR854" s="117">
        <f t="shared" si="1072"/>
        <v>0</v>
      </c>
      <c r="AS854" s="117">
        <f t="shared" si="1072"/>
        <v>0</v>
      </c>
      <c r="AT854" s="117">
        <f t="shared" si="1072"/>
        <v>0</v>
      </c>
      <c r="AU854" s="117">
        <f t="shared" si="1073"/>
        <v>0</v>
      </c>
      <c r="AV854" s="117">
        <f t="shared" si="1074"/>
        <v>0</v>
      </c>
      <c r="AW854" s="117">
        <f t="shared" si="1074"/>
        <v>0</v>
      </c>
      <c r="AX854" s="117">
        <f t="shared" si="1074"/>
        <v>0</v>
      </c>
      <c r="AY854" s="273">
        <f t="shared" si="1075"/>
        <v>0</v>
      </c>
      <c r="AZ854" s="37"/>
      <c r="BA854" s="37"/>
      <c r="BB854" s="37"/>
      <c r="BC854" s="37"/>
      <c r="BD854" s="37"/>
      <c r="BE854" s="37"/>
      <c r="BF854" s="37"/>
      <c r="BG854" s="37"/>
      <c r="BH854" s="876">
        <f t="shared" ref="BH854:BW854" si="1090">BH785</f>
        <v>0</v>
      </c>
      <c r="BI854" s="876">
        <f t="shared" si="1090"/>
        <v>0</v>
      </c>
      <c r="BJ854" s="876">
        <f t="shared" si="1090"/>
        <v>0</v>
      </c>
      <c r="BK854" s="876">
        <f t="shared" si="1090"/>
        <v>0</v>
      </c>
      <c r="BL854" s="876">
        <f t="shared" si="1090"/>
        <v>0</v>
      </c>
      <c r="BM854" s="876">
        <f t="shared" si="1090"/>
        <v>0</v>
      </c>
      <c r="BN854" s="876">
        <f t="shared" si="1090"/>
        <v>0</v>
      </c>
      <c r="BO854" s="876">
        <f t="shared" si="1090"/>
        <v>0</v>
      </c>
      <c r="BP854" s="876">
        <f t="shared" si="1090"/>
        <v>0</v>
      </c>
      <c r="BQ854" s="876">
        <f t="shared" si="1090"/>
        <v>500</v>
      </c>
      <c r="BR854" s="876">
        <f t="shared" si="1090"/>
        <v>-223</v>
      </c>
      <c r="BS854" s="876">
        <f t="shared" si="1090"/>
        <v>24</v>
      </c>
      <c r="BT854" s="876">
        <f t="shared" si="1090"/>
        <v>14</v>
      </c>
      <c r="BU854" s="876">
        <f t="shared" si="1090"/>
        <v>0</v>
      </c>
      <c r="BV854" s="876">
        <f t="shared" si="1090"/>
        <v>0</v>
      </c>
      <c r="BW854" s="915">
        <f t="shared" si="1090"/>
        <v>0</v>
      </c>
      <c r="BX854" s="158">
        <f t="shared" si="1077"/>
        <v>0</v>
      </c>
      <c r="BY854" s="158">
        <f t="shared" si="1078"/>
        <v>0</v>
      </c>
      <c r="BZ854" s="158"/>
      <c r="CA854" s="158"/>
      <c r="CB854" s="158"/>
      <c r="CC854" s="117"/>
    </row>
    <row r="855" spans="1:81" x14ac:dyDescent="0.55000000000000004">
      <c r="A855" s="116" t="str">
        <f t="shared" si="1050"/>
        <v>Dividends paid</v>
      </c>
      <c r="B855" s="37"/>
      <c r="C855" s="117">
        <f t="shared" si="1051"/>
        <v>0</v>
      </c>
      <c r="D855" s="117">
        <f t="shared" si="1052"/>
        <v>0</v>
      </c>
      <c r="E855" s="117">
        <f t="shared" si="1052"/>
        <v>0</v>
      </c>
      <c r="F855" s="117">
        <f t="shared" si="1052"/>
        <v>0</v>
      </c>
      <c r="G855" s="117">
        <f t="shared" si="1053"/>
        <v>0</v>
      </c>
      <c r="H855" s="117">
        <f t="shared" si="1054"/>
        <v>0</v>
      </c>
      <c r="I855" s="117">
        <f t="shared" si="1054"/>
        <v>0</v>
      </c>
      <c r="J855" s="117">
        <f t="shared" si="1054"/>
        <v>0</v>
      </c>
      <c r="K855" s="117">
        <f t="shared" si="1055"/>
        <v>0</v>
      </c>
      <c r="L855" s="117">
        <f t="shared" si="1056"/>
        <v>0</v>
      </c>
      <c r="M855" s="117">
        <f t="shared" si="1056"/>
        <v>0</v>
      </c>
      <c r="N855" s="117">
        <f t="shared" si="1056"/>
        <v>0</v>
      </c>
      <c r="O855" s="117">
        <f t="shared" si="1057"/>
        <v>0</v>
      </c>
      <c r="P855" s="117">
        <f t="shared" si="1058"/>
        <v>0</v>
      </c>
      <c r="Q855" s="117">
        <f t="shared" si="1058"/>
        <v>0</v>
      </c>
      <c r="R855" s="117">
        <f t="shared" si="1058"/>
        <v>0</v>
      </c>
      <c r="S855" s="117">
        <f t="shared" si="1059"/>
        <v>0</v>
      </c>
      <c r="T855" s="117">
        <f t="shared" si="1060"/>
        <v>0</v>
      </c>
      <c r="U855" s="117">
        <f t="shared" si="1060"/>
        <v>0</v>
      </c>
      <c r="V855" s="117">
        <f t="shared" si="1060"/>
        <v>0</v>
      </c>
      <c r="W855" s="117">
        <f t="shared" si="1061"/>
        <v>0</v>
      </c>
      <c r="X855" s="117">
        <f t="shared" si="1062"/>
        <v>0</v>
      </c>
      <c r="Y855" s="117">
        <f t="shared" si="1062"/>
        <v>0</v>
      </c>
      <c r="Z855" s="117">
        <f t="shared" si="1062"/>
        <v>0</v>
      </c>
      <c r="AA855" s="117">
        <f t="shared" si="1063"/>
        <v>0</v>
      </c>
      <c r="AB855" s="117">
        <f t="shared" si="1064"/>
        <v>0</v>
      </c>
      <c r="AC855" s="117">
        <f t="shared" si="1064"/>
        <v>0</v>
      </c>
      <c r="AD855" s="117">
        <f t="shared" si="1064"/>
        <v>0</v>
      </c>
      <c r="AE855" s="117">
        <f t="shared" si="1065"/>
        <v>0</v>
      </c>
      <c r="AF855" s="117">
        <f t="shared" si="1066"/>
        <v>0</v>
      </c>
      <c r="AG855" s="117">
        <f t="shared" si="1066"/>
        <v>0</v>
      </c>
      <c r="AH855" s="117">
        <f t="shared" si="1066"/>
        <v>0</v>
      </c>
      <c r="AI855" s="117">
        <f t="shared" si="1067"/>
        <v>0</v>
      </c>
      <c r="AJ855" s="117">
        <f t="shared" si="1068"/>
        <v>0</v>
      </c>
      <c r="AK855" s="117">
        <f t="shared" si="1068"/>
        <v>0</v>
      </c>
      <c r="AL855" s="117">
        <f t="shared" si="1068"/>
        <v>0</v>
      </c>
      <c r="AM855" s="117">
        <f t="shared" si="1069"/>
        <v>0</v>
      </c>
      <c r="AN855" s="117">
        <f t="shared" si="1070"/>
        <v>0</v>
      </c>
      <c r="AO855" s="117">
        <f t="shared" si="1070"/>
        <v>0</v>
      </c>
      <c r="AP855" s="117">
        <f t="shared" si="1070"/>
        <v>0</v>
      </c>
      <c r="AQ855" s="117">
        <f t="shared" si="1071"/>
        <v>0</v>
      </c>
      <c r="AR855" s="117">
        <f t="shared" si="1072"/>
        <v>0</v>
      </c>
      <c r="AS855" s="117">
        <f t="shared" si="1072"/>
        <v>0</v>
      </c>
      <c r="AT855" s="117">
        <f t="shared" si="1072"/>
        <v>0</v>
      </c>
      <c r="AU855" s="117">
        <f t="shared" si="1073"/>
        <v>-1273</v>
      </c>
      <c r="AV855" s="117">
        <f t="shared" si="1074"/>
        <v>-1266</v>
      </c>
      <c r="AW855" s="117">
        <f t="shared" si="1074"/>
        <v>-1263</v>
      </c>
      <c r="AX855" s="117">
        <f t="shared" si="1074"/>
        <v>-1270</v>
      </c>
      <c r="AY855" s="273">
        <f t="shared" si="1075"/>
        <v>-1329</v>
      </c>
      <c r="AZ855" s="37">
        <f t="shared" ref="AZ855:BF855" ca="1" si="1091">AZ670</f>
        <v>-1259.3233550295859</v>
      </c>
      <c r="BA855" s="37">
        <f t="shared" ca="1" si="1091"/>
        <v>-1257.9699974242603</v>
      </c>
      <c r="BB855" s="37">
        <f t="shared" ca="1" si="1091"/>
        <v>-1256.6165044831741</v>
      </c>
      <c r="BC855" s="37">
        <f t="shared" ca="1" si="1091"/>
        <v>-1256.0025211632083</v>
      </c>
      <c r="BD855" s="37">
        <f t="shared" ca="1" si="1091"/>
        <v>-1256.1281214153246</v>
      </c>
      <c r="BE855" s="37">
        <f t="shared" ca="1" si="1091"/>
        <v>-1256.2537342274659</v>
      </c>
      <c r="BF855" s="37">
        <f t="shared" ca="1" si="1091"/>
        <v>-1256.3793596008886</v>
      </c>
      <c r="BG855" s="37"/>
      <c r="BH855" s="876">
        <f t="shared" ref="BH855:BW855" si="1092">BH786</f>
        <v>0</v>
      </c>
      <c r="BI855" s="876">
        <f t="shared" si="1092"/>
        <v>0</v>
      </c>
      <c r="BJ855" s="876">
        <f t="shared" si="1092"/>
        <v>0</v>
      </c>
      <c r="BK855" s="876">
        <f t="shared" si="1092"/>
        <v>0</v>
      </c>
      <c r="BL855" s="876">
        <f t="shared" si="1092"/>
        <v>0</v>
      </c>
      <c r="BM855" s="876">
        <f t="shared" si="1092"/>
        <v>0</v>
      </c>
      <c r="BN855" s="876">
        <f t="shared" si="1092"/>
        <v>0</v>
      </c>
      <c r="BO855" s="876">
        <f t="shared" si="1092"/>
        <v>0</v>
      </c>
      <c r="BP855" s="876">
        <f t="shared" si="1092"/>
        <v>0</v>
      </c>
      <c r="BQ855" s="876">
        <f t="shared" si="1092"/>
        <v>0</v>
      </c>
      <c r="BR855" s="876">
        <f t="shared" si="1092"/>
        <v>0</v>
      </c>
      <c r="BS855" s="876">
        <f t="shared" si="1092"/>
        <v>0</v>
      </c>
      <c r="BT855" s="876">
        <f t="shared" si="1092"/>
        <v>0</v>
      </c>
      <c r="BU855" s="876">
        <f t="shared" si="1092"/>
        <v>0</v>
      </c>
      <c r="BV855" s="876">
        <f t="shared" si="1092"/>
        <v>0</v>
      </c>
      <c r="BW855" s="915">
        <f t="shared" si="1092"/>
        <v>-5072</v>
      </c>
      <c r="BX855" s="158">
        <f t="shared" ca="1" si="1077"/>
        <v>-5102.9098569370199</v>
      </c>
      <c r="BY855" s="158">
        <f t="shared" ca="1" si="1078"/>
        <v>-5024.7637364068869</v>
      </c>
      <c r="BZ855" s="158">
        <f ca="1">BZ670</f>
        <v>-1253.6372291443367</v>
      </c>
      <c r="CA855" s="158">
        <f ca="1">CA670</f>
        <v>-1248.30467153939</v>
      </c>
      <c r="CB855" s="158">
        <f ca="1">CB670</f>
        <v>-1243.5009631049752</v>
      </c>
      <c r="CC855" s="117"/>
    </row>
    <row r="856" spans="1:81" x14ac:dyDescent="0.55000000000000004">
      <c r="A856" s="18" t="str">
        <f t="shared" si="1050"/>
        <v>Other financing activities, net</v>
      </c>
      <c r="B856" s="82"/>
      <c r="C856" s="14">
        <f t="shared" si="1051"/>
        <v>0</v>
      </c>
      <c r="D856" s="14">
        <f t="shared" si="1052"/>
        <v>0</v>
      </c>
      <c r="E856" s="14">
        <f t="shared" si="1052"/>
        <v>0</v>
      </c>
      <c r="F856" s="14">
        <f t="shared" si="1052"/>
        <v>0</v>
      </c>
      <c r="G856" s="14">
        <f t="shared" si="1053"/>
        <v>0</v>
      </c>
      <c r="H856" s="14">
        <f t="shared" si="1054"/>
        <v>0</v>
      </c>
      <c r="I856" s="14">
        <f t="shared" si="1054"/>
        <v>0</v>
      </c>
      <c r="J856" s="14">
        <f t="shared" si="1054"/>
        <v>0</v>
      </c>
      <c r="K856" s="14">
        <f t="shared" si="1055"/>
        <v>-5</v>
      </c>
      <c r="L856" s="14">
        <f t="shared" si="1056"/>
        <v>5</v>
      </c>
      <c r="M856" s="14">
        <f t="shared" si="1056"/>
        <v>0</v>
      </c>
      <c r="N856" s="14">
        <f t="shared" si="1056"/>
        <v>0</v>
      </c>
      <c r="O856" s="14">
        <f t="shared" si="1057"/>
        <v>2</v>
      </c>
      <c r="P856" s="14">
        <f t="shared" si="1058"/>
        <v>4</v>
      </c>
      <c r="Q856" s="14">
        <f t="shared" si="1058"/>
        <v>-2</v>
      </c>
      <c r="R856" s="14">
        <f t="shared" si="1058"/>
        <v>4</v>
      </c>
      <c r="S856" s="14">
        <f t="shared" si="1059"/>
        <v>7</v>
      </c>
      <c r="T856" s="14">
        <f t="shared" si="1060"/>
        <v>5</v>
      </c>
      <c r="U856" s="14">
        <f t="shared" si="1060"/>
        <v>-26</v>
      </c>
      <c r="V856" s="14">
        <f t="shared" si="1060"/>
        <v>1</v>
      </c>
      <c r="W856" s="14">
        <f t="shared" si="1061"/>
        <v>3</v>
      </c>
      <c r="X856" s="14">
        <f t="shared" si="1062"/>
        <v>4</v>
      </c>
      <c r="Y856" s="14">
        <f t="shared" si="1062"/>
        <v>4</v>
      </c>
      <c r="Z856" s="14">
        <f t="shared" si="1062"/>
        <v>4</v>
      </c>
      <c r="AA856" s="14">
        <f t="shared" si="1063"/>
        <v>4</v>
      </c>
      <c r="AB856" s="14">
        <f t="shared" si="1064"/>
        <v>5</v>
      </c>
      <c r="AC856" s="14">
        <f t="shared" si="1064"/>
        <v>5</v>
      </c>
      <c r="AD856" s="14">
        <f t="shared" si="1064"/>
        <v>1</v>
      </c>
      <c r="AE856" s="14">
        <f t="shared" si="1065"/>
        <v>98</v>
      </c>
      <c r="AF856" s="14">
        <f t="shared" si="1066"/>
        <v>16</v>
      </c>
      <c r="AG856" s="14">
        <f t="shared" si="1066"/>
        <v>10</v>
      </c>
      <c r="AH856" s="14">
        <f t="shared" si="1066"/>
        <v>0</v>
      </c>
      <c r="AI856" s="14">
        <f t="shared" si="1067"/>
        <v>32</v>
      </c>
      <c r="AJ856" s="14">
        <f t="shared" si="1068"/>
        <v>-45</v>
      </c>
      <c r="AK856" s="14">
        <f t="shared" si="1068"/>
        <v>0</v>
      </c>
      <c r="AL856" s="14">
        <f t="shared" si="1068"/>
        <v>0</v>
      </c>
      <c r="AM856" s="14">
        <f t="shared" si="1069"/>
        <v>-16</v>
      </c>
      <c r="AN856" s="14">
        <f t="shared" si="1070"/>
        <v>-30</v>
      </c>
      <c r="AO856" s="14">
        <f t="shared" si="1070"/>
        <v>-55</v>
      </c>
      <c r="AP856" s="14">
        <f t="shared" si="1070"/>
        <v>445</v>
      </c>
      <c r="AQ856" s="14">
        <f t="shared" si="1071"/>
        <v>122</v>
      </c>
      <c r="AR856" s="14">
        <f t="shared" si="1072"/>
        <v>-353</v>
      </c>
      <c r="AS856" s="14">
        <f t="shared" si="1072"/>
        <v>49</v>
      </c>
      <c r="AT856" s="14">
        <f t="shared" si="1072"/>
        <v>71</v>
      </c>
      <c r="AU856" s="14">
        <f t="shared" si="1073"/>
        <v>-9</v>
      </c>
      <c r="AV856" s="14">
        <f t="shared" si="1074"/>
        <v>-106</v>
      </c>
      <c r="AW856" s="14">
        <f t="shared" si="1074"/>
        <v>-235</v>
      </c>
      <c r="AX856" s="14">
        <f t="shared" si="1074"/>
        <v>73</v>
      </c>
      <c r="AY856" s="406">
        <f t="shared" si="1075"/>
        <v>222</v>
      </c>
      <c r="AZ856" s="82"/>
      <c r="BA856" s="82"/>
      <c r="BB856" s="82"/>
      <c r="BC856" s="82"/>
      <c r="BD856" s="82"/>
      <c r="BE856" s="82"/>
      <c r="BF856" s="82"/>
      <c r="BG856" s="82"/>
      <c r="BH856" s="877">
        <f t="shared" ref="BH856:BW856" si="1093">BH787</f>
        <v>0</v>
      </c>
      <c r="BI856" s="877">
        <f t="shared" si="1093"/>
        <v>0</v>
      </c>
      <c r="BJ856" s="877">
        <f t="shared" si="1093"/>
        <v>0</v>
      </c>
      <c r="BK856" s="877">
        <f t="shared" si="1093"/>
        <v>0</v>
      </c>
      <c r="BL856" s="877">
        <f t="shared" si="1093"/>
        <v>0</v>
      </c>
      <c r="BM856" s="877">
        <f t="shared" si="1093"/>
        <v>0</v>
      </c>
      <c r="BN856" s="877">
        <f t="shared" si="1093"/>
        <v>0</v>
      </c>
      <c r="BO856" s="877">
        <f t="shared" si="1093"/>
        <v>8</v>
      </c>
      <c r="BP856" s="877">
        <f t="shared" si="1093"/>
        <v>-13</v>
      </c>
      <c r="BQ856" s="877">
        <f t="shared" si="1093"/>
        <v>15</v>
      </c>
      <c r="BR856" s="877">
        <f t="shared" si="1093"/>
        <v>15</v>
      </c>
      <c r="BS856" s="877">
        <f t="shared" si="1093"/>
        <v>124</v>
      </c>
      <c r="BT856" s="877">
        <f t="shared" si="1093"/>
        <v>-13</v>
      </c>
      <c r="BU856" s="877">
        <f t="shared" si="1093"/>
        <v>344</v>
      </c>
      <c r="BV856" s="877">
        <f t="shared" si="1093"/>
        <v>-111</v>
      </c>
      <c r="BW856" s="913">
        <f t="shared" si="1093"/>
        <v>-277</v>
      </c>
      <c r="BX856" s="854">
        <f t="shared" si="1077"/>
        <v>222</v>
      </c>
      <c r="BY856" s="854">
        <f t="shared" si="1078"/>
        <v>0</v>
      </c>
      <c r="BZ856" s="854"/>
      <c r="CA856" s="854"/>
      <c r="CB856" s="854"/>
      <c r="CC856" s="117"/>
    </row>
    <row r="857" spans="1:81" x14ac:dyDescent="0.55000000000000004">
      <c r="A857" s="20" t="str">
        <f t="shared" si="1050"/>
        <v>Net CFF</v>
      </c>
      <c r="B857" s="195"/>
      <c r="C857" s="5">
        <f t="shared" ref="C857:AH857" si="1094">SUM(C844:C856)</f>
        <v>-444</v>
      </c>
      <c r="D857" s="5">
        <f t="shared" si="1094"/>
        <v>-149</v>
      </c>
      <c r="E857" s="5">
        <f t="shared" si="1094"/>
        <v>-1599</v>
      </c>
      <c r="F857" s="5">
        <f t="shared" si="1094"/>
        <v>1525</v>
      </c>
      <c r="G857" s="5">
        <f t="shared" si="1094"/>
        <v>262</v>
      </c>
      <c r="H857" s="5">
        <f t="shared" si="1094"/>
        <v>470</v>
      </c>
      <c r="I857" s="5">
        <f t="shared" si="1094"/>
        <v>438</v>
      </c>
      <c r="J857" s="5">
        <f t="shared" si="1094"/>
        <v>401</v>
      </c>
      <c r="K857" s="5">
        <f t="shared" si="1094"/>
        <v>371</v>
      </c>
      <c r="L857" s="5">
        <f t="shared" si="1094"/>
        <v>342</v>
      </c>
      <c r="M857" s="5">
        <f t="shared" si="1094"/>
        <v>315</v>
      </c>
      <c r="N857" s="5">
        <f t="shared" si="1094"/>
        <v>554</v>
      </c>
      <c r="O857" s="5">
        <f t="shared" si="1094"/>
        <v>-310</v>
      </c>
      <c r="P857" s="5">
        <f t="shared" si="1094"/>
        <v>4</v>
      </c>
      <c r="Q857" s="5">
        <f t="shared" si="1094"/>
        <v>-8</v>
      </c>
      <c r="R857" s="5">
        <f t="shared" si="1094"/>
        <v>4</v>
      </c>
      <c r="S857" s="5">
        <f t="shared" si="1094"/>
        <v>-992</v>
      </c>
      <c r="T857" s="5">
        <f t="shared" si="1094"/>
        <v>-869</v>
      </c>
      <c r="U857" s="5">
        <f t="shared" si="1094"/>
        <v>-1531</v>
      </c>
      <c r="V857" s="5">
        <f t="shared" si="1094"/>
        <v>-1843</v>
      </c>
      <c r="W857" s="5">
        <f t="shared" si="1094"/>
        <v>-2603</v>
      </c>
      <c r="X857" s="5">
        <f t="shared" si="1094"/>
        <v>-4271</v>
      </c>
      <c r="Y857" s="5">
        <f t="shared" si="1094"/>
        <v>-5157</v>
      </c>
      <c r="Z857" s="5">
        <f t="shared" si="1094"/>
        <v>-3541</v>
      </c>
      <c r="AA857" s="5">
        <f t="shared" si="1094"/>
        <v>-1423</v>
      </c>
      <c r="AB857" s="5">
        <f t="shared" si="1094"/>
        <v>-1831</v>
      </c>
      <c r="AC857" s="5">
        <f t="shared" si="1094"/>
        <v>-2019</v>
      </c>
      <c r="AD857" s="5">
        <f t="shared" si="1094"/>
        <v>-2026</v>
      </c>
      <c r="AE857" s="5">
        <f t="shared" si="1094"/>
        <v>-2022</v>
      </c>
      <c r="AF857" s="5">
        <f t="shared" si="1094"/>
        <v>-2152</v>
      </c>
      <c r="AG857" s="5">
        <f t="shared" si="1094"/>
        <v>-2911</v>
      </c>
      <c r="AH857" s="5">
        <f t="shared" si="1094"/>
        <v>-3207</v>
      </c>
      <c r="AI857" s="5">
        <f t="shared" ref="AI857:BF857" si="1095">SUM(AI844:AI856)</f>
        <v>-5185</v>
      </c>
      <c r="AJ857" s="5">
        <f t="shared" si="1095"/>
        <v>-8549</v>
      </c>
      <c r="AK857" s="5">
        <f t="shared" si="1095"/>
        <v>-15252</v>
      </c>
      <c r="AL857" s="5">
        <f t="shared" si="1095"/>
        <v>-21742</v>
      </c>
      <c r="AM857" s="5">
        <f t="shared" si="1095"/>
        <v>-10660</v>
      </c>
      <c r="AN857" s="5">
        <f t="shared" si="1095"/>
        <v>-6563</v>
      </c>
      <c r="AO857" s="5">
        <f t="shared" si="1095"/>
        <v>2147</v>
      </c>
      <c r="AP857" s="5">
        <f t="shared" si="1095"/>
        <v>-7060</v>
      </c>
      <c r="AQ857" s="5">
        <f t="shared" si="1095"/>
        <v>-10516</v>
      </c>
      <c r="AR857" s="5">
        <f t="shared" si="1095"/>
        <v>5292</v>
      </c>
      <c r="AS857" s="5">
        <f t="shared" si="1095"/>
        <v>-5875</v>
      </c>
      <c r="AT857" s="5">
        <f t="shared" si="1095"/>
        <v>-8401</v>
      </c>
      <c r="AU857" s="5">
        <f t="shared" si="1095"/>
        <v>-19767</v>
      </c>
      <c r="AV857" s="5">
        <f t="shared" si="1095"/>
        <v>-11178</v>
      </c>
      <c r="AW857" s="5">
        <f t="shared" si="1095"/>
        <v>-4371</v>
      </c>
      <c r="AX857" s="5">
        <f t="shared" si="1095"/>
        <v>-5465</v>
      </c>
      <c r="AY857" s="409">
        <f t="shared" si="1095"/>
        <v>-19495</v>
      </c>
      <c r="AZ857" s="33">
        <f t="shared" ca="1" si="1095"/>
        <v>-3259.3233550295859</v>
      </c>
      <c r="BA857" s="33">
        <f t="shared" ca="1" si="1095"/>
        <v>-3257.9699974242603</v>
      </c>
      <c r="BB857" s="33">
        <f t="shared" ca="1" si="1095"/>
        <v>-3256.6165044831741</v>
      </c>
      <c r="BC857" s="33">
        <f t="shared" ca="1" si="1095"/>
        <v>-1256.0025211632083</v>
      </c>
      <c r="BD857" s="33">
        <f t="shared" ca="1" si="1095"/>
        <v>-1256.1281214153246</v>
      </c>
      <c r="BE857" s="33">
        <f t="shared" ca="1" si="1095"/>
        <v>-1256.2537342274659</v>
      </c>
      <c r="BF857" s="33">
        <f t="shared" ca="1" si="1095"/>
        <v>-1256.3793596008886</v>
      </c>
      <c r="BG857" s="33"/>
      <c r="BH857" s="834">
        <f t="shared" ref="BH857:CB857" si="1096">SUM(BH844:BH856)</f>
        <v>243</v>
      </c>
      <c r="BI857" s="834">
        <f t="shared" si="1096"/>
        <v>781</v>
      </c>
      <c r="BJ857" s="834">
        <f t="shared" si="1096"/>
        <v>1198</v>
      </c>
      <c r="BK857" s="834">
        <f t="shared" si="1096"/>
        <v>6283</v>
      </c>
      <c r="BL857" s="834">
        <f t="shared" si="1096"/>
        <v>-667</v>
      </c>
      <c r="BM857" s="834">
        <f t="shared" si="1096"/>
        <v>1571</v>
      </c>
      <c r="BN857" s="834">
        <f t="shared" si="1096"/>
        <v>1582</v>
      </c>
      <c r="BO857" s="834">
        <f t="shared" si="1096"/>
        <v>-310</v>
      </c>
      <c r="BP857" s="834">
        <f t="shared" si="1096"/>
        <v>-5235</v>
      </c>
      <c r="BQ857" s="834">
        <f t="shared" si="1096"/>
        <v>-15572</v>
      </c>
      <c r="BR857" s="834">
        <f t="shared" si="1096"/>
        <v>-7299</v>
      </c>
      <c r="BS857" s="834">
        <f t="shared" si="1096"/>
        <v>-10292</v>
      </c>
      <c r="BT857" s="834">
        <f t="shared" si="1096"/>
        <v>-50728</v>
      </c>
      <c r="BU857" s="834">
        <f t="shared" si="1096"/>
        <v>-22136</v>
      </c>
      <c r="BV857" s="834">
        <f t="shared" si="1096"/>
        <v>-19500</v>
      </c>
      <c r="BW857" s="914">
        <f t="shared" si="1096"/>
        <v>-40781</v>
      </c>
      <c r="BX857" s="833">
        <f t="shared" ca="1" si="1096"/>
        <v>-29268.909856937018</v>
      </c>
      <c r="BY857" s="833">
        <f t="shared" ca="1" si="1096"/>
        <v>-5024.7637364068869</v>
      </c>
      <c r="BZ857" s="833">
        <f t="shared" ca="1" si="1096"/>
        <v>-11253.637229144337</v>
      </c>
      <c r="CA857" s="833">
        <f t="shared" ca="1" si="1096"/>
        <v>-11248.30467153939</v>
      </c>
      <c r="CB857" s="833">
        <f t="shared" ca="1" si="1096"/>
        <v>-11243.500963104976</v>
      </c>
      <c r="CC857" s="6"/>
    </row>
    <row r="858" spans="1:81" x14ac:dyDescent="0.55000000000000004">
      <c r="A858" s="192"/>
      <c r="B858" s="193"/>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c r="AM858" s="35"/>
      <c r="AN858" s="35"/>
      <c r="AO858" s="35"/>
      <c r="AP858" s="35"/>
      <c r="AQ858" s="35"/>
      <c r="AR858" s="35"/>
      <c r="AS858" s="35"/>
      <c r="AT858" s="35"/>
      <c r="AU858" s="35"/>
      <c r="AV858" s="35"/>
      <c r="AW858" s="35"/>
      <c r="AX858" s="35"/>
      <c r="AY858" s="272"/>
      <c r="AZ858" s="35"/>
      <c r="BA858" s="35"/>
      <c r="BB858" s="35"/>
      <c r="BC858" s="35"/>
      <c r="BD858" s="35"/>
      <c r="BE858" s="35"/>
      <c r="BF858" s="35"/>
      <c r="BG858" s="35"/>
      <c r="BH858" s="812"/>
      <c r="BI858" s="812"/>
      <c r="BJ858" s="812"/>
      <c r="BK858" s="812"/>
      <c r="BL858" s="812"/>
      <c r="BM858" s="812"/>
      <c r="BN858" s="812"/>
      <c r="BO858" s="812"/>
      <c r="BP858" s="812"/>
      <c r="BQ858" s="812"/>
      <c r="BR858" s="812"/>
      <c r="BS858" s="812"/>
      <c r="BT858" s="812"/>
      <c r="BU858" s="812"/>
      <c r="BV858" s="812"/>
      <c r="BW858" s="814"/>
      <c r="BX858" s="812"/>
      <c r="BY858" s="812"/>
      <c r="BZ858" s="812"/>
      <c r="CA858" s="812"/>
      <c r="CB858" s="812"/>
      <c r="CC858" s="6"/>
    </row>
    <row r="859" spans="1:81" x14ac:dyDescent="0.55000000000000004">
      <c r="A859" s="74" t="str">
        <f>A790</f>
        <v>FX</v>
      </c>
      <c r="B859" s="87"/>
      <c r="C859" s="117">
        <f>C790</f>
        <v>-8</v>
      </c>
      <c r="D859" s="117">
        <f>D790-C790</f>
        <v>1</v>
      </c>
      <c r="E859" s="117">
        <f>E790-D790</f>
        <v>14</v>
      </c>
      <c r="F859" s="117">
        <f>F790-E790</f>
        <v>1</v>
      </c>
      <c r="G859" s="117">
        <f>G790</f>
        <v>0</v>
      </c>
      <c r="H859" s="117">
        <f>H790-G790</f>
        <v>-3</v>
      </c>
      <c r="I859" s="117">
        <f>I790-H790</f>
        <v>-68</v>
      </c>
      <c r="J859" s="117">
        <f>J790-I790</f>
        <v>-52</v>
      </c>
      <c r="K859" s="117">
        <f>K790</f>
        <v>-123</v>
      </c>
      <c r="L859" s="117">
        <f>L790-K790</f>
        <v>46</v>
      </c>
      <c r="M859" s="117">
        <f>M790-L790</f>
        <v>-22</v>
      </c>
      <c r="N859" s="117">
        <f>N790-M790</f>
        <v>-56</v>
      </c>
      <c r="O859" s="117">
        <f>O790</f>
        <v>58</v>
      </c>
      <c r="P859" s="117">
        <f>P790-O790</f>
        <v>-46</v>
      </c>
      <c r="Q859" s="117">
        <f>Q790-P790</f>
        <v>19</v>
      </c>
      <c r="R859" s="117">
        <f>R790-Q790</f>
        <v>-94</v>
      </c>
      <c r="S859" s="117">
        <f>S790</f>
        <v>26</v>
      </c>
      <c r="T859" s="117">
        <f>T790-S790</f>
        <v>97</v>
      </c>
      <c r="U859" s="117">
        <f>U790-T790</f>
        <v>67</v>
      </c>
      <c r="V859" s="117">
        <f>V790-U790</f>
        <v>43</v>
      </c>
      <c r="W859" s="117">
        <f>W790</f>
        <v>36</v>
      </c>
      <c r="X859" s="117">
        <f>X790-W790</f>
        <v>-185</v>
      </c>
      <c r="Y859" s="117">
        <f>Y790-X790</f>
        <v>-18</v>
      </c>
      <c r="Z859" s="117">
        <f>Z790-Y790</f>
        <v>-12</v>
      </c>
      <c r="AA859" s="117">
        <f>AA790</f>
        <v>-44</v>
      </c>
      <c r="AB859" s="117">
        <f>AB790-AA790</f>
        <v>26</v>
      </c>
      <c r="AC859" s="117">
        <f>AC790-AB790</f>
        <v>-156</v>
      </c>
      <c r="AD859" s="117">
        <f>AD790-AC790</f>
        <v>178</v>
      </c>
      <c r="AE859" s="117">
        <f>AE790</f>
        <v>-222</v>
      </c>
      <c r="AF859" s="117">
        <f>AF790-AE790</f>
        <v>95</v>
      </c>
      <c r="AG859" s="117">
        <f>AG790-AF790</f>
        <v>91</v>
      </c>
      <c r="AH859" s="117">
        <f>AH790-AG790</f>
        <v>315</v>
      </c>
      <c r="AI859" s="117">
        <f>AI790</f>
        <v>-246</v>
      </c>
      <c r="AJ859" s="117">
        <f>AJ790-AI790</f>
        <v>117</v>
      </c>
      <c r="AK859" s="117">
        <f>AK790-AJ790</f>
        <v>-215</v>
      </c>
      <c r="AL859" s="117">
        <f>AL790-AK790</f>
        <v>-130</v>
      </c>
      <c r="AM859" s="117">
        <f>AM790</f>
        <v>-149</v>
      </c>
      <c r="AN859" s="117">
        <f>AN790-AM790</f>
        <v>-549</v>
      </c>
      <c r="AO859" s="117">
        <f>AO790-AN790</f>
        <v>-365</v>
      </c>
      <c r="AP859" s="117">
        <f>AP790-AO790</f>
        <v>425</v>
      </c>
      <c r="AQ859" s="117">
        <f>AQ790</f>
        <v>85</v>
      </c>
      <c r="AR859" s="117">
        <f>AR790-AQ790</f>
        <v>-14</v>
      </c>
      <c r="AS859" s="117">
        <f>AS790-AR790</f>
        <v>-354</v>
      </c>
      <c r="AT859" s="117">
        <f>AT790-AS790</f>
        <v>396</v>
      </c>
      <c r="AU859" s="117">
        <f>AU790</f>
        <v>-288</v>
      </c>
      <c r="AV859" s="117">
        <f>AV790-AU790</f>
        <v>-152</v>
      </c>
      <c r="AW859" s="117">
        <f>AW790-AV790</f>
        <v>368</v>
      </c>
      <c r="AX859" s="117">
        <f>AX790-AW790</f>
        <v>-714</v>
      </c>
      <c r="AY859" s="273">
        <f>AY790</f>
        <v>112</v>
      </c>
      <c r="AZ859" s="37"/>
      <c r="BA859" s="37"/>
      <c r="BB859" s="37"/>
      <c r="BC859" s="37"/>
      <c r="BD859" s="37"/>
      <c r="BE859" s="37"/>
      <c r="BF859" s="37"/>
      <c r="BG859" s="37"/>
      <c r="BH859" s="876">
        <f t="shared" ref="BH859:BW859" si="1097">BH790</f>
        <v>0</v>
      </c>
      <c r="BI859" s="876">
        <f t="shared" si="1097"/>
        <v>-3</v>
      </c>
      <c r="BJ859" s="876">
        <f t="shared" si="1097"/>
        <v>3</v>
      </c>
      <c r="BK859" s="876">
        <f t="shared" si="1097"/>
        <v>1</v>
      </c>
      <c r="BL859" s="876">
        <f t="shared" si="1097"/>
        <v>8</v>
      </c>
      <c r="BM859" s="876">
        <f t="shared" si="1097"/>
        <v>-123</v>
      </c>
      <c r="BN859" s="876">
        <f t="shared" si="1097"/>
        <v>-155</v>
      </c>
      <c r="BO859" s="876">
        <f t="shared" si="1097"/>
        <v>-63</v>
      </c>
      <c r="BP859" s="876">
        <f t="shared" si="1097"/>
        <v>233</v>
      </c>
      <c r="BQ859" s="876">
        <f t="shared" si="1097"/>
        <v>-179</v>
      </c>
      <c r="BR859" s="876">
        <f t="shared" si="1097"/>
        <v>4</v>
      </c>
      <c r="BS859" s="876">
        <f t="shared" si="1097"/>
        <v>279</v>
      </c>
      <c r="BT859" s="876">
        <f t="shared" si="1097"/>
        <v>-474</v>
      </c>
      <c r="BU859" s="876">
        <f t="shared" si="1097"/>
        <v>-638</v>
      </c>
      <c r="BV859" s="876">
        <f t="shared" si="1097"/>
        <v>113</v>
      </c>
      <c r="BW859" s="915">
        <f t="shared" si="1097"/>
        <v>-786</v>
      </c>
      <c r="BX859" s="158">
        <f>SUM(AY859,AZ859,BA859,BB859)</f>
        <v>112</v>
      </c>
      <c r="BY859" s="158">
        <f>SUM(BC859,BD859,BE859,BF859)</f>
        <v>0</v>
      </c>
      <c r="BZ859" s="158"/>
      <c r="CA859" s="158"/>
      <c r="CB859" s="158"/>
      <c r="CC859" s="117"/>
    </row>
    <row r="860" spans="1:81" x14ac:dyDescent="0.55000000000000004">
      <c r="A860" s="19" t="str">
        <f>A791</f>
        <v>Net Change in Cash Balance</v>
      </c>
      <c r="B860" s="193"/>
      <c r="C860" s="6">
        <f t="shared" ref="C860:AH860" si="1098">C857+C841+C827+C859</f>
        <v>-59</v>
      </c>
      <c r="D860" s="6">
        <f t="shared" si="1098"/>
        <v>676</v>
      </c>
      <c r="E860" s="6">
        <f t="shared" si="1098"/>
        <v>99</v>
      </c>
      <c r="F860" s="6">
        <f t="shared" si="1098"/>
        <v>223</v>
      </c>
      <c r="G860" s="6">
        <f t="shared" si="1098"/>
        <v>-325</v>
      </c>
      <c r="H860" s="6">
        <f t="shared" si="1098"/>
        <v>1386</v>
      </c>
      <c r="I860" s="6">
        <f t="shared" si="1098"/>
        <v>4615</v>
      </c>
      <c r="J860" s="6">
        <f t="shared" si="1098"/>
        <v>-4684</v>
      </c>
      <c r="K860" s="6">
        <f t="shared" si="1098"/>
        <v>-896</v>
      </c>
      <c r="L860" s="6">
        <f t="shared" si="1098"/>
        <v>1704</v>
      </c>
      <c r="M860" s="6">
        <f t="shared" si="1098"/>
        <v>-815</v>
      </c>
      <c r="N860" s="6">
        <f t="shared" si="1098"/>
        <v>599</v>
      </c>
      <c r="O860" s="6">
        <f t="shared" si="1098"/>
        <v>1549</v>
      </c>
      <c r="P860" s="6">
        <f t="shared" si="1098"/>
        <v>-1348</v>
      </c>
      <c r="Q860" s="6">
        <f t="shared" si="1098"/>
        <v>930</v>
      </c>
      <c r="R860" s="6">
        <f t="shared" si="1098"/>
        <v>2865</v>
      </c>
      <c r="S860" s="6">
        <f t="shared" si="1098"/>
        <v>-1799</v>
      </c>
      <c r="T860" s="6">
        <f t="shared" si="1098"/>
        <v>-852</v>
      </c>
      <c r="U860" s="6">
        <f t="shared" si="1098"/>
        <v>949</v>
      </c>
      <c r="V860" s="6">
        <f t="shared" si="1098"/>
        <v>878</v>
      </c>
      <c r="W860" s="6">
        <f t="shared" si="1098"/>
        <v>4006</v>
      </c>
      <c r="X860" s="6">
        <f t="shared" si="1098"/>
        <v>-542</v>
      </c>
      <c r="Y860" s="6">
        <f t="shared" si="1098"/>
        <v>-1924</v>
      </c>
      <c r="Z860" s="6">
        <f t="shared" si="1098"/>
        <v>380</v>
      </c>
      <c r="AA860" s="6">
        <f t="shared" si="1098"/>
        <v>1073</v>
      </c>
      <c r="AB860" s="6">
        <f t="shared" si="1098"/>
        <v>2801</v>
      </c>
      <c r="AC860" s="6">
        <f t="shared" si="1098"/>
        <v>2082</v>
      </c>
      <c r="AD860" s="6">
        <f t="shared" si="1098"/>
        <v>3199</v>
      </c>
      <c r="AE860" s="6">
        <f t="shared" si="1098"/>
        <v>4648</v>
      </c>
      <c r="AF860" s="6">
        <f t="shared" si="1098"/>
        <v>-2358</v>
      </c>
      <c r="AG860" s="6">
        <f t="shared" si="1098"/>
        <v>-9590</v>
      </c>
      <c r="AH860" s="6">
        <f t="shared" si="1098"/>
        <v>5975</v>
      </c>
      <c r="AI860" s="6">
        <f t="shared" ref="AI860:BF860" si="1099">AI857+AI841+AI827+AI859</f>
        <v>1937</v>
      </c>
      <c r="AJ860" s="6">
        <f t="shared" si="1099"/>
        <v>-3380</v>
      </c>
      <c r="AK860" s="6">
        <f t="shared" si="1099"/>
        <v>-1707</v>
      </c>
      <c r="AL860" s="6">
        <f t="shared" si="1099"/>
        <v>2061</v>
      </c>
      <c r="AM860" s="6">
        <f t="shared" si="1099"/>
        <v>-1512</v>
      </c>
      <c r="AN860" s="6">
        <f t="shared" si="1099"/>
        <v>-1875</v>
      </c>
      <c r="AO860" s="6">
        <f t="shared" si="1099"/>
        <v>1773</v>
      </c>
      <c r="AP860" s="6">
        <f t="shared" si="1099"/>
        <v>345</v>
      </c>
      <c r="AQ860" s="6">
        <f t="shared" si="1099"/>
        <v>-3176</v>
      </c>
      <c r="AR860" s="6">
        <f t="shared" si="1099"/>
        <v>17384</v>
      </c>
      <c r="AS860" s="6">
        <f t="shared" si="1099"/>
        <v>8096</v>
      </c>
      <c r="AT860" s="6">
        <f t="shared" si="1099"/>
        <v>4927</v>
      </c>
      <c r="AU860" s="6">
        <f t="shared" si="1099"/>
        <v>-9543</v>
      </c>
      <c r="AV860" s="6">
        <f t="shared" si="1099"/>
        <v>-258</v>
      </c>
      <c r="AW860" s="6">
        <f t="shared" si="1099"/>
        <v>12101</v>
      </c>
      <c r="AX860" s="6">
        <f t="shared" si="1099"/>
        <v>311</v>
      </c>
      <c r="AY860" s="272">
        <f t="shared" si="1099"/>
        <v>-15367</v>
      </c>
      <c r="AZ860" s="35">
        <f t="shared" ca="1" si="1099"/>
        <v>6393.8932647608199</v>
      </c>
      <c r="BA860" s="35">
        <f t="shared" ca="1" si="1099"/>
        <v>10821.946567639188</v>
      </c>
      <c r="BB860" s="35">
        <f t="shared" ca="1" si="1099"/>
        <v>10433.940218752101</v>
      </c>
      <c r="BC860" s="35">
        <f t="shared" ca="1" si="1099"/>
        <v>25302.470211991429</v>
      </c>
      <c r="BD860" s="35">
        <f t="shared" ca="1" si="1099"/>
        <v>20229.05325311526</v>
      </c>
      <c r="BE860" s="35">
        <f t="shared" ca="1" si="1099"/>
        <v>24570.324027654766</v>
      </c>
      <c r="BF860" s="35">
        <f t="shared" ca="1" si="1099"/>
        <v>23431.270750479263</v>
      </c>
      <c r="BG860" s="35"/>
      <c r="BH860" s="813">
        <f t="shared" ref="BH860:CB860" si="1100">BH857+BH841+BH827+BH859</f>
        <v>336</v>
      </c>
      <c r="BI860" s="813">
        <f t="shared" si="1100"/>
        <v>1152</v>
      </c>
      <c r="BJ860" s="813">
        <f t="shared" si="1100"/>
        <v>-273</v>
      </c>
      <c r="BK860" s="813">
        <f t="shared" si="1100"/>
        <v>872</v>
      </c>
      <c r="BL860" s="813">
        <f t="shared" si="1100"/>
        <v>939</v>
      </c>
      <c r="BM860" s="813">
        <f t="shared" si="1100"/>
        <v>992</v>
      </c>
      <c r="BN860" s="813">
        <f t="shared" si="1100"/>
        <v>592</v>
      </c>
      <c r="BO860" s="813">
        <f t="shared" si="1100"/>
        <v>3996</v>
      </c>
      <c r="BP860" s="813">
        <f t="shared" si="1100"/>
        <v>-824</v>
      </c>
      <c r="BQ860" s="813">
        <f t="shared" si="1100"/>
        <v>1920</v>
      </c>
      <c r="BR860" s="813">
        <f t="shared" si="1100"/>
        <v>9155</v>
      </c>
      <c r="BS860" s="813">
        <f t="shared" si="1100"/>
        <v>-1325</v>
      </c>
      <c r="BT860" s="813">
        <f t="shared" si="1100"/>
        <v>-1089</v>
      </c>
      <c r="BU860" s="813">
        <f t="shared" si="1100"/>
        <v>-1269</v>
      </c>
      <c r="BV860" s="813">
        <f t="shared" si="1100"/>
        <v>27231</v>
      </c>
      <c r="BW860" s="870">
        <f t="shared" si="1100"/>
        <v>2611</v>
      </c>
      <c r="BX860" s="812">
        <f t="shared" ca="1" si="1100"/>
        <v>12282.78005115212</v>
      </c>
      <c r="BY860" s="812">
        <f t="shared" ca="1" si="1100"/>
        <v>93533.118243240722</v>
      </c>
      <c r="BZ860" s="812">
        <f t="shared" ca="1" si="1100"/>
        <v>104185.22733433486</v>
      </c>
      <c r="CA860" s="812">
        <f t="shared" ca="1" si="1100"/>
        <v>111633.34059881135</v>
      </c>
      <c r="CB860" s="812">
        <f t="shared" ca="1" si="1100"/>
        <v>130503.31214368457</v>
      </c>
      <c r="CC860" s="6"/>
    </row>
    <row r="861" spans="1:81" x14ac:dyDescent="0.55000000000000004">
      <c r="A861" s="192"/>
      <c r="B861" s="193"/>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c r="AY861" s="272"/>
      <c r="AZ861" s="35"/>
      <c r="BA861" s="35"/>
      <c r="BB861" s="35"/>
      <c r="BC861" s="35"/>
      <c r="BD861" s="35"/>
      <c r="BE861" s="35"/>
      <c r="BF861" s="35"/>
      <c r="BG861" s="35"/>
      <c r="BH861" s="812"/>
      <c r="BI861" s="812"/>
      <c r="BJ861" s="812"/>
      <c r="BK861" s="812"/>
      <c r="BL861" s="812"/>
      <c r="BM861" s="812"/>
      <c r="BN861" s="812"/>
      <c r="BO861" s="812"/>
      <c r="BP861" s="812"/>
      <c r="BQ861" s="812"/>
      <c r="BR861" s="812"/>
      <c r="BS861" s="812"/>
      <c r="BT861" s="812"/>
      <c r="BU861" s="812"/>
      <c r="BV861" s="812"/>
      <c r="BW861" s="814"/>
      <c r="BX861" s="812"/>
      <c r="BY861" s="812"/>
      <c r="BZ861" s="812"/>
      <c r="CA861" s="812"/>
      <c r="CB861" s="812"/>
      <c r="CC861" s="6"/>
    </row>
    <row r="862" spans="1:81" x14ac:dyDescent="0.55000000000000004">
      <c r="A862" s="19" t="str">
        <f>A793</f>
        <v>Beginning Cash Balance</v>
      </c>
      <c r="B862" s="193"/>
      <c r="C862" s="6">
        <f>BK863</f>
        <v>2384</v>
      </c>
      <c r="D862" s="6">
        <f>C863</f>
        <v>2325</v>
      </c>
      <c r="E862" s="6">
        <f>D863</f>
        <v>3001</v>
      </c>
      <c r="F862" s="6">
        <f>E863</f>
        <v>3100</v>
      </c>
      <c r="G862" s="6">
        <f>BL863</f>
        <v>3323</v>
      </c>
      <c r="H862" s="6">
        <f>G863</f>
        <v>2998</v>
      </c>
      <c r="I862" s="6">
        <f>H863</f>
        <v>4384</v>
      </c>
      <c r="J862" s="6">
        <f>I863</f>
        <v>8999</v>
      </c>
      <c r="K862" s="6">
        <f>BM863</f>
        <v>4315</v>
      </c>
      <c r="L862" s="6">
        <f>K863</f>
        <v>3419</v>
      </c>
      <c r="M862" s="6">
        <f>L863</f>
        <v>5123</v>
      </c>
      <c r="N862" s="6">
        <f>M863</f>
        <v>4308</v>
      </c>
      <c r="O862" s="6">
        <f>BN863</f>
        <v>4907</v>
      </c>
      <c r="P862" s="6">
        <f>O863</f>
        <v>6456</v>
      </c>
      <c r="Q862" s="6">
        <f>P863</f>
        <v>5108</v>
      </c>
      <c r="R862" s="6">
        <f>Q863</f>
        <v>6038</v>
      </c>
      <c r="S862" s="6">
        <f>BO863</f>
        <v>8903</v>
      </c>
      <c r="T862" s="6">
        <f>S863</f>
        <v>7104</v>
      </c>
      <c r="U862" s="6">
        <f>T863</f>
        <v>6252</v>
      </c>
      <c r="V862" s="6">
        <f>U863</f>
        <v>7201</v>
      </c>
      <c r="W862" s="6">
        <f>W793</f>
        <v>8204</v>
      </c>
      <c r="X862" s="6">
        <f>W863</f>
        <v>12210</v>
      </c>
      <c r="Y862" s="6">
        <f>X863</f>
        <v>11668</v>
      </c>
      <c r="Z862" s="6">
        <f>Y863</f>
        <v>9744</v>
      </c>
      <c r="AA862" s="6">
        <f>AA793</f>
        <v>10124</v>
      </c>
      <c r="AB862" s="6">
        <f>AA863</f>
        <v>11197</v>
      </c>
      <c r="AC862" s="6">
        <f>AB863</f>
        <v>13998</v>
      </c>
      <c r="AD862" s="6">
        <f>AC863</f>
        <v>16080</v>
      </c>
      <c r="AE862" s="6">
        <f>AE793</f>
        <v>19279</v>
      </c>
      <c r="AF862" s="6">
        <f>AE863</f>
        <v>23927</v>
      </c>
      <c r="AG862" s="6">
        <f>AF863</f>
        <v>21569</v>
      </c>
      <c r="AH862" s="6">
        <f>AG863</f>
        <v>11979</v>
      </c>
      <c r="AI862" s="6">
        <f>AI793</f>
        <v>17954</v>
      </c>
      <c r="AJ862" s="6">
        <f>AI863</f>
        <v>19891</v>
      </c>
      <c r="AK862" s="6">
        <f>AJ863</f>
        <v>16511</v>
      </c>
      <c r="AL862" s="6">
        <f>AK863</f>
        <v>14804</v>
      </c>
      <c r="AM862" s="6">
        <f>AM793</f>
        <v>16865</v>
      </c>
      <c r="AN862" s="6">
        <f>AM863</f>
        <v>15353</v>
      </c>
      <c r="AO862" s="6">
        <f>AN863</f>
        <v>13478</v>
      </c>
      <c r="AP862" s="6">
        <f>AO863</f>
        <v>15251</v>
      </c>
      <c r="AQ862" s="6">
        <f>AQ793</f>
        <v>15596</v>
      </c>
      <c r="AR862" s="6">
        <f>AQ863</f>
        <v>12420</v>
      </c>
      <c r="AS862" s="6">
        <f>AR863</f>
        <v>29804</v>
      </c>
      <c r="AT862" s="6">
        <f>AS863</f>
        <v>37900</v>
      </c>
      <c r="AU862" s="6">
        <f>AU793</f>
        <v>42827</v>
      </c>
      <c r="AV862" s="6">
        <f>AU863</f>
        <v>33284</v>
      </c>
      <c r="AW862" s="6">
        <f>AV863</f>
        <v>33026</v>
      </c>
      <c r="AX862" s="6">
        <f>AW863</f>
        <v>45127</v>
      </c>
      <c r="AY862" s="272">
        <f>AY793</f>
        <v>45438</v>
      </c>
      <c r="AZ862" s="35">
        <f>AY863</f>
        <v>30071</v>
      </c>
      <c r="BA862" s="35">
        <f ca="1">AZ863</f>
        <v>36464.893264760816</v>
      </c>
      <c r="BB862" s="35">
        <f ca="1">BA863</f>
        <v>47286.839832400001</v>
      </c>
      <c r="BC862" s="35">
        <f ca="1">BX863</f>
        <v>57720.78005115212</v>
      </c>
      <c r="BD862" s="35">
        <f ca="1">BC863</f>
        <v>83023.250263143549</v>
      </c>
      <c r="BE862" s="35">
        <f ca="1">BD863</f>
        <v>103252.30351625881</v>
      </c>
      <c r="BF862" s="35">
        <f ca="1">BE863</f>
        <v>127822.62754391358</v>
      </c>
      <c r="BG862" s="35"/>
      <c r="BH862" s="869">
        <v>297</v>
      </c>
      <c r="BI862" s="813">
        <f t="shared" ref="BI862:BP862" si="1101">BH863</f>
        <v>633</v>
      </c>
      <c r="BJ862" s="813">
        <f t="shared" si="1101"/>
        <v>1785</v>
      </c>
      <c r="BK862" s="813">
        <f t="shared" si="1101"/>
        <v>1512</v>
      </c>
      <c r="BL862" s="813">
        <f t="shared" si="1101"/>
        <v>2384</v>
      </c>
      <c r="BM862" s="813">
        <f t="shared" si="1101"/>
        <v>3323</v>
      </c>
      <c r="BN862" s="813">
        <f t="shared" si="1101"/>
        <v>4315</v>
      </c>
      <c r="BO862" s="813">
        <f t="shared" si="1101"/>
        <v>4907</v>
      </c>
      <c r="BP862" s="813">
        <f t="shared" si="1101"/>
        <v>8903</v>
      </c>
      <c r="BQ862" s="813">
        <f t="shared" ref="BQ862:BW862" si="1102">BQ793</f>
        <v>8204</v>
      </c>
      <c r="BR862" s="813">
        <f t="shared" si="1102"/>
        <v>10124</v>
      </c>
      <c r="BS862" s="813">
        <f t="shared" si="1102"/>
        <v>19279</v>
      </c>
      <c r="BT862" s="813">
        <f t="shared" si="1102"/>
        <v>17954</v>
      </c>
      <c r="BU862" s="813">
        <f t="shared" si="1102"/>
        <v>16865</v>
      </c>
      <c r="BV862" s="813">
        <f t="shared" si="1102"/>
        <v>15596</v>
      </c>
      <c r="BW862" s="870">
        <f t="shared" si="1102"/>
        <v>42827</v>
      </c>
      <c r="BX862" s="812">
        <f>BW863</f>
        <v>45438</v>
      </c>
      <c r="BY862" s="812">
        <f ca="1">BX863</f>
        <v>57720.78005115212</v>
      </c>
      <c r="BZ862" s="812">
        <f ca="1">BY863</f>
        <v>151253.89829439286</v>
      </c>
      <c r="CA862" s="812">
        <f ca="1">BZ863</f>
        <v>255439.12562872772</v>
      </c>
      <c r="CB862" s="812">
        <f ca="1">CA863</f>
        <v>367072.46622753906</v>
      </c>
      <c r="CC862" s="6"/>
    </row>
    <row r="863" spans="1:81" x14ac:dyDescent="0.55000000000000004">
      <c r="A863" s="19" t="str">
        <f>A794</f>
        <v>Ending Cash Balance</v>
      </c>
      <c r="B863" s="193"/>
      <c r="C863" s="6">
        <f t="shared" ref="C863:AH863" si="1103">C862+C860</f>
        <v>2325</v>
      </c>
      <c r="D863" s="6">
        <f t="shared" si="1103"/>
        <v>3001</v>
      </c>
      <c r="E863" s="6">
        <f t="shared" si="1103"/>
        <v>3100</v>
      </c>
      <c r="F863" s="6">
        <f t="shared" si="1103"/>
        <v>3323</v>
      </c>
      <c r="G863" s="6">
        <f t="shared" si="1103"/>
        <v>2998</v>
      </c>
      <c r="H863" s="6">
        <f t="shared" si="1103"/>
        <v>4384</v>
      </c>
      <c r="I863" s="6">
        <f t="shared" si="1103"/>
        <v>8999</v>
      </c>
      <c r="J863" s="6">
        <f t="shared" si="1103"/>
        <v>4315</v>
      </c>
      <c r="K863" s="6">
        <f t="shared" si="1103"/>
        <v>3419</v>
      </c>
      <c r="L863" s="6">
        <f t="shared" si="1103"/>
        <v>5123</v>
      </c>
      <c r="M863" s="6">
        <f t="shared" si="1103"/>
        <v>4308</v>
      </c>
      <c r="N863" s="6">
        <f t="shared" si="1103"/>
        <v>4907</v>
      </c>
      <c r="O863" s="6">
        <f t="shared" si="1103"/>
        <v>6456</v>
      </c>
      <c r="P863" s="6">
        <f t="shared" si="1103"/>
        <v>5108</v>
      </c>
      <c r="Q863" s="6">
        <f t="shared" si="1103"/>
        <v>6038</v>
      </c>
      <c r="R863" s="6">
        <f t="shared" si="1103"/>
        <v>8903</v>
      </c>
      <c r="S863" s="6">
        <f t="shared" si="1103"/>
        <v>7104</v>
      </c>
      <c r="T863" s="6">
        <f t="shared" si="1103"/>
        <v>6252</v>
      </c>
      <c r="U863" s="6">
        <f t="shared" si="1103"/>
        <v>7201</v>
      </c>
      <c r="V863" s="6">
        <f t="shared" si="1103"/>
        <v>8079</v>
      </c>
      <c r="W863" s="6">
        <f t="shared" si="1103"/>
        <v>12210</v>
      </c>
      <c r="X863" s="6">
        <f t="shared" si="1103"/>
        <v>11668</v>
      </c>
      <c r="Y863" s="6">
        <f t="shared" si="1103"/>
        <v>9744</v>
      </c>
      <c r="Z863" s="6">
        <f t="shared" si="1103"/>
        <v>10124</v>
      </c>
      <c r="AA863" s="6">
        <f t="shared" si="1103"/>
        <v>11197</v>
      </c>
      <c r="AB863" s="6">
        <f t="shared" si="1103"/>
        <v>13998</v>
      </c>
      <c r="AC863" s="6">
        <f t="shared" si="1103"/>
        <v>16080</v>
      </c>
      <c r="AD863" s="6">
        <f t="shared" si="1103"/>
        <v>19279</v>
      </c>
      <c r="AE863" s="6">
        <f t="shared" si="1103"/>
        <v>23927</v>
      </c>
      <c r="AF863" s="6">
        <f t="shared" si="1103"/>
        <v>21569</v>
      </c>
      <c r="AG863" s="6">
        <f t="shared" si="1103"/>
        <v>11979</v>
      </c>
      <c r="AH863" s="6">
        <f t="shared" si="1103"/>
        <v>17954</v>
      </c>
      <c r="AI863" s="6">
        <f t="shared" ref="AI863:BF863" si="1104">AI862+AI860</f>
        <v>19891</v>
      </c>
      <c r="AJ863" s="6">
        <f t="shared" si="1104"/>
        <v>16511</v>
      </c>
      <c r="AK863" s="6">
        <f t="shared" si="1104"/>
        <v>14804</v>
      </c>
      <c r="AL863" s="6">
        <f t="shared" si="1104"/>
        <v>16865</v>
      </c>
      <c r="AM863" s="6">
        <f t="shared" si="1104"/>
        <v>15353</v>
      </c>
      <c r="AN863" s="6">
        <f t="shared" si="1104"/>
        <v>13478</v>
      </c>
      <c r="AO863" s="6">
        <f t="shared" si="1104"/>
        <v>15251</v>
      </c>
      <c r="AP863" s="6">
        <f t="shared" si="1104"/>
        <v>15596</v>
      </c>
      <c r="AQ863" s="6">
        <f t="shared" si="1104"/>
        <v>12420</v>
      </c>
      <c r="AR863" s="6">
        <f t="shared" si="1104"/>
        <v>29804</v>
      </c>
      <c r="AS863" s="6">
        <f t="shared" si="1104"/>
        <v>37900</v>
      </c>
      <c r="AT863" s="6">
        <f t="shared" si="1104"/>
        <v>42827</v>
      </c>
      <c r="AU863" s="6">
        <f t="shared" si="1104"/>
        <v>33284</v>
      </c>
      <c r="AV863" s="6">
        <f t="shared" si="1104"/>
        <v>33026</v>
      </c>
      <c r="AW863" s="6">
        <f t="shared" si="1104"/>
        <v>45127</v>
      </c>
      <c r="AX863" s="6">
        <f t="shared" si="1104"/>
        <v>45438</v>
      </c>
      <c r="AY863" s="272">
        <f t="shared" si="1104"/>
        <v>30071</v>
      </c>
      <c r="AZ863" s="35">
        <f t="shared" ca="1" si="1104"/>
        <v>36464.893264760816</v>
      </c>
      <c r="BA863" s="35">
        <f t="shared" ca="1" si="1104"/>
        <v>47286.839832400001</v>
      </c>
      <c r="BB863" s="35">
        <f t="shared" ca="1" si="1104"/>
        <v>57720.780051152105</v>
      </c>
      <c r="BC863" s="35">
        <f t="shared" ca="1" si="1104"/>
        <v>83023.250263143549</v>
      </c>
      <c r="BD863" s="35">
        <f t="shared" ca="1" si="1104"/>
        <v>103252.30351625881</v>
      </c>
      <c r="BE863" s="35">
        <f t="shared" ca="1" si="1104"/>
        <v>127822.62754391358</v>
      </c>
      <c r="BF863" s="35">
        <f t="shared" ca="1" si="1104"/>
        <v>151253.89829439286</v>
      </c>
      <c r="BG863" s="35"/>
      <c r="BH863" s="813">
        <f t="shared" ref="BH863:CB863" si="1105">BH862+BH860</f>
        <v>633</v>
      </c>
      <c r="BI863" s="813">
        <f t="shared" si="1105"/>
        <v>1785</v>
      </c>
      <c r="BJ863" s="813">
        <f t="shared" si="1105"/>
        <v>1512</v>
      </c>
      <c r="BK863" s="813">
        <f t="shared" si="1105"/>
        <v>2384</v>
      </c>
      <c r="BL863" s="813">
        <f t="shared" si="1105"/>
        <v>3323</v>
      </c>
      <c r="BM863" s="813">
        <f t="shared" si="1105"/>
        <v>4315</v>
      </c>
      <c r="BN863" s="813">
        <f t="shared" si="1105"/>
        <v>4907</v>
      </c>
      <c r="BO863" s="813">
        <f t="shared" si="1105"/>
        <v>8903</v>
      </c>
      <c r="BP863" s="813">
        <f t="shared" si="1105"/>
        <v>8079</v>
      </c>
      <c r="BQ863" s="813">
        <f t="shared" si="1105"/>
        <v>10124</v>
      </c>
      <c r="BR863" s="813">
        <f t="shared" si="1105"/>
        <v>19279</v>
      </c>
      <c r="BS863" s="813">
        <f t="shared" si="1105"/>
        <v>17954</v>
      </c>
      <c r="BT863" s="813">
        <f t="shared" si="1105"/>
        <v>16865</v>
      </c>
      <c r="BU863" s="813">
        <f t="shared" si="1105"/>
        <v>15596</v>
      </c>
      <c r="BV863" s="813">
        <f t="shared" si="1105"/>
        <v>42827</v>
      </c>
      <c r="BW863" s="870">
        <f t="shared" si="1105"/>
        <v>45438</v>
      </c>
      <c r="BX863" s="812">
        <f t="shared" ca="1" si="1105"/>
        <v>57720.78005115212</v>
      </c>
      <c r="BY863" s="812">
        <f t="shared" ca="1" si="1105"/>
        <v>151253.89829439286</v>
      </c>
      <c r="BZ863" s="812">
        <f t="shared" ca="1" si="1105"/>
        <v>255439.12562872772</v>
      </c>
      <c r="CA863" s="812">
        <f t="shared" ca="1" si="1105"/>
        <v>367072.46622753906</v>
      </c>
      <c r="CB863" s="812">
        <f t="shared" ca="1" si="1105"/>
        <v>497575.7783712236</v>
      </c>
      <c r="CC863" s="6"/>
    </row>
    <row r="864" spans="1:81" x14ac:dyDescent="0.55000000000000004">
      <c r="A864" s="192"/>
      <c r="B864" s="193"/>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s="272"/>
      <c r="AZ864" s="35"/>
      <c r="BA864" s="35"/>
      <c r="BB864" s="35"/>
      <c r="BC864" s="35"/>
      <c r="BD864" s="35"/>
      <c r="BE864" s="35"/>
      <c r="BF864" s="35"/>
      <c r="BG864" s="35"/>
      <c r="BH864" s="812"/>
      <c r="BI864" s="812"/>
      <c r="BJ864" s="812"/>
      <c r="BK864" s="812"/>
      <c r="BL864" s="812"/>
      <c r="BM864" s="812"/>
      <c r="BN864" s="812"/>
      <c r="BO864" s="812"/>
      <c r="BP864" s="812"/>
      <c r="BQ864" s="812"/>
      <c r="BR864" s="812"/>
      <c r="BS864" s="812"/>
      <c r="BT864" s="812"/>
      <c r="BU864" s="812"/>
      <c r="BV864" s="812"/>
      <c r="BW864" s="814"/>
      <c r="BX864" s="812"/>
      <c r="BY864" s="812"/>
      <c r="BZ864" s="812"/>
      <c r="CA864" s="812"/>
      <c r="CB864" s="812"/>
      <c r="CC864" s="6"/>
    </row>
    <row r="865" spans="1:81" x14ac:dyDescent="0.55000000000000004">
      <c r="A865" s="74" t="str">
        <f>A796</f>
        <v>Cash paid during the period for interest</v>
      </c>
      <c r="B865" s="87"/>
      <c r="C865" s="117">
        <f>C796</f>
        <v>12</v>
      </c>
      <c r="D865" s="117">
        <f t="shared" ref="D865:F867" si="1106">D796-C796</f>
        <v>14</v>
      </c>
      <c r="E865" s="117">
        <f t="shared" si="1106"/>
        <v>7</v>
      </c>
      <c r="F865" s="117">
        <f t="shared" si="1106"/>
        <v>5</v>
      </c>
      <c r="G865" s="117">
        <f>G796</f>
        <v>4</v>
      </c>
      <c r="H865" s="117">
        <f>H796-G796</f>
        <v>4</v>
      </c>
      <c r="I865" s="117">
        <f>I796-H796</f>
        <v>3</v>
      </c>
      <c r="J865" s="117">
        <f>J796-I796</f>
        <v>3</v>
      </c>
      <c r="K865" s="117">
        <f>K796</f>
        <v>3</v>
      </c>
      <c r="L865" s="117">
        <f>L796-K796</f>
        <v>2</v>
      </c>
      <c r="M865" s="117">
        <f>M796-L796</f>
        <v>3</v>
      </c>
      <c r="N865" s="117">
        <f>N796-M796</f>
        <v>2</v>
      </c>
      <c r="O865" s="117">
        <f>O796</f>
        <v>11</v>
      </c>
      <c r="P865" s="117">
        <f>P796-O796</f>
        <v>0</v>
      </c>
      <c r="Q865" s="117">
        <f>Q796-P796</f>
        <v>0</v>
      </c>
      <c r="R865" s="117">
        <f>R796-Q796</f>
        <v>0</v>
      </c>
      <c r="S865" s="117">
        <f>S796</f>
        <v>0</v>
      </c>
      <c r="T865" s="117">
        <f>T796-S796</f>
        <v>0</v>
      </c>
      <c r="U865" s="117">
        <f>U796-T796</f>
        <v>0</v>
      </c>
      <c r="V865" s="117">
        <f>V796-U796</f>
        <v>0</v>
      </c>
      <c r="W865" s="37"/>
      <c r="X865" s="37"/>
      <c r="Y865" s="37"/>
      <c r="Z865" s="37"/>
      <c r="AA865" s="117">
        <f>AA796</f>
        <v>2</v>
      </c>
      <c r="AB865" s="117">
        <f>AB796-AA796</f>
        <v>4</v>
      </c>
      <c r="AC865" s="117">
        <f>AC796-AB796</f>
        <v>3</v>
      </c>
      <c r="AD865" s="37"/>
      <c r="AE865" s="37"/>
      <c r="AF865" s="37"/>
      <c r="AG865" s="37"/>
      <c r="AH865" s="37"/>
      <c r="AI865" s="37"/>
      <c r="AJ865" s="37"/>
      <c r="AK865" s="37"/>
      <c r="AL865" s="37"/>
      <c r="AM865" s="37">
        <f>AM796</f>
        <v>0</v>
      </c>
      <c r="AN865" s="37">
        <f>AN796-AM796</f>
        <v>0</v>
      </c>
      <c r="AO865" s="37">
        <f>AO796-AN796</f>
        <v>0</v>
      </c>
      <c r="AP865" s="37">
        <f>AP796-AO796</f>
        <v>0</v>
      </c>
      <c r="AQ865" s="37">
        <f>AQ796</f>
        <v>182</v>
      </c>
      <c r="AR865" s="37">
        <f>AR796-AQ796</f>
        <v>0</v>
      </c>
      <c r="AS865" s="37">
        <f>AS796-AR796</f>
        <v>120</v>
      </c>
      <c r="AT865" s="37">
        <f>AT796-AS796</f>
        <v>146</v>
      </c>
      <c r="AU865" s="37">
        <f>AU796</f>
        <v>121</v>
      </c>
      <c r="AV865" s="37">
        <f>AV796-AU796</f>
        <v>124</v>
      </c>
      <c r="AW865" s="37">
        <f>AW796-AV796</f>
        <v>111</v>
      </c>
      <c r="AX865" s="37">
        <f>AX796-AW796</f>
        <v>130</v>
      </c>
      <c r="AY865" s="273">
        <f>AY796</f>
        <v>0</v>
      </c>
      <c r="AZ865" s="37"/>
      <c r="BA865" s="37"/>
      <c r="BB865" s="37"/>
      <c r="BC865" s="37"/>
      <c r="BD865" s="37"/>
      <c r="BE865" s="37"/>
      <c r="BF865" s="37"/>
      <c r="BG865" s="37"/>
      <c r="BH865" s="876">
        <f t="shared" ref="BH865:BQ865" si="1107">BH796</f>
        <v>9</v>
      </c>
      <c r="BI865" s="876">
        <f t="shared" si="1107"/>
        <v>23</v>
      </c>
      <c r="BJ865" s="876">
        <f t="shared" si="1107"/>
        <v>28</v>
      </c>
      <c r="BK865" s="876">
        <f t="shared" si="1107"/>
        <v>38</v>
      </c>
      <c r="BL865" s="876">
        <f t="shared" si="1107"/>
        <v>38</v>
      </c>
      <c r="BM865" s="876">
        <f t="shared" si="1107"/>
        <v>14</v>
      </c>
      <c r="BN865" s="876">
        <f t="shared" si="1107"/>
        <v>10</v>
      </c>
      <c r="BO865" s="876">
        <f t="shared" si="1107"/>
        <v>11</v>
      </c>
      <c r="BP865" s="876">
        <f t="shared" si="1107"/>
        <v>0</v>
      </c>
      <c r="BQ865" s="876">
        <f t="shared" si="1107"/>
        <v>1</v>
      </c>
      <c r="BR865" s="158"/>
      <c r="BS865" s="158"/>
      <c r="BT865" s="158"/>
      <c r="BU865" s="158">
        <f>BU796</f>
        <v>0</v>
      </c>
      <c r="BV865" s="158">
        <f>BV796</f>
        <v>448</v>
      </c>
      <c r="BW865" s="846">
        <f>BW796</f>
        <v>486</v>
      </c>
      <c r="BX865" s="158"/>
      <c r="BY865" s="158"/>
      <c r="BZ865" s="158"/>
      <c r="CA865" s="158"/>
      <c r="CB865" s="158"/>
      <c r="CC865" s="117"/>
    </row>
    <row r="866" spans="1:81" outlineLevel="1" x14ac:dyDescent="0.55000000000000004">
      <c r="A866" s="116" t="str">
        <f>A797</f>
        <v>Cash paid during the period for income taxes, gross</v>
      </c>
      <c r="B866" s="87"/>
      <c r="C866" s="117">
        <f>C797</f>
        <v>0</v>
      </c>
      <c r="D866" s="117">
        <f t="shared" si="1106"/>
        <v>18</v>
      </c>
      <c r="E866" s="117">
        <f t="shared" si="1106"/>
        <v>43</v>
      </c>
      <c r="F866" s="117">
        <f t="shared" si="1106"/>
        <v>21</v>
      </c>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c r="AF866" s="37"/>
      <c r="AG866" s="37"/>
      <c r="AH866" s="37"/>
      <c r="AI866" s="37"/>
      <c r="AJ866" s="37"/>
      <c r="AK866" s="37"/>
      <c r="AL866" s="37"/>
      <c r="AM866" s="37"/>
      <c r="AN866" s="37"/>
      <c r="AO866" s="37"/>
      <c r="AP866" s="37"/>
      <c r="AQ866" s="37"/>
      <c r="AR866" s="37"/>
      <c r="AS866" s="37"/>
      <c r="AT866" s="37"/>
      <c r="AU866" s="37"/>
      <c r="AV866" s="37"/>
      <c r="AW866" s="37"/>
      <c r="AX866" s="37"/>
      <c r="AY866" s="273"/>
      <c r="AZ866" s="37"/>
      <c r="BA866" s="37"/>
      <c r="BB866" s="37"/>
      <c r="BC866" s="37"/>
      <c r="BD866" s="37"/>
      <c r="BE866" s="37"/>
      <c r="BF866" s="37"/>
      <c r="BG866" s="37"/>
      <c r="BH866" s="158"/>
      <c r="BI866" s="158"/>
      <c r="BJ866" s="158"/>
      <c r="BK866" s="876">
        <f t="shared" ref="BK866:BN867" si="1108">BK797</f>
        <v>184</v>
      </c>
      <c r="BL866" s="876">
        <f t="shared" si="1108"/>
        <v>82</v>
      </c>
      <c r="BM866" s="876">
        <f t="shared" si="1108"/>
        <v>184</v>
      </c>
      <c r="BN866" s="876">
        <f t="shared" si="1108"/>
        <v>273</v>
      </c>
      <c r="BO866" s="158"/>
      <c r="BP866" s="158"/>
      <c r="BQ866" s="158"/>
      <c r="BR866" s="158"/>
      <c r="BS866" s="158"/>
      <c r="BT866" s="158"/>
      <c r="BU866" s="158"/>
      <c r="BV866" s="158"/>
      <c r="BW866" s="846"/>
      <c r="BX866" s="158"/>
      <c r="BY866" s="158"/>
      <c r="BZ866" s="158"/>
      <c r="CA866" s="158"/>
      <c r="CB866" s="158"/>
      <c r="CC866" s="117"/>
    </row>
    <row r="867" spans="1:81" outlineLevel="1" x14ac:dyDescent="0.55000000000000004">
      <c r="A867" s="18" t="str">
        <f>A798</f>
        <v>Cash received during the period for income taxes</v>
      </c>
      <c r="B867" s="244"/>
      <c r="C867" s="14">
        <f>C798</f>
        <v>0</v>
      </c>
      <c r="D867" s="14">
        <f t="shared" si="1106"/>
        <v>-419</v>
      </c>
      <c r="E867" s="14">
        <f t="shared" si="1106"/>
        <v>0</v>
      </c>
      <c r="F867" s="14">
        <f t="shared" si="1106"/>
        <v>-2</v>
      </c>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82"/>
      <c r="AI867" s="82"/>
      <c r="AJ867" s="82"/>
      <c r="AK867" s="82"/>
      <c r="AL867" s="82"/>
      <c r="AM867" s="82"/>
      <c r="AN867" s="82"/>
      <c r="AO867" s="82"/>
      <c r="AP867" s="82"/>
      <c r="AQ867" s="82"/>
      <c r="AR867" s="82"/>
      <c r="AS867" s="82"/>
      <c r="AT867" s="82"/>
      <c r="AU867" s="82"/>
      <c r="AV867" s="82"/>
      <c r="AW867" s="82"/>
      <c r="AX867" s="82"/>
      <c r="AY867" s="406"/>
      <c r="AZ867" s="82"/>
      <c r="BA867" s="82"/>
      <c r="BB867" s="82"/>
      <c r="BC867" s="82"/>
      <c r="BD867" s="82"/>
      <c r="BE867" s="82"/>
      <c r="BF867" s="82"/>
      <c r="BG867" s="82"/>
      <c r="BH867" s="854"/>
      <c r="BI867" s="854"/>
      <c r="BJ867" s="854"/>
      <c r="BK867" s="877">
        <f t="shared" si="1108"/>
        <v>-131</v>
      </c>
      <c r="BL867" s="877">
        <f t="shared" si="1108"/>
        <v>-421</v>
      </c>
      <c r="BM867" s="877">
        <f t="shared" si="1108"/>
        <v>-6</v>
      </c>
      <c r="BN867" s="877">
        <f t="shared" si="1108"/>
        <v>-3</v>
      </c>
      <c r="BO867" s="854"/>
      <c r="BP867" s="854"/>
      <c r="BQ867" s="854"/>
      <c r="BR867" s="854"/>
      <c r="BS867" s="854"/>
      <c r="BT867" s="854"/>
      <c r="BU867" s="854"/>
      <c r="BV867" s="854"/>
      <c r="BW867" s="855"/>
      <c r="BX867" s="854"/>
      <c r="BY867" s="854"/>
      <c r="BZ867" s="854"/>
      <c r="CA867" s="854"/>
      <c r="CB867" s="854"/>
      <c r="CC867" s="117"/>
    </row>
    <row r="868" spans="1:81" x14ac:dyDescent="0.55000000000000004">
      <c r="A868" s="74" t="str">
        <f>A799</f>
        <v>Cash paid during the period for income taxes, net</v>
      </c>
      <c r="B868" s="87"/>
      <c r="C868" s="117">
        <f>C799</f>
        <v>9</v>
      </c>
      <c r="D868" s="117">
        <f>SUM(D866:D867)</f>
        <v>-401</v>
      </c>
      <c r="E868" s="117">
        <f>SUM(E866:E867)</f>
        <v>43</v>
      </c>
      <c r="F868" s="117">
        <f>SUM(F866:F867)</f>
        <v>19</v>
      </c>
      <c r="G868" s="117">
        <f>G799</f>
        <v>37</v>
      </c>
      <c r="H868" s="117">
        <f>H799-G799</f>
        <v>22</v>
      </c>
      <c r="I868" s="117">
        <f>I799-H799</f>
        <v>42</v>
      </c>
      <c r="J868" s="117">
        <f>J799-I799</f>
        <v>77</v>
      </c>
      <c r="K868" s="117">
        <f>K799</f>
        <v>119</v>
      </c>
      <c r="L868" s="117">
        <f>L799-K799</f>
        <v>40</v>
      </c>
      <c r="M868" s="117">
        <f>M799-L799</f>
        <v>40</v>
      </c>
      <c r="N868" s="117">
        <f>N799-M799</f>
        <v>71</v>
      </c>
      <c r="O868" s="117">
        <f>O799</f>
        <v>170</v>
      </c>
      <c r="P868" s="117">
        <f>P799-O799</f>
        <v>237</v>
      </c>
      <c r="Q868" s="117">
        <f>Q799-P799</f>
        <v>357</v>
      </c>
      <c r="R868" s="117">
        <f>R799-Q799</f>
        <v>446</v>
      </c>
      <c r="S868" s="117">
        <f>S799</f>
        <v>664</v>
      </c>
      <c r="T868" s="117">
        <f>T799-S799</f>
        <v>695</v>
      </c>
      <c r="U868" s="117">
        <f>U799-T799</f>
        <v>434</v>
      </c>
      <c r="V868" s="117">
        <f>V799-U799</f>
        <v>324</v>
      </c>
      <c r="W868" s="117">
        <f>W799</f>
        <v>736</v>
      </c>
      <c r="X868" s="117">
        <f>X799-W799</f>
        <v>1545</v>
      </c>
      <c r="Y868" s="117">
        <f>Y799-X799</f>
        <v>447</v>
      </c>
      <c r="Z868" s="117">
        <f>Z799-Y799</f>
        <v>1034</v>
      </c>
      <c r="AA868" s="117">
        <f>AA799</f>
        <v>682</v>
      </c>
      <c r="AB868" s="117">
        <f>AB799-AA799</f>
        <v>1014</v>
      </c>
      <c r="AC868" s="117">
        <f>AC799-AB799</f>
        <v>832</v>
      </c>
      <c r="AD868" s="117">
        <f>AD799-AC799</f>
        <v>2654</v>
      </c>
      <c r="AE868" s="117">
        <f>AE799</f>
        <v>209</v>
      </c>
      <c r="AF868" s="117">
        <f>AF799-AE799</f>
        <v>1041</v>
      </c>
      <c r="AG868" s="117">
        <f>AG799-AF799</f>
        <v>1872</v>
      </c>
      <c r="AH868" s="117">
        <f>AH799-AG799</f>
        <v>1107</v>
      </c>
      <c r="AI868" s="117">
        <f>AI799</f>
        <v>2907</v>
      </c>
      <c r="AJ868" s="117">
        <f>AJ799-AI799</f>
        <v>3387</v>
      </c>
      <c r="AK868" s="117">
        <f>AK799-AJ799</f>
        <v>1625</v>
      </c>
      <c r="AL868" s="117">
        <f>AL799-AK799</f>
        <v>606</v>
      </c>
      <c r="AM868" s="117">
        <f>AM799</f>
        <v>502</v>
      </c>
      <c r="AN868" s="117">
        <f>AN799-AM799</f>
        <v>2139</v>
      </c>
      <c r="AO868" s="117">
        <f>AO799-AN799</f>
        <v>2006</v>
      </c>
      <c r="AP868" s="117">
        <f>AP799-AO799</f>
        <v>1760</v>
      </c>
      <c r="AQ868" s="117">
        <f>AQ799</f>
        <v>405</v>
      </c>
      <c r="AR868" s="117">
        <f>AR799-AQ799</f>
        <v>1102</v>
      </c>
      <c r="AS868" s="117">
        <f>AS799-AR799</f>
        <v>509</v>
      </c>
      <c r="AT868" s="117">
        <f>AT799-AS799</f>
        <v>4591</v>
      </c>
      <c r="AU868" s="117">
        <f>AU799</f>
        <v>630</v>
      </c>
      <c r="AV868" s="117">
        <f>AV799-AU799</f>
        <v>5929</v>
      </c>
      <c r="AW868" s="117">
        <f>AW799-AV799</f>
        <v>1767</v>
      </c>
      <c r="AX868" s="117">
        <f>AX799-AW799</f>
        <v>2228</v>
      </c>
      <c r="AY868" s="273">
        <f>AY799</f>
        <v>448</v>
      </c>
      <c r="AZ868" s="37"/>
      <c r="BA868" s="37"/>
      <c r="BB868" s="37"/>
      <c r="BC868" s="37"/>
      <c r="BD868" s="37"/>
      <c r="BE868" s="37"/>
      <c r="BF868" s="37"/>
      <c r="BG868" s="37"/>
      <c r="BH868" s="876">
        <f>BH799</f>
        <v>42</v>
      </c>
      <c r="BI868" s="876">
        <f>BI799</f>
        <v>261</v>
      </c>
      <c r="BJ868" s="876">
        <f>BJ799</f>
        <v>197</v>
      </c>
      <c r="BK868" s="158">
        <f>SUM(BK866:BK867)</f>
        <v>53</v>
      </c>
      <c r="BL868" s="158">
        <f>SUM(BL866:BL867)</f>
        <v>-339</v>
      </c>
      <c r="BM868" s="158">
        <f>SUM(BM866:BM867)</f>
        <v>178</v>
      </c>
      <c r="BN868" s="876">
        <f>SUM(BN866:BN867)</f>
        <v>270</v>
      </c>
      <c r="BO868" s="876">
        <f t="shared" ref="BO868:BW868" si="1109">BO799</f>
        <v>1210</v>
      </c>
      <c r="BP868" s="876">
        <f t="shared" si="1109"/>
        <v>2117</v>
      </c>
      <c r="BQ868" s="876">
        <f t="shared" si="1109"/>
        <v>3762</v>
      </c>
      <c r="BR868" s="876">
        <f t="shared" si="1109"/>
        <v>5182</v>
      </c>
      <c r="BS868" s="876">
        <f t="shared" si="1109"/>
        <v>4229</v>
      </c>
      <c r="BT868" s="876">
        <f t="shared" si="1109"/>
        <v>8525</v>
      </c>
      <c r="BU868" s="876">
        <f t="shared" si="1109"/>
        <v>6407</v>
      </c>
      <c r="BV868" s="876">
        <f t="shared" si="1109"/>
        <v>6607</v>
      </c>
      <c r="BW868" s="915">
        <f t="shared" si="1109"/>
        <v>10554</v>
      </c>
      <c r="BX868" s="158"/>
      <c r="BY868" s="158"/>
      <c r="BZ868" s="158"/>
      <c r="CA868" s="158"/>
      <c r="CB868" s="158"/>
      <c r="CC868" s="117"/>
    </row>
    <row r="869" spans="1:81" x14ac:dyDescent="0.55000000000000004">
      <c r="A869" s="242"/>
      <c r="B869" s="243"/>
      <c r="C869" s="601"/>
      <c r="D869" s="601"/>
      <c r="E869" s="601"/>
      <c r="F869" s="601"/>
      <c r="G869" s="601"/>
      <c r="H869" s="601"/>
      <c r="I869" s="601"/>
      <c r="J869" s="601"/>
      <c r="K869" s="601"/>
      <c r="L869" s="601"/>
      <c r="M869" s="601"/>
      <c r="N869" s="601"/>
      <c r="O869" s="601"/>
      <c r="P869" s="601"/>
      <c r="Q869" s="601"/>
      <c r="R869" s="601"/>
      <c r="S869" s="601"/>
      <c r="T869" s="601"/>
      <c r="U869" s="601"/>
      <c r="V869" s="601"/>
      <c r="W869" s="601"/>
      <c r="X869" s="601"/>
      <c r="Y869" s="601"/>
      <c r="Z869" s="601"/>
      <c r="AA869" s="601"/>
      <c r="AB869" s="601"/>
      <c r="AC869" s="601"/>
      <c r="AD869" s="601"/>
      <c r="AE869" s="601"/>
      <c r="AF869" s="601"/>
      <c r="AG869" s="601"/>
      <c r="AH869" s="601"/>
      <c r="AI869" s="601"/>
      <c r="AJ869" s="601"/>
      <c r="AK869" s="601"/>
      <c r="AL869" s="601"/>
      <c r="AM869" s="601"/>
      <c r="AN869" s="601"/>
      <c r="AO869" s="601"/>
      <c r="AP869" s="601"/>
      <c r="AQ869" s="601"/>
      <c r="AR869" s="601"/>
      <c r="AS869" s="601"/>
      <c r="AT869" s="601"/>
      <c r="AU869" s="601"/>
      <c r="AV869" s="601"/>
      <c r="AW869" s="601"/>
      <c r="AX869" s="601"/>
      <c r="AY869" s="617"/>
      <c r="AZ869" s="601"/>
      <c r="BA869" s="601"/>
      <c r="BB869" s="601"/>
      <c r="BC869" s="601"/>
      <c r="BD869" s="601"/>
      <c r="BE869" s="601"/>
      <c r="BF869" s="601"/>
      <c r="BG869" s="601"/>
      <c r="BH869" s="911"/>
      <c r="BI869" s="911"/>
      <c r="BJ869" s="911"/>
      <c r="BK869" s="911"/>
      <c r="BL869" s="911"/>
      <c r="BM869" s="911"/>
      <c r="BN869" s="911"/>
      <c r="BO869" s="911"/>
      <c r="BP869" s="911"/>
      <c r="BQ869" s="911"/>
      <c r="BR869" s="911"/>
      <c r="BS869" s="911"/>
      <c r="BT869" s="911"/>
      <c r="BU869" s="911"/>
      <c r="BV869" s="911"/>
      <c r="BW869" s="912"/>
      <c r="BX869" s="911"/>
      <c r="BY869" s="911"/>
      <c r="BZ869" s="911"/>
      <c r="CA869" s="911"/>
      <c r="CB869" s="911"/>
      <c r="CC869" s="217"/>
    </row>
    <row r="870" spans="1:81" x14ac:dyDescent="0.55000000000000004">
      <c r="A870" s="553" t="s">
        <v>177</v>
      </c>
      <c r="B870" s="553"/>
      <c r="C870" s="554">
        <f t="shared" ref="C870:AH870" si="1110">ROUND(C863-C903-C907-C917,6)</f>
        <v>0</v>
      </c>
      <c r="D870" s="554">
        <f t="shared" si="1110"/>
        <v>0</v>
      </c>
      <c r="E870" s="554">
        <f t="shared" si="1110"/>
        <v>0</v>
      </c>
      <c r="F870" s="554">
        <f t="shared" si="1110"/>
        <v>0</v>
      </c>
      <c r="G870" s="554">
        <f t="shared" si="1110"/>
        <v>0</v>
      </c>
      <c r="H870" s="554">
        <f t="shared" si="1110"/>
        <v>0</v>
      </c>
      <c r="I870" s="554">
        <f t="shared" si="1110"/>
        <v>0</v>
      </c>
      <c r="J870" s="554">
        <f t="shared" si="1110"/>
        <v>0</v>
      </c>
      <c r="K870" s="554">
        <f t="shared" si="1110"/>
        <v>0</v>
      </c>
      <c r="L870" s="554">
        <f t="shared" si="1110"/>
        <v>0</v>
      </c>
      <c r="M870" s="554">
        <f t="shared" si="1110"/>
        <v>0</v>
      </c>
      <c r="N870" s="554">
        <f t="shared" si="1110"/>
        <v>0</v>
      </c>
      <c r="O870" s="554">
        <f t="shared" si="1110"/>
        <v>0</v>
      </c>
      <c r="P870" s="554">
        <f t="shared" si="1110"/>
        <v>0</v>
      </c>
      <c r="Q870" s="554">
        <f t="shared" si="1110"/>
        <v>0</v>
      </c>
      <c r="R870" s="554">
        <f t="shared" si="1110"/>
        <v>0</v>
      </c>
      <c r="S870" s="554">
        <f t="shared" si="1110"/>
        <v>0</v>
      </c>
      <c r="T870" s="554">
        <f t="shared" si="1110"/>
        <v>0</v>
      </c>
      <c r="U870" s="554">
        <f t="shared" si="1110"/>
        <v>0</v>
      </c>
      <c r="V870" s="554">
        <f t="shared" si="1110"/>
        <v>0</v>
      </c>
      <c r="W870" s="554">
        <f t="shared" si="1110"/>
        <v>0</v>
      </c>
      <c r="X870" s="554">
        <f t="shared" si="1110"/>
        <v>0</v>
      </c>
      <c r="Y870" s="554">
        <f t="shared" si="1110"/>
        <v>0</v>
      </c>
      <c r="Z870" s="554">
        <f t="shared" si="1110"/>
        <v>0</v>
      </c>
      <c r="AA870" s="554">
        <f t="shared" si="1110"/>
        <v>0</v>
      </c>
      <c r="AB870" s="554">
        <f t="shared" si="1110"/>
        <v>0</v>
      </c>
      <c r="AC870" s="554">
        <f t="shared" si="1110"/>
        <v>0</v>
      </c>
      <c r="AD870" s="554">
        <f t="shared" si="1110"/>
        <v>0</v>
      </c>
      <c r="AE870" s="554">
        <f t="shared" si="1110"/>
        <v>0</v>
      </c>
      <c r="AF870" s="554">
        <f t="shared" si="1110"/>
        <v>0</v>
      </c>
      <c r="AG870" s="554">
        <f t="shared" si="1110"/>
        <v>0</v>
      </c>
      <c r="AH870" s="554">
        <f t="shared" si="1110"/>
        <v>0</v>
      </c>
      <c r="AI870" s="554">
        <f t="shared" ref="AI870:BF870" si="1111">ROUND(AI863-AI903-AI907-AI917,6)</f>
        <v>0</v>
      </c>
      <c r="AJ870" s="554">
        <f t="shared" si="1111"/>
        <v>0</v>
      </c>
      <c r="AK870" s="554">
        <f t="shared" si="1111"/>
        <v>0</v>
      </c>
      <c r="AL870" s="554">
        <f t="shared" si="1111"/>
        <v>0</v>
      </c>
      <c r="AM870" s="554">
        <f t="shared" si="1111"/>
        <v>0</v>
      </c>
      <c r="AN870" s="554">
        <f t="shared" si="1111"/>
        <v>0</v>
      </c>
      <c r="AO870" s="554">
        <f t="shared" si="1111"/>
        <v>0</v>
      </c>
      <c r="AP870" s="554">
        <f t="shared" si="1111"/>
        <v>0</v>
      </c>
      <c r="AQ870" s="554">
        <f t="shared" si="1111"/>
        <v>0</v>
      </c>
      <c r="AR870" s="554">
        <f t="shared" si="1111"/>
        <v>0</v>
      </c>
      <c r="AS870" s="554">
        <f t="shared" si="1111"/>
        <v>0</v>
      </c>
      <c r="AT870" s="554">
        <f t="shared" si="1111"/>
        <v>0</v>
      </c>
      <c r="AU870" s="554">
        <f t="shared" si="1111"/>
        <v>0</v>
      </c>
      <c r="AV870" s="554">
        <f t="shared" si="1111"/>
        <v>0</v>
      </c>
      <c r="AW870" s="554">
        <f t="shared" si="1111"/>
        <v>0</v>
      </c>
      <c r="AX870" s="554">
        <f t="shared" si="1111"/>
        <v>0</v>
      </c>
      <c r="AY870" s="555">
        <f t="shared" si="1111"/>
        <v>0</v>
      </c>
      <c r="AZ870" s="554">
        <f t="shared" ca="1" si="1111"/>
        <v>0</v>
      </c>
      <c r="BA870" s="554">
        <f t="shared" ca="1" si="1111"/>
        <v>0</v>
      </c>
      <c r="BB870" s="554">
        <f t="shared" ca="1" si="1111"/>
        <v>0</v>
      </c>
      <c r="BC870" s="554">
        <f t="shared" ca="1" si="1111"/>
        <v>0</v>
      </c>
      <c r="BD870" s="554">
        <f t="shared" ca="1" si="1111"/>
        <v>0</v>
      </c>
      <c r="BE870" s="554">
        <f t="shared" ca="1" si="1111"/>
        <v>0</v>
      </c>
      <c r="BF870" s="554">
        <f t="shared" ca="1" si="1111"/>
        <v>0</v>
      </c>
      <c r="BG870" s="554"/>
      <c r="BH870" s="554">
        <f t="shared" ref="BH870:CB870" si="1112">ROUND(BH863-BH903-BH907-BH917,6)</f>
        <v>633</v>
      </c>
      <c r="BI870" s="554">
        <f t="shared" si="1112"/>
        <v>0</v>
      </c>
      <c r="BJ870" s="554">
        <f t="shared" si="1112"/>
        <v>0</v>
      </c>
      <c r="BK870" s="554">
        <f t="shared" si="1112"/>
        <v>0</v>
      </c>
      <c r="BL870" s="554">
        <f t="shared" si="1112"/>
        <v>0</v>
      </c>
      <c r="BM870" s="554">
        <f t="shared" si="1112"/>
        <v>0</v>
      </c>
      <c r="BN870" s="554">
        <f t="shared" si="1112"/>
        <v>0</v>
      </c>
      <c r="BO870" s="554">
        <f t="shared" si="1112"/>
        <v>0</v>
      </c>
      <c r="BP870" s="554">
        <f t="shared" si="1112"/>
        <v>0</v>
      </c>
      <c r="BQ870" s="554">
        <f t="shared" si="1112"/>
        <v>0</v>
      </c>
      <c r="BR870" s="554">
        <f t="shared" si="1112"/>
        <v>0</v>
      </c>
      <c r="BS870" s="554">
        <f t="shared" si="1112"/>
        <v>0</v>
      </c>
      <c r="BT870" s="554">
        <f t="shared" si="1112"/>
        <v>0</v>
      </c>
      <c r="BU870" s="554">
        <f t="shared" si="1112"/>
        <v>0</v>
      </c>
      <c r="BV870" s="554">
        <f t="shared" si="1112"/>
        <v>0</v>
      </c>
      <c r="BW870" s="555">
        <f t="shared" si="1112"/>
        <v>0</v>
      </c>
      <c r="BX870" s="554">
        <f t="shared" ca="1" si="1112"/>
        <v>0</v>
      </c>
      <c r="BY870" s="554">
        <f t="shared" ca="1" si="1112"/>
        <v>0</v>
      </c>
      <c r="BZ870" s="554">
        <f t="shared" ca="1" si="1112"/>
        <v>0</v>
      </c>
      <c r="CA870" s="554">
        <f t="shared" ca="1" si="1112"/>
        <v>0</v>
      </c>
      <c r="CB870" s="554">
        <f t="shared" ca="1" si="1112"/>
        <v>0</v>
      </c>
      <c r="CC870" s="117"/>
    </row>
    <row r="871" spans="1:81" x14ac:dyDescent="0.55000000000000004">
      <c r="A871" s="242"/>
      <c r="B871" s="243"/>
      <c r="C871" s="601"/>
      <c r="D871" s="601"/>
      <c r="E871" s="601"/>
      <c r="F871" s="601"/>
      <c r="G871" s="601"/>
      <c r="H871" s="601"/>
      <c r="I871" s="601"/>
      <c r="J871" s="601"/>
      <c r="K871" s="601"/>
      <c r="L871" s="601"/>
      <c r="M871" s="601"/>
      <c r="N871" s="601"/>
      <c r="O871" s="601"/>
      <c r="P871" s="601"/>
      <c r="Q871" s="601"/>
      <c r="R871" s="601"/>
      <c r="S871" s="601"/>
      <c r="T871" s="601"/>
      <c r="U871" s="601"/>
      <c r="V871" s="601"/>
      <c r="W871" s="601"/>
      <c r="X871" s="601"/>
      <c r="Y871" s="601"/>
      <c r="Z871" s="601"/>
      <c r="AA871" s="601"/>
      <c r="AB871" s="601"/>
      <c r="AC871" s="601"/>
      <c r="AD871" s="601"/>
      <c r="AE871" s="601"/>
      <c r="AF871" s="601"/>
      <c r="AG871" s="601"/>
      <c r="AH871" s="601"/>
      <c r="AI871" s="601"/>
      <c r="AJ871" s="601"/>
      <c r="AK871" s="601"/>
      <c r="AL871" s="601"/>
      <c r="AM871" s="601"/>
      <c r="AN871" s="601"/>
      <c r="AO871" s="601"/>
      <c r="AP871" s="601"/>
      <c r="AQ871" s="601"/>
      <c r="AR871" s="601"/>
      <c r="AS871" s="601"/>
      <c r="AT871" s="601"/>
      <c r="AU871" s="601"/>
      <c r="AV871" s="601"/>
      <c r="AW871" s="601"/>
      <c r="AX871" s="601"/>
      <c r="AY871" s="617"/>
      <c r="AZ871" s="601"/>
      <c r="BA871" s="601"/>
      <c r="BB871" s="601"/>
      <c r="BC871" s="601"/>
      <c r="BD871" s="601"/>
      <c r="BE871" s="601"/>
      <c r="BF871" s="601"/>
      <c r="BG871" s="601"/>
      <c r="BH871" s="911"/>
      <c r="BI871" s="911"/>
      <c r="BJ871" s="911"/>
      <c r="BK871" s="911"/>
      <c r="BL871" s="911"/>
      <c r="BM871" s="911"/>
      <c r="BN871" s="911"/>
      <c r="BO871" s="911"/>
      <c r="BP871" s="911"/>
      <c r="BQ871" s="911"/>
      <c r="BR871" s="911"/>
      <c r="BS871" s="911"/>
      <c r="BT871" s="911"/>
      <c r="BU871" s="911"/>
      <c r="BV871" s="911"/>
      <c r="BW871" s="912"/>
      <c r="BX871" s="911"/>
      <c r="BY871" s="911"/>
      <c r="BZ871" s="911"/>
      <c r="CA871" s="911"/>
      <c r="CB871" s="911"/>
      <c r="CC871" s="217"/>
    </row>
    <row r="872" spans="1:81" x14ac:dyDescent="0.55000000000000004">
      <c r="A872" s="127" t="s">
        <v>178</v>
      </c>
      <c r="B872" s="128"/>
      <c r="C872" s="598"/>
      <c r="D872" s="598"/>
      <c r="E872" s="598"/>
      <c r="F872" s="598"/>
      <c r="G872" s="598"/>
      <c r="H872" s="598"/>
      <c r="I872" s="598"/>
      <c r="J872" s="598"/>
      <c r="K872" s="598"/>
      <c r="L872" s="598"/>
      <c r="M872" s="598"/>
      <c r="N872" s="598"/>
      <c r="O872" s="598"/>
      <c r="P872" s="598"/>
      <c r="Q872" s="598"/>
      <c r="R872" s="598"/>
      <c r="S872" s="598"/>
      <c r="T872" s="598"/>
      <c r="U872" s="598"/>
      <c r="V872" s="598"/>
      <c r="W872" s="598"/>
      <c r="X872" s="598"/>
      <c r="Y872" s="598"/>
      <c r="Z872" s="598"/>
      <c r="AA872" s="598"/>
      <c r="AB872" s="598"/>
      <c r="AC872" s="598"/>
      <c r="AD872" s="598"/>
      <c r="AE872" s="598"/>
      <c r="AF872" s="598"/>
      <c r="AG872" s="598"/>
      <c r="AH872" s="598"/>
      <c r="AI872" s="598"/>
      <c r="AJ872" s="598"/>
      <c r="AK872" s="598"/>
      <c r="AL872" s="598"/>
      <c r="AM872" s="598"/>
      <c r="AN872" s="598"/>
      <c r="AO872" s="598"/>
      <c r="AP872" s="598"/>
      <c r="AQ872" s="598"/>
      <c r="AR872" s="598"/>
      <c r="AS872" s="598"/>
      <c r="AT872" s="598"/>
      <c r="AU872" s="598"/>
      <c r="AV872" s="598"/>
      <c r="AW872" s="598"/>
      <c r="AX872" s="598"/>
      <c r="AY872" s="599"/>
      <c r="AZ872" s="598"/>
      <c r="BA872" s="598"/>
      <c r="BB872" s="598"/>
      <c r="BC872" s="598"/>
      <c r="BD872" s="598"/>
      <c r="BE872" s="598"/>
      <c r="BF872" s="598"/>
      <c r="BG872" s="598"/>
      <c r="BH872" s="598"/>
      <c r="BI872" s="598"/>
      <c r="BJ872" s="598"/>
      <c r="BK872" s="598"/>
      <c r="BL872" s="598"/>
      <c r="BM872" s="598"/>
      <c r="BN872" s="598"/>
      <c r="BO872" s="598"/>
      <c r="BP872" s="598"/>
      <c r="BQ872" s="598"/>
      <c r="BR872" s="598"/>
      <c r="BS872" s="598"/>
      <c r="BT872" s="598"/>
      <c r="BU872" s="598"/>
      <c r="BV872" s="598"/>
      <c r="BW872" s="599"/>
      <c r="BX872" s="598"/>
      <c r="BY872" s="598"/>
      <c r="BZ872" s="598"/>
      <c r="CA872" s="598"/>
      <c r="CB872" s="598"/>
      <c r="CC872" s="217"/>
    </row>
    <row r="873" spans="1:81" x14ac:dyDescent="0.55000000000000004">
      <c r="A873" s="71" t="s">
        <v>179</v>
      </c>
      <c r="B873" s="249"/>
      <c r="C873" s="121"/>
      <c r="D873" s="121"/>
      <c r="E873" s="121"/>
      <c r="F873" s="121"/>
      <c r="G873" s="9">
        <f t="shared" ref="G873:AY873" si="1113">G905/(G$378+F$378+E$378+D$378)</f>
        <v>0.11283086585912966</v>
      </c>
      <c r="H873" s="9">
        <f t="shared" si="1113"/>
        <v>0.11884550084889643</v>
      </c>
      <c r="I873" s="9">
        <f t="shared" si="1113"/>
        <v>0.12169642857142857</v>
      </c>
      <c r="J873" s="9">
        <f t="shared" si="1113"/>
        <v>0.13460612866998234</v>
      </c>
      <c r="K873" s="9">
        <f t="shared" si="1113"/>
        <v>0.11164581328200192</v>
      </c>
      <c r="L873" s="9">
        <f t="shared" si="1113"/>
        <v>0.12398387868023772</v>
      </c>
      <c r="M873" s="9">
        <f t="shared" si="1113"/>
        <v>0.12612160381502166</v>
      </c>
      <c r="N873" s="9">
        <f t="shared" si="1113"/>
        <v>0.14274557929380263</v>
      </c>
      <c r="O873" s="9">
        <f t="shared" si="1113"/>
        <v>0.11878984114135384</v>
      </c>
      <c r="P873" s="9">
        <f t="shared" si="1113"/>
        <v>0.12639891696750902</v>
      </c>
      <c r="Q873" s="9">
        <f t="shared" si="1113"/>
        <v>0.12444264288609648</v>
      </c>
      <c r="R873" s="9">
        <f t="shared" si="1113"/>
        <v>0.1444749981908966</v>
      </c>
      <c r="S873" s="9">
        <f t="shared" si="1113"/>
        <v>0.11275092445853144</v>
      </c>
      <c r="T873" s="9">
        <f t="shared" si="1113"/>
        <v>0.11747505501462033</v>
      </c>
      <c r="U873" s="9">
        <f t="shared" si="1113"/>
        <v>0.12123869553302274</v>
      </c>
      <c r="V873" s="9">
        <f t="shared" si="1113"/>
        <v>0.14345804737657739</v>
      </c>
      <c r="W873" s="9">
        <f t="shared" si="1113"/>
        <v>0.1147195370848005</v>
      </c>
      <c r="X873" s="9">
        <f t="shared" si="1113"/>
        <v>0.11526486174402541</v>
      </c>
      <c r="Y873" s="9">
        <f t="shared" si="1113"/>
        <v>0.11673346693386774</v>
      </c>
      <c r="Z873" s="9">
        <f t="shared" si="1113"/>
        <v>0.135875210430173</v>
      </c>
      <c r="AA873" s="9">
        <f t="shared" si="1113"/>
        <v>0.10984070976606898</v>
      </c>
      <c r="AB873" s="9">
        <f t="shared" si="1113"/>
        <v>0.12000830617851894</v>
      </c>
      <c r="AC873" s="9">
        <f t="shared" si="1113"/>
        <v>0.11533316298155691</v>
      </c>
      <c r="AD873" s="9">
        <f t="shared" si="1113"/>
        <v>0.13463088957098604</v>
      </c>
      <c r="AE873" s="9">
        <f t="shared" si="1113"/>
        <v>9.9363387270471809E-2</v>
      </c>
      <c r="AF873" s="9">
        <f t="shared" si="1113"/>
        <v>9.9563586045397695E-2</v>
      </c>
      <c r="AG873" s="9">
        <f t="shared" si="1113"/>
        <v>0.10160048622366288</v>
      </c>
      <c r="AH873" s="9">
        <f t="shared" si="1113"/>
        <v>0.13185445408649932</v>
      </c>
      <c r="AI873" s="9">
        <f t="shared" si="1113"/>
        <v>0.10885593220338984</v>
      </c>
      <c r="AJ873" s="9">
        <f t="shared" si="1113"/>
        <v>0.11163278938830042</v>
      </c>
      <c r="AK873" s="9">
        <f t="shared" si="1113"/>
        <v>0.10761150182497997</v>
      </c>
      <c r="AL873" s="9">
        <f t="shared" si="1113"/>
        <v>0.11904620576787728</v>
      </c>
      <c r="AM873" s="9">
        <f t="shared" si="1113"/>
        <v>9.5181588755369112E-2</v>
      </c>
      <c r="AN873" s="9">
        <f t="shared" si="1113"/>
        <v>9.6515396404016379E-2</v>
      </c>
      <c r="AO873" s="9">
        <f t="shared" si="1113"/>
        <v>9.5051432925538665E-2</v>
      </c>
      <c r="AP873" s="9">
        <f t="shared" si="1113"/>
        <v>0.11547993722611462</v>
      </c>
      <c r="AQ873" s="9">
        <f t="shared" si="1113"/>
        <v>9.4114839875240747E-2</v>
      </c>
      <c r="AR873" s="9">
        <f t="shared" si="1113"/>
        <v>0.1038059125644068</v>
      </c>
      <c r="AS873" s="9">
        <f t="shared" si="1113"/>
        <v>0.10195738647552283</v>
      </c>
      <c r="AT873" s="9">
        <f t="shared" si="1113"/>
        <v>0.11985826643242081</v>
      </c>
      <c r="AU873" s="9">
        <f t="shared" si="1113"/>
        <v>9.410627071494139E-2</v>
      </c>
      <c r="AV873" s="9">
        <f t="shared" si="1113"/>
        <v>9.6840095337922191E-2</v>
      </c>
      <c r="AW873" s="9">
        <f t="shared" si="1113"/>
        <v>9.4094452907966669E-2</v>
      </c>
      <c r="AX873" s="9">
        <f t="shared" si="1113"/>
        <v>0.10330699088145896</v>
      </c>
      <c r="AY873" s="634">
        <f t="shared" si="1113"/>
        <v>8.5196555509248123E-2</v>
      </c>
      <c r="AZ873" s="121">
        <f t="shared" ref="AZ873:BF874" si="1114">AV873+AZ876</f>
        <v>9.6840095337922191E-2</v>
      </c>
      <c r="BA873" s="121">
        <f t="shared" si="1114"/>
        <v>9.4094452907966669E-2</v>
      </c>
      <c r="BB873" s="121">
        <f t="shared" si="1114"/>
        <v>0.10330699088145896</v>
      </c>
      <c r="BC873" s="121">
        <f t="shared" si="1114"/>
        <v>8.5196555509248123E-2</v>
      </c>
      <c r="BD873" s="121">
        <f t="shared" si="1114"/>
        <v>9.6840095337922191E-2</v>
      </c>
      <c r="BE873" s="121">
        <f t="shared" si="1114"/>
        <v>9.4094452907966669E-2</v>
      </c>
      <c r="BF873" s="121">
        <f t="shared" si="1114"/>
        <v>0.10330699088145896</v>
      </c>
      <c r="BG873" s="121"/>
      <c r="BH873" s="924">
        <f t="shared" ref="BH873:BY873" si="1115">BH905/BH$378</f>
        <v>0</v>
      </c>
      <c r="BI873" s="924">
        <f t="shared" si="1115"/>
        <v>0.1889564336372847</v>
      </c>
      <c r="BJ873" s="924">
        <f t="shared" si="1115"/>
        <v>0.1473996227431959</v>
      </c>
      <c r="BK873" s="924">
        <f t="shared" si="1115"/>
        <v>0.14128512477893496</v>
      </c>
      <c r="BL873" s="924">
        <f t="shared" si="1115"/>
        <v>0.1408790650406504</v>
      </c>
      <c r="BM873" s="924">
        <f t="shared" si="1115"/>
        <v>0.13460612866998234</v>
      </c>
      <c r="BN873" s="924">
        <f t="shared" si="1115"/>
        <v>0.1427376171352075</v>
      </c>
      <c r="BO873" s="924">
        <f t="shared" si="1115"/>
        <v>0.1444749981908966</v>
      </c>
      <c r="BP873" s="924">
        <f t="shared" si="1115"/>
        <v>0.14345804737657739</v>
      </c>
      <c r="BQ873" s="924">
        <f t="shared" si="1115"/>
        <v>0.135875210430173</v>
      </c>
      <c r="BR873" s="924">
        <f t="shared" si="1115"/>
        <v>0.13463088957098604</v>
      </c>
      <c r="BS873" s="924">
        <f t="shared" si="1115"/>
        <v>0.13185598790205316</v>
      </c>
      <c r="BT873" s="924">
        <f t="shared" si="1115"/>
        <v>0.11904620576787728</v>
      </c>
      <c r="BU873" s="924">
        <f t="shared" si="1115"/>
        <v>0.11547993722611462</v>
      </c>
      <c r="BV873" s="924">
        <f t="shared" si="1115"/>
        <v>0.11985737794843665</v>
      </c>
      <c r="BW873" s="925">
        <f t="shared" si="1115"/>
        <v>0.10330636287925302</v>
      </c>
      <c r="BX873" s="867">
        <f t="shared" si="1115"/>
        <v>0.10330699088145896</v>
      </c>
      <c r="BY873" s="867">
        <f t="shared" si="1115"/>
        <v>0.10330699088145896</v>
      </c>
      <c r="BZ873" s="867">
        <f t="shared" ref="BZ873:CB874" si="1116">BY873+BZ876</f>
        <v>0.10330699088145896</v>
      </c>
      <c r="CA873" s="867">
        <f t="shared" si="1116"/>
        <v>0.10330699088145896</v>
      </c>
      <c r="CB873" s="867">
        <f t="shared" si="1116"/>
        <v>0.10330699088145896</v>
      </c>
      <c r="CC873" s="9"/>
    </row>
    <row r="874" spans="1:81" x14ac:dyDescent="0.55000000000000004">
      <c r="A874" s="71" t="s">
        <v>180</v>
      </c>
      <c r="B874" s="249"/>
      <c r="C874" s="121"/>
      <c r="D874" s="121"/>
      <c r="E874" s="121"/>
      <c r="F874" s="121"/>
      <c r="G874" s="9">
        <f t="shared" ref="G874:AY874" si="1117">G931/(G$378+F$378+E$378+D$378)</f>
        <v>5.8882907133243609E-2</v>
      </c>
      <c r="H874" s="9">
        <f t="shared" si="1117"/>
        <v>6.6513532407869766E-2</v>
      </c>
      <c r="I874" s="9">
        <f t="shared" si="1117"/>
        <v>6.3303571428571431E-2</v>
      </c>
      <c r="J874" s="9">
        <f t="shared" si="1117"/>
        <v>6.9468955559120804E-2</v>
      </c>
      <c r="K874" s="9">
        <f t="shared" si="1117"/>
        <v>9.6246390760346481E-2</v>
      </c>
      <c r="L874" s="9">
        <f t="shared" si="1117"/>
        <v>0.10055331648336635</v>
      </c>
      <c r="M874" s="9">
        <f t="shared" si="1117"/>
        <v>8.3955575076865158E-2</v>
      </c>
      <c r="N874" s="9">
        <f t="shared" si="1117"/>
        <v>8.0827801639984376E-2</v>
      </c>
      <c r="O874" s="9">
        <f t="shared" si="1117"/>
        <v>7.0171000708286954E-2</v>
      </c>
      <c r="P874" s="9">
        <f t="shared" si="1117"/>
        <v>7.9512635379061378E-2</v>
      </c>
      <c r="Q874" s="9">
        <f t="shared" si="1117"/>
        <v>8.1840291852452368E-2</v>
      </c>
      <c r="R874" s="9">
        <f t="shared" si="1117"/>
        <v>7.9709096171937194E-2</v>
      </c>
      <c r="S874" s="9">
        <f t="shared" si="1117"/>
        <v>7.9239302694136288E-2</v>
      </c>
      <c r="T874" s="9">
        <f t="shared" si="1117"/>
        <v>7.9160763271335116E-2</v>
      </c>
      <c r="U874" s="9">
        <f t="shared" si="1117"/>
        <v>6.859413537955604E-2</v>
      </c>
      <c r="V874" s="9">
        <f t="shared" si="1117"/>
        <v>7.1138661353405658E-2</v>
      </c>
      <c r="W874" s="9">
        <f t="shared" si="1117"/>
        <v>8.9779532150626867E-2</v>
      </c>
      <c r="X874" s="9">
        <f t="shared" si="1117"/>
        <v>7.6705775614986496E-2</v>
      </c>
      <c r="Y874" s="9">
        <f t="shared" si="1117"/>
        <v>8.199090488669647E-2</v>
      </c>
      <c r="Z874" s="9">
        <f t="shared" si="1117"/>
        <v>9.8660410473154478E-2</v>
      </c>
      <c r="AA874" s="9">
        <f t="shared" si="1117"/>
        <v>0.13537125311710121</v>
      </c>
      <c r="AB874" s="9">
        <f t="shared" si="1117"/>
        <v>0.17375886524822695</v>
      </c>
      <c r="AC874" s="9">
        <f t="shared" si="1117"/>
        <v>0.16349261224428444</v>
      </c>
      <c r="AD874" s="9">
        <f t="shared" si="1117"/>
        <v>0.16599007030001273</v>
      </c>
      <c r="AE874" s="9">
        <f t="shared" si="1117"/>
        <v>0.16966342680316807</v>
      </c>
      <c r="AF874" s="9">
        <f t="shared" si="1117"/>
        <v>0.11304185848479203</v>
      </c>
      <c r="AG874" s="9">
        <f t="shared" si="1117"/>
        <v>0.10995745542949757</v>
      </c>
      <c r="AH874" s="9">
        <f t="shared" si="1117"/>
        <v>0.12972570551148127</v>
      </c>
      <c r="AI874" s="9">
        <f t="shared" si="1117"/>
        <v>9.9692796610169498E-2</v>
      </c>
      <c r="AJ874" s="9">
        <f t="shared" si="1117"/>
        <v>0.10983872506918599</v>
      </c>
      <c r="AK874" s="9">
        <f t="shared" si="1117"/>
        <v>0.11713700703284964</v>
      </c>
      <c r="AL874" s="9">
        <f t="shared" si="1117"/>
        <v>0.12136115798488921</v>
      </c>
      <c r="AM874" s="9">
        <f t="shared" si="1117"/>
        <v>0.12723747764611501</v>
      </c>
      <c r="AN874" s="9">
        <f t="shared" si="1117"/>
        <v>0.12913383189153427</v>
      </c>
      <c r="AO874" s="9">
        <f t="shared" si="1117"/>
        <v>0.13576599077170554</v>
      </c>
      <c r="AP874" s="9">
        <f t="shared" si="1117"/>
        <v>0.16767144903052081</v>
      </c>
      <c r="AQ874" s="9">
        <f t="shared" si="1117"/>
        <v>0.16485436231315936</v>
      </c>
      <c r="AR874" s="9">
        <f t="shared" si="1117"/>
        <v>0.20460824904789957</v>
      </c>
      <c r="AS874" s="9">
        <f t="shared" si="1117"/>
        <v>0.18848410854239692</v>
      </c>
      <c r="AT874" s="9">
        <f t="shared" si="1117"/>
        <v>0.18254127100614526</v>
      </c>
      <c r="AU874" s="9">
        <f t="shared" si="1117"/>
        <v>0.15864229106375821</v>
      </c>
      <c r="AV874" s="9">
        <f t="shared" si="1117"/>
        <v>0.14630498788246998</v>
      </c>
      <c r="AW874" s="9">
        <f t="shared" si="1117"/>
        <v>0.15143446033310717</v>
      </c>
      <c r="AX874" s="9">
        <f t="shared" si="1117"/>
        <v>0.14569604863221886</v>
      </c>
      <c r="AY874" s="634">
        <f t="shared" si="1117"/>
        <v>0.13736873308718647</v>
      </c>
      <c r="AZ874" s="121">
        <f t="shared" si="1114"/>
        <v>0.14630498788246998</v>
      </c>
      <c r="BA874" s="121">
        <f t="shared" si="1114"/>
        <v>0.15143446033310717</v>
      </c>
      <c r="BB874" s="121">
        <f t="shared" si="1114"/>
        <v>0.14569604863221886</v>
      </c>
      <c r="BC874" s="121">
        <f t="shared" si="1114"/>
        <v>0.13736873308718647</v>
      </c>
      <c r="BD874" s="121">
        <f t="shared" si="1114"/>
        <v>0.14630498788246998</v>
      </c>
      <c r="BE874" s="121">
        <f t="shared" si="1114"/>
        <v>0.15143446033310717</v>
      </c>
      <c r="BF874" s="121">
        <f t="shared" si="1114"/>
        <v>0.14569604863221886</v>
      </c>
      <c r="BG874" s="121"/>
      <c r="BH874" s="924">
        <f t="shared" ref="BH874:BY874" si="1118">BH931/BH$378</f>
        <v>0</v>
      </c>
      <c r="BI874" s="924">
        <f t="shared" si="1118"/>
        <v>6.9402228976697067E-2</v>
      </c>
      <c r="BJ874" s="924">
        <f t="shared" si="1118"/>
        <v>7.9762867151711131E-2</v>
      </c>
      <c r="BK874" s="924">
        <f t="shared" si="1118"/>
        <v>8.3120455885242681E-2</v>
      </c>
      <c r="BL874" s="924">
        <f t="shared" si="1118"/>
        <v>7.0503048780487798E-2</v>
      </c>
      <c r="BM874" s="924">
        <f t="shared" si="1118"/>
        <v>6.9468955559120804E-2</v>
      </c>
      <c r="BN874" s="924">
        <f t="shared" si="1118"/>
        <v>8.0823293172690769E-2</v>
      </c>
      <c r="BO874" s="924">
        <f t="shared" si="1118"/>
        <v>7.9709096171937194E-2</v>
      </c>
      <c r="BP874" s="924">
        <f t="shared" si="1118"/>
        <v>7.1138661353405658E-2</v>
      </c>
      <c r="BQ874" s="924">
        <f t="shared" si="1118"/>
        <v>9.8660410473154478E-2</v>
      </c>
      <c r="BR874" s="924">
        <f t="shared" si="1118"/>
        <v>0.16599007030001273</v>
      </c>
      <c r="BS874" s="924">
        <f t="shared" si="1118"/>
        <v>0.12972721456406677</v>
      </c>
      <c r="BT874" s="924">
        <f t="shared" si="1118"/>
        <v>0.12136115798488921</v>
      </c>
      <c r="BU874" s="924">
        <f t="shared" si="1118"/>
        <v>0.16767144903052081</v>
      </c>
      <c r="BV874" s="924">
        <f t="shared" si="1118"/>
        <v>0.18253991786630294</v>
      </c>
      <c r="BW874" s="925">
        <f t="shared" si="1118"/>
        <v>0.1456951629473377</v>
      </c>
      <c r="BX874" s="867">
        <f t="shared" si="1118"/>
        <v>0.14569604863221886</v>
      </c>
      <c r="BY874" s="867">
        <f t="shared" si="1118"/>
        <v>0.14569604863221886</v>
      </c>
      <c r="BZ874" s="867">
        <f t="shared" si="1116"/>
        <v>0.14569604863221886</v>
      </c>
      <c r="CA874" s="867">
        <f t="shared" si="1116"/>
        <v>0.14569604863221886</v>
      </c>
      <c r="CB874" s="867">
        <f t="shared" si="1116"/>
        <v>0.14569604863221886</v>
      </c>
      <c r="CC874" s="9"/>
    </row>
    <row r="875" spans="1:81" x14ac:dyDescent="0.55000000000000004">
      <c r="A875" s="139"/>
      <c r="B875" s="249"/>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1"/>
      <c r="AM875" s="121"/>
      <c r="AN875" s="121"/>
      <c r="AO875" s="121"/>
      <c r="AP875" s="121"/>
      <c r="AQ875" s="121"/>
      <c r="AR875" s="121"/>
      <c r="AS875" s="121"/>
      <c r="AT875" s="121"/>
      <c r="AU875" s="121"/>
      <c r="AV875" s="121"/>
      <c r="AW875" s="121"/>
      <c r="AX875" s="121"/>
      <c r="AY875" s="634"/>
      <c r="AZ875" s="121"/>
      <c r="BA875" s="121"/>
      <c r="BB875" s="121"/>
      <c r="BC875" s="121"/>
      <c r="BD875" s="121"/>
      <c r="BE875" s="121"/>
      <c r="BF875" s="121"/>
      <c r="BG875" s="121"/>
      <c r="BH875" s="867"/>
      <c r="BI875" s="867"/>
      <c r="BJ875" s="867"/>
      <c r="BK875" s="867"/>
      <c r="BL875" s="867"/>
      <c r="BM875" s="867"/>
      <c r="BN875" s="867"/>
      <c r="BO875" s="867"/>
      <c r="BP875" s="867"/>
      <c r="BQ875" s="867"/>
      <c r="BR875" s="867"/>
      <c r="BS875" s="867"/>
      <c r="BT875" s="867"/>
      <c r="BU875" s="867"/>
      <c r="BV875" s="867"/>
      <c r="BW875" s="868"/>
      <c r="BX875" s="867"/>
      <c r="BY875" s="867"/>
      <c r="BZ875" s="867"/>
      <c r="CA875" s="867"/>
      <c r="CB875" s="867"/>
      <c r="CC875" s="9"/>
    </row>
    <row r="876" spans="1:81" x14ac:dyDescent="0.55000000000000004">
      <c r="A876" s="129" t="s">
        <v>181</v>
      </c>
      <c r="B876" s="266"/>
      <c r="C876" s="267"/>
      <c r="D876" s="267"/>
      <c r="E876" s="267"/>
      <c r="F876" s="267"/>
      <c r="G876" s="267"/>
      <c r="H876" s="267"/>
      <c r="I876" s="267"/>
      <c r="J876" s="267"/>
      <c r="K876" s="579">
        <f t="shared" ref="K876:T877" si="1119">K873-G873</f>
        <v>-1.1850525771277404E-3</v>
      </c>
      <c r="L876" s="579">
        <f t="shared" si="1119"/>
        <v>5.138377831341287E-3</v>
      </c>
      <c r="M876" s="579">
        <f t="shared" si="1119"/>
        <v>4.4251752435930936E-3</v>
      </c>
      <c r="N876" s="579">
        <f t="shared" si="1119"/>
        <v>8.1394506238202935E-3</v>
      </c>
      <c r="O876" s="579">
        <f t="shared" si="1119"/>
        <v>7.1440278593519202E-3</v>
      </c>
      <c r="P876" s="579">
        <f t="shared" si="1119"/>
        <v>2.4150382872712983E-3</v>
      </c>
      <c r="Q876" s="579">
        <f t="shared" si="1119"/>
        <v>-1.67896092892518E-3</v>
      </c>
      <c r="R876" s="579">
        <f t="shared" si="1119"/>
        <v>1.729418897093965E-3</v>
      </c>
      <c r="S876" s="579">
        <f t="shared" si="1119"/>
        <v>-6.0389166828224011E-3</v>
      </c>
      <c r="T876" s="579">
        <f t="shared" si="1119"/>
        <v>-8.9238619528886898E-3</v>
      </c>
      <c r="U876" s="579">
        <f t="shared" ref="U876:AD877" si="1120">U873-Q873</f>
        <v>-3.2039473530737356E-3</v>
      </c>
      <c r="V876" s="579">
        <f t="shared" si="1120"/>
        <v>-1.0169508143192119E-3</v>
      </c>
      <c r="W876" s="579">
        <f t="shared" si="1120"/>
        <v>1.968612626269059E-3</v>
      </c>
      <c r="X876" s="579">
        <f t="shared" si="1120"/>
        <v>-2.2101932705949207E-3</v>
      </c>
      <c r="Y876" s="579">
        <f t="shared" si="1120"/>
        <v>-4.5052285991550034E-3</v>
      </c>
      <c r="Z876" s="579">
        <f t="shared" si="1120"/>
        <v>-7.582836946404381E-3</v>
      </c>
      <c r="AA876" s="579">
        <f t="shared" si="1120"/>
        <v>-4.8788273187315156E-3</v>
      </c>
      <c r="AB876" s="579">
        <f t="shared" si="1120"/>
        <v>4.7434444344935378E-3</v>
      </c>
      <c r="AC876" s="579">
        <f t="shared" si="1120"/>
        <v>-1.4003039523108329E-3</v>
      </c>
      <c r="AD876" s="579">
        <f t="shared" si="1120"/>
        <v>-1.2443208591869648E-3</v>
      </c>
      <c r="AE876" s="579">
        <f t="shared" ref="AE876:AN877" si="1121">AE873-AA873</f>
        <v>-1.0477322495597172E-2</v>
      </c>
      <c r="AF876" s="579">
        <f t="shared" si="1121"/>
        <v>-2.044472013312125E-2</v>
      </c>
      <c r="AG876" s="579">
        <f t="shared" si="1121"/>
        <v>-1.3732676757894025E-2</v>
      </c>
      <c r="AH876" s="579">
        <f t="shared" si="1121"/>
        <v>-2.7764354844867223E-3</v>
      </c>
      <c r="AI876" s="579">
        <f t="shared" si="1121"/>
        <v>9.4925449329180261E-3</v>
      </c>
      <c r="AJ876" s="579">
        <f t="shared" si="1121"/>
        <v>1.2069203342902721E-2</v>
      </c>
      <c r="AK876" s="579">
        <f t="shared" si="1121"/>
        <v>6.0110156013170879E-3</v>
      </c>
      <c r="AL876" s="579">
        <f t="shared" si="1121"/>
        <v>-1.280824831862204E-2</v>
      </c>
      <c r="AM876" s="579">
        <f t="shared" si="1121"/>
        <v>-1.3674343448020723E-2</v>
      </c>
      <c r="AN876" s="579">
        <f t="shared" si="1121"/>
        <v>-1.5117392984284037E-2</v>
      </c>
      <c r="AO876" s="579">
        <f t="shared" ref="AO876:AX877" si="1122">AO873-AK873</f>
        <v>-1.2560068899441307E-2</v>
      </c>
      <c r="AP876" s="579">
        <f t="shared" si="1122"/>
        <v>-3.5662685417626599E-3</v>
      </c>
      <c r="AQ876" s="579">
        <f t="shared" si="1122"/>
        <v>-1.0667488801283653E-3</v>
      </c>
      <c r="AR876" s="579">
        <f t="shared" si="1122"/>
        <v>7.2905161603904201E-3</v>
      </c>
      <c r="AS876" s="579">
        <f t="shared" si="1122"/>
        <v>6.9059535499841618E-3</v>
      </c>
      <c r="AT876" s="579">
        <f t="shared" si="1122"/>
        <v>4.3783292063061946E-3</v>
      </c>
      <c r="AU876" s="579">
        <f t="shared" si="1122"/>
        <v>-8.5691602993570593E-6</v>
      </c>
      <c r="AV876" s="579">
        <f t="shared" si="1122"/>
        <v>-6.965817226484608E-3</v>
      </c>
      <c r="AW876" s="579">
        <f t="shared" si="1122"/>
        <v>-7.8629335675561574E-3</v>
      </c>
      <c r="AX876" s="579">
        <f t="shared" si="1122"/>
        <v>-1.655127555096185E-2</v>
      </c>
      <c r="AY876" s="661">
        <f t="shared" ref="AY876:AY877" si="1123">AY873-AU873</f>
        <v>-8.9097152056932666E-3</v>
      </c>
      <c r="AZ876" s="794">
        <v>0</v>
      </c>
      <c r="BA876" s="794">
        <v>0</v>
      </c>
      <c r="BB876" s="794">
        <v>0</v>
      </c>
      <c r="BC876" s="794">
        <v>0</v>
      </c>
      <c r="BD876" s="794">
        <v>0</v>
      </c>
      <c r="BE876" s="794">
        <v>0</v>
      </c>
      <c r="BF876" s="794">
        <v>0</v>
      </c>
      <c r="BG876" s="794"/>
      <c r="BH876" s="987"/>
      <c r="BI876" s="1032">
        <f t="shared" ref="BI876:BY876" si="1124">BI873-BH873</f>
        <v>0.1889564336372847</v>
      </c>
      <c r="BJ876" s="1032">
        <f t="shared" si="1124"/>
        <v>-4.1556810894088803E-2</v>
      </c>
      <c r="BK876" s="1032">
        <f t="shared" si="1124"/>
        <v>-6.1144979642609454E-3</v>
      </c>
      <c r="BL876" s="1032">
        <f t="shared" si="1124"/>
        <v>-4.0605973828455877E-4</v>
      </c>
      <c r="BM876" s="1032">
        <f t="shared" si="1124"/>
        <v>-6.2729363706680585E-3</v>
      </c>
      <c r="BN876" s="1032">
        <f t="shared" si="1124"/>
        <v>8.1314884652251562E-3</v>
      </c>
      <c r="BO876" s="1032">
        <f t="shared" si="1124"/>
        <v>1.7373810556891023E-3</v>
      </c>
      <c r="BP876" s="1032">
        <f t="shared" si="1124"/>
        <v>-1.0169508143192119E-3</v>
      </c>
      <c r="BQ876" s="1032">
        <f t="shared" si="1124"/>
        <v>-7.582836946404381E-3</v>
      </c>
      <c r="BR876" s="1032">
        <f t="shared" si="1124"/>
        <v>-1.2443208591869648E-3</v>
      </c>
      <c r="BS876" s="1032">
        <f t="shared" si="1124"/>
        <v>-2.7749016689328776E-3</v>
      </c>
      <c r="BT876" s="1032">
        <f t="shared" si="1124"/>
        <v>-1.2809782134175884E-2</v>
      </c>
      <c r="BU876" s="1032">
        <f t="shared" si="1124"/>
        <v>-3.5662685417626599E-3</v>
      </c>
      <c r="BV876" s="1032">
        <f t="shared" si="1124"/>
        <v>4.3774407223220319E-3</v>
      </c>
      <c r="BW876" s="1033">
        <f t="shared" si="1124"/>
        <v>-1.6551015069183633E-2</v>
      </c>
      <c r="BX876" s="987">
        <f t="shared" si="1124"/>
        <v>6.2800220594627643E-7</v>
      </c>
      <c r="BY876" s="987">
        <f t="shared" si="1124"/>
        <v>0</v>
      </c>
      <c r="BZ876" s="1034">
        <v>0</v>
      </c>
      <c r="CA876" s="1034">
        <v>0</v>
      </c>
      <c r="CB876" s="1034">
        <v>0</v>
      </c>
      <c r="CC876" s="9"/>
    </row>
    <row r="877" spans="1:81" x14ac:dyDescent="0.55000000000000004">
      <c r="A877" s="129" t="s">
        <v>182</v>
      </c>
      <c r="B877" s="266"/>
      <c r="C877" s="267"/>
      <c r="D877" s="267"/>
      <c r="E877" s="267"/>
      <c r="F877" s="267"/>
      <c r="G877" s="267"/>
      <c r="H877" s="267"/>
      <c r="I877" s="267"/>
      <c r="J877" s="267"/>
      <c r="K877" s="579">
        <f t="shared" si="1119"/>
        <v>3.7363483627102873E-2</v>
      </c>
      <c r="L877" s="579">
        <f t="shared" si="1119"/>
        <v>3.4039784075496585E-2</v>
      </c>
      <c r="M877" s="579">
        <f t="shared" si="1119"/>
        <v>2.0652003648293726E-2</v>
      </c>
      <c r="N877" s="579">
        <f t="shared" si="1119"/>
        <v>1.1358846080863572E-2</v>
      </c>
      <c r="O877" s="579">
        <f t="shared" si="1119"/>
        <v>-2.6075390052059527E-2</v>
      </c>
      <c r="P877" s="579">
        <f t="shared" si="1119"/>
        <v>-2.1040681104304973E-2</v>
      </c>
      <c r="Q877" s="579">
        <f t="shared" si="1119"/>
        <v>-2.1152832244127895E-3</v>
      </c>
      <c r="R877" s="579">
        <f t="shared" si="1119"/>
        <v>-1.118705468047182E-3</v>
      </c>
      <c r="S877" s="579">
        <f t="shared" si="1119"/>
        <v>9.0683019858493336E-3</v>
      </c>
      <c r="T877" s="579">
        <f t="shared" si="1119"/>
        <v>-3.5187210772626154E-4</v>
      </c>
      <c r="U877" s="579">
        <f t="shared" si="1120"/>
        <v>-1.3246156472896328E-2</v>
      </c>
      <c r="V877" s="579">
        <f t="shared" si="1120"/>
        <v>-8.570434818531536E-3</v>
      </c>
      <c r="W877" s="579">
        <f t="shared" si="1120"/>
        <v>1.054022945649058E-2</v>
      </c>
      <c r="X877" s="579">
        <f t="shared" si="1120"/>
        <v>-2.45498765634862E-3</v>
      </c>
      <c r="Y877" s="579">
        <f t="shared" si="1120"/>
        <v>1.339676950714043E-2</v>
      </c>
      <c r="Z877" s="579">
        <f t="shared" si="1120"/>
        <v>2.752174911974882E-2</v>
      </c>
      <c r="AA877" s="579">
        <f t="shared" si="1120"/>
        <v>4.5591720966474347E-2</v>
      </c>
      <c r="AB877" s="579">
        <f t="shared" si="1120"/>
        <v>9.7053089633240455E-2</v>
      </c>
      <c r="AC877" s="579">
        <f t="shared" si="1120"/>
        <v>8.1501707357587966E-2</v>
      </c>
      <c r="AD877" s="579">
        <f t="shared" si="1120"/>
        <v>6.7329659826858249E-2</v>
      </c>
      <c r="AE877" s="579">
        <f t="shared" si="1121"/>
        <v>3.4292173686066851E-2</v>
      </c>
      <c r="AF877" s="579">
        <f t="shared" si="1121"/>
        <v>-6.0717006763434916E-2</v>
      </c>
      <c r="AG877" s="579">
        <f t="shared" si="1121"/>
        <v>-5.3535156814786863E-2</v>
      </c>
      <c r="AH877" s="579">
        <f t="shared" si="1121"/>
        <v>-3.6264364788531456E-2</v>
      </c>
      <c r="AI877" s="579">
        <f t="shared" si="1121"/>
        <v>-6.9970630192998567E-2</v>
      </c>
      <c r="AJ877" s="579">
        <f t="shared" si="1121"/>
        <v>-3.2031334156060465E-3</v>
      </c>
      <c r="AK877" s="579">
        <f t="shared" si="1121"/>
        <v>7.179551603352069E-3</v>
      </c>
      <c r="AL877" s="579">
        <f t="shared" si="1121"/>
        <v>-8.3645475265920616E-3</v>
      </c>
      <c r="AM877" s="579">
        <f t="shared" si="1121"/>
        <v>2.7544681035945512E-2</v>
      </c>
      <c r="AN877" s="579">
        <f t="shared" si="1121"/>
        <v>1.9295106822348279E-2</v>
      </c>
      <c r="AO877" s="579">
        <f t="shared" si="1122"/>
        <v>1.8628983738855895E-2</v>
      </c>
      <c r="AP877" s="579">
        <f t="shared" si="1122"/>
        <v>4.6310291045631599E-2</v>
      </c>
      <c r="AQ877" s="579">
        <f t="shared" si="1122"/>
        <v>3.7616884667044354E-2</v>
      </c>
      <c r="AR877" s="579">
        <f t="shared" si="1122"/>
        <v>7.5474417156365298E-2</v>
      </c>
      <c r="AS877" s="579">
        <f t="shared" si="1122"/>
        <v>5.2718117770691381E-2</v>
      </c>
      <c r="AT877" s="579">
        <f t="shared" si="1122"/>
        <v>1.4869821975624448E-2</v>
      </c>
      <c r="AU877" s="579">
        <f t="shared" si="1122"/>
        <v>-6.2120712494011521E-3</v>
      </c>
      <c r="AV877" s="579">
        <f t="shared" si="1122"/>
        <v>-5.8303261165429582E-2</v>
      </c>
      <c r="AW877" s="579">
        <f t="shared" si="1122"/>
        <v>-3.7049648209289743E-2</v>
      </c>
      <c r="AX877" s="579">
        <f t="shared" si="1122"/>
        <v>-3.6845222373926401E-2</v>
      </c>
      <c r="AY877" s="661">
        <f t="shared" si="1123"/>
        <v>-2.1273557976571739E-2</v>
      </c>
      <c r="AZ877" s="794">
        <v>0</v>
      </c>
      <c r="BA877" s="794">
        <v>0</v>
      </c>
      <c r="BB877" s="794">
        <v>0</v>
      </c>
      <c r="BC877" s="794">
        <v>0</v>
      </c>
      <c r="BD877" s="794">
        <v>0</v>
      </c>
      <c r="BE877" s="794">
        <v>0</v>
      </c>
      <c r="BF877" s="794">
        <v>0</v>
      </c>
      <c r="BG877" s="794"/>
      <c r="BH877" s="987"/>
      <c r="BI877" s="1032">
        <f t="shared" ref="BI877:BY877" si="1125">BI874-BH874</f>
        <v>6.9402228976697067E-2</v>
      </c>
      <c r="BJ877" s="1032">
        <f t="shared" si="1125"/>
        <v>1.0360638175014064E-2</v>
      </c>
      <c r="BK877" s="1032">
        <f t="shared" si="1125"/>
        <v>3.3575887335315496E-3</v>
      </c>
      <c r="BL877" s="1032">
        <f t="shared" si="1125"/>
        <v>-1.2617407104754882E-2</v>
      </c>
      <c r="BM877" s="1032">
        <f t="shared" si="1125"/>
        <v>-1.034093221366994E-3</v>
      </c>
      <c r="BN877" s="1032">
        <f t="shared" si="1125"/>
        <v>1.1354337613569965E-2</v>
      </c>
      <c r="BO877" s="1032">
        <f t="shared" si="1125"/>
        <v>-1.1141970007535751E-3</v>
      </c>
      <c r="BP877" s="1032">
        <f t="shared" si="1125"/>
        <v>-8.570434818531536E-3</v>
      </c>
      <c r="BQ877" s="1032">
        <f t="shared" si="1125"/>
        <v>2.752174911974882E-2</v>
      </c>
      <c r="BR877" s="1032">
        <f t="shared" si="1125"/>
        <v>6.7329659826858249E-2</v>
      </c>
      <c r="BS877" s="1032">
        <f t="shared" si="1125"/>
        <v>-3.6262855735945954E-2</v>
      </c>
      <c r="BT877" s="1032">
        <f t="shared" si="1125"/>
        <v>-8.3660565791775637E-3</v>
      </c>
      <c r="BU877" s="1032">
        <f t="shared" si="1125"/>
        <v>4.6310291045631599E-2</v>
      </c>
      <c r="BV877" s="1032">
        <f t="shared" si="1125"/>
        <v>1.4868468835782134E-2</v>
      </c>
      <c r="BW877" s="1033">
        <f t="shared" si="1125"/>
        <v>-3.6844754918965245E-2</v>
      </c>
      <c r="BX877" s="987">
        <f t="shared" si="1125"/>
        <v>8.8568488115781108E-7</v>
      </c>
      <c r="BY877" s="987">
        <f t="shared" si="1125"/>
        <v>0</v>
      </c>
      <c r="BZ877" s="1034">
        <v>0</v>
      </c>
      <c r="CA877" s="1034">
        <v>0</v>
      </c>
      <c r="CB877" s="1034">
        <v>0</v>
      </c>
      <c r="CC877" s="9"/>
    </row>
    <row r="878" spans="1:81" x14ac:dyDescent="0.55000000000000004">
      <c r="A878" s="240"/>
      <c r="B878" s="241"/>
      <c r="C878" s="200"/>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A878" s="200"/>
      <c r="AB878" s="200"/>
      <c r="AC878" s="200"/>
      <c r="AD878" s="200"/>
      <c r="AE878" s="200"/>
      <c r="AF878" s="200"/>
      <c r="AG878" s="200"/>
      <c r="AH878" s="200"/>
      <c r="AI878" s="200"/>
      <c r="AJ878" s="200"/>
      <c r="AK878" s="200"/>
      <c r="AL878" s="200"/>
      <c r="AM878" s="200"/>
      <c r="AN878" s="200"/>
      <c r="AO878" s="200"/>
      <c r="AP878" s="200"/>
      <c r="AQ878" s="200"/>
      <c r="AR878" s="200"/>
      <c r="AS878" s="200"/>
      <c r="AT878" s="200"/>
      <c r="AU878" s="200"/>
      <c r="AV878" s="200"/>
      <c r="AW878" s="200"/>
      <c r="AX878" s="200"/>
      <c r="AY878" s="407"/>
      <c r="AZ878" s="200"/>
      <c r="BA878" s="200"/>
      <c r="BB878" s="200"/>
      <c r="BC878" s="200"/>
      <c r="BD878" s="200"/>
      <c r="BE878" s="200"/>
      <c r="BF878" s="200"/>
      <c r="BG878" s="200"/>
      <c r="BH878" s="841"/>
      <c r="BI878" s="841"/>
      <c r="BJ878" s="841"/>
      <c r="BK878" s="841"/>
      <c r="BL878" s="841"/>
      <c r="BM878" s="841"/>
      <c r="BN878" s="841"/>
      <c r="BO878" s="841"/>
      <c r="BP878" s="841"/>
      <c r="BQ878" s="841"/>
      <c r="BR878" s="841"/>
      <c r="BS878" s="841"/>
      <c r="BT878" s="841"/>
      <c r="BU878" s="841"/>
      <c r="BV878" s="841"/>
      <c r="BW878" s="842"/>
      <c r="BX878" s="841"/>
      <c r="BY878" s="841"/>
      <c r="BZ878" s="841"/>
      <c r="CA878" s="841"/>
      <c r="CB878" s="841"/>
      <c r="CC878" s="217"/>
    </row>
    <row r="879" spans="1:81" x14ac:dyDescent="0.55000000000000004">
      <c r="A879" s="127" t="s">
        <v>425</v>
      </c>
      <c r="B879" s="12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c r="AA879" s="208"/>
      <c r="AB879" s="208"/>
      <c r="AC879" s="208"/>
      <c r="AD879" s="208"/>
      <c r="AE879" s="208"/>
      <c r="AF879" s="208"/>
      <c r="AG879" s="208"/>
      <c r="AH879" s="208"/>
      <c r="AI879" s="208"/>
      <c r="AJ879" s="208"/>
      <c r="AK879" s="208"/>
      <c r="AL879" s="208"/>
      <c r="AM879" s="208"/>
      <c r="AN879" s="208"/>
      <c r="AO879" s="208"/>
      <c r="AP879" s="208"/>
      <c r="AQ879" s="208"/>
      <c r="AR879" s="208"/>
      <c r="AS879" s="208"/>
      <c r="AT879" s="208"/>
      <c r="AU879" s="208"/>
      <c r="AV879" s="208"/>
      <c r="AW879" s="208"/>
      <c r="AX879" s="208"/>
      <c r="AY879" s="277"/>
      <c r="AZ879" s="208"/>
      <c r="BA879" s="208"/>
      <c r="BB879" s="208"/>
      <c r="BC879" s="208"/>
      <c r="BD879" s="208"/>
      <c r="BE879" s="208"/>
      <c r="BF879" s="208"/>
      <c r="BG879" s="208"/>
      <c r="BH879" s="208"/>
      <c r="BI879" s="208"/>
      <c r="BJ879" s="208"/>
      <c r="BK879" s="208"/>
      <c r="BL879" s="208"/>
      <c r="BM879" s="208"/>
      <c r="BN879" s="208"/>
      <c r="BO879" s="208"/>
      <c r="BP879" s="208"/>
      <c r="BQ879" s="208"/>
      <c r="BR879" s="208"/>
      <c r="BS879" s="208"/>
      <c r="BT879" s="208"/>
      <c r="BU879" s="208"/>
      <c r="BV879" s="208"/>
      <c r="BW879" s="277"/>
      <c r="BX879" s="208"/>
      <c r="BY879" s="208"/>
      <c r="BZ879" s="208"/>
      <c r="CA879" s="208"/>
      <c r="CB879" s="208"/>
      <c r="CC879" s="217"/>
    </row>
    <row r="880" spans="1:81" x14ac:dyDescent="0.55000000000000004">
      <c r="A880" s="25" t="s">
        <v>427</v>
      </c>
      <c r="B880" s="243"/>
      <c r="C880" s="565">
        <f>BK884</f>
        <v>2391</v>
      </c>
      <c r="D880" s="565">
        <f>C884</f>
        <v>2533</v>
      </c>
      <c r="E880" s="565">
        <f>D884</f>
        <v>2577</v>
      </c>
      <c r="F880" s="565">
        <f>E884</f>
        <v>2685</v>
      </c>
      <c r="G880" s="565">
        <f>BL884</f>
        <v>2882</v>
      </c>
      <c r="H880" s="565">
        <f>G884</f>
        <v>3074</v>
      </c>
      <c r="I880" s="565">
        <f>H884</f>
        <v>3334</v>
      </c>
      <c r="J880" s="565">
        <f>I884</f>
        <v>3703</v>
      </c>
      <c r="K880" s="565">
        <f>BM884</f>
        <v>3967</v>
      </c>
      <c r="L880" s="565">
        <f>K884</f>
        <v>4619</v>
      </c>
      <c r="M880" s="565">
        <f>L884</f>
        <v>4955</v>
      </c>
      <c r="N880" s="565">
        <f>M884</f>
        <v>5335</v>
      </c>
      <c r="O880" s="565">
        <f>BN884</f>
        <v>5687</v>
      </c>
      <c r="P880" s="565">
        <f>O884</f>
        <v>6467</v>
      </c>
      <c r="Q880" s="565">
        <f>P884</f>
        <v>7104</v>
      </c>
      <c r="R880" s="565">
        <f>Q884</f>
        <v>7899</v>
      </c>
      <c r="S880" s="565">
        <f>BO884</f>
        <v>8591</v>
      </c>
      <c r="T880" s="565">
        <f>S884</f>
        <v>9462</v>
      </c>
      <c r="U880" s="565">
        <f>T884</f>
        <v>10628</v>
      </c>
      <c r="V880" s="565">
        <f>U884</f>
        <v>12158</v>
      </c>
      <c r="W880" s="565">
        <f>BP884</f>
        <v>13721</v>
      </c>
      <c r="X880" s="565">
        <f>W884</f>
        <v>16211</v>
      </c>
      <c r="Y880" s="565">
        <f>X884</f>
        <v>18357</v>
      </c>
      <c r="Z880" s="565">
        <f>Y884</f>
        <v>21112</v>
      </c>
      <c r="AA880" s="565">
        <f>BQ884</f>
        <v>24683</v>
      </c>
      <c r="AB880" s="565">
        <f>AA884</f>
        <v>27345</v>
      </c>
      <c r="AC880" s="565">
        <f>AB884</f>
        <v>29999</v>
      </c>
      <c r="AD880" s="565">
        <f>AC884</f>
        <v>32284</v>
      </c>
      <c r="AE880" s="565">
        <f>BR884</f>
        <v>35323</v>
      </c>
      <c r="AF880" s="565">
        <f>AE884</f>
        <v>37127</v>
      </c>
      <c r="AG880" s="565">
        <f>AF884</f>
        <v>39006</v>
      </c>
      <c r="AH880" s="565">
        <f>AG884</f>
        <v>42291</v>
      </c>
      <c r="AI880" s="565">
        <f>BS884</f>
        <v>45633</v>
      </c>
      <c r="AJ880" s="565">
        <f>AI884</f>
        <v>47720</v>
      </c>
      <c r="AK880" s="565">
        <f>AJ884</f>
        <v>50909</v>
      </c>
      <c r="AL880" s="565">
        <f>AK884</f>
        <v>53726</v>
      </c>
      <c r="AM880" s="565">
        <f>BT884</f>
        <v>57809</v>
      </c>
      <c r="AN880" s="565">
        <f>AM884</f>
        <v>61582</v>
      </c>
      <c r="AO880" s="565">
        <f>AN884</f>
        <v>67588</v>
      </c>
      <c r="AP880" s="565">
        <f>AO884</f>
        <v>73738</v>
      </c>
      <c r="AQ880" s="565">
        <f>BU884</f>
        <v>79518</v>
      </c>
      <c r="AR880" s="565">
        <f>AQ884</f>
        <v>84156</v>
      </c>
      <c r="AS880" s="565">
        <f>AR884</f>
        <v>87949</v>
      </c>
      <c r="AT880" s="565">
        <f>AS884</f>
        <v>91772</v>
      </c>
      <c r="AU880" s="565">
        <f>BV884</f>
        <v>96587</v>
      </c>
      <c r="AV880" s="565">
        <f>AU884</f>
        <v>98908</v>
      </c>
      <c r="AW880" s="565">
        <f>AV884</f>
        <v>102959</v>
      </c>
      <c r="AX880" s="565">
        <f>AW884</f>
        <v>112162</v>
      </c>
      <c r="AY880" s="629">
        <f>BW884</f>
        <v>121346</v>
      </c>
      <c r="AZ880" s="212">
        <f>AY884</f>
        <v>133567</v>
      </c>
      <c r="BA880" s="212">
        <f>AZ884</f>
        <v>144779.46678082191</v>
      </c>
      <c r="BB880" s="212">
        <f>BA884</f>
        <v>155592.92193704259</v>
      </c>
      <c r="BC880" s="212">
        <f>BX884</f>
        <v>166065.67919108097</v>
      </c>
      <c r="BD880" s="212">
        <f>BC884</f>
        <v>170885.61647628737</v>
      </c>
      <c r="BE880" s="212">
        <f>BD884</f>
        <v>175498.47157925236</v>
      </c>
      <c r="BF880" s="212">
        <f>BE884</f>
        <v>179907.46768018004</v>
      </c>
      <c r="BG880" s="212"/>
      <c r="BH880" s="827"/>
      <c r="BI880" s="827"/>
      <c r="BJ880" s="828">
        <f t="shared" ref="BJ880:CB880" si="1126">BI884</f>
        <v>574</v>
      </c>
      <c r="BK880" s="828">
        <f t="shared" si="1126"/>
        <v>1475</v>
      </c>
      <c r="BL880" s="828">
        <f t="shared" si="1126"/>
        <v>2391</v>
      </c>
      <c r="BM880" s="828">
        <f t="shared" si="1126"/>
        <v>2882</v>
      </c>
      <c r="BN880" s="828">
        <f t="shared" si="1126"/>
        <v>3967</v>
      </c>
      <c r="BO880" s="828">
        <f t="shared" si="1126"/>
        <v>5687</v>
      </c>
      <c r="BP880" s="828">
        <f t="shared" si="1126"/>
        <v>8591</v>
      </c>
      <c r="BQ880" s="828">
        <f t="shared" si="1126"/>
        <v>13721</v>
      </c>
      <c r="BR880" s="828">
        <f t="shared" si="1126"/>
        <v>24683</v>
      </c>
      <c r="BS880" s="828">
        <f t="shared" si="1126"/>
        <v>35323</v>
      </c>
      <c r="BT880" s="828">
        <f t="shared" si="1126"/>
        <v>45633</v>
      </c>
      <c r="BU880" s="828">
        <f t="shared" si="1126"/>
        <v>57809</v>
      </c>
      <c r="BV880" s="828">
        <f t="shared" si="1126"/>
        <v>79518</v>
      </c>
      <c r="BW880" s="829">
        <f t="shared" si="1126"/>
        <v>96587</v>
      </c>
      <c r="BX880" s="827">
        <f t="shared" si="1126"/>
        <v>121346</v>
      </c>
      <c r="BY880" s="827">
        <f t="shared" si="1126"/>
        <v>166065.67919108097</v>
      </c>
      <c r="BZ880" s="827">
        <f t="shared" si="1126"/>
        <v>184177.55020532504</v>
      </c>
      <c r="CA880" s="827">
        <f t="shared" si="1126"/>
        <v>200908.95642965942</v>
      </c>
      <c r="CB880" s="827">
        <f t="shared" si="1126"/>
        <v>215548.936875952</v>
      </c>
      <c r="CC880" s="217"/>
    </row>
    <row r="881" spans="1:81" x14ac:dyDescent="0.55000000000000004">
      <c r="A881" s="114" t="s">
        <v>428</v>
      </c>
      <c r="B881" s="241"/>
      <c r="C881" s="580">
        <f t="shared" ref="C881:AH881" si="1127">-C193</f>
        <v>-197.75</v>
      </c>
      <c r="D881" s="580">
        <f t="shared" si="1127"/>
        <v>-191.75</v>
      </c>
      <c r="E881" s="580">
        <f t="shared" si="1127"/>
        <v>-234.75</v>
      </c>
      <c r="F881" s="580">
        <f t="shared" si="1127"/>
        <v>-232.75</v>
      </c>
      <c r="G881" s="580">
        <f t="shared" si="1127"/>
        <v>-222.75</v>
      </c>
      <c r="H881" s="580">
        <f t="shared" si="1127"/>
        <v>-215.75</v>
      </c>
      <c r="I881" s="580">
        <f t="shared" si="1127"/>
        <v>-229.75</v>
      </c>
      <c r="J881" s="580">
        <f t="shared" si="1127"/>
        <v>-254.75</v>
      </c>
      <c r="K881" s="580">
        <f t="shared" si="1127"/>
        <v>-279.25</v>
      </c>
      <c r="L881" s="580">
        <f t="shared" si="1127"/>
        <v>-280.25</v>
      </c>
      <c r="M881" s="580">
        <f t="shared" si="1127"/>
        <v>-307.25</v>
      </c>
      <c r="N881" s="580">
        <f t="shared" si="1127"/>
        <v>-353.25</v>
      </c>
      <c r="O881" s="580">
        <f t="shared" si="1127"/>
        <v>-371.75</v>
      </c>
      <c r="P881" s="580">
        <f t="shared" si="1127"/>
        <v>-391.75</v>
      </c>
      <c r="Q881" s="580">
        <f t="shared" si="1127"/>
        <v>-395.75</v>
      </c>
      <c r="R881" s="580">
        <f t="shared" si="1127"/>
        <v>-430.75</v>
      </c>
      <c r="S881" s="580">
        <f t="shared" si="1127"/>
        <v>-495.25</v>
      </c>
      <c r="T881" s="580">
        <f t="shared" si="1127"/>
        <v>-554.25</v>
      </c>
      <c r="U881" s="580">
        <f t="shared" si="1127"/>
        <v>-598.25</v>
      </c>
      <c r="V881" s="580">
        <f t="shared" si="1127"/>
        <v>-682.25</v>
      </c>
      <c r="W881" s="580">
        <f t="shared" si="1127"/>
        <v>-781.25</v>
      </c>
      <c r="X881" s="580">
        <f t="shared" si="1127"/>
        <v>-877.25</v>
      </c>
      <c r="Y881" s="580">
        <f t="shared" si="1127"/>
        <v>-952.25</v>
      </c>
      <c r="Z881" s="580">
        <f t="shared" si="1127"/>
        <v>-1069.25</v>
      </c>
      <c r="AA881" s="580">
        <f t="shared" si="1127"/>
        <v>-1200</v>
      </c>
      <c r="AB881" s="580">
        <f t="shared" si="1127"/>
        <v>-1340</v>
      </c>
      <c r="AC881" s="580">
        <f t="shared" si="1127"/>
        <v>-1270</v>
      </c>
      <c r="AD881" s="580">
        <f t="shared" si="1127"/>
        <v>-1370</v>
      </c>
      <c r="AE881" s="580">
        <f t="shared" si="1127"/>
        <v>-1490</v>
      </c>
      <c r="AF881" s="580">
        <f t="shared" si="1127"/>
        <v>-1580</v>
      </c>
      <c r="AG881" s="580">
        <f t="shared" si="1127"/>
        <v>-1580</v>
      </c>
      <c r="AH881" s="580">
        <f t="shared" si="1127"/>
        <v>-1740</v>
      </c>
      <c r="AI881" s="580">
        <f t="shared" ref="AI881:AY881" si="1128">-AI193</f>
        <v>-1850</v>
      </c>
      <c r="AJ881" s="580">
        <f t="shared" si="1128"/>
        <v>-1860</v>
      </c>
      <c r="AK881" s="580">
        <f t="shared" si="1128"/>
        <v>-1870</v>
      </c>
      <c r="AL881" s="580">
        <f t="shared" si="1128"/>
        <v>-1980</v>
      </c>
      <c r="AM881" s="580">
        <f t="shared" si="1128"/>
        <v>-2120</v>
      </c>
      <c r="AN881" s="580">
        <f t="shared" si="1128"/>
        <v>-1930</v>
      </c>
      <c r="AO881" s="580">
        <f t="shared" si="1128"/>
        <v>-2130</v>
      </c>
      <c r="AP881" s="580">
        <f t="shared" si="1128"/>
        <v>-2320</v>
      </c>
      <c r="AQ881" s="580">
        <f t="shared" si="1128"/>
        <v>-2480</v>
      </c>
      <c r="AR881" s="580">
        <f t="shared" si="1128"/>
        <v>-2580</v>
      </c>
      <c r="AS881" s="580">
        <f t="shared" si="1128"/>
        <v>-2830</v>
      </c>
      <c r="AT881" s="580">
        <f t="shared" si="1128"/>
        <v>-3130</v>
      </c>
      <c r="AU881" s="580">
        <f t="shared" si="1128"/>
        <v>-3330</v>
      </c>
      <c r="AV881" s="580">
        <f t="shared" si="1128"/>
        <v>-3580</v>
      </c>
      <c r="AW881" s="580">
        <f t="shared" si="1128"/>
        <v>-3960</v>
      </c>
      <c r="AX881" s="580">
        <f t="shared" si="1128"/>
        <v>-4420</v>
      </c>
      <c r="AY881" s="407">
        <f t="shared" si="1128"/>
        <v>-4420</v>
      </c>
      <c r="AZ881" s="200">
        <f>-AZ880*AZ892*AZ3/BX3</f>
        <v>-4162.5332191780826</v>
      </c>
      <c r="BA881" s="200">
        <f>-BA880*BA892*BA3/BX3</f>
        <v>-4561.5448437793202</v>
      </c>
      <c r="BB881" s="200">
        <f>-BB880*BB892*BB3/BX3</f>
        <v>-4902.2427459616156</v>
      </c>
      <c r="BC881" s="200">
        <f>-BC880*BC892*BC3/BY3</f>
        <v>-5118.4627147935917</v>
      </c>
      <c r="BD881" s="200">
        <f>-BD880*BD892*BD3/BY3</f>
        <v>-5325.5448970349835</v>
      </c>
      <c r="BE881" s="200">
        <f>-BE880*BE892*BE3/BY3</f>
        <v>-5529.4038990723348</v>
      </c>
      <c r="BF881" s="200">
        <f>-BF880*BF892*BF3/BY3</f>
        <v>-5668.3174748549873</v>
      </c>
      <c r="BG881" s="200"/>
      <c r="BH881" s="841"/>
      <c r="BI881" s="1035">
        <f t="shared" ref="BI881:BW881" si="1129">-BI193</f>
        <v>-129</v>
      </c>
      <c r="BJ881" s="1035">
        <f t="shared" si="1129"/>
        <v>-303</v>
      </c>
      <c r="BK881" s="1035">
        <f t="shared" si="1129"/>
        <v>-566</v>
      </c>
      <c r="BL881" s="1035">
        <f t="shared" si="1129"/>
        <v>-857</v>
      </c>
      <c r="BM881" s="1035">
        <f t="shared" si="1129"/>
        <v>-923</v>
      </c>
      <c r="BN881" s="1035">
        <f t="shared" si="1129"/>
        <v>-1220</v>
      </c>
      <c r="BO881" s="1035">
        <f t="shared" si="1129"/>
        <v>-1590</v>
      </c>
      <c r="BP881" s="1035">
        <f t="shared" si="1129"/>
        <v>-2330</v>
      </c>
      <c r="BQ881" s="1035">
        <f t="shared" si="1129"/>
        <v>-3680</v>
      </c>
      <c r="BR881" s="1035">
        <f t="shared" si="1129"/>
        <v>-5180</v>
      </c>
      <c r="BS881" s="1035">
        <f t="shared" si="1129"/>
        <v>-6390</v>
      </c>
      <c r="BT881" s="1035">
        <f t="shared" si="1129"/>
        <v>-7560</v>
      </c>
      <c r="BU881" s="1035">
        <f t="shared" si="1129"/>
        <v>-8500</v>
      </c>
      <c r="BV881" s="1035">
        <f t="shared" si="1129"/>
        <v>-11020</v>
      </c>
      <c r="BW881" s="1036">
        <f t="shared" si="1129"/>
        <v>-15290</v>
      </c>
      <c r="BX881" s="841">
        <f>IF(OR(ISBLANK(AY881),ISBLANK(AZ881),ISBLANK(BA881),ISBLANK(BB881)),"n/a",SUM(AY881,AZ881,BA881,BB881))</f>
        <v>-18046.320808919019</v>
      </c>
      <c r="BY881" s="841">
        <f>IF(OR(ISBLANK(BC881),ISBLANK(BD881),ISBLANK(BE881),ISBLANK(BF881)),"n/a",SUM(BC881,BD881,BE881,BF881))</f>
        <v>-21641.728985755897</v>
      </c>
      <c r="BZ881" s="841">
        <f>-BZ880*BZ892</f>
        <v>-23022.19377566563</v>
      </c>
      <c r="CA881" s="841">
        <f>-CA880*CA892</f>
        <v>-25113.619553707427</v>
      </c>
      <c r="CB881" s="841">
        <f>-CB880*CB892</f>
        <v>-26943.617109494</v>
      </c>
      <c r="CC881" s="217"/>
    </row>
    <row r="882" spans="1:81" x14ac:dyDescent="0.55000000000000004">
      <c r="A882" s="114" t="s">
        <v>430</v>
      </c>
      <c r="B882" s="241"/>
      <c r="C882" s="580">
        <f t="shared" ref="C882:AH882" si="1130">-C665</f>
        <v>327</v>
      </c>
      <c r="D882" s="580">
        <f t="shared" si="1130"/>
        <v>268</v>
      </c>
      <c r="E882" s="580">
        <f t="shared" si="1130"/>
        <v>284</v>
      </c>
      <c r="F882" s="580">
        <f t="shared" si="1130"/>
        <v>483</v>
      </c>
      <c r="G882" s="580">
        <f t="shared" si="1130"/>
        <v>363</v>
      </c>
      <c r="H882" s="580">
        <f t="shared" si="1130"/>
        <v>469</v>
      </c>
      <c r="I882" s="580">
        <f t="shared" si="1130"/>
        <v>482</v>
      </c>
      <c r="J882" s="580">
        <f t="shared" si="1130"/>
        <v>517</v>
      </c>
      <c r="K882" s="580">
        <f t="shared" si="1130"/>
        <v>502</v>
      </c>
      <c r="L882" s="580">
        <f t="shared" si="1130"/>
        <v>549</v>
      </c>
      <c r="M882" s="580">
        <f t="shared" si="1130"/>
        <v>780</v>
      </c>
      <c r="N882" s="580">
        <f t="shared" si="1130"/>
        <v>692</v>
      </c>
      <c r="O882" s="580">
        <f t="shared" si="1130"/>
        <v>1132</v>
      </c>
      <c r="P882" s="580">
        <f t="shared" si="1130"/>
        <v>995</v>
      </c>
      <c r="Q882" s="580">
        <f t="shared" si="1130"/>
        <v>1095</v>
      </c>
      <c r="R882" s="580">
        <f t="shared" si="1130"/>
        <v>1269</v>
      </c>
      <c r="S882" s="580">
        <f t="shared" si="1130"/>
        <v>1271</v>
      </c>
      <c r="T882" s="580">
        <f t="shared" si="1130"/>
        <v>1444</v>
      </c>
      <c r="U882" s="580">
        <f t="shared" si="1130"/>
        <v>1755</v>
      </c>
      <c r="V882" s="580">
        <f t="shared" si="1130"/>
        <v>2263</v>
      </c>
      <c r="W882" s="580">
        <f t="shared" si="1130"/>
        <v>2812</v>
      </c>
      <c r="X882" s="580">
        <f t="shared" si="1130"/>
        <v>3460</v>
      </c>
      <c r="Y882" s="580">
        <f t="shared" si="1130"/>
        <v>3342</v>
      </c>
      <c r="Z882" s="580">
        <f t="shared" si="1130"/>
        <v>4301</v>
      </c>
      <c r="AA882" s="580">
        <f t="shared" si="1130"/>
        <v>3962</v>
      </c>
      <c r="AB882" s="580">
        <f t="shared" si="1130"/>
        <v>3775</v>
      </c>
      <c r="AC882" s="580">
        <f t="shared" si="1130"/>
        <v>3676</v>
      </c>
      <c r="AD882" s="580">
        <f t="shared" si="1130"/>
        <v>4241</v>
      </c>
      <c r="AE882" s="580">
        <f t="shared" si="1130"/>
        <v>3658</v>
      </c>
      <c r="AF882" s="580">
        <f t="shared" si="1130"/>
        <v>3364</v>
      </c>
      <c r="AG882" s="580">
        <f t="shared" si="1130"/>
        <v>3878</v>
      </c>
      <c r="AH882" s="580">
        <f t="shared" si="1130"/>
        <v>4819</v>
      </c>
      <c r="AI882" s="580">
        <f t="shared" ref="AI882:AY882" si="1131">-AI665</f>
        <v>4423</v>
      </c>
      <c r="AJ882" s="580">
        <f t="shared" si="1131"/>
        <v>4735</v>
      </c>
      <c r="AK882" s="580">
        <f t="shared" si="1131"/>
        <v>4545</v>
      </c>
      <c r="AL882" s="580">
        <f t="shared" si="1131"/>
        <v>5541</v>
      </c>
      <c r="AM882" s="580">
        <f t="shared" si="1131"/>
        <v>5674</v>
      </c>
      <c r="AN882" s="580">
        <f t="shared" si="1131"/>
        <v>7791</v>
      </c>
      <c r="AO882" s="580">
        <f t="shared" si="1131"/>
        <v>9538</v>
      </c>
      <c r="AP882" s="580">
        <f t="shared" si="1131"/>
        <v>9278</v>
      </c>
      <c r="AQ882" s="580">
        <f t="shared" si="1131"/>
        <v>7106</v>
      </c>
      <c r="AR882" s="580">
        <f t="shared" si="1131"/>
        <v>6436</v>
      </c>
      <c r="AS882" s="580">
        <f t="shared" si="1131"/>
        <v>6810</v>
      </c>
      <c r="AT882" s="580">
        <f t="shared" si="1131"/>
        <v>7972</v>
      </c>
      <c r="AU882" s="580">
        <f t="shared" si="1131"/>
        <v>6715</v>
      </c>
      <c r="AV882" s="580">
        <f t="shared" si="1131"/>
        <v>8472</v>
      </c>
      <c r="AW882" s="580">
        <f t="shared" si="1131"/>
        <v>9202</v>
      </c>
      <c r="AX882" s="580">
        <f t="shared" si="1131"/>
        <v>14836</v>
      </c>
      <c r="AY882" s="407">
        <f t="shared" si="1131"/>
        <v>13692</v>
      </c>
      <c r="AZ882" s="200">
        <f t="shared" ref="AZ882:BF882" si="1132">AZ898*(1-AZ899)</f>
        <v>15375</v>
      </c>
      <c r="BA882" s="200">
        <f t="shared" si="1132"/>
        <v>15375</v>
      </c>
      <c r="BB882" s="200">
        <f t="shared" si="1132"/>
        <v>15375</v>
      </c>
      <c r="BC882" s="200">
        <f t="shared" si="1132"/>
        <v>9938.4</v>
      </c>
      <c r="BD882" s="200">
        <f t="shared" si="1132"/>
        <v>9938.4</v>
      </c>
      <c r="BE882" s="200">
        <f t="shared" si="1132"/>
        <v>9938.4</v>
      </c>
      <c r="BF882" s="200">
        <f t="shared" si="1132"/>
        <v>9938.4</v>
      </c>
      <c r="BG882" s="200"/>
      <c r="BH882" s="841"/>
      <c r="BI882" s="1035">
        <f t="shared" ref="BI882:BW882" si="1133">-BI665</f>
        <v>293</v>
      </c>
      <c r="BJ882" s="1035">
        <f t="shared" si="1133"/>
        <v>606</v>
      </c>
      <c r="BK882" s="1035">
        <f t="shared" si="1133"/>
        <v>1235</v>
      </c>
      <c r="BL882" s="1035">
        <f t="shared" si="1133"/>
        <v>1362</v>
      </c>
      <c r="BM882" s="1035">
        <f t="shared" si="1133"/>
        <v>1831</v>
      </c>
      <c r="BN882" s="1035">
        <f t="shared" si="1133"/>
        <v>2523</v>
      </c>
      <c r="BO882" s="1035">
        <f t="shared" si="1133"/>
        <v>4491</v>
      </c>
      <c r="BP882" s="1035">
        <f t="shared" si="1133"/>
        <v>6733</v>
      </c>
      <c r="BQ882" s="1035">
        <f t="shared" si="1133"/>
        <v>13915</v>
      </c>
      <c r="BR882" s="1035">
        <f t="shared" si="1133"/>
        <v>15654</v>
      </c>
      <c r="BS882" s="1035">
        <f t="shared" si="1133"/>
        <v>15719</v>
      </c>
      <c r="BT882" s="1035">
        <f t="shared" si="1133"/>
        <v>19244</v>
      </c>
      <c r="BU882" s="1035">
        <f t="shared" si="1133"/>
        <v>32281</v>
      </c>
      <c r="BV882" s="1035">
        <f t="shared" si="1133"/>
        <v>28324</v>
      </c>
      <c r="BW882" s="1036">
        <f t="shared" si="1133"/>
        <v>39225</v>
      </c>
      <c r="BX882" s="841">
        <f>IF(OR(ISBLANK(AY882),ISBLANK(AZ882),ISBLANK(BA882),ISBLANK(BB882)),"n/a",SUM(AY882,AZ882,BA882,BB882))</f>
        <v>59817</v>
      </c>
      <c r="BY882" s="841">
        <f>IF(OR(ISBLANK(BC882),ISBLANK(BD882),ISBLANK(BE882),ISBLANK(BF882)),"n/a",SUM(BC882,BD882,BE882,BF882))</f>
        <v>39753.599999999999</v>
      </c>
      <c r="BZ882" s="841">
        <f>BZ898*(1-BZ899)</f>
        <v>39753.599999999999</v>
      </c>
      <c r="CA882" s="841">
        <f>CA898*(1-CA899)</f>
        <v>39753.599999999999</v>
      </c>
      <c r="CB882" s="841">
        <f>CB898*(1-CB899)</f>
        <v>39753.599999999999</v>
      </c>
      <c r="CC882" s="217"/>
    </row>
    <row r="883" spans="1:81" x14ac:dyDescent="0.55000000000000004">
      <c r="A883" s="114" t="s">
        <v>431</v>
      </c>
      <c r="B883" s="241"/>
      <c r="C883" s="580">
        <f t="shared" ref="C883:AH883" si="1134">ROUND(C884-C880-C881-C882,6)</f>
        <v>12.75</v>
      </c>
      <c r="D883" s="580">
        <f t="shared" si="1134"/>
        <v>-32.25</v>
      </c>
      <c r="E883" s="580">
        <f t="shared" si="1134"/>
        <v>58.75</v>
      </c>
      <c r="F883" s="580">
        <f t="shared" si="1134"/>
        <v>-53.25</v>
      </c>
      <c r="G883" s="580">
        <f t="shared" si="1134"/>
        <v>51.75</v>
      </c>
      <c r="H883" s="580">
        <f t="shared" si="1134"/>
        <v>6.75</v>
      </c>
      <c r="I883" s="580">
        <f t="shared" si="1134"/>
        <v>116.75</v>
      </c>
      <c r="J883" s="580">
        <f t="shared" si="1134"/>
        <v>1.75</v>
      </c>
      <c r="K883" s="580">
        <f t="shared" si="1134"/>
        <v>429.25</v>
      </c>
      <c r="L883" s="580">
        <f t="shared" si="1134"/>
        <v>67.25</v>
      </c>
      <c r="M883" s="580">
        <f t="shared" si="1134"/>
        <v>-92.75</v>
      </c>
      <c r="N883" s="580">
        <f t="shared" si="1134"/>
        <v>13.25</v>
      </c>
      <c r="O883" s="580">
        <f t="shared" si="1134"/>
        <v>19.75</v>
      </c>
      <c r="P883" s="580">
        <f t="shared" si="1134"/>
        <v>33.75</v>
      </c>
      <c r="Q883" s="580">
        <f t="shared" si="1134"/>
        <v>95.75</v>
      </c>
      <c r="R883" s="580">
        <f t="shared" si="1134"/>
        <v>-146.25</v>
      </c>
      <c r="S883" s="580">
        <f t="shared" si="1134"/>
        <v>95.25</v>
      </c>
      <c r="T883" s="580">
        <f t="shared" si="1134"/>
        <v>276.25</v>
      </c>
      <c r="U883" s="580">
        <f t="shared" si="1134"/>
        <v>373.25</v>
      </c>
      <c r="V883" s="580">
        <f t="shared" si="1134"/>
        <v>-17.75</v>
      </c>
      <c r="W883" s="580">
        <f t="shared" si="1134"/>
        <v>459.25</v>
      </c>
      <c r="X883" s="580">
        <f t="shared" si="1134"/>
        <v>-436.75</v>
      </c>
      <c r="Y883" s="580">
        <f t="shared" si="1134"/>
        <v>365.25</v>
      </c>
      <c r="Z883" s="580">
        <f t="shared" si="1134"/>
        <v>339.25</v>
      </c>
      <c r="AA883" s="580">
        <f t="shared" si="1134"/>
        <v>-100</v>
      </c>
      <c r="AB883" s="580">
        <f t="shared" si="1134"/>
        <v>219</v>
      </c>
      <c r="AC883" s="580">
        <f t="shared" si="1134"/>
        <v>-121</v>
      </c>
      <c r="AD883" s="580">
        <f t="shared" si="1134"/>
        <v>168</v>
      </c>
      <c r="AE883" s="580">
        <f t="shared" si="1134"/>
        <v>-364</v>
      </c>
      <c r="AF883" s="580">
        <f t="shared" si="1134"/>
        <v>95</v>
      </c>
      <c r="AG883" s="580">
        <f t="shared" si="1134"/>
        <v>987</v>
      </c>
      <c r="AH883" s="580">
        <f t="shared" si="1134"/>
        <v>263</v>
      </c>
      <c r="AI883" s="580">
        <f t="shared" ref="AI883:BF883" si="1135">ROUND(AI884-AI880-AI881-AI882,6)</f>
        <v>-486</v>
      </c>
      <c r="AJ883" s="580">
        <f t="shared" si="1135"/>
        <v>314</v>
      </c>
      <c r="AK883" s="580">
        <f t="shared" si="1135"/>
        <v>142</v>
      </c>
      <c r="AL883" s="580">
        <f t="shared" si="1135"/>
        <v>522</v>
      </c>
      <c r="AM883" s="580">
        <f t="shared" si="1135"/>
        <v>219</v>
      </c>
      <c r="AN883" s="580">
        <f t="shared" si="1135"/>
        <v>145</v>
      </c>
      <c r="AO883" s="580">
        <f t="shared" si="1135"/>
        <v>-1258</v>
      </c>
      <c r="AP883" s="580">
        <f t="shared" si="1135"/>
        <v>-1178</v>
      </c>
      <c r="AQ883" s="580">
        <f t="shared" si="1135"/>
        <v>12</v>
      </c>
      <c r="AR883" s="580">
        <f t="shared" si="1135"/>
        <v>-63</v>
      </c>
      <c r="AS883" s="580">
        <f t="shared" si="1135"/>
        <v>-157</v>
      </c>
      <c r="AT883" s="580">
        <f t="shared" si="1135"/>
        <v>-27</v>
      </c>
      <c r="AU883" s="580">
        <f t="shared" si="1135"/>
        <v>-1064</v>
      </c>
      <c r="AV883" s="580">
        <f t="shared" si="1135"/>
        <v>-841</v>
      </c>
      <c r="AW883" s="580">
        <f t="shared" si="1135"/>
        <v>3961</v>
      </c>
      <c r="AX883" s="580">
        <f t="shared" si="1135"/>
        <v>-1232</v>
      </c>
      <c r="AY883" s="407">
        <f t="shared" si="1135"/>
        <v>2949</v>
      </c>
      <c r="AZ883" s="200">
        <f t="shared" si="1135"/>
        <v>0</v>
      </c>
      <c r="BA883" s="200">
        <f t="shared" si="1135"/>
        <v>0</v>
      </c>
      <c r="BB883" s="200">
        <f t="shared" si="1135"/>
        <v>0</v>
      </c>
      <c r="BC883" s="200">
        <f t="shared" si="1135"/>
        <v>0</v>
      </c>
      <c r="BD883" s="200">
        <f t="shared" si="1135"/>
        <v>0</v>
      </c>
      <c r="BE883" s="200">
        <f t="shared" si="1135"/>
        <v>0</v>
      </c>
      <c r="BF883" s="200">
        <f t="shared" si="1135"/>
        <v>0</v>
      </c>
      <c r="BG883" s="200"/>
      <c r="BH883" s="841"/>
      <c r="BI883" s="841"/>
      <c r="BJ883" s="1035">
        <f t="shared" ref="BJ883:BW883" si="1136">ROUND(BJ884-BJ880-BJ881-BJ882,6)</f>
        <v>598</v>
      </c>
      <c r="BK883" s="1035">
        <f t="shared" si="1136"/>
        <v>247</v>
      </c>
      <c r="BL883" s="1035">
        <f t="shared" si="1136"/>
        <v>-14</v>
      </c>
      <c r="BM883" s="1035">
        <f t="shared" si="1136"/>
        <v>177</v>
      </c>
      <c r="BN883" s="1035">
        <f t="shared" si="1136"/>
        <v>417</v>
      </c>
      <c r="BO883" s="1035">
        <f t="shared" si="1136"/>
        <v>3</v>
      </c>
      <c r="BP883" s="1035">
        <f t="shared" si="1136"/>
        <v>727</v>
      </c>
      <c r="BQ883" s="1035">
        <f t="shared" si="1136"/>
        <v>727</v>
      </c>
      <c r="BR883" s="1035">
        <f t="shared" si="1136"/>
        <v>166</v>
      </c>
      <c r="BS883" s="1035">
        <f t="shared" si="1136"/>
        <v>981</v>
      </c>
      <c r="BT883" s="1035">
        <f t="shared" si="1136"/>
        <v>492</v>
      </c>
      <c r="BU883" s="1035">
        <f t="shared" si="1136"/>
        <v>-2072</v>
      </c>
      <c r="BV883" s="1035">
        <f t="shared" si="1136"/>
        <v>-235</v>
      </c>
      <c r="BW883" s="1036">
        <f t="shared" si="1136"/>
        <v>824</v>
      </c>
      <c r="BX883" s="841">
        <f>ROUND(BX884-BX880-IF(ISNUMBER(BX881),BX881,0)-IF(ISNUMBER(BX882),BX882,0),6)</f>
        <v>2949</v>
      </c>
      <c r="BY883" s="841">
        <f>ROUND(BY884-BY880-IF(ISNUMBER(BY881),BY881,0)-IF(ISNUMBER(BY882),BY882,0),6)</f>
        <v>0</v>
      </c>
      <c r="BZ883" s="841">
        <f>ROUND(BZ884-BZ880-BZ881-BZ882,6)</f>
        <v>0</v>
      </c>
      <c r="CA883" s="841">
        <f>ROUND(CA884-CA880-CA881-CA882,6)</f>
        <v>0</v>
      </c>
      <c r="CB883" s="841">
        <f>ROUND(CB884-CB880-CB881-CB882,6)</f>
        <v>0</v>
      </c>
      <c r="CC883" s="217"/>
    </row>
    <row r="884" spans="1:81" x14ac:dyDescent="0.55000000000000004">
      <c r="A884" s="209" t="s">
        <v>426</v>
      </c>
      <c r="B884" s="268"/>
      <c r="C884" s="210">
        <f t="shared" ref="C884:AH884" si="1137">C913</f>
        <v>2533</v>
      </c>
      <c r="D884" s="210">
        <f t="shared" si="1137"/>
        <v>2577</v>
      </c>
      <c r="E884" s="210">
        <f t="shared" si="1137"/>
        <v>2685</v>
      </c>
      <c r="F884" s="210">
        <f t="shared" si="1137"/>
        <v>2882</v>
      </c>
      <c r="G884" s="210">
        <f t="shared" si="1137"/>
        <v>3074</v>
      </c>
      <c r="H884" s="210">
        <f t="shared" si="1137"/>
        <v>3334</v>
      </c>
      <c r="I884" s="210">
        <f t="shared" si="1137"/>
        <v>3703</v>
      </c>
      <c r="J884" s="210">
        <f t="shared" si="1137"/>
        <v>3967</v>
      </c>
      <c r="K884" s="210">
        <f t="shared" si="1137"/>
        <v>4619</v>
      </c>
      <c r="L884" s="210">
        <f t="shared" si="1137"/>
        <v>4955</v>
      </c>
      <c r="M884" s="210">
        <f t="shared" si="1137"/>
        <v>5335</v>
      </c>
      <c r="N884" s="210">
        <f t="shared" si="1137"/>
        <v>5687</v>
      </c>
      <c r="O884" s="210">
        <f t="shared" si="1137"/>
        <v>6467</v>
      </c>
      <c r="P884" s="210">
        <f t="shared" si="1137"/>
        <v>7104</v>
      </c>
      <c r="Q884" s="210">
        <f t="shared" si="1137"/>
        <v>7899</v>
      </c>
      <c r="R884" s="210">
        <f t="shared" si="1137"/>
        <v>8591</v>
      </c>
      <c r="S884" s="210">
        <f t="shared" si="1137"/>
        <v>9462</v>
      </c>
      <c r="T884" s="210">
        <f t="shared" si="1137"/>
        <v>10628</v>
      </c>
      <c r="U884" s="210">
        <f t="shared" si="1137"/>
        <v>12158</v>
      </c>
      <c r="V884" s="210">
        <f t="shared" si="1137"/>
        <v>13721</v>
      </c>
      <c r="W884" s="210">
        <f t="shared" si="1137"/>
        <v>16211</v>
      </c>
      <c r="X884" s="210">
        <f t="shared" si="1137"/>
        <v>18357</v>
      </c>
      <c r="Y884" s="210">
        <f t="shared" si="1137"/>
        <v>21112</v>
      </c>
      <c r="Z884" s="210">
        <f t="shared" si="1137"/>
        <v>24683</v>
      </c>
      <c r="AA884" s="210">
        <f t="shared" si="1137"/>
        <v>27345</v>
      </c>
      <c r="AB884" s="210">
        <f t="shared" si="1137"/>
        <v>29999</v>
      </c>
      <c r="AC884" s="210">
        <f t="shared" si="1137"/>
        <v>32284</v>
      </c>
      <c r="AD884" s="210">
        <f t="shared" si="1137"/>
        <v>35323</v>
      </c>
      <c r="AE884" s="210">
        <f t="shared" si="1137"/>
        <v>37127</v>
      </c>
      <c r="AF884" s="210">
        <f t="shared" si="1137"/>
        <v>39006</v>
      </c>
      <c r="AG884" s="210">
        <f t="shared" si="1137"/>
        <v>42291</v>
      </c>
      <c r="AH884" s="210">
        <f t="shared" si="1137"/>
        <v>45633</v>
      </c>
      <c r="AI884" s="210">
        <f t="shared" ref="AI884:BF884" si="1138">AI913</f>
        <v>47720</v>
      </c>
      <c r="AJ884" s="210">
        <f t="shared" si="1138"/>
        <v>50909</v>
      </c>
      <c r="AK884" s="210">
        <f t="shared" si="1138"/>
        <v>53726</v>
      </c>
      <c r="AL884" s="210">
        <f t="shared" si="1138"/>
        <v>57809</v>
      </c>
      <c r="AM884" s="210">
        <f t="shared" si="1138"/>
        <v>61582</v>
      </c>
      <c r="AN884" s="210">
        <f t="shared" si="1138"/>
        <v>67588</v>
      </c>
      <c r="AO884" s="210">
        <f t="shared" si="1138"/>
        <v>73738</v>
      </c>
      <c r="AP884" s="210">
        <f t="shared" si="1138"/>
        <v>79518</v>
      </c>
      <c r="AQ884" s="210">
        <f t="shared" si="1138"/>
        <v>84156</v>
      </c>
      <c r="AR884" s="210">
        <f t="shared" si="1138"/>
        <v>87949</v>
      </c>
      <c r="AS884" s="210">
        <f t="shared" si="1138"/>
        <v>91772</v>
      </c>
      <c r="AT884" s="210">
        <f t="shared" si="1138"/>
        <v>96587</v>
      </c>
      <c r="AU884" s="210">
        <f t="shared" si="1138"/>
        <v>98908</v>
      </c>
      <c r="AV884" s="210">
        <f t="shared" si="1138"/>
        <v>102959</v>
      </c>
      <c r="AW884" s="210">
        <f t="shared" si="1138"/>
        <v>112162</v>
      </c>
      <c r="AX884" s="210">
        <f t="shared" si="1138"/>
        <v>121346</v>
      </c>
      <c r="AY884" s="1168">
        <f t="shared" si="1138"/>
        <v>133567</v>
      </c>
      <c r="AZ884" s="213">
        <f t="shared" si="1138"/>
        <v>144779.46678082191</v>
      </c>
      <c r="BA884" s="213">
        <f t="shared" si="1138"/>
        <v>155592.92193704259</v>
      </c>
      <c r="BB884" s="213">
        <f t="shared" si="1138"/>
        <v>166065.67919108097</v>
      </c>
      <c r="BC884" s="213">
        <f t="shared" si="1138"/>
        <v>170885.61647628737</v>
      </c>
      <c r="BD884" s="213">
        <f t="shared" si="1138"/>
        <v>175498.47157925236</v>
      </c>
      <c r="BE884" s="213">
        <f t="shared" si="1138"/>
        <v>179907.46768018004</v>
      </c>
      <c r="BF884" s="213">
        <f t="shared" si="1138"/>
        <v>184177.55020532504</v>
      </c>
      <c r="BG884" s="213"/>
      <c r="BH884" s="1037"/>
      <c r="BI884" s="1038">
        <f t="shared" ref="BI884:CB884" si="1139">BI913</f>
        <v>574</v>
      </c>
      <c r="BJ884" s="1038">
        <f t="shared" si="1139"/>
        <v>1475</v>
      </c>
      <c r="BK884" s="1038">
        <f t="shared" si="1139"/>
        <v>2391</v>
      </c>
      <c r="BL884" s="1038">
        <f t="shared" si="1139"/>
        <v>2882</v>
      </c>
      <c r="BM884" s="1038">
        <f t="shared" si="1139"/>
        <v>3967</v>
      </c>
      <c r="BN884" s="1038">
        <f t="shared" si="1139"/>
        <v>5687</v>
      </c>
      <c r="BO884" s="1038">
        <f t="shared" si="1139"/>
        <v>8591</v>
      </c>
      <c r="BP884" s="1038">
        <f t="shared" si="1139"/>
        <v>13721</v>
      </c>
      <c r="BQ884" s="1038">
        <f t="shared" si="1139"/>
        <v>24683</v>
      </c>
      <c r="BR884" s="1038">
        <f t="shared" si="1139"/>
        <v>35323</v>
      </c>
      <c r="BS884" s="1038">
        <f t="shared" si="1139"/>
        <v>45633</v>
      </c>
      <c r="BT884" s="1038">
        <f t="shared" si="1139"/>
        <v>57809</v>
      </c>
      <c r="BU884" s="1038">
        <f t="shared" si="1139"/>
        <v>79518</v>
      </c>
      <c r="BV884" s="1038">
        <f t="shared" si="1139"/>
        <v>96587</v>
      </c>
      <c r="BW884" s="1039">
        <f t="shared" si="1139"/>
        <v>121346</v>
      </c>
      <c r="BX884" s="1037">
        <f t="shared" si="1139"/>
        <v>166065.67919108097</v>
      </c>
      <c r="BY884" s="1037">
        <f t="shared" si="1139"/>
        <v>184177.55020532504</v>
      </c>
      <c r="BZ884" s="1037">
        <f t="shared" si="1139"/>
        <v>200908.95642965942</v>
      </c>
      <c r="CA884" s="1037">
        <f t="shared" si="1139"/>
        <v>215548.936875952</v>
      </c>
      <c r="CB884" s="1037">
        <f t="shared" si="1139"/>
        <v>228358.91976645801</v>
      </c>
      <c r="CC884" s="217"/>
    </row>
    <row r="885" spans="1:81" x14ac:dyDescent="0.55000000000000004">
      <c r="A885" s="240"/>
      <c r="B885" s="241"/>
      <c r="C885" s="200"/>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A885" s="200"/>
      <c r="AB885" s="200"/>
      <c r="AC885" s="200"/>
      <c r="AD885" s="200"/>
      <c r="AE885" s="200"/>
      <c r="AF885" s="200"/>
      <c r="AG885" s="200"/>
      <c r="AH885" s="200"/>
      <c r="AI885" s="200"/>
      <c r="AJ885" s="200"/>
      <c r="AK885" s="200"/>
      <c r="AL885" s="200"/>
      <c r="AM885" s="200"/>
      <c r="AN885" s="200"/>
      <c r="AO885" s="200"/>
      <c r="AP885" s="200"/>
      <c r="AQ885" s="200"/>
      <c r="AR885" s="200"/>
      <c r="AS885" s="200"/>
      <c r="AT885" s="200"/>
      <c r="AU885" s="200"/>
      <c r="AV885" s="200"/>
      <c r="AW885" s="200"/>
      <c r="AX885" s="200"/>
      <c r="AY885" s="407"/>
      <c r="AZ885" s="200"/>
      <c r="BA885" s="200"/>
      <c r="BB885" s="200"/>
      <c r="BC885" s="200"/>
      <c r="BD885" s="200"/>
      <c r="BE885" s="200"/>
      <c r="BF885" s="200"/>
      <c r="BG885" s="200"/>
      <c r="BH885" s="841"/>
      <c r="BI885" s="841"/>
      <c r="BJ885" s="841"/>
      <c r="BK885" s="841"/>
      <c r="BL885" s="841"/>
      <c r="BM885" s="841"/>
      <c r="BN885" s="841"/>
      <c r="BO885" s="841"/>
      <c r="BP885" s="841"/>
      <c r="BQ885" s="841"/>
      <c r="BR885" s="841"/>
      <c r="BS885" s="841"/>
      <c r="BT885" s="841"/>
      <c r="BU885" s="841"/>
      <c r="BV885" s="841"/>
      <c r="BW885" s="842"/>
      <c r="BX885" s="841"/>
      <c r="BY885" s="841"/>
      <c r="BZ885" s="841"/>
      <c r="CA885" s="841"/>
      <c r="CB885" s="841"/>
      <c r="CC885" s="217"/>
    </row>
    <row r="886" spans="1:81" x14ac:dyDescent="0.55000000000000004">
      <c r="A886" s="25" t="s">
        <v>433</v>
      </c>
      <c r="B886" s="243"/>
      <c r="C886" s="565">
        <f>BK890</f>
        <v>1388</v>
      </c>
      <c r="D886" s="565">
        <f>C890</f>
        <v>1501</v>
      </c>
      <c r="E886" s="565">
        <f>D890</f>
        <v>1631</v>
      </c>
      <c r="F886" s="565">
        <f>E890</f>
        <v>1609</v>
      </c>
      <c r="G886" s="565">
        <f>BL890</f>
        <v>883</v>
      </c>
      <c r="H886" s="565">
        <f>G890</f>
        <v>1682</v>
      </c>
      <c r="I886" s="565">
        <f>H890</f>
        <v>1672</v>
      </c>
      <c r="J886" s="565">
        <f>I890</f>
        <v>1317</v>
      </c>
      <c r="K886" s="565">
        <f>BM890</f>
        <v>3929</v>
      </c>
      <c r="L886" s="565">
        <f>K890</f>
        <v>3774</v>
      </c>
      <c r="M886" s="565">
        <f>L890</f>
        <v>3605</v>
      </c>
      <c r="N886" s="565">
        <f>M890</f>
        <v>3437</v>
      </c>
      <c r="O886" s="565">
        <f>BN890</f>
        <v>3246</v>
      </c>
      <c r="P886" s="565">
        <f>O890</f>
        <v>3067</v>
      </c>
      <c r="Q886" s="565">
        <f>P890</f>
        <v>2879</v>
      </c>
      <c r="R886" s="565">
        <f>Q890</f>
        <v>2702</v>
      </c>
      <c r="S886" s="565">
        <f>BO890</f>
        <v>2535</v>
      </c>
      <c r="T886" s="565">
        <f>S890</f>
        <v>2360</v>
      </c>
      <c r="U886" s="565">
        <f>T890</f>
        <v>2186</v>
      </c>
      <c r="V886" s="565">
        <f>U890</f>
        <v>2050</v>
      </c>
      <c r="W886" s="565">
        <f>BP890</f>
        <v>1884</v>
      </c>
      <c r="X886" s="565">
        <f>W890</f>
        <v>1735</v>
      </c>
      <c r="Y886" s="565">
        <f>X890</f>
        <v>1573</v>
      </c>
      <c r="Z886" s="565">
        <f>Y890</f>
        <v>1451</v>
      </c>
      <c r="AA886" s="565">
        <f>BQ890</f>
        <v>1294</v>
      </c>
      <c r="AB886" s="565">
        <f>AA890</f>
        <v>1150</v>
      </c>
      <c r="AC886" s="565">
        <f>AB890</f>
        <v>994</v>
      </c>
      <c r="AD886" s="565">
        <f>AC890</f>
        <v>853</v>
      </c>
      <c r="AE886" s="565">
        <f>BR890</f>
        <v>894</v>
      </c>
      <c r="AF886" s="565">
        <f>AE890</f>
        <v>838</v>
      </c>
      <c r="AG886" s="565">
        <f>AF890</f>
        <v>859</v>
      </c>
      <c r="AH886" s="565">
        <f>AG890</f>
        <v>744</v>
      </c>
      <c r="AI886" s="565">
        <f>BS890</f>
        <v>623</v>
      </c>
      <c r="AJ886" s="565">
        <f>AI890</f>
        <v>505</v>
      </c>
      <c r="AK886" s="565">
        <f>AJ890</f>
        <v>514</v>
      </c>
      <c r="AL886" s="565">
        <f>AK890</f>
        <v>365</v>
      </c>
      <c r="AM886" s="565">
        <f>BT890</f>
        <v>634</v>
      </c>
      <c r="AN886" s="565">
        <f>AM890</f>
        <v>910</v>
      </c>
      <c r="AO886" s="565">
        <f>AN890</f>
        <v>965</v>
      </c>
      <c r="AP886" s="565">
        <f>AO890</f>
        <v>875</v>
      </c>
      <c r="AQ886" s="565">
        <f>BU890</f>
        <v>897</v>
      </c>
      <c r="AR886" s="565">
        <f>AQ890</f>
        <v>949</v>
      </c>
      <c r="AS886" s="565">
        <f>AR890</f>
        <v>856</v>
      </c>
      <c r="AT886" s="565">
        <f>AS890</f>
        <v>813</v>
      </c>
      <c r="AU886" s="565">
        <f>BV890</f>
        <v>788</v>
      </c>
      <c r="AV886" s="565">
        <f>AU890</f>
        <v>829</v>
      </c>
      <c r="AW886" s="565">
        <f>AV890</f>
        <v>984</v>
      </c>
      <c r="AX886" s="565">
        <f>AW890</f>
        <v>973</v>
      </c>
      <c r="AY886" s="629">
        <f>BW890</f>
        <v>915</v>
      </c>
      <c r="AZ886" s="212">
        <f>AY890</f>
        <v>915</v>
      </c>
      <c r="BA886" s="212">
        <f>AZ890</f>
        <v>1123.9378082191781</v>
      </c>
      <c r="BB886" s="212">
        <f>BA890</f>
        <v>1322.9449038243574</v>
      </c>
      <c r="BC886" s="212">
        <f>BX890</f>
        <v>1512.9230747631757</v>
      </c>
      <c r="BD886" s="212">
        <f>BC890</f>
        <v>1607.3741602120429</v>
      </c>
      <c r="BE886" s="212">
        <f>BD890</f>
        <v>1696.8404924195133</v>
      </c>
      <c r="BF886" s="212">
        <f>BE890</f>
        <v>1781.4550717223431</v>
      </c>
      <c r="BG886" s="212"/>
      <c r="BH886" s="827"/>
      <c r="BI886" s="827"/>
      <c r="BJ886" s="828">
        <f t="shared" ref="BJ886:CB886" si="1140">BI890</f>
        <v>96</v>
      </c>
      <c r="BK886" s="828">
        <f t="shared" si="1140"/>
        <v>162</v>
      </c>
      <c r="BL886" s="828">
        <f t="shared" si="1140"/>
        <v>1388</v>
      </c>
      <c r="BM886" s="828">
        <f t="shared" si="1140"/>
        <v>883</v>
      </c>
      <c r="BN886" s="828">
        <f t="shared" si="1140"/>
        <v>3929</v>
      </c>
      <c r="BO886" s="828">
        <f t="shared" si="1140"/>
        <v>3246</v>
      </c>
      <c r="BP886" s="828">
        <f t="shared" si="1140"/>
        <v>2535</v>
      </c>
      <c r="BQ886" s="828">
        <f t="shared" si="1140"/>
        <v>1884</v>
      </c>
      <c r="BR886" s="828">
        <f t="shared" si="1140"/>
        <v>1294</v>
      </c>
      <c r="BS886" s="828">
        <f t="shared" si="1140"/>
        <v>894</v>
      </c>
      <c r="BT886" s="828">
        <f t="shared" si="1140"/>
        <v>623</v>
      </c>
      <c r="BU886" s="828">
        <f t="shared" si="1140"/>
        <v>634</v>
      </c>
      <c r="BV886" s="828">
        <f t="shared" si="1140"/>
        <v>897</v>
      </c>
      <c r="BW886" s="829">
        <f t="shared" si="1140"/>
        <v>788</v>
      </c>
      <c r="BX886" s="827">
        <f t="shared" si="1140"/>
        <v>915</v>
      </c>
      <c r="BY886" s="827">
        <f t="shared" si="1140"/>
        <v>1512.9230747631757</v>
      </c>
      <c r="BZ886" s="827">
        <f t="shared" si="1140"/>
        <v>1862.2306991532416</v>
      </c>
      <c r="CA886" s="827">
        <f t="shared" si="1140"/>
        <v>2173.429173305658</v>
      </c>
      <c r="CB886" s="827">
        <f t="shared" si="1140"/>
        <v>2428.6119221106396</v>
      </c>
      <c r="CC886" s="217"/>
    </row>
    <row r="887" spans="1:81" x14ac:dyDescent="0.55000000000000004">
      <c r="A887" s="114" t="s">
        <v>434</v>
      </c>
      <c r="B887" s="241"/>
      <c r="C887" s="580">
        <f t="shared" ref="C887:AH887" si="1141">-C194</f>
        <v>-33</v>
      </c>
      <c r="D887" s="580">
        <f t="shared" si="1141"/>
        <v>-36</v>
      </c>
      <c r="E887" s="580">
        <f t="shared" si="1141"/>
        <v>-37</v>
      </c>
      <c r="F887" s="580">
        <f t="shared" si="1141"/>
        <v>-39</v>
      </c>
      <c r="G887" s="580">
        <f t="shared" si="1141"/>
        <v>-41</v>
      </c>
      <c r="H887" s="580">
        <f t="shared" si="1141"/>
        <v>-41</v>
      </c>
      <c r="I887" s="580">
        <f t="shared" si="1141"/>
        <v>-59</v>
      </c>
      <c r="J887" s="580">
        <f t="shared" si="1141"/>
        <v>-178</v>
      </c>
      <c r="K887" s="580">
        <f t="shared" si="1141"/>
        <v>-179</v>
      </c>
      <c r="L887" s="580">
        <f t="shared" si="1141"/>
        <v>-180</v>
      </c>
      <c r="M887" s="580">
        <f t="shared" si="1141"/>
        <v>-180</v>
      </c>
      <c r="N887" s="580">
        <f t="shared" si="1141"/>
        <v>-191</v>
      </c>
      <c r="O887" s="580">
        <f t="shared" si="1141"/>
        <v>-180</v>
      </c>
      <c r="P887" s="580">
        <f t="shared" si="1141"/>
        <v>-193</v>
      </c>
      <c r="Q887" s="580">
        <f t="shared" si="1141"/>
        <v>-195</v>
      </c>
      <c r="R887" s="580">
        <f t="shared" si="1141"/>
        <v>-183</v>
      </c>
      <c r="S887" s="580">
        <f t="shared" si="1141"/>
        <v>-175</v>
      </c>
      <c r="T887" s="580">
        <f t="shared" si="1141"/>
        <v>-174</v>
      </c>
      <c r="U887" s="580">
        <f t="shared" si="1141"/>
        <v>-173</v>
      </c>
      <c r="V887" s="580">
        <f t="shared" si="1141"/>
        <v>-170</v>
      </c>
      <c r="W887" s="580">
        <f t="shared" si="1141"/>
        <v>-169</v>
      </c>
      <c r="X887" s="580">
        <f t="shared" si="1141"/>
        <v>-158</v>
      </c>
      <c r="Y887" s="580">
        <f t="shared" si="1141"/>
        <v>-156</v>
      </c>
      <c r="Z887" s="580">
        <f t="shared" si="1141"/>
        <v>-157</v>
      </c>
      <c r="AA887" s="580">
        <f t="shared" si="1141"/>
        <v>-156</v>
      </c>
      <c r="AB887" s="580">
        <f t="shared" si="1141"/>
        <v>-156</v>
      </c>
      <c r="AC887" s="580">
        <f t="shared" si="1141"/>
        <v>-145</v>
      </c>
      <c r="AD887" s="580">
        <f t="shared" si="1141"/>
        <v>-105</v>
      </c>
      <c r="AE887" s="580">
        <f t="shared" si="1141"/>
        <v>-111</v>
      </c>
      <c r="AF887" s="580">
        <f t="shared" si="1141"/>
        <v>-118</v>
      </c>
      <c r="AG887" s="580">
        <f t="shared" si="1141"/>
        <v>-123</v>
      </c>
      <c r="AH887" s="580">
        <f t="shared" si="1141"/>
        <v>-121</v>
      </c>
      <c r="AI887" s="580">
        <f t="shared" ref="AI887:AY887" si="1142">-AI194</f>
        <v>-118</v>
      </c>
      <c r="AJ887" s="580">
        <f t="shared" si="1142"/>
        <v>-122</v>
      </c>
      <c r="AK887" s="580">
        <f t="shared" si="1142"/>
        <v>-124</v>
      </c>
      <c r="AL887" s="580">
        <f t="shared" si="1142"/>
        <v>-43</v>
      </c>
      <c r="AM887" s="580">
        <f t="shared" si="1142"/>
        <v>-40</v>
      </c>
      <c r="AN887" s="580">
        <f t="shared" si="1142"/>
        <v>-53</v>
      </c>
      <c r="AO887" s="580">
        <f t="shared" si="1142"/>
        <v>-45</v>
      </c>
      <c r="AP887" s="580">
        <f t="shared" si="1142"/>
        <v>-47</v>
      </c>
      <c r="AQ887" s="580">
        <f t="shared" si="1142"/>
        <v>-47</v>
      </c>
      <c r="AR887" s="580">
        <f t="shared" si="1142"/>
        <v>-45</v>
      </c>
      <c r="AS887" s="580">
        <f t="shared" si="1142"/>
        <v>-32</v>
      </c>
      <c r="AT887" s="580">
        <f t="shared" si="1142"/>
        <v>-37</v>
      </c>
      <c r="AU887" s="580">
        <f t="shared" si="1142"/>
        <v>-44</v>
      </c>
      <c r="AV887" s="580">
        <f t="shared" si="1142"/>
        <v>-57</v>
      </c>
      <c r="AW887" s="580">
        <f t="shared" si="1142"/>
        <v>-67</v>
      </c>
      <c r="AX887" s="580">
        <f t="shared" si="1142"/>
        <v>-43</v>
      </c>
      <c r="AY887" s="407">
        <f t="shared" si="1142"/>
        <v>520</v>
      </c>
      <c r="AZ887" s="200">
        <f>-AZ886*AZ893*AZ3/BX3</f>
        <v>-41.062191780821912</v>
      </c>
      <c r="BA887" s="200">
        <f>-BA886*BA893*BA3/BX3</f>
        <v>-50.992904394820791</v>
      </c>
      <c r="BB887" s="200">
        <f>-BB886*BB893*BB3/BX3</f>
        <v>-60.021829061181812</v>
      </c>
      <c r="BC887" s="200">
        <f>-BC886*BC893*BC3/BY3</f>
        <v>-67.148914551132719</v>
      </c>
      <c r="BD887" s="200">
        <f>-BD886*BD893*BD3/BY3</f>
        <v>-72.133667792529494</v>
      </c>
      <c r="BE887" s="200">
        <f>-BE886*BE893*BE3/BY3</f>
        <v>-76.985420697170241</v>
      </c>
      <c r="BF887" s="200">
        <f>-BF886*BF893*BF3/BY3</f>
        <v>-80.824372569101371</v>
      </c>
      <c r="BG887" s="200"/>
      <c r="BH887" s="841"/>
      <c r="BI887" s="1035">
        <f t="shared" ref="BI887:BW887" si="1143">-BI194</f>
        <v>-9</v>
      </c>
      <c r="BJ887" s="1035">
        <f t="shared" si="1143"/>
        <v>-20</v>
      </c>
      <c r="BK887" s="1035">
        <f t="shared" si="1143"/>
        <v>-78</v>
      </c>
      <c r="BL887" s="1035">
        <f t="shared" si="1143"/>
        <v>-145</v>
      </c>
      <c r="BM887" s="1035">
        <f t="shared" si="1143"/>
        <v>-319</v>
      </c>
      <c r="BN887" s="1035">
        <f t="shared" si="1143"/>
        <v>-730</v>
      </c>
      <c r="BO887" s="1035">
        <f t="shared" si="1143"/>
        <v>-751</v>
      </c>
      <c r="BP887" s="1035">
        <f t="shared" si="1143"/>
        <v>-692</v>
      </c>
      <c r="BQ887" s="1035">
        <f t="shared" si="1143"/>
        <v>-640</v>
      </c>
      <c r="BR887" s="1035">
        <f t="shared" si="1143"/>
        <v>-562</v>
      </c>
      <c r="BS887" s="1035">
        <f t="shared" si="1143"/>
        <v>-473</v>
      </c>
      <c r="BT887" s="1035">
        <f t="shared" si="1143"/>
        <v>-407</v>
      </c>
      <c r="BU887" s="1035">
        <f t="shared" si="1143"/>
        <v>-185</v>
      </c>
      <c r="BV887" s="1035">
        <f t="shared" si="1143"/>
        <v>-161</v>
      </c>
      <c r="BW887" s="1036">
        <f t="shared" si="1143"/>
        <v>-211</v>
      </c>
      <c r="BX887" s="841">
        <f>IF(OR(ISBLANK(AY887),ISBLANK(AZ887),ISBLANK(BA887),ISBLANK(BB887)),"n/a",SUM(AY887,AZ887,BA887,BB887))</f>
        <v>367.92307476317546</v>
      </c>
      <c r="BY887" s="841">
        <f>IF(OR(ISBLANK(BC887),ISBLANK(BD887),ISBLANK(BE887),ISBLANK(BF887)),"n/a",SUM(BC887,BD887,BE887,BF887))</f>
        <v>-297.09237560993381</v>
      </c>
      <c r="BZ887" s="841">
        <f>-BZ886*BZ893</f>
        <v>-335.20152584758347</v>
      </c>
      <c r="CA887" s="841">
        <f>-CA886*CA893</f>
        <v>-391.21725119501843</v>
      </c>
      <c r="CB887" s="841">
        <f>-CB886*CB893</f>
        <v>-437.15014597991512</v>
      </c>
      <c r="CC887" s="217"/>
    </row>
    <row r="888" spans="1:81" x14ac:dyDescent="0.55000000000000004">
      <c r="A888" s="114" t="s">
        <v>436</v>
      </c>
      <c r="B888" s="241"/>
      <c r="C888" s="200"/>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A888" s="200"/>
      <c r="AB888" s="200"/>
      <c r="AC888" s="200"/>
      <c r="AD888" s="200"/>
      <c r="AE888" s="200"/>
      <c r="AF888" s="200"/>
      <c r="AG888" s="200"/>
      <c r="AH888" s="200"/>
      <c r="AI888" s="200"/>
      <c r="AJ888" s="200"/>
      <c r="AK888" s="200"/>
      <c r="AL888" s="200"/>
      <c r="AM888" s="200"/>
      <c r="AN888" s="200"/>
      <c r="AO888" s="200"/>
      <c r="AP888" s="200"/>
      <c r="AQ888" s="200"/>
      <c r="AR888" s="200"/>
      <c r="AS888" s="200"/>
      <c r="AT888" s="200"/>
      <c r="AU888" s="200"/>
      <c r="AV888" s="200"/>
      <c r="AW888" s="200"/>
      <c r="AX888" s="200"/>
      <c r="AY888" s="407"/>
      <c r="AZ888" s="200">
        <f t="shared" ref="AZ888:BF888" si="1144">AZ898*AZ899</f>
        <v>250</v>
      </c>
      <c r="BA888" s="200">
        <f t="shared" si="1144"/>
        <v>250</v>
      </c>
      <c r="BB888" s="200">
        <f t="shared" si="1144"/>
        <v>250</v>
      </c>
      <c r="BC888" s="200">
        <f t="shared" si="1144"/>
        <v>161.6</v>
      </c>
      <c r="BD888" s="200">
        <f t="shared" si="1144"/>
        <v>161.6</v>
      </c>
      <c r="BE888" s="200">
        <f t="shared" si="1144"/>
        <v>161.6</v>
      </c>
      <c r="BF888" s="200">
        <f t="shared" si="1144"/>
        <v>161.6</v>
      </c>
      <c r="BG888" s="200"/>
      <c r="BH888" s="841"/>
      <c r="BI888" s="841"/>
      <c r="BJ888" s="841"/>
      <c r="BK888" s="841"/>
      <c r="BL888" s="841"/>
      <c r="BM888" s="841"/>
      <c r="BN888" s="841"/>
      <c r="BO888" s="841"/>
      <c r="BP888" s="841"/>
      <c r="BQ888" s="841"/>
      <c r="BR888" s="841"/>
      <c r="BS888" s="841"/>
      <c r="BT888" s="841"/>
      <c r="BU888" s="841"/>
      <c r="BV888" s="841"/>
      <c r="BW888" s="842"/>
      <c r="BX888" s="841" t="str">
        <f>IF(OR(ISBLANK(AY888),ISBLANK(AZ888),ISBLANK(BA888),ISBLANK(BB888)),"n/a",SUM(AY888,AZ888,BA888,BB888))</f>
        <v>n/a</v>
      </c>
      <c r="BY888" s="841">
        <f>IF(OR(ISBLANK(BC888),ISBLANK(BD888),ISBLANK(BE888),ISBLANK(BF888)),"n/a",SUM(BC888,BD888,BE888,BF888))</f>
        <v>646.4</v>
      </c>
      <c r="BZ888" s="841">
        <f>BZ898*BZ899</f>
        <v>646.4</v>
      </c>
      <c r="CA888" s="841">
        <f>CA898*CA899</f>
        <v>646.4</v>
      </c>
      <c r="CB888" s="841">
        <f>CB898*CB899</f>
        <v>646.4</v>
      </c>
      <c r="CC888" s="217"/>
    </row>
    <row r="889" spans="1:81" x14ac:dyDescent="0.55000000000000004">
      <c r="A889" s="114" t="s">
        <v>437</v>
      </c>
      <c r="B889" s="241"/>
      <c r="C889" s="580">
        <f t="shared" ref="C889:AH889" si="1145">ROUND(C890-C886-C887-C888,6)</f>
        <v>146</v>
      </c>
      <c r="D889" s="580">
        <f t="shared" si="1145"/>
        <v>166</v>
      </c>
      <c r="E889" s="580">
        <f t="shared" si="1145"/>
        <v>15</v>
      </c>
      <c r="F889" s="580">
        <f t="shared" si="1145"/>
        <v>-687</v>
      </c>
      <c r="G889" s="580">
        <f t="shared" si="1145"/>
        <v>840</v>
      </c>
      <c r="H889" s="580">
        <f t="shared" si="1145"/>
        <v>31</v>
      </c>
      <c r="I889" s="580">
        <f t="shared" si="1145"/>
        <v>-296</v>
      </c>
      <c r="J889" s="580">
        <f t="shared" si="1145"/>
        <v>2790</v>
      </c>
      <c r="K889" s="580">
        <f t="shared" si="1145"/>
        <v>24</v>
      </c>
      <c r="L889" s="580">
        <f t="shared" si="1145"/>
        <v>11</v>
      </c>
      <c r="M889" s="580">
        <f t="shared" si="1145"/>
        <v>12</v>
      </c>
      <c r="N889" s="580">
        <f t="shared" si="1145"/>
        <v>0</v>
      </c>
      <c r="O889" s="580">
        <f t="shared" si="1145"/>
        <v>1</v>
      </c>
      <c r="P889" s="580">
        <f t="shared" si="1145"/>
        <v>5</v>
      </c>
      <c r="Q889" s="580">
        <f t="shared" si="1145"/>
        <v>18</v>
      </c>
      <c r="R889" s="580">
        <f t="shared" si="1145"/>
        <v>16</v>
      </c>
      <c r="S889" s="580">
        <f t="shared" si="1145"/>
        <v>0</v>
      </c>
      <c r="T889" s="580">
        <f t="shared" si="1145"/>
        <v>0</v>
      </c>
      <c r="U889" s="580">
        <f t="shared" si="1145"/>
        <v>37</v>
      </c>
      <c r="V889" s="580">
        <f t="shared" si="1145"/>
        <v>4</v>
      </c>
      <c r="W889" s="580">
        <f t="shared" si="1145"/>
        <v>20</v>
      </c>
      <c r="X889" s="580">
        <f t="shared" si="1145"/>
        <v>-4</v>
      </c>
      <c r="Y889" s="580">
        <f t="shared" si="1145"/>
        <v>34</v>
      </c>
      <c r="Z889" s="580">
        <f t="shared" si="1145"/>
        <v>0</v>
      </c>
      <c r="AA889" s="580">
        <f t="shared" si="1145"/>
        <v>12</v>
      </c>
      <c r="AB889" s="580">
        <f t="shared" si="1145"/>
        <v>0</v>
      </c>
      <c r="AC889" s="580">
        <f t="shared" si="1145"/>
        <v>4</v>
      </c>
      <c r="AD889" s="580">
        <f t="shared" si="1145"/>
        <v>146</v>
      </c>
      <c r="AE889" s="580">
        <f t="shared" si="1145"/>
        <v>55</v>
      </c>
      <c r="AF889" s="580">
        <f t="shared" si="1145"/>
        <v>139</v>
      </c>
      <c r="AG889" s="580">
        <f t="shared" si="1145"/>
        <v>8</v>
      </c>
      <c r="AH889" s="580">
        <f t="shared" si="1145"/>
        <v>0</v>
      </c>
      <c r="AI889" s="580">
        <f t="shared" ref="AI889:BF889" si="1146">ROUND(AI890-AI886-AI887-AI888,6)</f>
        <v>0</v>
      </c>
      <c r="AJ889" s="580">
        <f t="shared" si="1146"/>
        <v>131</v>
      </c>
      <c r="AK889" s="580">
        <f t="shared" si="1146"/>
        <v>-25</v>
      </c>
      <c r="AL889" s="580">
        <f t="shared" si="1146"/>
        <v>312</v>
      </c>
      <c r="AM889" s="580">
        <f t="shared" si="1146"/>
        <v>316</v>
      </c>
      <c r="AN889" s="580">
        <f t="shared" si="1146"/>
        <v>108</v>
      </c>
      <c r="AO889" s="580">
        <f t="shared" si="1146"/>
        <v>-45</v>
      </c>
      <c r="AP889" s="580">
        <f t="shared" si="1146"/>
        <v>69</v>
      </c>
      <c r="AQ889" s="580">
        <f t="shared" si="1146"/>
        <v>99</v>
      </c>
      <c r="AR889" s="580">
        <f t="shared" si="1146"/>
        <v>-48</v>
      </c>
      <c r="AS889" s="580">
        <f t="shared" si="1146"/>
        <v>-11</v>
      </c>
      <c r="AT889" s="580">
        <f t="shared" si="1146"/>
        <v>12</v>
      </c>
      <c r="AU889" s="580">
        <f t="shared" si="1146"/>
        <v>85</v>
      </c>
      <c r="AV889" s="580">
        <f t="shared" si="1146"/>
        <v>212</v>
      </c>
      <c r="AW889" s="580">
        <f t="shared" si="1146"/>
        <v>56</v>
      </c>
      <c r="AX889" s="580">
        <f t="shared" si="1146"/>
        <v>-15</v>
      </c>
      <c r="AY889" s="407">
        <f t="shared" si="1146"/>
        <v>-520</v>
      </c>
      <c r="AZ889" s="200">
        <f t="shared" si="1146"/>
        <v>0</v>
      </c>
      <c r="BA889" s="200">
        <f t="shared" si="1146"/>
        <v>0</v>
      </c>
      <c r="BB889" s="200">
        <f t="shared" si="1146"/>
        <v>0</v>
      </c>
      <c r="BC889" s="200">
        <f t="shared" si="1146"/>
        <v>0</v>
      </c>
      <c r="BD889" s="200">
        <f t="shared" si="1146"/>
        <v>0</v>
      </c>
      <c r="BE889" s="200">
        <f t="shared" si="1146"/>
        <v>0</v>
      </c>
      <c r="BF889" s="200">
        <f t="shared" si="1146"/>
        <v>0</v>
      </c>
      <c r="BG889" s="200"/>
      <c r="BH889" s="841"/>
      <c r="BI889" s="841"/>
      <c r="BJ889" s="1035">
        <f t="shared" ref="BJ889:BW889" si="1147">ROUND(BJ890-BJ886-BJ887-BJ888,6)</f>
        <v>86</v>
      </c>
      <c r="BK889" s="1035">
        <f t="shared" si="1147"/>
        <v>1304</v>
      </c>
      <c r="BL889" s="1035">
        <f t="shared" si="1147"/>
        <v>-360</v>
      </c>
      <c r="BM889" s="1035">
        <f t="shared" si="1147"/>
        <v>3365</v>
      </c>
      <c r="BN889" s="1035">
        <f t="shared" si="1147"/>
        <v>47</v>
      </c>
      <c r="BO889" s="1035">
        <f t="shared" si="1147"/>
        <v>40</v>
      </c>
      <c r="BP889" s="1035">
        <f t="shared" si="1147"/>
        <v>41</v>
      </c>
      <c r="BQ889" s="1035">
        <f t="shared" si="1147"/>
        <v>50</v>
      </c>
      <c r="BR889" s="1035">
        <f t="shared" si="1147"/>
        <v>162</v>
      </c>
      <c r="BS889" s="1035">
        <f t="shared" si="1147"/>
        <v>202</v>
      </c>
      <c r="BT889" s="1035">
        <f t="shared" si="1147"/>
        <v>418</v>
      </c>
      <c r="BU889" s="1035">
        <f t="shared" si="1147"/>
        <v>448</v>
      </c>
      <c r="BV889" s="1035">
        <f t="shared" si="1147"/>
        <v>52</v>
      </c>
      <c r="BW889" s="1036">
        <f t="shared" si="1147"/>
        <v>338</v>
      </c>
      <c r="BX889" s="841">
        <f>ROUND(BX890-BX886-IF(ISNUMBER(BX887),BX887,0)-IF(ISNUMBER(BX888),BX888,0),6)</f>
        <v>230</v>
      </c>
      <c r="BY889" s="841">
        <f>ROUND(BY890-BY886-IF(ISNUMBER(BY887),BY887,0)-IF(ISNUMBER(BY888),BY888,0),6)</f>
        <v>0</v>
      </c>
      <c r="BZ889" s="841">
        <f>ROUND(BZ890-BZ886-BZ887-BZ888,6)</f>
        <v>0</v>
      </c>
      <c r="CA889" s="841">
        <f>ROUND(CA890-CA886-CA887-CA888,6)</f>
        <v>0</v>
      </c>
      <c r="CB889" s="841">
        <f>ROUND(CB890-CB886-CB887-CB888,6)</f>
        <v>0</v>
      </c>
      <c r="CC889" s="217"/>
    </row>
    <row r="890" spans="1:81" x14ac:dyDescent="0.55000000000000004">
      <c r="A890" s="209" t="s">
        <v>432</v>
      </c>
      <c r="B890" s="268"/>
      <c r="C890" s="210">
        <f t="shared" ref="C890:AH890" si="1148">C915</f>
        <v>1501</v>
      </c>
      <c r="D890" s="210">
        <f t="shared" si="1148"/>
        <v>1631</v>
      </c>
      <c r="E890" s="210">
        <f t="shared" si="1148"/>
        <v>1609</v>
      </c>
      <c r="F890" s="210">
        <f t="shared" si="1148"/>
        <v>883</v>
      </c>
      <c r="G890" s="210">
        <f t="shared" si="1148"/>
        <v>1682</v>
      </c>
      <c r="H890" s="210">
        <f t="shared" si="1148"/>
        <v>1672</v>
      </c>
      <c r="I890" s="210">
        <f t="shared" si="1148"/>
        <v>1317</v>
      </c>
      <c r="J890" s="210">
        <f t="shared" si="1148"/>
        <v>3929</v>
      </c>
      <c r="K890" s="210">
        <f t="shared" si="1148"/>
        <v>3774</v>
      </c>
      <c r="L890" s="210">
        <f t="shared" si="1148"/>
        <v>3605</v>
      </c>
      <c r="M890" s="210">
        <f t="shared" si="1148"/>
        <v>3437</v>
      </c>
      <c r="N890" s="210">
        <f t="shared" si="1148"/>
        <v>3246</v>
      </c>
      <c r="O890" s="210">
        <f t="shared" si="1148"/>
        <v>3067</v>
      </c>
      <c r="P890" s="210">
        <f t="shared" si="1148"/>
        <v>2879</v>
      </c>
      <c r="Q890" s="210">
        <f t="shared" si="1148"/>
        <v>2702</v>
      </c>
      <c r="R890" s="210">
        <f t="shared" si="1148"/>
        <v>2535</v>
      </c>
      <c r="S890" s="210">
        <f t="shared" si="1148"/>
        <v>2360</v>
      </c>
      <c r="T890" s="210">
        <f t="shared" si="1148"/>
        <v>2186</v>
      </c>
      <c r="U890" s="210">
        <f t="shared" si="1148"/>
        <v>2050</v>
      </c>
      <c r="V890" s="210">
        <f t="shared" si="1148"/>
        <v>1884</v>
      </c>
      <c r="W890" s="210">
        <f t="shared" si="1148"/>
        <v>1735</v>
      </c>
      <c r="X890" s="210">
        <f t="shared" si="1148"/>
        <v>1573</v>
      </c>
      <c r="Y890" s="210">
        <f t="shared" si="1148"/>
        <v>1451</v>
      </c>
      <c r="Z890" s="210">
        <f t="shared" si="1148"/>
        <v>1294</v>
      </c>
      <c r="AA890" s="210">
        <f t="shared" si="1148"/>
        <v>1150</v>
      </c>
      <c r="AB890" s="210">
        <f t="shared" si="1148"/>
        <v>994</v>
      </c>
      <c r="AC890" s="210">
        <f t="shared" si="1148"/>
        <v>853</v>
      </c>
      <c r="AD890" s="210">
        <f t="shared" si="1148"/>
        <v>894</v>
      </c>
      <c r="AE890" s="210">
        <f t="shared" si="1148"/>
        <v>838</v>
      </c>
      <c r="AF890" s="210">
        <f t="shared" si="1148"/>
        <v>859</v>
      </c>
      <c r="AG890" s="210">
        <f t="shared" si="1148"/>
        <v>744</v>
      </c>
      <c r="AH890" s="210">
        <f t="shared" si="1148"/>
        <v>623</v>
      </c>
      <c r="AI890" s="210">
        <f t="shared" ref="AI890:BF890" si="1149">AI915</f>
        <v>505</v>
      </c>
      <c r="AJ890" s="210">
        <f t="shared" si="1149"/>
        <v>514</v>
      </c>
      <c r="AK890" s="210">
        <f t="shared" si="1149"/>
        <v>365</v>
      </c>
      <c r="AL890" s="210">
        <f t="shared" si="1149"/>
        <v>634</v>
      </c>
      <c r="AM890" s="210">
        <f t="shared" si="1149"/>
        <v>910</v>
      </c>
      <c r="AN890" s="210">
        <f t="shared" si="1149"/>
        <v>965</v>
      </c>
      <c r="AO890" s="210">
        <f t="shared" si="1149"/>
        <v>875</v>
      </c>
      <c r="AP890" s="210">
        <f t="shared" si="1149"/>
        <v>897</v>
      </c>
      <c r="AQ890" s="210">
        <f t="shared" si="1149"/>
        <v>949</v>
      </c>
      <c r="AR890" s="210">
        <f t="shared" si="1149"/>
        <v>856</v>
      </c>
      <c r="AS890" s="210">
        <f t="shared" si="1149"/>
        <v>813</v>
      </c>
      <c r="AT890" s="210">
        <f t="shared" si="1149"/>
        <v>788</v>
      </c>
      <c r="AU890" s="210">
        <f t="shared" si="1149"/>
        <v>829</v>
      </c>
      <c r="AV890" s="210">
        <f t="shared" si="1149"/>
        <v>984</v>
      </c>
      <c r="AW890" s="210">
        <f t="shared" si="1149"/>
        <v>973</v>
      </c>
      <c r="AX890" s="210">
        <f t="shared" si="1149"/>
        <v>915</v>
      </c>
      <c r="AY890" s="1168">
        <f t="shared" si="1149"/>
        <v>915</v>
      </c>
      <c r="AZ890" s="213">
        <f t="shared" si="1149"/>
        <v>1123.9378082191781</v>
      </c>
      <c r="BA890" s="213">
        <f t="shared" si="1149"/>
        <v>1322.9449038243574</v>
      </c>
      <c r="BB890" s="213">
        <f t="shared" si="1149"/>
        <v>1512.9230747631757</v>
      </c>
      <c r="BC890" s="213">
        <f t="shared" si="1149"/>
        <v>1607.3741602120429</v>
      </c>
      <c r="BD890" s="213">
        <f t="shared" si="1149"/>
        <v>1696.8404924195133</v>
      </c>
      <c r="BE890" s="213">
        <f t="shared" si="1149"/>
        <v>1781.4550717223431</v>
      </c>
      <c r="BF890" s="213">
        <f t="shared" si="1149"/>
        <v>1862.2306991532416</v>
      </c>
      <c r="BG890" s="213"/>
      <c r="BH890" s="1037"/>
      <c r="BI890" s="1038">
        <f t="shared" ref="BI890:CB890" si="1150">BI915</f>
        <v>96</v>
      </c>
      <c r="BJ890" s="1038">
        <f t="shared" si="1150"/>
        <v>162</v>
      </c>
      <c r="BK890" s="1038">
        <f t="shared" si="1150"/>
        <v>1388</v>
      </c>
      <c r="BL890" s="1038">
        <f t="shared" si="1150"/>
        <v>883</v>
      </c>
      <c r="BM890" s="1038">
        <f t="shared" si="1150"/>
        <v>3929</v>
      </c>
      <c r="BN890" s="1038">
        <f t="shared" si="1150"/>
        <v>3246</v>
      </c>
      <c r="BO890" s="1038">
        <f t="shared" si="1150"/>
        <v>2535</v>
      </c>
      <c r="BP890" s="1038">
        <f t="shared" si="1150"/>
        <v>1884</v>
      </c>
      <c r="BQ890" s="1038">
        <f t="shared" si="1150"/>
        <v>1294</v>
      </c>
      <c r="BR890" s="1038">
        <f t="shared" si="1150"/>
        <v>894</v>
      </c>
      <c r="BS890" s="1038">
        <f t="shared" si="1150"/>
        <v>623</v>
      </c>
      <c r="BT890" s="1038">
        <f t="shared" si="1150"/>
        <v>634</v>
      </c>
      <c r="BU890" s="1038">
        <f t="shared" si="1150"/>
        <v>897</v>
      </c>
      <c r="BV890" s="1038">
        <f t="shared" si="1150"/>
        <v>788</v>
      </c>
      <c r="BW890" s="1039">
        <f t="shared" si="1150"/>
        <v>915</v>
      </c>
      <c r="BX890" s="1037">
        <f t="shared" si="1150"/>
        <v>1512.9230747631757</v>
      </c>
      <c r="BY890" s="1037">
        <f t="shared" si="1150"/>
        <v>1862.2306991532416</v>
      </c>
      <c r="BZ890" s="1037">
        <f t="shared" si="1150"/>
        <v>2173.429173305658</v>
      </c>
      <c r="CA890" s="1037">
        <f t="shared" si="1150"/>
        <v>2428.6119221106396</v>
      </c>
      <c r="CB890" s="1037">
        <f t="shared" si="1150"/>
        <v>2637.8617761307246</v>
      </c>
      <c r="CC890" s="217"/>
    </row>
    <row r="891" spans="1:81" x14ac:dyDescent="0.55000000000000004">
      <c r="A891" s="240"/>
      <c r="B891" s="241"/>
      <c r="C891" s="200"/>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A891" s="200"/>
      <c r="AB891" s="200"/>
      <c r="AC891" s="200"/>
      <c r="AD891" s="200"/>
      <c r="AE891" s="200"/>
      <c r="AF891" s="200"/>
      <c r="AG891" s="200"/>
      <c r="AH891" s="200"/>
      <c r="AI891" s="200"/>
      <c r="AJ891" s="200"/>
      <c r="AK891" s="200"/>
      <c r="AL891" s="200"/>
      <c r="AM891" s="200"/>
      <c r="AN891" s="200"/>
      <c r="AO891" s="200"/>
      <c r="AP891" s="200"/>
      <c r="AQ891" s="200"/>
      <c r="AR891" s="200"/>
      <c r="AS891" s="200"/>
      <c r="AT891" s="200"/>
      <c r="AU891" s="200"/>
      <c r="AV891" s="200"/>
      <c r="AW891" s="200"/>
      <c r="AX891" s="200"/>
      <c r="AY891" s="407"/>
      <c r="AZ891" s="200"/>
      <c r="BA891" s="200"/>
      <c r="BB891" s="200"/>
      <c r="BC891" s="200"/>
      <c r="BD891" s="200"/>
      <c r="BE891" s="200"/>
      <c r="BF891" s="200"/>
      <c r="BG891" s="200"/>
      <c r="BH891" s="841"/>
      <c r="BI891" s="841"/>
      <c r="BJ891" s="841"/>
      <c r="BK891" s="841"/>
      <c r="BL891" s="841"/>
      <c r="BM891" s="841"/>
      <c r="BN891" s="841"/>
      <c r="BO891" s="841"/>
      <c r="BP891" s="841"/>
      <c r="BQ891" s="841"/>
      <c r="BR891" s="841"/>
      <c r="BS891" s="841"/>
      <c r="BT891" s="841"/>
      <c r="BU891" s="841"/>
      <c r="BV891" s="841"/>
      <c r="BW891" s="842"/>
      <c r="BX891" s="841"/>
      <c r="BY891" s="841"/>
      <c r="BZ891" s="841"/>
      <c r="CA891" s="841"/>
      <c r="CB891" s="841"/>
      <c r="CC891" s="217"/>
    </row>
    <row r="892" spans="1:81" x14ac:dyDescent="0.55000000000000004">
      <c r="A892" s="211" t="s">
        <v>429</v>
      </c>
      <c r="B892" s="254"/>
      <c r="C892" s="564">
        <f>IFERROR(-C881/C880*BL3/C3,"n/a")</f>
        <v>0.33541869975370603</v>
      </c>
      <c r="D892" s="564">
        <f>IFERROR(-D881/D880*BL3/D3,"n/a")</f>
        <v>0.30363487676949974</v>
      </c>
      <c r="E892" s="564">
        <f>IFERROR(-E881/E880*BL3/E3,"n/a")</f>
        <v>0.36140671660677226</v>
      </c>
      <c r="F892" s="564">
        <f>IFERROR(-F881/F880*BL3/F3,"n/a")</f>
        <v>0.34391446036758161</v>
      </c>
      <c r="G892" s="564">
        <f>IFERROR(-G881/G880*BM3/G3,"n/a")</f>
        <v>0.31345419847328243</v>
      </c>
      <c r="H892" s="564">
        <f>IFERROR(-H881/H880*BM3/H3,"n/a")</f>
        <v>0.28151297303867245</v>
      </c>
      <c r="I892" s="564">
        <f>IFERROR(-I881/I880*BM3/I3,"n/a")</f>
        <v>0.27339776609895411</v>
      </c>
      <c r="J892" s="564">
        <f>IFERROR(-J881/J880*BM3/J3,"n/a")</f>
        <v>0.27293895079195479</v>
      </c>
      <c r="K892" s="564">
        <f>IFERROR(-K881/K880*BN3/K3,"n/a")</f>
        <v>0.28548371285326163</v>
      </c>
      <c r="L892" s="564">
        <f>IFERROR(-L881/L880*BN3/L3,"n/a")</f>
        <v>0.24335996326686951</v>
      </c>
      <c r="M892" s="564">
        <f>IFERROR(-M881/M880*BN3/M3,"n/a")</f>
        <v>0.24601028824639143</v>
      </c>
      <c r="N892" s="564">
        <f>IFERROR(-N881/N880*BN3/N3,"n/a")</f>
        <v>0.26269559105170937</v>
      </c>
      <c r="O892" s="564">
        <f>IFERROR(-O881/O880*BO3/O3,"n/a")</f>
        <v>0.26291020391600661</v>
      </c>
      <c r="P892" s="564">
        <f>IFERROR(-P881/P880*BO3/P3,"n/a")</f>
        <v>0.24363845525125868</v>
      </c>
      <c r="Q892" s="564">
        <f>IFERROR(-Q881/Q880*BO3/Q3,"n/a")</f>
        <v>0.22162116260282022</v>
      </c>
      <c r="R892" s="564">
        <f>IFERROR(-R881/R880*BO3/R3,"n/a")</f>
        <v>0.21694339404547633</v>
      </c>
      <c r="S892" s="564">
        <f>IFERROR(-S881/S880*BP3/S3,"n/a")</f>
        <v>0.23379279349189719</v>
      </c>
      <c r="T892" s="564">
        <f>IFERROR(-T881/T880*BP3/T3,"n/a")</f>
        <v>0.23494934045029162</v>
      </c>
      <c r="U892" s="564">
        <f>IFERROR(-U881/U880*BP3/U3,"n/a")</f>
        <v>0.22332441172620313</v>
      </c>
      <c r="V892" s="564">
        <f>IFERROR(-V881/V880*BP3/V3,"n/a")</f>
        <v>0.22263141284679258</v>
      </c>
      <c r="W892" s="564">
        <f>IFERROR(-W881/W880*BQ3/W3,"n/a")</f>
        <v>0.23091631643304261</v>
      </c>
      <c r="X892" s="564">
        <f>IFERROR(-X881/X880*BQ3/X3,"n/a")</f>
        <v>0.21705262537105113</v>
      </c>
      <c r="Y892" s="564">
        <f>IFERROR(-Y881/Y880*BQ3/Y3,"n/a")</f>
        <v>0.20580423650733873</v>
      </c>
      <c r="Z892" s="564">
        <f>IFERROR(-Z881/Z880*BQ3/Z3,"n/a")</f>
        <v>0.20093468890554722</v>
      </c>
      <c r="AA892" s="564">
        <f>IFERROR(-AA881/AA880*BR3/AA3,"n/a")</f>
        <v>0.1971667409418088</v>
      </c>
      <c r="AB892" s="564">
        <f>IFERROR(-AB881/AB880*BR3/AB3,"n/a")</f>
        <v>0.19655239622326839</v>
      </c>
      <c r="AC892" s="564">
        <f>IFERROR(-AC881/AC880*BR3/AC3,"n/a")</f>
        <v>0.16795849716729688</v>
      </c>
      <c r="AD892" s="564">
        <f>IFERROR(-AD881/AD880*BR3/AD3,"n/a")</f>
        <v>0.16835974745869539</v>
      </c>
      <c r="AE892" s="564">
        <f>IFERROR(-AE881/AE880*BS3/AE3,"n/a")</f>
        <v>0.16965567060406117</v>
      </c>
      <c r="AF892" s="564">
        <f>IFERROR(-AF881/AF880*BS3/AF3,"n/a")</f>
        <v>0.1711618303317067</v>
      </c>
      <c r="AG892" s="564">
        <f>IFERROR(-AG881/AG880*BS3/AG3,"n/a")</f>
        <v>0.16114577690388768</v>
      </c>
      <c r="AH892" s="564">
        <f>IFERROR(-AH881/AH880*BS3/AH3,"n/a")</f>
        <v>0.16367959880455601</v>
      </c>
      <c r="AI892" s="564">
        <f>IFERROR(-AI881/AI880*BT3/AI3,"n/a")</f>
        <v>0.16441561540503094</v>
      </c>
      <c r="AJ892" s="564">
        <f>IFERROR(-AJ881/AJ880*BT3/AJ3,"n/a")</f>
        <v>0.15633779464458425</v>
      </c>
      <c r="AK892" s="564">
        <f>IFERROR(-AK881/AK880*BT3/AK3,"n/a")</f>
        <v>0.14573104439549853</v>
      </c>
      <c r="AL892" s="564">
        <f>IFERROR(-AL881/AL880*BT3/AL3,"n/a")</f>
        <v>0.14621290962678585</v>
      </c>
      <c r="AM892" s="564">
        <f>IFERROR(-AM881/AM880*BU3/AM3,"n/a")</f>
        <v>0.14872732235080657</v>
      </c>
      <c r="AN892" s="564">
        <f>IFERROR(-AN881/AN880*BU3/AN3,"n/a")</f>
        <v>0.12570570607009826</v>
      </c>
      <c r="AO892" s="564">
        <f>IFERROR(-AO881/AO880*BU3/AO3,"n/a")</f>
        <v>0.12503023433539787</v>
      </c>
      <c r="AP892" s="564">
        <f>IFERROR(-AP881/AP880*BU3/AP3,"n/a")</f>
        <v>0.12482502679875988</v>
      </c>
      <c r="AQ892" s="564">
        <f>IFERROR(-AQ881/AQ880*BV3/AQ3,"n/a")</f>
        <v>0.12648429006989334</v>
      </c>
      <c r="AR892" s="564">
        <f>IFERROR(-AR881/AR880*BV3/AR3,"n/a")</f>
        <v>0.12296629650116031</v>
      </c>
      <c r="AS892" s="564">
        <f>IFERROR(-AS881/AS880*BV3/AS3,"n/a")</f>
        <v>0.12766168337677913</v>
      </c>
      <c r="AT892" s="564">
        <f>IFERROR(-AT881/AT880*BV3/AT3,"n/a")</f>
        <v>0.1353128926318343</v>
      </c>
      <c r="AU892" s="564">
        <f>IFERROR(-AU881/AU880*BW3/AU3,"n/a")</f>
        <v>0.13866448707576393</v>
      </c>
      <c r="AV892" s="564">
        <f>IFERROR(-AV881/AV880*BW3/AV3,"n/a")</f>
        <v>0.14557650866139563</v>
      </c>
      <c r="AW892" s="564">
        <f>IFERROR(-AW881/AW880*BW3/AW3,"n/a")</f>
        <v>0.15301151957068601</v>
      </c>
      <c r="AX892" s="564">
        <f>IFERROR(-AX881/AX880*BW3/AX3,"n/a")</f>
        <v>0.15677246343216295</v>
      </c>
      <c r="AY892" s="624">
        <f>IFERROR(-AY881/AY880*BX3/AY3,"n/a")</f>
        <v>0.14772267364029762</v>
      </c>
      <c r="AZ892" s="758">
        <v>0.125</v>
      </c>
      <c r="BA892" s="758">
        <v>0.125</v>
      </c>
      <c r="BB892" s="758">
        <v>0.125</v>
      </c>
      <c r="BC892" s="758">
        <v>0.125</v>
      </c>
      <c r="BD892" s="758">
        <v>0.125</v>
      </c>
      <c r="BE892" s="758">
        <v>0.125</v>
      </c>
      <c r="BF892" s="758">
        <v>0.125</v>
      </c>
      <c r="BG892" s="758"/>
      <c r="BH892" s="817"/>
      <c r="BI892" s="818" t="str">
        <f t="shared" ref="BI892:BW892" si="1151">IFERROR(-BI881/BI880,"n/a")</f>
        <v>n/a</v>
      </c>
      <c r="BJ892" s="818">
        <f t="shared" si="1151"/>
        <v>0.52787456445993031</v>
      </c>
      <c r="BK892" s="818">
        <f t="shared" si="1151"/>
        <v>0.38372881355932204</v>
      </c>
      <c r="BL892" s="818">
        <f t="shared" si="1151"/>
        <v>0.35842743621915518</v>
      </c>
      <c r="BM892" s="818">
        <f t="shared" si="1151"/>
        <v>0.32026370575988894</v>
      </c>
      <c r="BN892" s="818">
        <f t="shared" si="1151"/>
        <v>0.30753718174943284</v>
      </c>
      <c r="BO892" s="818">
        <f t="shared" si="1151"/>
        <v>0.27958501846316158</v>
      </c>
      <c r="BP892" s="818">
        <f t="shared" si="1151"/>
        <v>0.27121406122686531</v>
      </c>
      <c r="BQ892" s="818">
        <f t="shared" si="1151"/>
        <v>0.26820202609139276</v>
      </c>
      <c r="BR892" s="818">
        <f t="shared" si="1151"/>
        <v>0.20986103796134992</v>
      </c>
      <c r="BS892" s="818">
        <f t="shared" si="1151"/>
        <v>0.18090196189451632</v>
      </c>
      <c r="BT892" s="818">
        <f t="shared" si="1151"/>
        <v>0.16566958122411413</v>
      </c>
      <c r="BU892" s="818">
        <f t="shared" si="1151"/>
        <v>0.14703592866162707</v>
      </c>
      <c r="BV892" s="818">
        <f t="shared" si="1151"/>
        <v>0.13858497447118892</v>
      </c>
      <c r="BW892" s="830">
        <f t="shared" si="1151"/>
        <v>0.15830287719879488</v>
      </c>
      <c r="BX892" s="817">
        <f>AVERAGE(AY892,AZ892,BA892,BB892)</f>
        <v>0.13068066841007442</v>
      </c>
      <c r="BY892" s="817">
        <f>AVERAGE(BC892,BD892,BE892,BF892)</f>
        <v>0.125</v>
      </c>
      <c r="BZ892" s="853">
        <v>0.125</v>
      </c>
      <c r="CA892" s="853">
        <v>0.125</v>
      </c>
      <c r="CB892" s="853">
        <v>0.125</v>
      </c>
      <c r="CC892" s="217"/>
    </row>
    <row r="893" spans="1:81" x14ac:dyDescent="0.55000000000000004">
      <c r="A893" s="211" t="s">
        <v>435</v>
      </c>
      <c r="B893" s="254"/>
      <c r="C893" s="564">
        <f>IFERROR(-C887/C886*BL3/C3,"n/a")</f>
        <v>9.6421709894332366E-2</v>
      </c>
      <c r="D893" s="564">
        <f>IFERROR(-D887/D886*BL3/D3,"n/a")</f>
        <v>9.6199603194939642E-2</v>
      </c>
      <c r="E893" s="564">
        <f>IFERROR(-E887/E886*BL3/E3,"n/a")</f>
        <v>9.0002132594034071E-2</v>
      </c>
      <c r="F893" s="564">
        <f>IFERROR(-F887/F886*BL3/F3,"n/a")</f>
        <v>9.6164239197989568E-2</v>
      </c>
      <c r="G893" s="564">
        <f>IFERROR(-G887/G886*BM3/G3,"n/a")</f>
        <v>0.1883100541084686</v>
      </c>
      <c r="H893" s="564">
        <f>IFERROR(-H887/H886*BM3/H3,"n/a")</f>
        <v>9.7770837961087667E-2</v>
      </c>
      <c r="I893" s="564">
        <f>IFERROR(-I887/I886*BM3/I3,"n/a")</f>
        <v>0.13999765966299146</v>
      </c>
      <c r="J893" s="564">
        <f>IFERROR(-J887/J886*BM3/J3,"n/a")</f>
        <v>0.53621537750486947</v>
      </c>
      <c r="K893" s="564">
        <f>IFERROR(-K887/K886*BN3/K3,"n/a")</f>
        <v>0.18476570232742284</v>
      </c>
      <c r="L893" s="564">
        <f>IFERROR(-L887/L886*BN3/L3,"n/a")</f>
        <v>0.19130313247960307</v>
      </c>
      <c r="M893" s="564">
        <f>IFERROR(-M887/M886*BN3/M3,"n/a")</f>
        <v>0.19809443405897606</v>
      </c>
      <c r="N893" s="564">
        <f>IFERROR(-N887/N886*BN3/N3,"n/a")</f>
        <v>0.2204747568025705</v>
      </c>
      <c r="O893" s="564">
        <f>IFERROR(-O887/O886*BO3/O3,"n/a")</f>
        <v>0.22303020454591618</v>
      </c>
      <c r="P893" s="564">
        <f>IFERROR(-P887/P886*BO3/P3,"n/a")</f>
        <v>0.25309480216555535</v>
      </c>
      <c r="Q893" s="564">
        <f>IFERROR(-Q887/Q886*BO3/Q3,"n/a")</f>
        <v>0.26945497379826933</v>
      </c>
      <c r="R893" s="564">
        <f>IFERROR(-R887/R886*BO3/R3,"n/a")</f>
        <v>0.2694380973835806</v>
      </c>
      <c r="S893" s="564">
        <f>IFERROR(-S887/S886*BP3/S3,"n/a")</f>
        <v>0.27996931843085693</v>
      </c>
      <c r="T893" s="564">
        <f>IFERROR(-T887/T886*BP3/T3,"n/a")</f>
        <v>0.29572546097969826</v>
      </c>
      <c r="U893" s="564">
        <f>IFERROR(-U887/U886*BP3/U3,"n/a")</f>
        <v>0.31397927522972274</v>
      </c>
      <c r="V893" s="564">
        <f>IFERROR(-V887/V886*BP3/V3,"n/a")</f>
        <v>0.32900318133616119</v>
      </c>
      <c r="W893" s="564">
        <f>IFERROR(-W887/W886*BQ3/W3,"n/a")</f>
        <v>0.36379452701108755</v>
      </c>
      <c r="X893" s="564">
        <f>IFERROR(-X887/X886*BQ3/X3,"n/a")</f>
        <v>0.36526585806124712</v>
      </c>
      <c r="Y893" s="564">
        <f>IFERROR(-Y887/Y886*BQ3/Y3,"n/a")</f>
        <v>0.39346029464606541</v>
      </c>
      <c r="Z893" s="564">
        <f>IFERROR(-Z887/Z886*BQ3/Z3,"n/a")</f>
        <v>0.42927666077367932</v>
      </c>
      <c r="AA893" s="564">
        <f>IFERROR(-AA887/AA886*BR3/AA3,"n/a")</f>
        <v>0.48892323544564659</v>
      </c>
      <c r="AB893" s="564">
        <f>IFERROR(-AB887/AB886*BR3/AB3,"n/a")</f>
        <v>0.54409937888198767</v>
      </c>
      <c r="AC893" s="564">
        <f>IFERROR(-AC887/AC886*BR3/AC3,"n/a")</f>
        <v>0.57874420435657437</v>
      </c>
      <c r="AD893" s="564">
        <f>IFERROR(-AD887/AD886*BR3/AD3,"n/a")</f>
        <v>0.48836586982007235</v>
      </c>
      <c r="AE893" s="564">
        <f>IFERROR(-AE887/AE886*BS3/AE3,"n/a")</f>
        <v>0.49937311011136515</v>
      </c>
      <c r="AF893" s="564">
        <f>IFERROR(-AF887/AF886*BS3/AF3,"n/a")</f>
        <v>0.56634058066038984</v>
      </c>
      <c r="AG893" s="564">
        <f>IFERROR(-AG887/AG886*BS3/AG3,"n/a")</f>
        <v>0.56964620134635824</v>
      </c>
      <c r="AH893" s="564">
        <f>IFERROR(-AH887/AH886*BS3/AH3,"n/a")</f>
        <v>0.64700210378681622</v>
      </c>
      <c r="AI893" s="564">
        <f>IFERROR(-AI887/AI886*BT3/AI3,"n/a")</f>
        <v>0.7681469591581952</v>
      </c>
      <c r="AJ893" s="564">
        <f>IFERROR(-AJ887/AJ886*BT3/AJ3,"n/a")</f>
        <v>0.96899140463496891</v>
      </c>
      <c r="AK893" s="564">
        <f>IFERROR(-AK887/AK886*BT3/AK3,"n/a")</f>
        <v>0.95711385552360018</v>
      </c>
      <c r="AL893" s="564">
        <f>IFERROR(-AL887/AL886*BT3/AL3,"n/a")</f>
        <v>0.46739130434782611</v>
      </c>
      <c r="AM893" s="564">
        <f>IFERROR(-AM887/AM886*BU3/AM3,"n/a")</f>
        <v>0.25587101296880477</v>
      </c>
      <c r="AN893" s="564">
        <f>IFERROR(-AN887/AN886*BU3/AN3,"n/a")</f>
        <v>0.23360705228837098</v>
      </c>
      <c r="AO893" s="564">
        <f>IFERROR(-AO887/AO886*BU3/AO3,"n/a")</f>
        <v>0.18500788465870691</v>
      </c>
      <c r="AP893" s="564">
        <f>IFERROR(-AP887/AP886*BU3/AP3,"n/a")</f>
        <v>0.2131055900621118</v>
      </c>
      <c r="AQ893" s="564">
        <f>IFERROR(-AQ887/AQ886*BV3/AQ3,"n/a")</f>
        <v>0.21249845162888642</v>
      </c>
      <c r="AR893" s="564">
        <f>IFERROR(-AR887/AR886*BV3/AR3,"n/a")</f>
        <v>0.19019442096365172</v>
      </c>
      <c r="AS893" s="564">
        <f>IFERROR(-AS887/AS886*BV3/AS3,"n/a")</f>
        <v>0.14831369362047947</v>
      </c>
      <c r="AT893" s="564">
        <f>IFERROR(-AT887/AT886*BV3/AT3,"n/a")</f>
        <v>0.18055778383870794</v>
      </c>
      <c r="AU893" s="564">
        <f>IFERROR(-AU887/AU886*BW3/AU3,"n/a")</f>
        <v>0.22457745300384893</v>
      </c>
      <c r="AV893" s="564">
        <f>IFERROR(-AV887/AV886*BW3/AV3,"n/a")</f>
        <v>0.27654131152321743</v>
      </c>
      <c r="AW893" s="564">
        <f>IFERROR(-AW887/AW886*BW3/AW3,"n/a")</f>
        <v>0.27087751855779424</v>
      </c>
      <c r="AX893" s="564">
        <f>IFERROR(-AX887/AX886*BW3/AX3,"n/a")</f>
        <v>0.17581214531480405</v>
      </c>
      <c r="AY893" s="624">
        <f>IFERROR(-AY887/AY886*BX3/AY3,"n/a")</f>
        <v>-2.3047965998785669</v>
      </c>
      <c r="AZ893" s="758">
        <v>0.18</v>
      </c>
      <c r="BA893" s="758">
        <v>0.18</v>
      </c>
      <c r="BB893" s="758">
        <v>0.18</v>
      </c>
      <c r="BC893" s="758">
        <v>0.18</v>
      </c>
      <c r="BD893" s="758">
        <v>0.18</v>
      </c>
      <c r="BE893" s="758">
        <v>0.18</v>
      </c>
      <c r="BF893" s="758">
        <v>0.18</v>
      </c>
      <c r="BG893" s="758"/>
      <c r="BH893" s="817"/>
      <c r="BI893" s="818" t="str">
        <f t="shared" ref="BI893:BW893" si="1152">IFERROR(-BI887/BI886,"n/a")</f>
        <v>n/a</v>
      </c>
      <c r="BJ893" s="818">
        <f t="shared" si="1152"/>
        <v>0.20833333333333334</v>
      </c>
      <c r="BK893" s="818">
        <f t="shared" si="1152"/>
        <v>0.48148148148148145</v>
      </c>
      <c r="BL893" s="818">
        <f t="shared" si="1152"/>
        <v>0.10446685878962536</v>
      </c>
      <c r="BM893" s="818">
        <f t="shared" si="1152"/>
        <v>0.36126840317100795</v>
      </c>
      <c r="BN893" s="818">
        <f t="shared" si="1152"/>
        <v>0.18579791295495038</v>
      </c>
      <c r="BO893" s="818">
        <f t="shared" si="1152"/>
        <v>0.23136167590881085</v>
      </c>
      <c r="BP893" s="818">
        <f t="shared" si="1152"/>
        <v>0.27297830374753451</v>
      </c>
      <c r="BQ893" s="818">
        <f t="shared" si="1152"/>
        <v>0.33970276008492567</v>
      </c>
      <c r="BR893" s="818">
        <f t="shared" si="1152"/>
        <v>0.43431221020092736</v>
      </c>
      <c r="BS893" s="818">
        <f t="shared" si="1152"/>
        <v>0.529082774049217</v>
      </c>
      <c r="BT893" s="818">
        <f t="shared" si="1152"/>
        <v>0.6532905296950241</v>
      </c>
      <c r="BU893" s="818">
        <f t="shared" si="1152"/>
        <v>0.29179810725552052</v>
      </c>
      <c r="BV893" s="818">
        <f t="shared" si="1152"/>
        <v>0.17948717948717949</v>
      </c>
      <c r="BW893" s="830">
        <f t="shared" si="1152"/>
        <v>0.26776649746192893</v>
      </c>
      <c r="BX893" s="817">
        <f>AVERAGE(AY893,AZ893,BA893,BB893)</f>
        <v>-0.44119914996964171</v>
      </c>
      <c r="BY893" s="817">
        <f>AVERAGE(BC893,BD893,BE893,BF893)</f>
        <v>0.18</v>
      </c>
      <c r="BZ893" s="853">
        <v>0.18</v>
      </c>
      <c r="CA893" s="853">
        <v>0.18</v>
      </c>
      <c r="CB893" s="853">
        <v>0.18</v>
      </c>
      <c r="CC893" s="217"/>
    </row>
    <row r="894" spans="1:81" x14ac:dyDescent="0.55000000000000004">
      <c r="A894" s="25" t="s">
        <v>438</v>
      </c>
      <c r="B894" s="243"/>
      <c r="C894" s="565">
        <f>IFERROR(-C880/C881*C3/BL3,"n/a")</f>
        <v>2.9813483885492613</v>
      </c>
      <c r="D894" s="565">
        <f>IFERROR(-D880/D881*D3/BL3,"n/a")</f>
        <v>3.293429301137683</v>
      </c>
      <c r="E894" s="565">
        <f>IFERROR(-E880/E881*E3/BL3,"n/a")</f>
        <v>2.7669657315418617</v>
      </c>
      <c r="F894" s="565">
        <f>IFERROR(-F880/F881*F3/BL3,"n/a")</f>
        <v>2.9076997778202847</v>
      </c>
      <c r="G894" s="565">
        <f>IFERROR(-G880/G881*G3/BM3,"n/a")</f>
        <v>3.1902587519025878</v>
      </c>
      <c r="H894" s="565">
        <f>IFERROR(-H880/H881*H3/BM3,"n/a")</f>
        <v>3.5522341624470224</v>
      </c>
      <c r="I894" s="565">
        <f>IFERROR(-I880/I881*I3/BM3,"n/a")</f>
        <v>3.6576743631404001</v>
      </c>
      <c r="J894" s="565">
        <f>IFERROR(-J880/J881*J3/BM3,"n/a")</f>
        <v>3.6638229798217425</v>
      </c>
      <c r="K894" s="565">
        <f>IFERROR(-K880/K881*K3/BN3,"n/a")</f>
        <v>3.5028267987883392</v>
      </c>
      <c r="L894" s="565">
        <f>IFERROR(-L880/L881*L3/BN3,"n/a")</f>
        <v>4.1091393447631157</v>
      </c>
      <c r="M894" s="565">
        <f>IFERROR(-M880/M881*M3/BN3,"n/a")</f>
        <v>4.0648706488179496</v>
      </c>
      <c r="N894" s="565">
        <f>IFERROR(-N880/N881*N3/BN3,"n/a")</f>
        <v>3.8066874133534983</v>
      </c>
      <c r="O894" s="565">
        <f>IFERROR(-O880/O881*O3/BO3,"n/a")</f>
        <v>3.8035800250623804</v>
      </c>
      <c r="P894" s="565">
        <f>IFERROR(-P880/P881*P3/BO3,"n/a")</f>
        <v>4.104442375357876</v>
      </c>
      <c r="Q894" s="565">
        <f>IFERROR(-Q880/Q881*Q3/BO3,"n/a")</f>
        <v>4.5122044675496831</v>
      </c>
      <c r="R894" s="565">
        <f>IFERROR(-R880/R881*R3/BO3,"n/a")</f>
        <v>4.6094973502183567</v>
      </c>
      <c r="S894" s="565">
        <f>IFERROR(-S880/S881*S3/BP3,"n/a")</f>
        <v>4.2772918064074457</v>
      </c>
      <c r="T894" s="565">
        <f>IFERROR(-T880/T881*T3/BP3,"n/a")</f>
        <v>4.25623667673828</v>
      </c>
      <c r="U894" s="565">
        <f>IFERROR(-U880/U881*U3/BP3,"n/a")</f>
        <v>4.4777908168230391</v>
      </c>
      <c r="V894" s="565">
        <f>IFERROR(-V880/V881*V3/BP3,"n/a")</f>
        <v>4.4917291195028541</v>
      </c>
      <c r="W894" s="565">
        <f>IFERROR(-W880/W881*W3/BQ3,"n/a")</f>
        <v>4.3305731506849314</v>
      </c>
      <c r="X894" s="565">
        <f>IFERROR(-X880/X881*X3/BQ3,"n/a")</f>
        <v>4.6071776293445037</v>
      </c>
      <c r="Y894" s="565">
        <f>IFERROR(-Y880/Y881*Y3/BQ3,"n/a")</f>
        <v>4.8589864668035689</v>
      </c>
      <c r="Z894" s="565">
        <f>IFERROR(-Z880/Z881*Z3/BQ3,"n/a")</f>
        <v>4.9767414747886916</v>
      </c>
      <c r="AA894" s="565">
        <f>IFERROR(-AA880/AA881*AA3/BR3,"n/a")</f>
        <v>5.0718493150684933</v>
      </c>
      <c r="AB894" s="565">
        <f>IFERROR(-AB880/AB881*AB3/BR3,"n/a")</f>
        <v>5.0877019014516467</v>
      </c>
      <c r="AC894" s="565">
        <f>IFERROR(-AC880/AC881*AC3/BR3,"n/a")</f>
        <v>5.9538517959227697</v>
      </c>
      <c r="AD894" s="565">
        <f>IFERROR(-AD880/AD881*AD3/BR3,"n/a")</f>
        <v>5.9396620337966199</v>
      </c>
      <c r="AE894" s="565">
        <f>IFERROR(-AE880/AE881*AE3/BS3,"n/a")</f>
        <v>5.8942916345765939</v>
      </c>
      <c r="AF894" s="565">
        <f>IFERROR(-AF880/AF881*AF3/BS3,"n/a")</f>
        <v>5.8424240852182336</v>
      </c>
      <c r="AG894" s="565">
        <f>IFERROR(-AG880/AG881*AG3/BS3,"n/a")</f>
        <v>6.205561319775887</v>
      </c>
      <c r="AH894" s="565">
        <f>IFERROR(-AH880/AH881*AH3/BS3,"n/a")</f>
        <v>6.1094968908988125</v>
      </c>
      <c r="AI894" s="565">
        <f>IFERROR(-AI880/AI881*AI3/BT3,"n/a")</f>
        <v>6.0821473528322851</v>
      </c>
      <c r="AJ894" s="565">
        <f>IFERROR(-AJ880/AJ881*AJ3/BT3,"n/a")</f>
        <v>6.3964059508027686</v>
      </c>
      <c r="AK894" s="565">
        <f>IFERROR(-AK880/AK881*AK3/BT3,"n/a")</f>
        <v>6.8619559006666178</v>
      </c>
      <c r="AL894" s="565">
        <f>IFERROR(-AL880/AL881*AL3/BT3,"n/a")</f>
        <v>6.8393413587934138</v>
      </c>
      <c r="AM894" s="565">
        <f>IFERROR(-AM880/AM881*AM3/BU3,"n/a")</f>
        <v>6.7237141380201608</v>
      </c>
      <c r="AN894" s="565">
        <f>IFERROR(-AN880/AN881*AN3/BU3,"n/a")</f>
        <v>7.9550883668109869</v>
      </c>
      <c r="AO894" s="565">
        <f>IFERROR(-AO880/AO881*AO3/BU3,"n/a")</f>
        <v>7.9980654704482603</v>
      </c>
      <c r="AP894" s="565">
        <f>IFERROR(-AP880/AP881*AP3/BU3,"n/a")</f>
        <v>8.0112139820500712</v>
      </c>
      <c r="AQ894" s="565">
        <f>IFERROR(-AQ880/AQ881*AQ3/BV3,"n/a")</f>
        <v>7.9061201944321695</v>
      </c>
      <c r="AR894" s="565">
        <f>IFERROR(-AR880/AR881*AR3/BV3,"n/a")</f>
        <v>8.1323096527556533</v>
      </c>
      <c r="AS894" s="565">
        <f>IFERROR(-AS880/AS881*AS3/BV3,"n/a")</f>
        <v>7.8332039304903436</v>
      </c>
      <c r="AT894" s="565">
        <f>IFERROR(-AT880/AT881*AT3/BV3,"n/a")</f>
        <v>7.3902787868178041</v>
      </c>
      <c r="AU894" s="565">
        <f>IFERROR(-AU880/AU881*AU3/BW3,"n/a")</f>
        <v>7.2116518157501766</v>
      </c>
      <c r="AV894" s="565">
        <f>IFERROR(-AV880/AV881*AV3/BW3,"n/a")</f>
        <v>6.869240162408035</v>
      </c>
      <c r="AW894" s="565">
        <f>IFERROR(-AW880/AW881*AW3/BW3,"n/a")</f>
        <v>6.5354556493900757</v>
      </c>
      <c r="AX894" s="565">
        <f>IFERROR(-AX880/AX881*AX3/BW3,"n/a")</f>
        <v>6.3786712162797023</v>
      </c>
      <c r="AY894" s="629">
        <f>IFERROR(-AY880/AY881*AY3/BX3,"n/a")</f>
        <v>6.7694415173867224</v>
      </c>
      <c r="AZ894" s="212">
        <f>IFERROR(-AZ880/AZ881*AZ3/BX3,"n/a")</f>
        <v>8</v>
      </c>
      <c r="BA894" s="212">
        <f>IFERROR(-BA880/BA881*BA3/BX3,"n/a")</f>
        <v>8</v>
      </c>
      <c r="BB894" s="212">
        <f>IFERROR(-BB880/BB881*BB3/BX3,"n/a")</f>
        <v>8</v>
      </c>
      <c r="BC894" s="212">
        <f>IFERROR(-BC880/BC881*BC3/BY3,"n/a")</f>
        <v>8</v>
      </c>
      <c r="BD894" s="212">
        <f>IFERROR(-BD880/BD881*BD3/BY3,"n/a")</f>
        <v>8</v>
      </c>
      <c r="BE894" s="212">
        <f>IFERROR(-BE880/BE881*BE3/BY3,"n/a")</f>
        <v>8</v>
      </c>
      <c r="BF894" s="212">
        <f>IFERROR(-BF880/BF881*BF3/BY3,"n/a")</f>
        <v>8</v>
      </c>
      <c r="BG894" s="212"/>
      <c r="BH894" s="827"/>
      <c r="BI894" s="828">
        <f t="shared" ref="BI894:BW894" si="1153">IFERROR(-BI880/BI881,"n/a")</f>
        <v>0</v>
      </c>
      <c r="BJ894" s="828">
        <f t="shared" si="1153"/>
        <v>1.8943894389438944</v>
      </c>
      <c r="BK894" s="828">
        <f t="shared" si="1153"/>
        <v>2.6060070671378091</v>
      </c>
      <c r="BL894" s="828">
        <f t="shared" si="1153"/>
        <v>2.7899649941656941</v>
      </c>
      <c r="BM894" s="828">
        <f t="shared" si="1153"/>
        <v>3.1224268689057419</v>
      </c>
      <c r="BN894" s="828">
        <f t="shared" si="1153"/>
        <v>3.2516393442622951</v>
      </c>
      <c r="BO894" s="828">
        <f t="shared" si="1153"/>
        <v>3.5767295597484279</v>
      </c>
      <c r="BP894" s="828">
        <f t="shared" si="1153"/>
        <v>3.6871244635193134</v>
      </c>
      <c r="BQ894" s="828">
        <f t="shared" si="1153"/>
        <v>3.7285326086956521</v>
      </c>
      <c r="BR894" s="828">
        <f t="shared" si="1153"/>
        <v>4.7650579150579153</v>
      </c>
      <c r="BS894" s="828">
        <f t="shared" si="1153"/>
        <v>5.5278560250391235</v>
      </c>
      <c r="BT894" s="828">
        <f t="shared" si="1153"/>
        <v>6.0361111111111114</v>
      </c>
      <c r="BU894" s="828">
        <f t="shared" si="1153"/>
        <v>6.801058823529412</v>
      </c>
      <c r="BV894" s="828">
        <f t="shared" si="1153"/>
        <v>7.2157894736842101</v>
      </c>
      <c r="BW894" s="829">
        <f t="shared" si="1153"/>
        <v>6.3170045781556574</v>
      </c>
      <c r="BX894" s="827">
        <f>AVERAGE(AY894,AZ894,BA894,BB894)</f>
        <v>7.692360379346681</v>
      </c>
      <c r="BY894" s="827">
        <f>AVERAGE(BC894,BD894,BE894,BF894)</f>
        <v>8</v>
      </c>
      <c r="BZ894" s="827">
        <f>IFERROR(-BZ880/BZ881,"n/a")</f>
        <v>8</v>
      </c>
      <c r="CA894" s="827">
        <f>IFERROR(-CA880/CA881,"n/a")</f>
        <v>8</v>
      </c>
      <c r="CB894" s="827">
        <f>IFERROR(-CB880/CB881,"n/a")</f>
        <v>8</v>
      </c>
      <c r="CC894" s="217"/>
    </row>
    <row r="895" spans="1:81" x14ac:dyDescent="0.55000000000000004">
      <c r="A895" s="25" t="s">
        <v>439</v>
      </c>
      <c r="B895" s="243"/>
      <c r="C895" s="565">
        <f>IFERROR(-C886/C887*C3/BL3,"n/a")</f>
        <v>10.371108343711084</v>
      </c>
      <c r="D895" s="565">
        <f>IFERROR(-D886/D887*D3/BL3,"n/a")</f>
        <v>10.395053272450532</v>
      </c>
      <c r="E895" s="565">
        <f>IFERROR(-E886/E887*E3/BL3,"n/a")</f>
        <v>11.110847834135505</v>
      </c>
      <c r="F895" s="565">
        <f>IFERROR(-F886/F887*F3/BL3,"n/a")</f>
        <v>10.398876009834915</v>
      </c>
      <c r="G895" s="565">
        <f>IFERROR(-G886/G887*G3/BM3,"n/a")</f>
        <v>5.3103909121282991</v>
      </c>
      <c r="H895" s="565">
        <f>IFERROR(-H886/H887*H3/BM3,"n/a")</f>
        <v>10.227998663548279</v>
      </c>
      <c r="I895" s="565">
        <f>IFERROR(-I886/I887*I3/BM3,"n/a")</f>
        <v>7.1429765498026461</v>
      </c>
      <c r="J895" s="565">
        <f>IFERROR(-J886/J887*J3/BM3,"n/a")</f>
        <v>1.8649222718177623</v>
      </c>
      <c r="K895" s="565">
        <f>IFERROR(-K886/K887*K3/BN3,"n/a")</f>
        <v>5.4122598913293034</v>
      </c>
      <c r="L895" s="565">
        <f>IFERROR(-L886/L887*L3/BN3,"n/a")</f>
        <v>5.2273059360730585</v>
      </c>
      <c r="M895" s="565">
        <f>IFERROR(-M886/M887*M3/BN3,"n/a")</f>
        <v>5.0480974124809741</v>
      </c>
      <c r="N895" s="565">
        <f>IFERROR(-N886/N887*N3/BN3,"n/a")</f>
        <v>4.5356666427598071</v>
      </c>
      <c r="O895" s="565">
        <f>IFERROR(-O886/O887*O3/BO3,"n/a")</f>
        <v>4.4836976320582886</v>
      </c>
      <c r="P895" s="565">
        <f>IFERROR(-P886/P887*P3/BO3,"n/a")</f>
        <v>3.9510886491690025</v>
      </c>
      <c r="Q895" s="565">
        <f>IFERROR(-Q886/Q887*Q3/BO3,"n/a")</f>
        <v>3.711195180047639</v>
      </c>
      <c r="R895" s="565">
        <f>IFERROR(-R886/R887*R3/BO3,"n/a")</f>
        <v>3.7114276329541043</v>
      </c>
      <c r="S895" s="565">
        <f>IFERROR(-S886/S887*S3/BP3,"n/a")</f>
        <v>3.571819960861057</v>
      </c>
      <c r="T895" s="565">
        <f>IFERROR(-T886/T887*T3/BP3,"n/a")</f>
        <v>3.3815147220910093</v>
      </c>
      <c r="U895" s="565">
        <f>IFERROR(-U886/U887*U3/BP3,"n/a")</f>
        <v>3.184923588565999</v>
      </c>
      <c r="V895" s="565">
        <f>IFERROR(-V886/V887*V3/BP3,"n/a")</f>
        <v>3.0394842868654313</v>
      </c>
      <c r="W895" s="565">
        <f>IFERROR(-W886/W887*W3/BQ3,"n/a")</f>
        <v>2.7488044094998783</v>
      </c>
      <c r="X895" s="565">
        <f>IFERROR(-X886/X887*X3/BQ3,"n/a")</f>
        <v>2.7377319230102306</v>
      </c>
      <c r="Y895" s="565">
        <f>IFERROR(-Y886/Y887*Y3/BQ3,"n/a")</f>
        <v>2.5415525114155253</v>
      </c>
      <c r="Z895" s="565">
        <f>IFERROR(-Z886/Z887*Z3/BQ3,"n/a")</f>
        <v>2.3295000436262105</v>
      </c>
      <c r="AA895" s="565">
        <f>IFERROR(-AA886/AA887*AA3/BR3,"n/a")</f>
        <v>2.0453108535300322</v>
      </c>
      <c r="AB895" s="565">
        <f>IFERROR(-AB886/AB887*AB3/BR3,"n/a")</f>
        <v>1.8378995433789953</v>
      </c>
      <c r="AC895" s="565">
        <f>IFERROR(-AC886/AC887*AC3/BR3,"n/a")</f>
        <v>1.7278790741615495</v>
      </c>
      <c r="AD895" s="565">
        <f>IFERROR(-AD886/AD887*AD3/BR3,"n/a")</f>
        <v>2.0476451402478801</v>
      </c>
      <c r="AE895" s="565">
        <f>IFERROR(-AE886/AE887*AE3/BS3,"n/a")</f>
        <v>2.0025107074287405</v>
      </c>
      <c r="AF895" s="565">
        <f>IFERROR(-AF886/AF887*AF3/BS3,"n/a")</f>
        <v>1.7657219598036489</v>
      </c>
      <c r="AG895" s="565">
        <f>IFERROR(-AG886/AG887*AG3/BS3,"n/a")</f>
        <v>1.7554755875427606</v>
      </c>
      <c r="AH895" s="565">
        <f>IFERROR(-AH886/AH887*AH3/BS3,"n/a")</f>
        <v>1.5455900284514295</v>
      </c>
      <c r="AI895" s="565">
        <f>IFERROR(-AI886/AI887*AI3/BT3,"n/a")</f>
        <v>1.3018342233573252</v>
      </c>
      <c r="AJ895" s="565">
        <f>IFERROR(-AJ886/AJ887*AJ3/BT3,"n/a")</f>
        <v>1.0320008982708286</v>
      </c>
      <c r="AK895" s="565">
        <f>IFERROR(-AK886/AK887*AK3/BT3,"n/a")</f>
        <v>1.0448077772867874</v>
      </c>
      <c r="AL895" s="565">
        <f>IFERROR(-AL886/AL887*AL3/BT3,"n/a")</f>
        <v>2.1395348837209305</v>
      </c>
      <c r="AM895" s="565">
        <f>IFERROR(-AM886/AM887*AM3/BU3,"n/a")</f>
        <v>3.908219178082192</v>
      </c>
      <c r="AN895" s="565">
        <f>IFERROR(-AN886/AN887*AN3/BU3,"n/a")</f>
        <v>4.2806926854484368</v>
      </c>
      <c r="AO895" s="565">
        <f>IFERROR(-AO886/AO887*AO3/BU3,"n/a")</f>
        <v>5.40517503805175</v>
      </c>
      <c r="AP895" s="565">
        <f>IFERROR(-AP886/AP887*AP3/BU3,"n/a")</f>
        <v>4.6925094724570098</v>
      </c>
      <c r="AQ895" s="565">
        <f>IFERROR(-AQ886/AQ887*AQ3/BV3,"n/a")</f>
        <v>4.7059166423783143</v>
      </c>
      <c r="AR895" s="565">
        <f>IFERROR(-AR886/AR887*AR3/BV3,"n/a")</f>
        <v>5.2577777777777781</v>
      </c>
      <c r="AS895" s="565">
        <f>IFERROR(-AS886/AS887*AS3/BV3,"n/a")</f>
        <v>6.7424657534246579</v>
      </c>
      <c r="AT895" s="565">
        <f>IFERROR(-AT886/AT887*AT3/BV3,"n/a")</f>
        <v>5.5383931877082553</v>
      </c>
      <c r="AU895" s="565">
        <f>IFERROR(-AU886/AU887*AU3/BW3,"n/a")</f>
        <v>4.4528067560854447</v>
      </c>
      <c r="AV895" s="565">
        <f>IFERROR(-AV886/AV887*AV3/BW3,"n/a")</f>
        <v>3.6160962515578561</v>
      </c>
      <c r="AW895" s="565">
        <f>IFERROR(-AW886/AW887*AW3/BW3,"n/a")</f>
        <v>3.691705407389283</v>
      </c>
      <c r="AX895" s="565">
        <f>IFERROR(-AX886/AX887*AX3/BW3,"n/a")</f>
        <v>5.6878891854111071</v>
      </c>
      <c r="AY895" s="629">
        <f>IFERROR(-AY886/AY887*AY3/BX3,"n/a")</f>
        <v>-0.43387776606954687</v>
      </c>
      <c r="AZ895" s="212">
        <f>IFERROR(-AZ886/AZ887*AZ3/BX3,"n/a")</f>
        <v>5.5555555555555562</v>
      </c>
      <c r="BA895" s="212">
        <f>IFERROR(-BA886/BA887*BA3/BX3,"n/a")</f>
        <v>5.5555555555555562</v>
      </c>
      <c r="BB895" s="212">
        <f>IFERROR(-BB886/BB887*BB3/BX3,"n/a")</f>
        <v>5.5555555555555554</v>
      </c>
      <c r="BC895" s="212">
        <f>IFERROR(-BC886/BC887*BC3/BY3,"n/a")</f>
        <v>5.5555555555555562</v>
      </c>
      <c r="BD895" s="212">
        <f>IFERROR(-BD886/BD887*BD3/BY3,"n/a")</f>
        <v>5.5555555555555554</v>
      </c>
      <c r="BE895" s="212">
        <f>IFERROR(-BE886/BE887*BE3/BY3,"n/a")</f>
        <v>5.5555555555555562</v>
      </c>
      <c r="BF895" s="212">
        <f>IFERROR(-BF886/BF887*BF3/BY3,"n/a")</f>
        <v>5.5555555555555554</v>
      </c>
      <c r="BG895" s="212"/>
      <c r="BH895" s="827"/>
      <c r="BI895" s="828">
        <f t="shared" ref="BI895:BW895" si="1154">IFERROR(-BI886/BI887,"n/a")</f>
        <v>0</v>
      </c>
      <c r="BJ895" s="828">
        <f t="shared" si="1154"/>
        <v>4.8</v>
      </c>
      <c r="BK895" s="828">
        <f t="shared" si="1154"/>
        <v>2.0769230769230771</v>
      </c>
      <c r="BL895" s="828">
        <f t="shared" si="1154"/>
        <v>9.5724137931034488</v>
      </c>
      <c r="BM895" s="828">
        <f t="shared" si="1154"/>
        <v>2.7680250783699059</v>
      </c>
      <c r="BN895" s="828">
        <f t="shared" si="1154"/>
        <v>5.382191780821918</v>
      </c>
      <c r="BO895" s="828">
        <f t="shared" si="1154"/>
        <v>4.3222370173102531</v>
      </c>
      <c r="BP895" s="828">
        <f t="shared" si="1154"/>
        <v>3.6632947976878611</v>
      </c>
      <c r="BQ895" s="828">
        <f t="shared" si="1154"/>
        <v>2.9437500000000001</v>
      </c>
      <c r="BR895" s="828">
        <f t="shared" si="1154"/>
        <v>2.302491103202847</v>
      </c>
      <c r="BS895" s="828">
        <f t="shared" si="1154"/>
        <v>1.890063424947146</v>
      </c>
      <c r="BT895" s="828">
        <f t="shared" si="1154"/>
        <v>1.5307125307125307</v>
      </c>
      <c r="BU895" s="828">
        <f t="shared" si="1154"/>
        <v>3.4270270270270271</v>
      </c>
      <c r="BV895" s="828">
        <f t="shared" si="1154"/>
        <v>5.5714285714285712</v>
      </c>
      <c r="BW895" s="829">
        <f t="shared" si="1154"/>
        <v>3.7345971563981042</v>
      </c>
      <c r="BX895" s="827">
        <f>AVERAGE(AY895,AZ895,BA895,BB895)</f>
        <v>4.0581972251492804</v>
      </c>
      <c r="BY895" s="827">
        <f>AVERAGE(BC895,BD895,BE895,BF895)</f>
        <v>5.5555555555555554</v>
      </c>
      <c r="BZ895" s="827">
        <f>IFERROR(-BZ886/BZ887,"n/a")</f>
        <v>5.5555555555555562</v>
      </c>
      <c r="CA895" s="827">
        <f>IFERROR(-CA886/CA887,"n/a")</f>
        <v>5.5555555555555554</v>
      </c>
      <c r="CB895" s="827">
        <f>IFERROR(-CB886/CB887,"n/a")</f>
        <v>5.5555555555555554</v>
      </c>
      <c r="CC895" s="217"/>
    </row>
    <row r="896" spans="1:81" x14ac:dyDescent="0.55000000000000004">
      <c r="A896" s="240"/>
      <c r="B896" s="241"/>
      <c r="C896" s="200"/>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A896" s="200"/>
      <c r="AB896" s="200"/>
      <c r="AC896" s="200"/>
      <c r="AD896" s="200"/>
      <c r="AE896" s="200"/>
      <c r="AF896" s="200"/>
      <c r="AG896" s="200"/>
      <c r="AH896" s="200"/>
      <c r="AI896" s="200"/>
      <c r="AJ896" s="200"/>
      <c r="AK896" s="200"/>
      <c r="AL896" s="200"/>
      <c r="AM896" s="200"/>
      <c r="AN896" s="200"/>
      <c r="AO896" s="200"/>
      <c r="AP896" s="200"/>
      <c r="AQ896" s="200"/>
      <c r="AR896" s="200"/>
      <c r="AS896" s="200"/>
      <c r="AT896" s="200"/>
      <c r="AU896" s="200"/>
      <c r="AV896" s="200"/>
      <c r="AW896" s="200"/>
      <c r="AX896" s="200"/>
      <c r="AY896" s="407"/>
      <c r="AZ896" s="200"/>
      <c r="BA896" s="200"/>
      <c r="BB896" s="200"/>
      <c r="BC896" s="200"/>
      <c r="BD896" s="200"/>
      <c r="BE896" s="200"/>
      <c r="BF896" s="200"/>
      <c r="BG896" s="200"/>
      <c r="BH896" s="841"/>
      <c r="BI896" s="841"/>
      <c r="BJ896" s="841"/>
      <c r="BK896" s="841"/>
      <c r="BL896" s="841"/>
      <c r="BM896" s="841"/>
      <c r="BN896" s="841"/>
      <c r="BO896" s="841"/>
      <c r="BP896" s="841"/>
      <c r="BQ896" s="841"/>
      <c r="BR896" s="841"/>
      <c r="BS896" s="841"/>
      <c r="BT896" s="841"/>
      <c r="BU896" s="841"/>
      <c r="BV896" s="841"/>
      <c r="BW896" s="842"/>
      <c r="BX896" s="841"/>
      <c r="BY896" s="841"/>
      <c r="BZ896" s="841"/>
      <c r="CA896" s="841"/>
      <c r="CB896" s="841"/>
      <c r="CC896" s="217"/>
    </row>
    <row r="897" spans="1:81" x14ac:dyDescent="0.55000000000000004">
      <c r="A897" s="25" t="s">
        <v>440</v>
      </c>
      <c r="B897" s="243"/>
      <c r="C897" s="565">
        <f t="shared" ref="C897:AH897" si="1155">-C881-C887</f>
        <v>230.75</v>
      </c>
      <c r="D897" s="565">
        <f t="shared" si="1155"/>
        <v>227.75</v>
      </c>
      <c r="E897" s="565">
        <f t="shared" si="1155"/>
        <v>271.75</v>
      </c>
      <c r="F897" s="565">
        <f t="shared" si="1155"/>
        <v>271.75</v>
      </c>
      <c r="G897" s="565">
        <f t="shared" si="1155"/>
        <v>263.75</v>
      </c>
      <c r="H897" s="565">
        <f t="shared" si="1155"/>
        <v>256.75</v>
      </c>
      <c r="I897" s="565">
        <f t="shared" si="1155"/>
        <v>288.75</v>
      </c>
      <c r="J897" s="565">
        <f t="shared" si="1155"/>
        <v>432.75</v>
      </c>
      <c r="K897" s="565">
        <f t="shared" si="1155"/>
        <v>458.25</v>
      </c>
      <c r="L897" s="565">
        <f t="shared" si="1155"/>
        <v>460.25</v>
      </c>
      <c r="M897" s="565">
        <f t="shared" si="1155"/>
        <v>487.25</v>
      </c>
      <c r="N897" s="565">
        <f t="shared" si="1155"/>
        <v>544.25</v>
      </c>
      <c r="O897" s="565">
        <f t="shared" si="1155"/>
        <v>551.75</v>
      </c>
      <c r="P897" s="565">
        <f t="shared" si="1155"/>
        <v>584.75</v>
      </c>
      <c r="Q897" s="565">
        <f t="shared" si="1155"/>
        <v>590.75</v>
      </c>
      <c r="R897" s="565">
        <f t="shared" si="1155"/>
        <v>613.75</v>
      </c>
      <c r="S897" s="565">
        <f t="shared" si="1155"/>
        <v>670.25</v>
      </c>
      <c r="T897" s="565">
        <f t="shared" si="1155"/>
        <v>728.25</v>
      </c>
      <c r="U897" s="565">
        <f t="shared" si="1155"/>
        <v>771.25</v>
      </c>
      <c r="V897" s="565">
        <f t="shared" si="1155"/>
        <v>852.25</v>
      </c>
      <c r="W897" s="565">
        <f t="shared" si="1155"/>
        <v>950.25</v>
      </c>
      <c r="X897" s="565">
        <f t="shared" si="1155"/>
        <v>1035.25</v>
      </c>
      <c r="Y897" s="565">
        <f t="shared" si="1155"/>
        <v>1108.25</v>
      </c>
      <c r="Z897" s="565">
        <f t="shared" si="1155"/>
        <v>1226.25</v>
      </c>
      <c r="AA897" s="565">
        <f t="shared" si="1155"/>
        <v>1356</v>
      </c>
      <c r="AB897" s="565">
        <f t="shared" si="1155"/>
        <v>1496</v>
      </c>
      <c r="AC897" s="565">
        <f t="shared" si="1155"/>
        <v>1415</v>
      </c>
      <c r="AD897" s="565">
        <f t="shared" si="1155"/>
        <v>1475</v>
      </c>
      <c r="AE897" s="565">
        <f t="shared" si="1155"/>
        <v>1601</v>
      </c>
      <c r="AF897" s="565">
        <f t="shared" si="1155"/>
        <v>1698</v>
      </c>
      <c r="AG897" s="565">
        <f t="shared" si="1155"/>
        <v>1703</v>
      </c>
      <c r="AH897" s="565">
        <f t="shared" si="1155"/>
        <v>1861</v>
      </c>
      <c r="AI897" s="565">
        <f t="shared" ref="AI897:BF897" si="1156">-AI881-AI887</f>
        <v>1968</v>
      </c>
      <c r="AJ897" s="565">
        <f t="shared" si="1156"/>
        <v>1982</v>
      </c>
      <c r="AK897" s="565">
        <f t="shared" si="1156"/>
        <v>1994</v>
      </c>
      <c r="AL897" s="565">
        <f t="shared" si="1156"/>
        <v>2023</v>
      </c>
      <c r="AM897" s="565">
        <f t="shared" si="1156"/>
        <v>2160</v>
      </c>
      <c r="AN897" s="565">
        <f t="shared" si="1156"/>
        <v>1983</v>
      </c>
      <c r="AO897" s="565">
        <f t="shared" si="1156"/>
        <v>2175</v>
      </c>
      <c r="AP897" s="565">
        <f t="shared" si="1156"/>
        <v>2367</v>
      </c>
      <c r="AQ897" s="565">
        <f t="shared" si="1156"/>
        <v>2527</v>
      </c>
      <c r="AR897" s="565">
        <f t="shared" si="1156"/>
        <v>2625</v>
      </c>
      <c r="AS897" s="565">
        <f t="shared" si="1156"/>
        <v>2862</v>
      </c>
      <c r="AT897" s="565">
        <f t="shared" si="1156"/>
        <v>3167</v>
      </c>
      <c r="AU897" s="565">
        <f t="shared" si="1156"/>
        <v>3374</v>
      </c>
      <c r="AV897" s="565">
        <f t="shared" si="1156"/>
        <v>3637</v>
      </c>
      <c r="AW897" s="565">
        <f t="shared" si="1156"/>
        <v>4027</v>
      </c>
      <c r="AX897" s="565">
        <f t="shared" si="1156"/>
        <v>4463</v>
      </c>
      <c r="AY897" s="629">
        <f t="shared" si="1156"/>
        <v>3900</v>
      </c>
      <c r="AZ897" s="212">
        <f t="shared" si="1156"/>
        <v>4203.5954109589047</v>
      </c>
      <c r="BA897" s="212">
        <f t="shared" si="1156"/>
        <v>4612.5377481741407</v>
      </c>
      <c r="BB897" s="212">
        <f t="shared" si="1156"/>
        <v>4962.2645750227975</v>
      </c>
      <c r="BC897" s="212">
        <f t="shared" si="1156"/>
        <v>5185.611629344724</v>
      </c>
      <c r="BD897" s="212">
        <f t="shared" si="1156"/>
        <v>5397.6785648275127</v>
      </c>
      <c r="BE897" s="212">
        <f t="shared" si="1156"/>
        <v>5606.3893197695052</v>
      </c>
      <c r="BF897" s="212">
        <f t="shared" si="1156"/>
        <v>5749.1418474240891</v>
      </c>
      <c r="BG897" s="212"/>
      <c r="BH897" s="827"/>
      <c r="BI897" s="828">
        <f t="shared" ref="BI897:CB897" si="1157">-BI881-BI887</f>
        <v>138</v>
      </c>
      <c r="BJ897" s="828">
        <f t="shared" si="1157"/>
        <v>323</v>
      </c>
      <c r="BK897" s="828">
        <f t="shared" si="1157"/>
        <v>644</v>
      </c>
      <c r="BL897" s="828">
        <f t="shared" si="1157"/>
        <v>1002</v>
      </c>
      <c r="BM897" s="828">
        <f t="shared" si="1157"/>
        <v>1242</v>
      </c>
      <c r="BN897" s="828">
        <f t="shared" si="1157"/>
        <v>1950</v>
      </c>
      <c r="BO897" s="828">
        <f t="shared" si="1157"/>
        <v>2341</v>
      </c>
      <c r="BP897" s="828">
        <f t="shared" si="1157"/>
        <v>3022</v>
      </c>
      <c r="BQ897" s="828">
        <f t="shared" si="1157"/>
        <v>4320</v>
      </c>
      <c r="BR897" s="828">
        <f t="shared" si="1157"/>
        <v>5742</v>
      </c>
      <c r="BS897" s="828">
        <f t="shared" si="1157"/>
        <v>6863</v>
      </c>
      <c r="BT897" s="828">
        <f t="shared" si="1157"/>
        <v>7967</v>
      </c>
      <c r="BU897" s="828">
        <f t="shared" si="1157"/>
        <v>8685</v>
      </c>
      <c r="BV897" s="828">
        <f t="shared" si="1157"/>
        <v>11181</v>
      </c>
      <c r="BW897" s="829">
        <f t="shared" si="1157"/>
        <v>15501</v>
      </c>
      <c r="BX897" s="827">
        <f t="shared" si="1157"/>
        <v>17678.397734155842</v>
      </c>
      <c r="BY897" s="827">
        <f t="shared" si="1157"/>
        <v>21938.82136136583</v>
      </c>
      <c r="BZ897" s="827">
        <f t="shared" si="1157"/>
        <v>23357.395301513214</v>
      </c>
      <c r="CA897" s="827">
        <f t="shared" si="1157"/>
        <v>25504.836804902447</v>
      </c>
      <c r="CB897" s="827">
        <f t="shared" si="1157"/>
        <v>27380.767255473915</v>
      </c>
      <c r="CC897" s="217"/>
    </row>
    <row r="898" spans="1:81" x14ac:dyDescent="0.55000000000000004">
      <c r="A898" s="25" t="s">
        <v>441</v>
      </c>
      <c r="B898" s="243"/>
      <c r="C898" s="565">
        <f t="shared" ref="C898:AH898" si="1158">-C665</f>
        <v>327</v>
      </c>
      <c r="D898" s="565">
        <f t="shared" si="1158"/>
        <v>268</v>
      </c>
      <c r="E898" s="565">
        <f t="shared" si="1158"/>
        <v>284</v>
      </c>
      <c r="F898" s="565">
        <f t="shared" si="1158"/>
        <v>483</v>
      </c>
      <c r="G898" s="565">
        <f t="shared" si="1158"/>
        <v>363</v>
      </c>
      <c r="H898" s="565">
        <f t="shared" si="1158"/>
        <v>469</v>
      </c>
      <c r="I898" s="565">
        <f t="shared" si="1158"/>
        <v>482</v>
      </c>
      <c r="J898" s="565">
        <f t="shared" si="1158"/>
        <v>517</v>
      </c>
      <c r="K898" s="565">
        <f t="shared" si="1158"/>
        <v>502</v>
      </c>
      <c r="L898" s="565">
        <f t="shared" si="1158"/>
        <v>549</v>
      </c>
      <c r="M898" s="565">
        <f t="shared" si="1158"/>
        <v>780</v>
      </c>
      <c r="N898" s="565">
        <f t="shared" si="1158"/>
        <v>692</v>
      </c>
      <c r="O898" s="565">
        <f t="shared" si="1158"/>
        <v>1132</v>
      </c>
      <c r="P898" s="565">
        <f t="shared" si="1158"/>
        <v>995</v>
      </c>
      <c r="Q898" s="565">
        <f t="shared" si="1158"/>
        <v>1095</v>
      </c>
      <c r="R898" s="565">
        <f t="shared" si="1158"/>
        <v>1269</v>
      </c>
      <c r="S898" s="565">
        <f t="shared" si="1158"/>
        <v>1271</v>
      </c>
      <c r="T898" s="565">
        <f t="shared" si="1158"/>
        <v>1444</v>
      </c>
      <c r="U898" s="565">
        <f t="shared" si="1158"/>
        <v>1755</v>
      </c>
      <c r="V898" s="565">
        <f t="shared" si="1158"/>
        <v>2263</v>
      </c>
      <c r="W898" s="565">
        <f t="shared" si="1158"/>
        <v>2812</v>
      </c>
      <c r="X898" s="565">
        <f t="shared" si="1158"/>
        <v>3460</v>
      </c>
      <c r="Y898" s="565">
        <f t="shared" si="1158"/>
        <v>3342</v>
      </c>
      <c r="Z898" s="565">
        <f t="shared" si="1158"/>
        <v>4301</v>
      </c>
      <c r="AA898" s="565">
        <f t="shared" si="1158"/>
        <v>3962</v>
      </c>
      <c r="AB898" s="565">
        <f t="shared" si="1158"/>
        <v>3775</v>
      </c>
      <c r="AC898" s="565">
        <f t="shared" si="1158"/>
        <v>3676</v>
      </c>
      <c r="AD898" s="565">
        <f t="shared" si="1158"/>
        <v>4241</v>
      </c>
      <c r="AE898" s="565">
        <f t="shared" si="1158"/>
        <v>3658</v>
      </c>
      <c r="AF898" s="565">
        <f t="shared" si="1158"/>
        <v>3364</v>
      </c>
      <c r="AG898" s="565">
        <f t="shared" si="1158"/>
        <v>3878</v>
      </c>
      <c r="AH898" s="565">
        <f t="shared" si="1158"/>
        <v>4819</v>
      </c>
      <c r="AI898" s="565">
        <f t="shared" ref="AI898:BF898" si="1159">-AI665</f>
        <v>4423</v>
      </c>
      <c r="AJ898" s="565">
        <f t="shared" si="1159"/>
        <v>4735</v>
      </c>
      <c r="AK898" s="565">
        <f t="shared" si="1159"/>
        <v>4545</v>
      </c>
      <c r="AL898" s="565">
        <f t="shared" si="1159"/>
        <v>5541</v>
      </c>
      <c r="AM898" s="565">
        <f t="shared" si="1159"/>
        <v>5674</v>
      </c>
      <c r="AN898" s="565">
        <f t="shared" si="1159"/>
        <v>7791</v>
      </c>
      <c r="AO898" s="565">
        <f t="shared" si="1159"/>
        <v>9538</v>
      </c>
      <c r="AP898" s="565">
        <f t="shared" si="1159"/>
        <v>9278</v>
      </c>
      <c r="AQ898" s="565">
        <f t="shared" si="1159"/>
        <v>7106</v>
      </c>
      <c r="AR898" s="565">
        <f t="shared" si="1159"/>
        <v>6436</v>
      </c>
      <c r="AS898" s="565">
        <f t="shared" si="1159"/>
        <v>6810</v>
      </c>
      <c r="AT898" s="565">
        <f t="shared" si="1159"/>
        <v>7972</v>
      </c>
      <c r="AU898" s="565">
        <f t="shared" si="1159"/>
        <v>6715</v>
      </c>
      <c r="AV898" s="565">
        <f t="shared" si="1159"/>
        <v>8472</v>
      </c>
      <c r="AW898" s="565">
        <f t="shared" si="1159"/>
        <v>9202</v>
      </c>
      <c r="AX898" s="565">
        <f t="shared" si="1159"/>
        <v>14836</v>
      </c>
      <c r="AY898" s="629">
        <f t="shared" si="1159"/>
        <v>13692</v>
      </c>
      <c r="AZ898" s="212">
        <f t="shared" si="1159"/>
        <v>15625</v>
      </c>
      <c r="BA898" s="212">
        <f t="shared" si="1159"/>
        <v>15625</v>
      </c>
      <c r="BB898" s="212">
        <f t="shared" si="1159"/>
        <v>15625</v>
      </c>
      <c r="BC898" s="212">
        <f t="shared" si="1159"/>
        <v>10100</v>
      </c>
      <c r="BD898" s="212">
        <f t="shared" si="1159"/>
        <v>10100</v>
      </c>
      <c r="BE898" s="212">
        <f t="shared" si="1159"/>
        <v>10100</v>
      </c>
      <c r="BF898" s="212">
        <f t="shared" si="1159"/>
        <v>10100</v>
      </c>
      <c r="BG898" s="212"/>
      <c r="BH898" s="827"/>
      <c r="BI898" s="828">
        <f t="shared" ref="BI898:CB898" si="1160">-BI665</f>
        <v>293</v>
      </c>
      <c r="BJ898" s="828">
        <f t="shared" si="1160"/>
        <v>606</v>
      </c>
      <c r="BK898" s="828">
        <f t="shared" si="1160"/>
        <v>1235</v>
      </c>
      <c r="BL898" s="828">
        <f t="shared" si="1160"/>
        <v>1362</v>
      </c>
      <c r="BM898" s="828">
        <f t="shared" si="1160"/>
        <v>1831</v>
      </c>
      <c r="BN898" s="828">
        <f t="shared" si="1160"/>
        <v>2523</v>
      </c>
      <c r="BO898" s="828">
        <f t="shared" si="1160"/>
        <v>4491</v>
      </c>
      <c r="BP898" s="828">
        <f t="shared" si="1160"/>
        <v>6733</v>
      </c>
      <c r="BQ898" s="828">
        <f t="shared" si="1160"/>
        <v>13915</v>
      </c>
      <c r="BR898" s="828">
        <f t="shared" si="1160"/>
        <v>15654</v>
      </c>
      <c r="BS898" s="828">
        <f t="shared" si="1160"/>
        <v>15719</v>
      </c>
      <c r="BT898" s="828">
        <f t="shared" si="1160"/>
        <v>19244</v>
      </c>
      <c r="BU898" s="828">
        <f t="shared" si="1160"/>
        <v>32281</v>
      </c>
      <c r="BV898" s="828">
        <f t="shared" si="1160"/>
        <v>28324</v>
      </c>
      <c r="BW898" s="829">
        <f t="shared" si="1160"/>
        <v>39225</v>
      </c>
      <c r="BX898" s="827">
        <f t="shared" si="1160"/>
        <v>60567</v>
      </c>
      <c r="BY898" s="827">
        <f t="shared" si="1160"/>
        <v>40400</v>
      </c>
      <c r="BZ898" s="827">
        <f t="shared" si="1160"/>
        <v>40400</v>
      </c>
      <c r="CA898" s="827">
        <f t="shared" si="1160"/>
        <v>40400</v>
      </c>
      <c r="CB898" s="827">
        <f t="shared" si="1160"/>
        <v>40400</v>
      </c>
      <c r="CC898" s="217"/>
    </row>
    <row r="899" spans="1:81" x14ac:dyDescent="0.55000000000000004">
      <c r="A899" s="211" t="s">
        <v>442</v>
      </c>
      <c r="B899" s="254"/>
      <c r="C899" s="224"/>
      <c r="D899" s="224"/>
      <c r="E899" s="224"/>
      <c r="F899" s="224"/>
      <c r="G899" s="224"/>
      <c r="H899" s="224"/>
      <c r="I899" s="224"/>
      <c r="J899" s="224"/>
      <c r="K899" s="224"/>
      <c r="L899" s="224"/>
      <c r="M899" s="224"/>
      <c r="N899" s="224"/>
      <c r="O899" s="224"/>
      <c r="P899" s="224"/>
      <c r="Q899" s="224"/>
      <c r="R899" s="224"/>
      <c r="S899" s="224"/>
      <c r="T899" s="224"/>
      <c r="U899" s="224"/>
      <c r="V899" s="224"/>
      <c r="W899" s="224"/>
      <c r="X899" s="224"/>
      <c r="Y899" s="224"/>
      <c r="Z899" s="224"/>
      <c r="AA899" s="224"/>
      <c r="AB899" s="224"/>
      <c r="AC899" s="224"/>
      <c r="AD899" s="224"/>
      <c r="AE899" s="224"/>
      <c r="AF899" s="224"/>
      <c r="AG899" s="224"/>
      <c r="AH899" s="224"/>
      <c r="AI899" s="224"/>
      <c r="AJ899" s="224"/>
      <c r="AK899" s="224"/>
      <c r="AL899" s="224"/>
      <c r="AM899" s="224"/>
      <c r="AN899" s="224"/>
      <c r="AO899" s="224"/>
      <c r="AP899" s="224"/>
      <c r="AQ899" s="224"/>
      <c r="AR899" s="224"/>
      <c r="AS899" s="224"/>
      <c r="AT899" s="224"/>
      <c r="AU899" s="224"/>
      <c r="AV899" s="224"/>
      <c r="AW899" s="224"/>
      <c r="AX899" s="224"/>
      <c r="AY899" s="624"/>
      <c r="AZ899" s="758">
        <v>1.6E-2</v>
      </c>
      <c r="BA899" s="758">
        <v>1.6E-2</v>
      </c>
      <c r="BB899" s="758">
        <v>1.6E-2</v>
      </c>
      <c r="BC899" s="758">
        <v>1.6E-2</v>
      </c>
      <c r="BD899" s="758">
        <v>1.6E-2</v>
      </c>
      <c r="BE899" s="758">
        <v>1.6E-2</v>
      </c>
      <c r="BF899" s="758">
        <v>1.6E-2</v>
      </c>
      <c r="BG899" s="758"/>
      <c r="BH899" s="817"/>
      <c r="BI899" s="817"/>
      <c r="BJ899" s="817"/>
      <c r="BK899" s="817"/>
      <c r="BL899" s="817"/>
      <c r="BM899" s="817"/>
      <c r="BN899" s="817"/>
      <c r="BO899" s="817"/>
      <c r="BP899" s="817"/>
      <c r="BQ899" s="817"/>
      <c r="BR899" s="817"/>
      <c r="BS899" s="817"/>
      <c r="BT899" s="817"/>
      <c r="BU899" s="817"/>
      <c r="BV899" s="817"/>
      <c r="BW899" s="819"/>
      <c r="BX899" s="817">
        <f>AVERAGE(AY899,AZ899,BA899,BB899)</f>
        <v>1.6E-2</v>
      </c>
      <c r="BY899" s="817">
        <f>AVERAGE(BC899,BD899,BE899,BF899)</f>
        <v>1.6E-2</v>
      </c>
      <c r="BZ899" s="853">
        <v>1.6E-2</v>
      </c>
      <c r="CA899" s="853">
        <v>1.6E-2</v>
      </c>
      <c r="CB899" s="853">
        <v>1.6E-2</v>
      </c>
      <c r="CC899" s="217"/>
    </row>
    <row r="900" spans="1:81" x14ac:dyDescent="0.55000000000000004">
      <c r="A900" s="240"/>
      <c r="B900" s="241"/>
      <c r="C900" s="200"/>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A900" s="200"/>
      <c r="AB900" s="200"/>
      <c r="AC900" s="200"/>
      <c r="AD900" s="200"/>
      <c r="AE900" s="200"/>
      <c r="AF900" s="200"/>
      <c r="AG900" s="200"/>
      <c r="AH900" s="200"/>
      <c r="AI900" s="200"/>
      <c r="AJ900" s="200"/>
      <c r="AK900" s="200"/>
      <c r="AL900" s="200"/>
      <c r="AM900" s="200"/>
      <c r="AN900" s="200"/>
      <c r="AO900" s="200"/>
      <c r="AP900" s="200"/>
      <c r="AQ900" s="200"/>
      <c r="AR900" s="200"/>
      <c r="AS900" s="200"/>
      <c r="AT900" s="200"/>
      <c r="AU900" s="200"/>
      <c r="AV900" s="200"/>
      <c r="AW900" s="200"/>
      <c r="AX900" s="200"/>
      <c r="AY900" s="407"/>
      <c r="AZ900" s="200"/>
      <c r="BA900" s="200"/>
      <c r="BB900" s="200"/>
      <c r="BC900" s="200"/>
      <c r="BD900" s="200"/>
      <c r="BE900" s="200"/>
      <c r="BF900" s="200"/>
      <c r="BG900" s="200"/>
      <c r="BH900" s="841"/>
      <c r="BI900" s="841"/>
      <c r="BJ900" s="841"/>
      <c r="BK900" s="841"/>
      <c r="BL900" s="841"/>
      <c r="BM900" s="841"/>
      <c r="BN900" s="841"/>
      <c r="BO900" s="841"/>
      <c r="BP900" s="841"/>
      <c r="BQ900" s="841"/>
      <c r="BR900" s="841"/>
      <c r="BS900" s="841"/>
      <c r="BT900" s="841"/>
      <c r="BU900" s="841"/>
      <c r="BV900" s="841"/>
      <c r="BW900" s="842"/>
      <c r="BX900" s="841"/>
      <c r="BY900" s="841"/>
      <c r="BZ900" s="841"/>
      <c r="CA900" s="841"/>
      <c r="CB900" s="841"/>
      <c r="CC900" s="217"/>
    </row>
    <row r="901" spans="1:81" x14ac:dyDescent="0.55000000000000004">
      <c r="A901" s="598" t="s">
        <v>183</v>
      </c>
      <c r="B901" s="598"/>
      <c r="C901" s="598"/>
      <c r="D901" s="598"/>
      <c r="E901" s="598"/>
      <c r="F901" s="598"/>
      <c r="G901" s="598"/>
      <c r="H901" s="598"/>
      <c r="I901" s="598"/>
      <c r="J901" s="598"/>
      <c r="K901" s="598"/>
      <c r="L901" s="598"/>
      <c r="M901" s="598"/>
      <c r="N901" s="598"/>
      <c r="O901" s="598"/>
      <c r="P901" s="598"/>
      <c r="Q901" s="598"/>
      <c r="R901" s="598"/>
      <c r="S901" s="598"/>
      <c r="T901" s="598"/>
      <c r="U901" s="598"/>
      <c r="V901" s="598"/>
      <c r="W901" s="598"/>
      <c r="X901" s="598"/>
      <c r="Y901" s="598"/>
      <c r="Z901" s="598"/>
      <c r="AA901" s="598"/>
      <c r="AB901" s="598"/>
      <c r="AC901" s="598"/>
      <c r="AD901" s="598"/>
      <c r="AE901" s="598"/>
      <c r="AF901" s="598"/>
      <c r="AG901" s="598"/>
      <c r="AH901" s="598"/>
      <c r="AI901" s="598"/>
      <c r="AJ901" s="598"/>
      <c r="AK901" s="598"/>
      <c r="AL901" s="598"/>
      <c r="AM901" s="598"/>
      <c r="AN901" s="598"/>
      <c r="AO901" s="598"/>
      <c r="AP901" s="598"/>
      <c r="AQ901" s="598"/>
      <c r="AR901" s="598"/>
      <c r="AS901" s="598"/>
      <c r="AT901" s="598"/>
      <c r="AU901" s="598"/>
      <c r="AV901" s="598"/>
      <c r="AW901" s="598"/>
      <c r="AX901" s="598"/>
      <c r="AY901" s="599"/>
      <c r="AZ901" s="598"/>
      <c r="BA901" s="598"/>
      <c r="BB901" s="598"/>
      <c r="BC901" s="598"/>
      <c r="BD901" s="598"/>
      <c r="BE901" s="598"/>
      <c r="BF901" s="598"/>
      <c r="BG901" s="598"/>
      <c r="BH901" s="598"/>
      <c r="BI901" s="598"/>
      <c r="BJ901" s="598"/>
      <c r="BK901" s="598"/>
      <c r="BL901" s="598"/>
      <c r="BM901" s="598"/>
      <c r="BN901" s="598"/>
      <c r="BO901" s="598"/>
      <c r="BP901" s="598"/>
      <c r="BQ901" s="598"/>
      <c r="BR901" s="598"/>
      <c r="BS901" s="598"/>
      <c r="BT901" s="598"/>
      <c r="BU901" s="598"/>
      <c r="BV901" s="598"/>
      <c r="BW901" s="599"/>
      <c r="BX901" s="598"/>
      <c r="BY901" s="598"/>
      <c r="BZ901" s="598"/>
      <c r="CA901" s="598"/>
      <c r="CB901" s="598"/>
      <c r="CC901" s="217"/>
    </row>
    <row r="902" spans="1:81" x14ac:dyDescent="0.55000000000000004">
      <c r="A902" s="25" t="s">
        <v>184</v>
      </c>
      <c r="B902" s="243"/>
      <c r="C902" s="601"/>
      <c r="D902" s="601"/>
      <c r="E902" s="601"/>
      <c r="F902" s="601"/>
      <c r="G902" s="601"/>
      <c r="H902" s="601"/>
      <c r="I902" s="601"/>
      <c r="J902" s="601"/>
      <c r="K902" s="601"/>
      <c r="L902" s="601"/>
      <c r="M902" s="601"/>
      <c r="N902" s="601"/>
      <c r="O902" s="601"/>
      <c r="P902" s="601"/>
      <c r="Q902" s="601"/>
      <c r="R902" s="601"/>
      <c r="S902" s="601"/>
      <c r="T902" s="601"/>
      <c r="U902" s="601"/>
      <c r="V902" s="601"/>
      <c r="W902" s="601"/>
      <c r="X902" s="601"/>
      <c r="Y902" s="601"/>
      <c r="Z902" s="601"/>
      <c r="AA902" s="601"/>
      <c r="AB902" s="601"/>
      <c r="AC902" s="601"/>
      <c r="AD902" s="601"/>
      <c r="AE902" s="601"/>
      <c r="AF902" s="601"/>
      <c r="AG902" s="601"/>
      <c r="AH902" s="601"/>
      <c r="AI902" s="601"/>
      <c r="AJ902" s="601"/>
      <c r="AK902" s="601"/>
      <c r="AL902" s="601"/>
      <c r="AM902" s="601"/>
      <c r="AN902" s="601"/>
      <c r="AO902" s="601"/>
      <c r="AP902" s="601"/>
      <c r="AQ902" s="601"/>
      <c r="AR902" s="601"/>
      <c r="AS902" s="601"/>
      <c r="AT902" s="601"/>
      <c r="AU902" s="601"/>
      <c r="AV902" s="601"/>
      <c r="AW902" s="601"/>
      <c r="AX902" s="601"/>
      <c r="AY902" s="617"/>
      <c r="AZ902" s="601"/>
      <c r="BA902" s="601"/>
      <c r="BB902" s="601"/>
      <c r="BC902" s="601"/>
      <c r="BD902" s="601"/>
      <c r="BE902" s="601"/>
      <c r="BF902" s="601"/>
      <c r="BG902" s="601"/>
      <c r="BH902" s="911"/>
      <c r="BI902" s="911"/>
      <c r="BJ902" s="911"/>
      <c r="BK902" s="911"/>
      <c r="BL902" s="911"/>
      <c r="BM902" s="911"/>
      <c r="BN902" s="911"/>
      <c r="BO902" s="911"/>
      <c r="BP902" s="911"/>
      <c r="BQ902" s="911"/>
      <c r="BR902" s="911"/>
      <c r="BS902" s="911"/>
      <c r="BT902" s="911"/>
      <c r="BU902" s="911"/>
      <c r="BV902" s="911"/>
      <c r="BW902" s="912"/>
      <c r="BX902" s="911"/>
      <c r="BY902" s="911"/>
      <c r="BZ902" s="911"/>
      <c r="CA902" s="911"/>
      <c r="CB902" s="911"/>
      <c r="CC902" s="217"/>
    </row>
    <row r="903" spans="1:81" x14ac:dyDescent="0.55000000000000004">
      <c r="A903" s="116" t="s">
        <v>185</v>
      </c>
      <c r="B903" s="87"/>
      <c r="C903" s="759">
        <v>2325</v>
      </c>
      <c r="D903" s="759">
        <v>3001</v>
      </c>
      <c r="E903" s="759">
        <v>3100</v>
      </c>
      <c r="F903" s="759">
        <v>3323</v>
      </c>
      <c r="G903" s="759">
        <v>2998</v>
      </c>
      <c r="H903" s="759">
        <v>4384</v>
      </c>
      <c r="I903" s="759">
        <v>8999</v>
      </c>
      <c r="J903" s="759">
        <v>4315</v>
      </c>
      <c r="K903" s="759">
        <v>3419</v>
      </c>
      <c r="L903" s="759">
        <v>5123</v>
      </c>
      <c r="M903" s="759">
        <v>4308</v>
      </c>
      <c r="N903" s="759">
        <v>4907</v>
      </c>
      <c r="O903" s="759">
        <v>6456</v>
      </c>
      <c r="P903" s="759">
        <v>5108</v>
      </c>
      <c r="Q903" s="759">
        <v>6038</v>
      </c>
      <c r="R903" s="759">
        <v>8903</v>
      </c>
      <c r="S903" s="759">
        <v>7104</v>
      </c>
      <c r="T903" s="759">
        <v>6252</v>
      </c>
      <c r="U903" s="759">
        <v>7201</v>
      </c>
      <c r="V903" s="759">
        <v>8079</v>
      </c>
      <c r="W903" s="759">
        <v>12082</v>
      </c>
      <c r="X903" s="759">
        <v>11552</v>
      </c>
      <c r="Y903" s="759">
        <v>9637</v>
      </c>
      <c r="Z903" s="37">
        <f t="shared" ref="Z903:Z908" si="1161">BQ903</f>
        <v>10019</v>
      </c>
      <c r="AA903" s="759">
        <v>11076</v>
      </c>
      <c r="AB903" s="759">
        <v>13877</v>
      </c>
      <c r="AC903" s="759">
        <v>15979</v>
      </c>
      <c r="AD903" s="37">
        <f t="shared" ref="AD903:AD908" si="1162">BR903</f>
        <v>19079</v>
      </c>
      <c r="AE903" s="759">
        <v>23618</v>
      </c>
      <c r="AF903" s="759">
        <v>21045</v>
      </c>
      <c r="AG903" s="759">
        <v>11617</v>
      </c>
      <c r="AH903" s="37">
        <f>BS903</f>
        <v>17576</v>
      </c>
      <c r="AI903" s="759">
        <v>19513</v>
      </c>
      <c r="AJ903" s="759">
        <v>16186</v>
      </c>
      <c r="AK903" s="759">
        <v>14496</v>
      </c>
      <c r="AL903" s="37">
        <f>BT903</f>
        <v>16601</v>
      </c>
      <c r="AM903" s="759">
        <v>14886</v>
      </c>
      <c r="AN903" s="759">
        <v>12681</v>
      </c>
      <c r="AO903" s="759">
        <v>14308</v>
      </c>
      <c r="AP903" s="37">
        <f>BU903</f>
        <v>14681</v>
      </c>
      <c r="AQ903" s="759">
        <v>11551</v>
      </c>
      <c r="AR903" s="759">
        <v>28785</v>
      </c>
      <c r="AS903" s="759">
        <v>36890</v>
      </c>
      <c r="AT903" s="37">
        <f>BV903</f>
        <v>41862</v>
      </c>
      <c r="AU903" s="759">
        <v>32307</v>
      </c>
      <c r="AV903" s="759">
        <v>32045</v>
      </c>
      <c r="AW903" s="759">
        <v>43852</v>
      </c>
      <c r="AX903" s="37">
        <f>BW903</f>
        <v>43889</v>
      </c>
      <c r="AY903" s="762">
        <v>28750</v>
      </c>
      <c r="AZ903" s="37">
        <f ca="1">AY903+AZ860</f>
        <v>35143.893264760816</v>
      </c>
      <c r="BA903" s="37">
        <f ca="1">AZ903+BA860</f>
        <v>45965.839832400001</v>
      </c>
      <c r="BB903" s="37">
        <f ca="1">BA903+BB860</f>
        <v>56399.780051152105</v>
      </c>
      <c r="BC903" s="37">
        <f ca="1">BX903+BC860</f>
        <v>81702.250263143535</v>
      </c>
      <c r="BD903" s="37">
        <f ca="1">BC903+BD860</f>
        <v>101931.30351625879</v>
      </c>
      <c r="BE903" s="37">
        <f ca="1">BD903+BE860</f>
        <v>126501.62754391355</v>
      </c>
      <c r="BF903" s="37">
        <f ca="1">BE903+BF860</f>
        <v>149932.8982943928</v>
      </c>
      <c r="BG903" s="37"/>
      <c r="BH903" s="158"/>
      <c r="BI903" s="857">
        <v>1785</v>
      </c>
      <c r="BJ903" s="857">
        <v>1512</v>
      </c>
      <c r="BK903" s="857">
        <v>2384</v>
      </c>
      <c r="BL903" s="857">
        <v>3323</v>
      </c>
      <c r="BM903" s="857">
        <v>4315</v>
      </c>
      <c r="BN903" s="857">
        <v>4907</v>
      </c>
      <c r="BO903" s="857">
        <v>8903</v>
      </c>
      <c r="BP903" s="857">
        <v>8079</v>
      </c>
      <c r="BQ903" s="857">
        <v>10019</v>
      </c>
      <c r="BR903" s="857">
        <v>19079</v>
      </c>
      <c r="BS903" s="857">
        <v>17576</v>
      </c>
      <c r="BT903" s="857">
        <v>16601</v>
      </c>
      <c r="BU903" s="857">
        <v>14681</v>
      </c>
      <c r="BV903" s="857">
        <v>41862</v>
      </c>
      <c r="BW903" s="862">
        <v>43889</v>
      </c>
      <c r="BX903" s="158">
        <f ca="1">BB903</f>
        <v>56399.780051152105</v>
      </c>
      <c r="BY903" s="158">
        <f ca="1">BF903</f>
        <v>149932.8982943928</v>
      </c>
      <c r="BZ903" s="158">
        <f ca="1">BY903+BZ860</f>
        <v>254118.12562872766</v>
      </c>
      <c r="CA903" s="158">
        <f ca="1">BZ903+CA860</f>
        <v>365751.466227539</v>
      </c>
      <c r="CB903" s="158">
        <f ca="1">CA903+CB860</f>
        <v>496254.7783712236</v>
      </c>
      <c r="CC903" s="117"/>
    </row>
    <row r="904" spans="1:81" x14ac:dyDescent="0.55000000000000004">
      <c r="A904" s="116" t="s">
        <v>188</v>
      </c>
      <c r="B904" s="87"/>
      <c r="C904" s="759">
        <v>7147</v>
      </c>
      <c r="D904" s="759">
        <v>7251</v>
      </c>
      <c r="E904" s="759">
        <v>6228</v>
      </c>
      <c r="F904" s="759">
        <v>8126</v>
      </c>
      <c r="G904" s="759">
        <v>9631</v>
      </c>
      <c r="H904" s="759">
        <v>9572</v>
      </c>
      <c r="I904" s="759">
        <v>5251</v>
      </c>
      <c r="J904" s="759">
        <v>6884</v>
      </c>
      <c r="K904" s="759">
        <v>8994</v>
      </c>
      <c r="L904" s="759">
        <v>9002</v>
      </c>
      <c r="M904" s="759">
        <v>11526</v>
      </c>
      <c r="N904" s="759">
        <v>13527</v>
      </c>
      <c r="O904" s="759">
        <v>14165</v>
      </c>
      <c r="P904" s="759">
        <v>18185</v>
      </c>
      <c r="Q904" s="759">
        <v>20102</v>
      </c>
      <c r="R904" s="37">
        <f>BO904</f>
        <v>20546</v>
      </c>
      <c r="S904" s="759">
        <v>25202</v>
      </c>
      <c r="T904" s="759">
        <v>29200</v>
      </c>
      <c r="U904" s="759">
        <v>31088</v>
      </c>
      <c r="V904" s="37">
        <f>BP904</f>
        <v>33632</v>
      </c>
      <c r="W904" s="759">
        <v>31874</v>
      </c>
      <c r="X904" s="759">
        <v>30757</v>
      </c>
      <c r="Y904" s="759">
        <v>31569</v>
      </c>
      <c r="Z904" s="37">
        <f t="shared" si="1161"/>
        <v>31095</v>
      </c>
      <c r="AA904" s="759">
        <v>34167</v>
      </c>
      <c r="AB904" s="759">
        <v>34719</v>
      </c>
      <c r="AC904" s="759">
        <v>36290</v>
      </c>
      <c r="AD904" s="37">
        <f t="shared" si="1162"/>
        <v>35776</v>
      </c>
      <c r="AE904" s="759">
        <v>36671</v>
      </c>
      <c r="AF904" s="759">
        <v>37195</v>
      </c>
      <c r="AG904" s="759">
        <v>44003</v>
      </c>
      <c r="AH904" s="37">
        <f>BS904</f>
        <v>44378</v>
      </c>
      <c r="AI904" s="759">
        <v>44706</v>
      </c>
      <c r="AJ904" s="759">
        <v>47894</v>
      </c>
      <c r="AK904" s="759">
        <v>43579</v>
      </c>
      <c r="AL904" s="37">
        <f>BT904</f>
        <v>31397</v>
      </c>
      <c r="AM904" s="759">
        <v>29004</v>
      </c>
      <c r="AN904" s="759">
        <v>27808</v>
      </c>
      <c r="AO904" s="759">
        <v>27468</v>
      </c>
      <c r="AP904" s="37">
        <f>BU904</f>
        <v>26057</v>
      </c>
      <c r="AQ904" s="759">
        <v>25888</v>
      </c>
      <c r="AR904" s="759">
        <v>24661</v>
      </c>
      <c r="AS904" s="759">
        <v>24233</v>
      </c>
      <c r="AT904" s="37">
        <f>BV904</f>
        <v>23541</v>
      </c>
      <c r="AU904" s="759">
        <v>25813</v>
      </c>
      <c r="AV904" s="759">
        <v>26035</v>
      </c>
      <c r="AW904" s="759">
        <v>27048</v>
      </c>
      <c r="AX904" s="37">
        <f>BW904</f>
        <v>33926</v>
      </c>
      <c r="AY904" s="762">
        <v>41480</v>
      </c>
      <c r="AZ904" s="37">
        <f>AY904</f>
        <v>41480</v>
      </c>
      <c r="BA904" s="37">
        <f>AZ904</f>
        <v>41480</v>
      </c>
      <c r="BB904" s="37">
        <f>BA904</f>
        <v>41480</v>
      </c>
      <c r="BC904" s="37">
        <f>BX904</f>
        <v>41480</v>
      </c>
      <c r="BD904" s="37">
        <f>BC904</f>
        <v>41480</v>
      </c>
      <c r="BE904" s="37">
        <f>BD904</f>
        <v>41480</v>
      </c>
      <c r="BF904" s="37">
        <f>BE904</f>
        <v>41480</v>
      </c>
      <c r="BG904" s="37"/>
      <c r="BH904" s="158"/>
      <c r="BI904" s="158"/>
      <c r="BJ904" s="857">
        <v>2396</v>
      </c>
      <c r="BK904" s="857">
        <v>7242</v>
      </c>
      <c r="BL904" s="857">
        <v>8126</v>
      </c>
      <c r="BM904" s="857">
        <v>6884</v>
      </c>
      <c r="BN904" s="857">
        <v>13527</v>
      </c>
      <c r="BO904" s="857">
        <v>20546</v>
      </c>
      <c r="BP904" s="857">
        <v>33632</v>
      </c>
      <c r="BQ904" s="857">
        <v>31095</v>
      </c>
      <c r="BR904" s="857">
        <v>35776</v>
      </c>
      <c r="BS904" s="857">
        <v>44378</v>
      </c>
      <c r="BT904" s="857">
        <v>31397</v>
      </c>
      <c r="BU904" s="857">
        <v>26057</v>
      </c>
      <c r="BV904" s="857">
        <v>23541</v>
      </c>
      <c r="BW904" s="862">
        <v>33926</v>
      </c>
      <c r="BX904" s="158">
        <f>BB904</f>
        <v>41480</v>
      </c>
      <c r="BY904" s="158">
        <f>BF904</f>
        <v>41480</v>
      </c>
      <c r="BZ904" s="158">
        <f>BY904</f>
        <v>41480</v>
      </c>
      <c r="CA904" s="158">
        <f>BZ904</f>
        <v>41480</v>
      </c>
      <c r="CB904" s="158">
        <f>CA904</f>
        <v>41480</v>
      </c>
      <c r="CC904" s="117"/>
    </row>
    <row r="905" spans="1:81" x14ac:dyDescent="0.55000000000000004">
      <c r="A905" s="116" t="s">
        <v>189</v>
      </c>
      <c r="B905" s="87"/>
      <c r="C905" s="759">
        <v>659</v>
      </c>
      <c r="D905" s="759">
        <v>775</v>
      </c>
      <c r="E905" s="759">
        <v>872</v>
      </c>
      <c r="F905" s="759">
        <v>1109</v>
      </c>
      <c r="G905" s="759">
        <v>1006</v>
      </c>
      <c r="H905" s="759">
        <v>1190</v>
      </c>
      <c r="I905" s="759">
        <v>1363</v>
      </c>
      <c r="J905" s="759">
        <v>1678</v>
      </c>
      <c r="K905" s="759">
        <v>1508</v>
      </c>
      <c r="L905" s="759">
        <v>1815</v>
      </c>
      <c r="M905" s="759">
        <v>2010</v>
      </c>
      <c r="N905" s="759">
        <v>2559</v>
      </c>
      <c r="O905" s="759">
        <v>2348</v>
      </c>
      <c r="P905" s="759">
        <v>2801</v>
      </c>
      <c r="Q905" s="759">
        <v>3070</v>
      </c>
      <c r="R905" s="37">
        <f>BO905</f>
        <v>3993</v>
      </c>
      <c r="S905" s="759">
        <v>3415</v>
      </c>
      <c r="T905" s="759">
        <v>3897</v>
      </c>
      <c r="U905" s="759">
        <v>4424</v>
      </c>
      <c r="V905" s="37">
        <f>BP905</f>
        <v>5832</v>
      </c>
      <c r="W905" s="759">
        <v>5115</v>
      </c>
      <c r="X905" s="759">
        <v>5590</v>
      </c>
      <c r="Y905" s="759">
        <v>6058</v>
      </c>
      <c r="Z905" s="37">
        <f t="shared" si="1161"/>
        <v>7587</v>
      </c>
      <c r="AA905" s="759">
        <v>6475</v>
      </c>
      <c r="AB905" s="759">
        <v>7513</v>
      </c>
      <c r="AC905" s="759">
        <v>7673</v>
      </c>
      <c r="AD905" s="37">
        <f t="shared" si="1162"/>
        <v>9518</v>
      </c>
      <c r="AE905" s="759">
        <v>7289</v>
      </c>
      <c r="AF905" s="759">
        <v>7483</v>
      </c>
      <c r="AG905" s="759">
        <v>8024</v>
      </c>
      <c r="AH905" s="37">
        <f>BS905</f>
        <v>11335</v>
      </c>
      <c r="AI905" s="759">
        <v>10276</v>
      </c>
      <c r="AJ905" s="759">
        <v>11698</v>
      </c>
      <c r="AK905" s="759">
        <v>12088</v>
      </c>
      <c r="AL905" s="37">
        <f>BT905</f>
        <v>14039</v>
      </c>
      <c r="AM905" s="759">
        <v>11390</v>
      </c>
      <c r="AN905" s="759">
        <v>11525</v>
      </c>
      <c r="AO905" s="759">
        <v>11227</v>
      </c>
      <c r="AP905" s="37">
        <f>BU905</f>
        <v>13466</v>
      </c>
      <c r="AQ905" s="759">
        <v>11044</v>
      </c>
      <c r="AR905" s="759">
        <v>12511</v>
      </c>
      <c r="AS905" s="759">
        <v>12944</v>
      </c>
      <c r="AT905" s="37">
        <f>BV905</f>
        <v>16169</v>
      </c>
      <c r="AU905" s="759">
        <v>13430</v>
      </c>
      <c r="AV905" s="759">
        <v>14505</v>
      </c>
      <c r="AW905" s="759">
        <v>14700</v>
      </c>
      <c r="AX905" s="37">
        <f>BW905</f>
        <v>16994</v>
      </c>
      <c r="AY905" s="762">
        <v>14514</v>
      </c>
      <c r="AZ905" s="37">
        <f t="shared" ref="AZ905:BF905" si="1163">(AZ$378+AY$378+AX$378+AW$378)*AZ873</f>
        <v>16924.305260777259</v>
      </c>
      <c r="BA905" s="37">
        <f t="shared" si="1163"/>
        <v>16939.940845953941</v>
      </c>
      <c r="BB905" s="37">
        <f t="shared" si="1163"/>
        <v>19414.574532960487</v>
      </c>
      <c r="BC905" s="37">
        <f t="shared" si="1163"/>
        <v>16486.897317500105</v>
      </c>
      <c r="BD905" s="37">
        <f t="shared" si="1163"/>
        <v>19195.753562971098</v>
      </c>
      <c r="BE905" s="37">
        <f t="shared" si="1163"/>
        <v>19161.53540388924</v>
      </c>
      <c r="BF905" s="37">
        <f t="shared" si="1163"/>
        <v>21888.349750907477</v>
      </c>
      <c r="BG905" s="37"/>
      <c r="BH905" s="158"/>
      <c r="BI905" s="857">
        <v>373</v>
      </c>
      <c r="BJ905" s="857">
        <v>547</v>
      </c>
      <c r="BK905" s="857">
        <v>719</v>
      </c>
      <c r="BL905" s="857">
        <v>1109</v>
      </c>
      <c r="BM905" s="857">
        <v>1678</v>
      </c>
      <c r="BN905" s="857">
        <v>2559</v>
      </c>
      <c r="BO905" s="857">
        <v>3993</v>
      </c>
      <c r="BP905" s="857">
        <v>5832</v>
      </c>
      <c r="BQ905" s="857">
        <v>7587</v>
      </c>
      <c r="BR905" s="857">
        <v>9518</v>
      </c>
      <c r="BS905" s="857">
        <v>11335</v>
      </c>
      <c r="BT905" s="857">
        <v>14039</v>
      </c>
      <c r="BU905" s="857">
        <v>13466</v>
      </c>
      <c r="BV905" s="857">
        <v>16169</v>
      </c>
      <c r="BW905" s="862">
        <v>16994</v>
      </c>
      <c r="BX905" s="158">
        <f>BB905</f>
        <v>19414.574532960487</v>
      </c>
      <c r="BY905" s="158">
        <f>BF905</f>
        <v>21888.349750907477</v>
      </c>
      <c r="BZ905" s="158">
        <f>BZ378*BZ873</f>
        <v>24358.842877917446</v>
      </c>
      <c r="CA905" s="158">
        <f>CA378*CA873</f>
        <v>25653.490895777803</v>
      </c>
      <c r="CB905" s="158">
        <f>CB378*CB873</f>
        <v>26930.101001747222</v>
      </c>
      <c r="CC905" s="117"/>
    </row>
    <row r="906" spans="1:81" x14ac:dyDescent="0.55000000000000004">
      <c r="A906" s="116" t="s">
        <v>138</v>
      </c>
      <c r="B906" s="87"/>
      <c r="C906" s="759">
        <v>426</v>
      </c>
      <c r="D906" s="759">
        <v>7</v>
      </c>
      <c r="E906" s="759">
        <v>7</v>
      </c>
      <c r="F906" s="759">
        <v>0</v>
      </c>
      <c r="G906" s="37"/>
      <c r="H906" s="37"/>
      <c r="I906" s="37"/>
      <c r="J906" s="759">
        <v>0</v>
      </c>
      <c r="K906" s="37"/>
      <c r="L906" s="37"/>
      <c r="M906" s="37"/>
      <c r="N906" s="759">
        <v>0</v>
      </c>
      <c r="O906" s="37"/>
      <c r="P906" s="759">
        <v>0</v>
      </c>
      <c r="Q906" s="37"/>
      <c r="R906" s="37">
        <f>BO906</f>
        <v>0</v>
      </c>
      <c r="S906" s="37"/>
      <c r="T906" s="37"/>
      <c r="U906" s="37"/>
      <c r="V906" s="37">
        <f>BP906</f>
        <v>0</v>
      </c>
      <c r="W906" s="37"/>
      <c r="X906" s="37"/>
      <c r="Y906" s="37"/>
      <c r="Z906" s="37">
        <f t="shared" si="1161"/>
        <v>0</v>
      </c>
      <c r="AA906" s="37"/>
      <c r="AB906" s="37"/>
      <c r="AC906" s="37"/>
      <c r="AD906" s="37">
        <f t="shared" si="1162"/>
        <v>0</v>
      </c>
      <c r="AE906" s="37"/>
      <c r="AF906" s="37"/>
      <c r="AG906" s="37"/>
      <c r="AH906" s="37"/>
      <c r="AI906" s="37"/>
      <c r="AJ906" s="37"/>
      <c r="AK906" s="37"/>
      <c r="AL906" s="37"/>
      <c r="AM906" s="37"/>
      <c r="AN906" s="37"/>
      <c r="AO906" s="37"/>
      <c r="AP906" s="37"/>
      <c r="AQ906" s="37"/>
      <c r="AR906" s="37"/>
      <c r="AS906" s="37"/>
      <c r="AT906" s="37"/>
      <c r="AU906" s="37"/>
      <c r="AV906" s="37"/>
      <c r="AW906" s="37"/>
      <c r="AX906" s="37"/>
      <c r="AY906" s="273"/>
      <c r="AZ906" s="37"/>
      <c r="BA906" s="37"/>
      <c r="BB906" s="37"/>
      <c r="BC906" s="37"/>
      <c r="BD906" s="37"/>
      <c r="BE906" s="37"/>
      <c r="BF906" s="37"/>
      <c r="BG906" s="37"/>
      <c r="BH906" s="158"/>
      <c r="BI906" s="158"/>
      <c r="BJ906" s="857">
        <v>0</v>
      </c>
      <c r="BK906" s="857">
        <v>451</v>
      </c>
      <c r="BL906" s="158"/>
      <c r="BM906" s="158"/>
      <c r="BN906" s="158"/>
      <c r="BO906" s="158"/>
      <c r="BP906" s="158"/>
      <c r="BQ906" s="158"/>
      <c r="BR906" s="158"/>
      <c r="BS906" s="158"/>
      <c r="BT906" s="158"/>
      <c r="BU906" s="158"/>
      <c r="BV906" s="158"/>
      <c r="BW906" s="846"/>
      <c r="BX906" s="158"/>
      <c r="BY906" s="158"/>
      <c r="BZ906" s="158"/>
      <c r="CA906" s="158"/>
      <c r="CB906" s="158"/>
      <c r="CC906" s="117"/>
    </row>
    <row r="907" spans="1:81" x14ac:dyDescent="0.55000000000000004">
      <c r="A907" s="86" t="s">
        <v>186</v>
      </c>
      <c r="B907" s="87"/>
      <c r="C907" s="37"/>
      <c r="D907" s="37"/>
      <c r="E907" s="37"/>
      <c r="F907" s="37"/>
      <c r="G907" s="37"/>
      <c r="H907" s="37"/>
      <c r="I907" s="37"/>
      <c r="J907" s="37"/>
      <c r="K907" s="37"/>
      <c r="L907" s="37"/>
      <c r="M907" s="37"/>
      <c r="N907" s="37"/>
      <c r="O907" s="37"/>
      <c r="P907" s="37"/>
      <c r="Q907" s="37"/>
      <c r="R907" s="37"/>
      <c r="S907" s="37"/>
      <c r="T907" s="37"/>
      <c r="U907" s="37"/>
      <c r="V907" s="37"/>
      <c r="W907" s="759">
        <v>14</v>
      </c>
      <c r="X907" s="759">
        <v>11</v>
      </c>
      <c r="Y907" s="759">
        <v>7</v>
      </c>
      <c r="Z907" s="37">
        <f t="shared" si="1161"/>
        <v>10</v>
      </c>
      <c r="AA907" s="759">
        <v>10</v>
      </c>
      <c r="AB907" s="759">
        <v>9</v>
      </c>
      <c r="AC907" s="759">
        <v>7</v>
      </c>
      <c r="AD907" s="37">
        <f t="shared" si="1162"/>
        <v>8</v>
      </c>
      <c r="AE907" s="759">
        <v>137</v>
      </c>
      <c r="AF907" s="759">
        <v>308</v>
      </c>
      <c r="AG907" s="759">
        <v>222</v>
      </c>
      <c r="AH907" s="37">
        <f>BS907</f>
        <v>241</v>
      </c>
      <c r="AI907" s="759">
        <v>257</v>
      </c>
      <c r="AJ907" s="759">
        <v>201</v>
      </c>
      <c r="AK907" s="759">
        <v>195</v>
      </c>
      <c r="AL907" s="37">
        <f>BT907</f>
        <v>149</v>
      </c>
      <c r="AM907" s="759">
        <v>294</v>
      </c>
      <c r="AN907" s="759">
        <v>228</v>
      </c>
      <c r="AO907" s="759">
        <v>232</v>
      </c>
      <c r="AP907" s="37">
        <f>BU907</f>
        <v>294</v>
      </c>
      <c r="AQ907" s="759">
        <v>224</v>
      </c>
      <c r="AR907" s="759">
        <v>165</v>
      </c>
      <c r="AS907" s="759">
        <v>152</v>
      </c>
      <c r="AT907" s="37">
        <f>BV907</f>
        <v>99</v>
      </c>
      <c r="AU907" s="759">
        <v>84</v>
      </c>
      <c r="AV907" s="759">
        <v>100</v>
      </c>
      <c r="AW907" s="759">
        <v>90</v>
      </c>
      <c r="AX907" s="37">
        <f>BW907</f>
        <v>353</v>
      </c>
      <c r="AY907" s="762">
        <v>71</v>
      </c>
      <c r="AZ907" s="37">
        <f t="shared" ref="AZ907:BB908" si="1164">+AY907</f>
        <v>71</v>
      </c>
      <c r="BA907" s="37">
        <f t="shared" si="1164"/>
        <v>71</v>
      </c>
      <c r="BB907" s="37">
        <f t="shared" si="1164"/>
        <v>71</v>
      </c>
      <c r="BC907" s="37">
        <f>+BX907</f>
        <v>71</v>
      </c>
      <c r="BD907" s="37">
        <f t="shared" ref="BD907:BF908" si="1165">+BC907</f>
        <v>71</v>
      </c>
      <c r="BE907" s="37">
        <f t="shared" si="1165"/>
        <v>71</v>
      </c>
      <c r="BF907" s="37">
        <f t="shared" si="1165"/>
        <v>71</v>
      </c>
      <c r="BG907" s="37"/>
      <c r="BH907" s="158"/>
      <c r="BI907" s="158"/>
      <c r="BJ907" s="158"/>
      <c r="BK907" s="158"/>
      <c r="BL907" s="158"/>
      <c r="BM907" s="158"/>
      <c r="BN907" s="158"/>
      <c r="BO907" s="158"/>
      <c r="BP907" s="158"/>
      <c r="BQ907" s="857">
        <v>10</v>
      </c>
      <c r="BR907" s="857">
        <v>8</v>
      </c>
      <c r="BS907" s="857">
        <v>241</v>
      </c>
      <c r="BT907" s="857">
        <v>149</v>
      </c>
      <c r="BU907" s="857">
        <v>294</v>
      </c>
      <c r="BV907" s="857">
        <v>99</v>
      </c>
      <c r="BW907" s="862">
        <v>353</v>
      </c>
      <c r="BX907" s="158">
        <f>+BB907</f>
        <v>71</v>
      </c>
      <c r="BY907" s="158">
        <f>+BF907</f>
        <v>71</v>
      </c>
      <c r="BZ907" s="158">
        <f t="shared" ref="BZ907:CB908" si="1166">+BY907</f>
        <v>71</v>
      </c>
      <c r="CA907" s="158">
        <f t="shared" si="1166"/>
        <v>71</v>
      </c>
      <c r="CB907" s="158">
        <f t="shared" si="1166"/>
        <v>71</v>
      </c>
      <c r="CC907" s="117"/>
    </row>
    <row r="908" spans="1:81" x14ac:dyDescent="0.55000000000000004">
      <c r="A908" s="18" t="s">
        <v>139</v>
      </c>
      <c r="B908" s="244"/>
      <c r="C908" s="763">
        <v>485</v>
      </c>
      <c r="D908" s="763">
        <v>387</v>
      </c>
      <c r="E908" s="763">
        <v>342</v>
      </c>
      <c r="F908" s="763">
        <v>512</v>
      </c>
      <c r="G908" s="763">
        <v>425</v>
      </c>
      <c r="H908" s="763">
        <v>411</v>
      </c>
      <c r="I908" s="763">
        <v>502</v>
      </c>
      <c r="J908" s="763">
        <v>513</v>
      </c>
      <c r="K908" s="763">
        <v>1083</v>
      </c>
      <c r="L908" s="763">
        <v>1011</v>
      </c>
      <c r="M908" s="763">
        <v>1295</v>
      </c>
      <c r="N908" s="763">
        <v>659</v>
      </c>
      <c r="O908" s="763">
        <v>844</v>
      </c>
      <c r="P908" s="763">
        <v>913</v>
      </c>
      <c r="Q908" s="763">
        <v>1121</v>
      </c>
      <c r="R908" s="82">
        <f>BO908</f>
        <v>959</v>
      </c>
      <c r="S908" s="763">
        <v>1209</v>
      </c>
      <c r="T908" s="763">
        <v>1455</v>
      </c>
      <c r="U908" s="763">
        <v>1490</v>
      </c>
      <c r="V908" s="82">
        <f>BP908</f>
        <v>1020</v>
      </c>
      <c r="W908" s="14">
        <f>1341-W907</f>
        <v>1327</v>
      </c>
      <c r="X908" s="14">
        <f>1934-X907</f>
        <v>1923</v>
      </c>
      <c r="Y908" s="14">
        <f>1883-Y907</f>
        <v>1876</v>
      </c>
      <c r="Z908" s="82">
        <f t="shared" si="1161"/>
        <v>1769</v>
      </c>
      <c r="AA908" s="14">
        <f>1582-AA907</f>
        <v>1572</v>
      </c>
      <c r="AB908" s="14">
        <f>1852-AB907</f>
        <v>1843</v>
      </c>
      <c r="AC908" s="14">
        <f>2137-AC907</f>
        <v>2130</v>
      </c>
      <c r="AD908" s="82">
        <f t="shared" si="1162"/>
        <v>1844</v>
      </c>
      <c r="AE908" s="14">
        <f>1771-AE907</f>
        <v>1634</v>
      </c>
      <c r="AF908" s="14">
        <f>2407-AF907</f>
        <v>2099</v>
      </c>
      <c r="AG908" s="14">
        <f>2155-AG907</f>
        <v>1933</v>
      </c>
      <c r="AH908" s="82">
        <f>BS908</f>
        <v>2140</v>
      </c>
      <c r="AI908" s="14">
        <f>2827-AI907</f>
        <v>2570</v>
      </c>
      <c r="AJ908" s="14">
        <f>4919-AJ907</f>
        <v>4718</v>
      </c>
      <c r="AK908" s="14">
        <f>5258-AK907</f>
        <v>5063</v>
      </c>
      <c r="AL908" s="82">
        <f>BT908</f>
        <v>4480</v>
      </c>
      <c r="AM908" s="14">
        <f>3985-AM907</f>
        <v>3691</v>
      </c>
      <c r="AN908" s="14">
        <f>3973-AN907</f>
        <v>3745</v>
      </c>
      <c r="AO908" s="14">
        <f>5312-AO907</f>
        <v>5080</v>
      </c>
      <c r="AP908" s="82">
        <f>BU908</f>
        <v>5051</v>
      </c>
      <c r="AQ908" s="14">
        <f>4000-AQ907</f>
        <v>3776</v>
      </c>
      <c r="AR908" s="14">
        <f>3603-AR907</f>
        <v>3438</v>
      </c>
      <c r="AS908" s="14">
        <f>4311-AS907</f>
        <v>4159</v>
      </c>
      <c r="AT908" s="82">
        <f>BV908</f>
        <v>3694</v>
      </c>
      <c r="AU908" s="14">
        <f>3780-AU907</f>
        <v>3696</v>
      </c>
      <c r="AV908" s="14">
        <f>3846-AV907</f>
        <v>3746</v>
      </c>
      <c r="AW908" s="14">
        <f>5467-AW907</f>
        <v>5377</v>
      </c>
      <c r="AX908" s="37">
        <f>BW908</f>
        <v>4883</v>
      </c>
      <c r="AY908" s="406">
        <f>5483-AY907</f>
        <v>5412</v>
      </c>
      <c r="AZ908" s="82">
        <f t="shared" si="1164"/>
        <v>5412</v>
      </c>
      <c r="BA908" s="82">
        <f t="shared" si="1164"/>
        <v>5412</v>
      </c>
      <c r="BB908" s="82">
        <f t="shared" si="1164"/>
        <v>5412</v>
      </c>
      <c r="BC908" s="82">
        <f>+BX908</f>
        <v>5412</v>
      </c>
      <c r="BD908" s="82">
        <f t="shared" si="1165"/>
        <v>5412</v>
      </c>
      <c r="BE908" s="82">
        <f t="shared" si="1165"/>
        <v>5412</v>
      </c>
      <c r="BF908" s="82">
        <f t="shared" si="1165"/>
        <v>5412</v>
      </c>
      <c r="BG908" s="82"/>
      <c r="BH908" s="854"/>
      <c r="BI908" s="863">
        <v>88</v>
      </c>
      <c r="BJ908" s="863">
        <v>149</v>
      </c>
      <c r="BK908" s="863">
        <v>471</v>
      </c>
      <c r="BL908" s="863">
        <v>512</v>
      </c>
      <c r="BM908" s="863">
        <v>513</v>
      </c>
      <c r="BN908" s="863">
        <v>659</v>
      </c>
      <c r="BO908" s="863">
        <v>959</v>
      </c>
      <c r="BP908" s="863">
        <v>1020</v>
      </c>
      <c r="BQ908" s="854">
        <f>1779-BQ907</f>
        <v>1769</v>
      </c>
      <c r="BR908" s="854">
        <f>1852-BR907</f>
        <v>1844</v>
      </c>
      <c r="BS908" s="854">
        <f>2381-BS907</f>
        <v>2140</v>
      </c>
      <c r="BT908" s="854">
        <f>4629-BT907</f>
        <v>4480</v>
      </c>
      <c r="BU908" s="854">
        <f>5345-BU907</f>
        <v>5051</v>
      </c>
      <c r="BV908" s="854">
        <f>3793-BV907</f>
        <v>3694</v>
      </c>
      <c r="BW908" s="855">
        <f>5236-BW907</f>
        <v>4883</v>
      </c>
      <c r="BX908" s="854">
        <f>+BB908</f>
        <v>5412</v>
      </c>
      <c r="BY908" s="854">
        <f>+BF908</f>
        <v>5412</v>
      </c>
      <c r="BZ908" s="854">
        <f t="shared" si="1166"/>
        <v>5412</v>
      </c>
      <c r="CA908" s="854">
        <f t="shared" si="1166"/>
        <v>5412</v>
      </c>
      <c r="CB908" s="854">
        <f t="shared" si="1166"/>
        <v>5412</v>
      </c>
      <c r="CC908" s="117"/>
    </row>
    <row r="909" spans="1:81" x14ac:dyDescent="0.55000000000000004">
      <c r="A909" s="20" t="s">
        <v>190</v>
      </c>
      <c r="B909" s="195"/>
      <c r="C909" s="5">
        <f t="shared" ref="C909:AH909" si="1167">SUM(C903:C908)</f>
        <v>11042</v>
      </c>
      <c r="D909" s="5">
        <f t="shared" si="1167"/>
        <v>11421</v>
      </c>
      <c r="E909" s="5">
        <f t="shared" si="1167"/>
        <v>10549</v>
      </c>
      <c r="F909" s="5">
        <f t="shared" si="1167"/>
        <v>13070</v>
      </c>
      <c r="G909" s="5">
        <f t="shared" si="1167"/>
        <v>14060</v>
      </c>
      <c r="H909" s="5">
        <f t="shared" si="1167"/>
        <v>15557</v>
      </c>
      <c r="I909" s="5">
        <f t="shared" si="1167"/>
        <v>16115</v>
      </c>
      <c r="J909" s="5">
        <f t="shared" si="1167"/>
        <v>13390</v>
      </c>
      <c r="K909" s="5">
        <f t="shared" si="1167"/>
        <v>15004</v>
      </c>
      <c r="L909" s="5">
        <f t="shared" si="1167"/>
        <v>16951</v>
      </c>
      <c r="M909" s="5">
        <f t="shared" si="1167"/>
        <v>19139</v>
      </c>
      <c r="N909" s="5">
        <f t="shared" si="1167"/>
        <v>21652</v>
      </c>
      <c r="O909" s="5">
        <f t="shared" si="1167"/>
        <v>23813</v>
      </c>
      <c r="P909" s="5">
        <f t="shared" si="1167"/>
        <v>27007</v>
      </c>
      <c r="Q909" s="5">
        <f t="shared" si="1167"/>
        <v>30331</v>
      </c>
      <c r="R909" s="33">
        <f t="shared" si="1167"/>
        <v>34401</v>
      </c>
      <c r="S909" s="5">
        <f t="shared" si="1167"/>
        <v>36930</v>
      </c>
      <c r="T909" s="5">
        <f t="shared" si="1167"/>
        <v>40804</v>
      </c>
      <c r="U909" s="5">
        <f t="shared" si="1167"/>
        <v>44203</v>
      </c>
      <c r="V909" s="33">
        <f t="shared" si="1167"/>
        <v>48563</v>
      </c>
      <c r="W909" s="5">
        <f t="shared" si="1167"/>
        <v>50412</v>
      </c>
      <c r="X909" s="5">
        <f t="shared" si="1167"/>
        <v>49833</v>
      </c>
      <c r="Y909" s="5">
        <f t="shared" si="1167"/>
        <v>49147</v>
      </c>
      <c r="Z909" s="33">
        <f t="shared" si="1167"/>
        <v>50480</v>
      </c>
      <c r="AA909" s="5">
        <f t="shared" si="1167"/>
        <v>53300</v>
      </c>
      <c r="AB909" s="5">
        <f t="shared" si="1167"/>
        <v>57961</v>
      </c>
      <c r="AC909" s="5">
        <f t="shared" si="1167"/>
        <v>62079</v>
      </c>
      <c r="AD909" s="33">
        <f t="shared" si="1167"/>
        <v>66225</v>
      </c>
      <c r="AE909" s="5">
        <f t="shared" si="1167"/>
        <v>69349</v>
      </c>
      <c r="AF909" s="5">
        <f t="shared" si="1167"/>
        <v>68130</v>
      </c>
      <c r="AG909" s="5">
        <f t="shared" si="1167"/>
        <v>65799</v>
      </c>
      <c r="AH909" s="33">
        <f t="shared" si="1167"/>
        <v>75670</v>
      </c>
      <c r="AI909" s="5">
        <f t="shared" ref="AI909:BF909" si="1168">SUM(AI903:AI908)</f>
        <v>77322</v>
      </c>
      <c r="AJ909" s="5">
        <f t="shared" si="1168"/>
        <v>80697</v>
      </c>
      <c r="AK909" s="5">
        <f t="shared" si="1168"/>
        <v>75421</v>
      </c>
      <c r="AL909" s="33">
        <f t="shared" si="1168"/>
        <v>66666</v>
      </c>
      <c r="AM909" s="5">
        <f t="shared" si="1168"/>
        <v>59265</v>
      </c>
      <c r="AN909" s="5">
        <f t="shared" si="1168"/>
        <v>55987</v>
      </c>
      <c r="AO909" s="5">
        <f t="shared" si="1168"/>
        <v>58315</v>
      </c>
      <c r="AP909" s="33">
        <f t="shared" si="1168"/>
        <v>59549</v>
      </c>
      <c r="AQ909" s="5">
        <f t="shared" si="1168"/>
        <v>52483</v>
      </c>
      <c r="AR909" s="5">
        <f t="shared" si="1168"/>
        <v>69560</v>
      </c>
      <c r="AS909" s="5">
        <f t="shared" si="1168"/>
        <v>78378</v>
      </c>
      <c r="AT909" s="33">
        <f t="shared" si="1168"/>
        <v>85365</v>
      </c>
      <c r="AU909" s="5">
        <f t="shared" si="1168"/>
        <v>75330</v>
      </c>
      <c r="AV909" s="5">
        <f t="shared" si="1168"/>
        <v>76431</v>
      </c>
      <c r="AW909" s="5">
        <f t="shared" si="1168"/>
        <v>91067</v>
      </c>
      <c r="AX909" s="33">
        <f t="shared" si="1168"/>
        <v>100045</v>
      </c>
      <c r="AY909" s="409">
        <f t="shared" si="1168"/>
        <v>90227</v>
      </c>
      <c r="AZ909" s="33">
        <f t="shared" ca="1" si="1168"/>
        <v>99031.198525538071</v>
      </c>
      <c r="BA909" s="33">
        <f t="shared" ca="1" si="1168"/>
        <v>109868.78067835394</v>
      </c>
      <c r="BB909" s="33">
        <f t="shared" ca="1" si="1168"/>
        <v>122777.35458411259</v>
      </c>
      <c r="BC909" s="33">
        <f t="shared" ca="1" si="1168"/>
        <v>145152.14758064365</v>
      </c>
      <c r="BD909" s="33">
        <f t="shared" ca="1" si="1168"/>
        <v>168090.05707922988</v>
      </c>
      <c r="BE909" s="33">
        <f t="shared" ca="1" si="1168"/>
        <v>192626.1629478028</v>
      </c>
      <c r="BF909" s="33">
        <f t="shared" ca="1" si="1168"/>
        <v>218784.24804530028</v>
      </c>
      <c r="BG909" s="33"/>
      <c r="BH909" s="834">
        <f t="shared" ref="BH909:CB909" si="1169">SUM(BH903:BH908)</f>
        <v>0</v>
      </c>
      <c r="BI909" s="834">
        <f t="shared" si="1169"/>
        <v>2246</v>
      </c>
      <c r="BJ909" s="834">
        <f t="shared" si="1169"/>
        <v>4604</v>
      </c>
      <c r="BK909" s="834">
        <f t="shared" si="1169"/>
        <v>11267</v>
      </c>
      <c r="BL909" s="834">
        <f t="shared" si="1169"/>
        <v>13070</v>
      </c>
      <c r="BM909" s="834">
        <f t="shared" si="1169"/>
        <v>13390</v>
      </c>
      <c r="BN909" s="834">
        <f t="shared" si="1169"/>
        <v>21652</v>
      </c>
      <c r="BO909" s="833">
        <f t="shared" si="1169"/>
        <v>34401</v>
      </c>
      <c r="BP909" s="833">
        <f t="shared" si="1169"/>
        <v>48563</v>
      </c>
      <c r="BQ909" s="833">
        <f t="shared" si="1169"/>
        <v>50480</v>
      </c>
      <c r="BR909" s="833">
        <f t="shared" si="1169"/>
        <v>66225</v>
      </c>
      <c r="BS909" s="833">
        <f t="shared" si="1169"/>
        <v>75670</v>
      </c>
      <c r="BT909" s="833">
        <f t="shared" si="1169"/>
        <v>66666</v>
      </c>
      <c r="BU909" s="833">
        <f t="shared" si="1169"/>
        <v>59549</v>
      </c>
      <c r="BV909" s="833">
        <f t="shared" si="1169"/>
        <v>85365</v>
      </c>
      <c r="BW909" s="835">
        <f t="shared" si="1169"/>
        <v>100045</v>
      </c>
      <c r="BX909" s="833">
        <f t="shared" ca="1" si="1169"/>
        <v>122777.35458411259</v>
      </c>
      <c r="BY909" s="833">
        <f t="shared" ca="1" si="1169"/>
        <v>218784.24804530028</v>
      </c>
      <c r="BZ909" s="833">
        <f t="shared" ca="1" si="1169"/>
        <v>325439.96850664512</v>
      </c>
      <c r="CA909" s="833">
        <f t="shared" ca="1" si="1169"/>
        <v>438367.95712331682</v>
      </c>
      <c r="CB909" s="833">
        <f t="shared" ca="1" si="1169"/>
        <v>570147.87937297078</v>
      </c>
      <c r="CC909" s="6"/>
    </row>
    <row r="910" spans="1:81" x14ac:dyDescent="0.55000000000000004">
      <c r="A910" s="192"/>
      <c r="B910" s="193"/>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c r="AU910" s="35"/>
      <c r="AV910" s="35"/>
      <c r="AW910" s="35"/>
      <c r="AX910" s="35"/>
      <c r="AY910" s="272"/>
      <c r="AZ910" s="35"/>
      <c r="BA910" s="35"/>
      <c r="BB910" s="35"/>
      <c r="BC910" s="35"/>
      <c r="BD910" s="35"/>
      <c r="BE910" s="35"/>
      <c r="BF910" s="35"/>
      <c r="BG910" s="35"/>
      <c r="BH910" s="812"/>
      <c r="BI910" s="812"/>
      <c r="BJ910" s="812"/>
      <c r="BK910" s="812"/>
      <c r="BL910" s="812"/>
      <c r="BM910" s="812"/>
      <c r="BN910" s="812"/>
      <c r="BO910" s="812"/>
      <c r="BP910" s="812"/>
      <c r="BQ910" s="812"/>
      <c r="BR910" s="812"/>
      <c r="BS910" s="812"/>
      <c r="BT910" s="812"/>
      <c r="BU910" s="812"/>
      <c r="BV910" s="812"/>
      <c r="BW910" s="814"/>
      <c r="BX910" s="812"/>
      <c r="BY910" s="812"/>
      <c r="BZ910" s="812"/>
      <c r="CA910" s="812"/>
      <c r="CB910" s="812"/>
      <c r="CC910" s="6"/>
    </row>
    <row r="911" spans="1:81" x14ac:dyDescent="0.55000000000000004">
      <c r="A911" s="26" t="s">
        <v>191</v>
      </c>
      <c r="B911" s="193"/>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c r="AM911" s="35"/>
      <c r="AN911" s="35"/>
      <c r="AO911" s="35"/>
      <c r="AP911" s="35"/>
      <c r="AQ911" s="35"/>
      <c r="AR911" s="35"/>
      <c r="AS911" s="35"/>
      <c r="AT911" s="35"/>
      <c r="AU911" s="35"/>
      <c r="AV911" s="35"/>
      <c r="AW911" s="35"/>
      <c r="AX911" s="35"/>
      <c r="AY911" s="272"/>
      <c r="AZ911" s="35"/>
      <c r="BA911" s="35"/>
      <c r="BB911" s="35"/>
      <c r="BC911" s="35"/>
      <c r="BD911" s="35"/>
      <c r="BE911" s="35"/>
      <c r="BF911" s="35"/>
      <c r="BG911" s="35"/>
      <c r="BH911" s="812"/>
      <c r="BI911" s="812"/>
      <c r="BJ911" s="812"/>
      <c r="BK911" s="812"/>
      <c r="BL911" s="812"/>
      <c r="BM911" s="812"/>
      <c r="BN911" s="812"/>
      <c r="BO911" s="812"/>
      <c r="BP911" s="812"/>
      <c r="BQ911" s="812"/>
      <c r="BR911" s="812"/>
      <c r="BS911" s="812"/>
      <c r="BT911" s="812"/>
      <c r="BU911" s="812"/>
      <c r="BV911" s="812"/>
      <c r="BW911" s="814"/>
      <c r="BX911" s="812"/>
      <c r="BY911" s="812"/>
      <c r="BZ911" s="812"/>
      <c r="CA911" s="812"/>
      <c r="CB911" s="812"/>
      <c r="CC911" s="6"/>
    </row>
    <row r="912" spans="1:81" x14ac:dyDescent="0.55000000000000004">
      <c r="A912" s="214" t="s">
        <v>444</v>
      </c>
      <c r="B912" s="8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c r="AF912" s="37"/>
      <c r="AG912" s="759">
        <v>6164</v>
      </c>
      <c r="AH912" s="37">
        <f t="shared" ref="AH912:AH918" si="1170">BS912</f>
        <v>6234</v>
      </c>
      <c r="AI912" s="759">
        <v>6342</v>
      </c>
      <c r="AJ912" s="759">
        <v>6393</v>
      </c>
      <c r="AK912" s="759">
        <v>6758</v>
      </c>
      <c r="AL912" s="37">
        <f t="shared" ref="AL912:AL918" si="1171">BT912</f>
        <v>6775</v>
      </c>
      <c r="AM912" s="759">
        <v>6775</v>
      </c>
      <c r="AN912" s="759">
        <v>6536</v>
      </c>
      <c r="AO912" s="759">
        <v>6528</v>
      </c>
      <c r="AP912" s="37">
        <f t="shared" ref="AP912:AP918" si="1172">BU912</f>
        <v>6201</v>
      </c>
      <c r="AQ912" s="759">
        <v>6167</v>
      </c>
      <c r="AR912" s="759">
        <v>6208</v>
      </c>
      <c r="AS912" s="759">
        <v>6142</v>
      </c>
      <c r="AT912" s="37">
        <f t="shared" ref="AT912:AT918" si="1173">BV912</f>
        <v>6141</v>
      </c>
      <c r="AU912" s="759">
        <v>6218</v>
      </c>
      <c r="AV912" s="759">
        <v>6207</v>
      </c>
      <c r="AW912" s="759">
        <v>6071</v>
      </c>
      <c r="AX912" s="37">
        <f t="shared" ref="AX912:AX918" si="1174">BW912</f>
        <v>6070</v>
      </c>
      <c r="AY912" s="762">
        <v>6168</v>
      </c>
      <c r="AZ912" s="37">
        <f>AY912</f>
        <v>6168</v>
      </c>
      <c r="BA912" s="37">
        <f>AZ912</f>
        <v>6168</v>
      </c>
      <c r="BB912" s="37">
        <f>BA912</f>
        <v>6168</v>
      </c>
      <c r="BC912" s="37">
        <f>BX912</f>
        <v>6168</v>
      </c>
      <c r="BD912" s="37">
        <f>BC912</f>
        <v>6168</v>
      </c>
      <c r="BE912" s="37">
        <f>BD912</f>
        <v>6168</v>
      </c>
      <c r="BF912" s="37">
        <f>BE912</f>
        <v>6168</v>
      </c>
      <c r="BG912" s="37"/>
      <c r="BH912" s="158"/>
      <c r="BI912" s="158"/>
      <c r="BJ912" s="158"/>
      <c r="BK912" s="158"/>
      <c r="BL912" s="158"/>
      <c r="BM912" s="158"/>
      <c r="BN912" s="158"/>
      <c r="BO912" s="158"/>
      <c r="BP912" s="158"/>
      <c r="BQ912" s="158"/>
      <c r="BR912" s="158"/>
      <c r="BS912" s="857">
        <v>6234</v>
      </c>
      <c r="BT912" s="857">
        <v>6775</v>
      </c>
      <c r="BU912" s="857">
        <v>6201</v>
      </c>
      <c r="BV912" s="857">
        <v>6141</v>
      </c>
      <c r="BW912" s="862">
        <v>6070</v>
      </c>
      <c r="BX912" s="158">
        <f t="shared" ref="BX912:BX918" si="1175">BB912</f>
        <v>6168</v>
      </c>
      <c r="BY912" s="158">
        <f t="shared" ref="BY912:BY918" si="1176">BF912</f>
        <v>6168</v>
      </c>
      <c r="BZ912" s="158">
        <f>BY912</f>
        <v>6168</v>
      </c>
      <c r="CA912" s="158">
        <f>BZ912</f>
        <v>6168</v>
      </c>
      <c r="CB912" s="158">
        <f>CA912</f>
        <v>6168</v>
      </c>
      <c r="CC912" s="117"/>
    </row>
    <row r="913" spans="1:81" x14ac:dyDescent="0.55000000000000004">
      <c r="A913" s="116" t="s">
        <v>192</v>
      </c>
      <c r="B913" s="87"/>
      <c r="C913" s="759">
        <v>2533</v>
      </c>
      <c r="D913" s="759">
        <v>2577</v>
      </c>
      <c r="E913" s="759">
        <v>2685</v>
      </c>
      <c r="F913" s="759">
        <v>2882</v>
      </c>
      <c r="G913" s="759">
        <v>3074</v>
      </c>
      <c r="H913" s="759">
        <v>3334</v>
      </c>
      <c r="I913" s="759">
        <v>3703</v>
      </c>
      <c r="J913" s="759">
        <v>3967</v>
      </c>
      <c r="K913" s="759">
        <v>4619</v>
      </c>
      <c r="L913" s="759">
        <v>4955</v>
      </c>
      <c r="M913" s="759">
        <v>5335</v>
      </c>
      <c r="N913" s="759">
        <v>5687</v>
      </c>
      <c r="O913" s="759">
        <v>6467</v>
      </c>
      <c r="P913" s="759">
        <v>7104</v>
      </c>
      <c r="Q913" s="759">
        <v>7899</v>
      </c>
      <c r="R913" s="37">
        <f>BO913</f>
        <v>8591</v>
      </c>
      <c r="S913" s="759">
        <v>9462</v>
      </c>
      <c r="T913" s="759">
        <v>10628</v>
      </c>
      <c r="U913" s="759">
        <v>12158</v>
      </c>
      <c r="V913" s="37">
        <f>BP913</f>
        <v>13721</v>
      </c>
      <c r="W913" s="759">
        <v>16211</v>
      </c>
      <c r="X913" s="759">
        <v>18357</v>
      </c>
      <c r="Y913" s="759">
        <v>21112</v>
      </c>
      <c r="Z913" s="37">
        <f>BQ913</f>
        <v>24683</v>
      </c>
      <c r="AA913" s="759">
        <v>27345</v>
      </c>
      <c r="AB913" s="759">
        <v>29999</v>
      </c>
      <c r="AC913" s="759">
        <v>32284</v>
      </c>
      <c r="AD913" s="37">
        <f t="shared" ref="AD913:AD918" si="1177">BR913</f>
        <v>35323</v>
      </c>
      <c r="AE913" s="759">
        <v>37127</v>
      </c>
      <c r="AF913" s="759">
        <v>39006</v>
      </c>
      <c r="AG913" s="759">
        <v>42291</v>
      </c>
      <c r="AH913" s="37">
        <f t="shared" si="1170"/>
        <v>45633</v>
      </c>
      <c r="AI913" s="759">
        <v>47720</v>
      </c>
      <c r="AJ913" s="759">
        <v>50909</v>
      </c>
      <c r="AK913" s="759">
        <v>53726</v>
      </c>
      <c r="AL913" s="37">
        <f t="shared" si="1171"/>
        <v>57809</v>
      </c>
      <c r="AM913" s="759">
        <v>61582</v>
      </c>
      <c r="AN913" s="759">
        <v>67588</v>
      </c>
      <c r="AO913" s="759">
        <v>73738</v>
      </c>
      <c r="AP913" s="37">
        <f t="shared" si="1172"/>
        <v>79518</v>
      </c>
      <c r="AQ913" s="759">
        <v>84156</v>
      </c>
      <c r="AR913" s="759">
        <v>87949</v>
      </c>
      <c r="AS913" s="759">
        <v>91772</v>
      </c>
      <c r="AT913" s="37">
        <f t="shared" si="1173"/>
        <v>96587</v>
      </c>
      <c r="AU913" s="759">
        <v>98908</v>
      </c>
      <c r="AV913" s="759">
        <v>102959</v>
      </c>
      <c r="AW913" s="759">
        <v>112162</v>
      </c>
      <c r="AX913" s="37">
        <f t="shared" si="1174"/>
        <v>121346</v>
      </c>
      <c r="AY913" s="762">
        <v>133567</v>
      </c>
      <c r="AZ913" s="37">
        <f>AY913-AZ839-AZ837+AZ882+AZ881</f>
        <v>144779.46678082191</v>
      </c>
      <c r="BA913" s="37">
        <f>AZ913-BA839-BA837+BA882+BA881</f>
        <v>155592.92193704259</v>
      </c>
      <c r="BB913" s="37">
        <f>BA913-BB839-BB837+BB882+BB881</f>
        <v>166065.67919108097</v>
      </c>
      <c r="BC913" s="37">
        <f>BX913-BC839-BC837+BC882+BC881</f>
        <v>170885.61647628737</v>
      </c>
      <c r="BD913" s="37">
        <f>BC913-BD839-BD837+BD882+BD881</f>
        <v>175498.47157925236</v>
      </c>
      <c r="BE913" s="37">
        <f>BD913-BE839-BE837+BE882+BE881</f>
        <v>179907.46768018004</v>
      </c>
      <c r="BF913" s="37">
        <f>BE913-BF839-BF837+BF882+BF881</f>
        <v>184177.55020532504</v>
      </c>
      <c r="BG913" s="37"/>
      <c r="BH913" s="158"/>
      <c r="BI913" s="857">
        <v>574</v>
      </c>
      <c r="BJ913" s="857">
        <v>1475</v>
      </c>
      <c r="BK913" s="857">
        <v>2391</v>
      </c>
      <c r="BL913" s="857">
        <v>2882</v>
      </c>
      <c r="BM913" s="857">
        <v>3967</v>
      </c>
      <c r="BN913" s="857">
        <v>5687</v>
      </c>
      <c r="BO913" s="857">
        <v>8591</v>
      </c>
      <c r="BP913" s="857">
        <v>13721</v>
      </c>
      <c r="BQ913" s="857">
        <v>24683</v>
      </c>
      <c r="BR913" s="857">
        <v>35323</v>
      </c>
      <c r="BS913" s="857">
        <v>45633</v>
      </c>
      <c r="BT913" s="857">
        <v>57809</v>
      </c>
      <c r="BU913" s="857">
        <v>79518</v>
      </c>
      <c r="BV913" s="857">
        <v>96587</v>
      </c>
      <c r="BW913" s="862">
        <v>121346</v>
      </c>
      <c r="BX913" s="158">
        <f t="shared" si="1175"/>
        <v>166065.67919108097</v>
      </c>
      <c r="BY913" s="158">
        <f t="shared" si="1176"/>
        <v>184177.55020532504</v>
      </c>
      <c r="BZ913" s="158">
        <f>BY913-BZ839-BZ837+BZ882+BZ881</f>
        <v>200908.95642965942</v>
      </c>
      <c r="CA913" s="158">
        <f>BZ913-CA839-CA837+CA882+CA881</f>
        <v>215548.936875952</v>
      </c>
      <c r="CB913" s="158">
        <f>CA913-CB839-CB837+CB882+CB881</f>
        <v>228358.91976645801</v>
      </c>
      <c r="CC913" s="117"/>
    </row>
    <row r="914" spans="1:81" x14ac:dyDescent="0.55000000000000004">
      <c r="A914" s="116" t="s">
        <v>346</v>
      </c>
      <c r="B914" s="8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759">
        <v>6747</v>
      </c>
      <c r="AB914" s="759">
        <v>7272</v>
      </c>
      <c r="AC914" s="759">
        <v>8403</v>
      </c>
      <c r="AD914" s="37">
        <f t="shared" si="1177"/>
        <v>9460</v>
      </c>
      <c r="AE914" s="759">
        <v>9359</v>
      </c>
      <c r="AF914" s="759">
        <v>9429</v>
      </c>
      <c r="AG914" s="759">
        <v>9439</v>
      </c>
      <c r="AH914" s="37">
        <f t="shared" si="1170"/>
        <v>9348</v>
      </c>
      <c r="AI914" s="759">
        <v>10202</v>
      </c>
      <c r="AJ914" s="759">
        <v>10525</v>
      </c>
      <c r="AK914" s="759">
        <v>11063</v>
      </c>
      <c r="AL914" s="37">
        <f t="shared" si="1171"/>
        <v>12155</v>
      </c>
      <c r="AM914" s="759">
        <v>12241</v>
      </c>
      <c r="AN914" s="759">
        <v>14130</v>
      </c>
      <c r="AO914" s="759">
        <v>13641</v>
      </c>
      <c r="AP914" s="37">
        <f t="shared" si="1172"/>
        <v>12673</v>
      </c>
      <c r="AQ914" s="759">
        <v>12899</v>
      </c>
      <c r="AR914" s="759">
        <v>12955</v>
      </c>
      <c r="AS914" s="759">
        <v>13033</v>
      </c>
      <c r="AT914" s="37">
        <f t="shared" si="1173"/>
        <v>13294</v>
      </c>
      <c r="AU914" s="759">
        <v>13555</v>
      </c>
      <c r="AV914" s="759">
        <v>14058</v>
      </c>
      <c r="AW914" s="759">
        <v>14812</v>
      </c>
      <c r="AX914" s="37">
        <f t="shared" si="1174"/>
        <v>14922</v>
      </c>
      <c r="AY914" s="762">
        <v>15505</v>
      </c>
      <c r="AZ914" s="37">
        <f>AY914</f>
        <v>15505</v>
      </c>
      <c r="BA914" s="37">
        <f>AZ914</f>
        <v>15505</v>
      </c>
      <c r="BB914" s="37">
        <f>BA914</f>
        <v>15505</v>
      </c>
      <c r="BC914" s="37">
        <f>BX914</f>
        <v>15505</v>
      </c>
      <c r="BD914" s="37">
        <f>BC914</f>
        <v>15505</v>
      </c>
      <c r="BE914" s="37">
        <f>BD914</f>
        <v>15505</v>
      </c>
      <c r="BF914" s="37">
        <f>BE914</f>
        <v>15505</v>
      </c>
      <c r="BG914" s="37"/>
      <c r="BH914" s="158"/>
      <c r="BI914" s="158"/>
      <c r="BJ914" s="158"/>
      <c r="BK914" s="158"/>
      <c r="BL914" s="158"/>
      <c r="BM914" s="158"/>
      <c r="BN914" s="158"/>
      <c r="BO914" s="158"/>
      <c r="BP914" s="158"/>
      <c r="BQ914" s="158"/>
      <c r="BR914" s="857">
        <v>9460</v>
      </c>
      <c r="BS914" s="857">
        <v>9348</v>
      </c>
      <c r="BT914" s="857">
        <v>12155</v>
      </c>
      <c r="BU914" s="857">
        <v>12673</v>
      </c>
      <c r="BV914" s="857">
        <v>13294</v>
      </c>
      <c r="BW914" s="862">
        <v>14922</v>
      </c>
      <c r="BX914" s="158">
        <f t="shared" si="1175"/>
        <v>15505</v>
      </c>
      <c r="BY914" s="158">
        <f t="shared" si="1176"/>
        <v>15505</v>
      </c>
      <c r="BZ914" s="158">
        <f>BY914</f>
        <v>15505</v>
      </c>
      <c r="CA914" s="158">
        <f>BZ914</f>
        <v>15505</v>
      </c>
      <c r="CB914" s="158">
        <f>CA914</f>
        <v>15505</v>
      </c>
      <c r="CC914" s="117"/>
    </row>
    <row r="915" spans="1:81" x14ac:dyDescent="0.55000000000000004">
      <c r="A915" s="116" t="s">
        <v>193</v>
      </c>
      <c r="B915" s="87"/>
      <c r="C915" s="759">
        <v>1501</v>
      </c>
      <c r="D915" s="759">
        <v>1631</v>
      </c>
      <c r="E915" s="759">
        <v>1609</v>
      </c>
      <c r="F915" s="759">
        <v>883</v>
      </c>
      <c r="G915" s="759">
        <v>1682</v>
      </c>
      <c r="H915" s="759">
        <v>1672</v>
      </c>
      <c r="I915" s="759">
        <v>1317</v>
      </c>
      <c r="J915" s="759">
        <v>3929</v>
      </c>
      <c r="K915" s="759">
        <v>3774</v>
      </c>
      <c r="L915" s="759">
        <v>3605</v>
      </c>
      <c r="M915" s="759">
        <v>3437</v>
      </c>
      <c r="N915" s="759">
        <v>3246</v>
      </c>
      <c r="O915" s="759">
        <v>3067</v>
      </c>
      <c r="P915" s="759">
        <v>2879</v>
      </c>
      <c r="Q915" s="759">
        <v>2702</v>
      </c>
      <c r="R915" s="37">
        <f>BO915</f>
        <v>2535</v>
      </c>
      <c r="S915" s="759">
        <v>2360</v>
      </c>
      <c r="T915" s="759">
        <v>2186</v>
      </c>
      <c r="U915" s="759">
        <v>2050</v>
      </c>
      <c r="V915" s="37">
        <f>BP915</f>
        <v>1884</v>
      </c>
      <c r="W915" s="759">
        <v>1735</v>
      </c>
      <c r="X915" s="759">
        <v>1573</v>
      </c>
      <c r="Y915" s="759">
        <v>1451</v>
      </c>
      <c r="Z915" s="37">
        <f>BQ915</f>
        <v>1294</v>
      </c>
      <c r="AA915" s="759">
        <v>1150</v>
      </c>
      <c r="AB915" s="759">
        <v>994</v>
      </c>
      <c r="AC915" s="759">
        <v>853</v>
      </c>
      <c r="AD915" s="37">
        <f t="shared" si="1177"/>
        <v>894</v>
      </c>
      <c r="AE915" s="759">
        <v>838</v>
      </c>
      <c r="AF915" s="759">
        <v>859</v>
      </c>
      <c r="AG915" s="759">
        <v>744</v>
      </c>
      <c r="AH915" s="37">
        <f t="shared" si="1170"/>
        <v>623</v>
      </c>
      <c r="AI915" s="759">
        <v>505</v>
      </c>
      <c r="AJ915" s="759">
        <v>514</v>
      </c>
      <c r="AK915" s="759">
        <v>365</v>
      </c>
      <c r="AL915" s="37">
        <f t="shared" si="1171"/>
        <v>634</v>
      </c>
      <c r="AM915" s="759">
        <v>910</v>
      </c>
      <c r="AN915" s="759">
        <v>965</v>
      </c>
      <c r="AO915" s="759">
        <v>875</v>
      </c>
      <c r="AP915" s="37">
        <f t="shared" si="1172"/>
        <v>897</v>
      </c>
      <c r="AQ915" s="759">
        <v>949</v>
      </c>
      <c r="AR915" s="759">
        <v>856</v>
      </c>
      <c r="AS915" s="759">
        <v>813</v>
      </c>
      <c r="AT915" s="37">
        <f t="shared" si="1173"/>
        <v>788</v>
      </c>
      <c r="AU915" s="759">
        <v>829</v>
      </c>
      <c r="AV915" s="759">
        <v>984</v>
      </c>
      <c r="AW915" s="759">
        <v>973</v>
      </c>
      <c r="AX915" s="37">
        <f t="shared" si="1174"/>
        <v>915</v>
      </c>
      <c r="AY915" s="762">
        <v>915</v>
      </c>
      <c r="AZ915" s="37">
        <f>AY915+AZ888+AZ887</f>
        <v>1123.9378082191781</v>
      </c>
      <c r="BA915" s="37">
        <f>AZ915+BA888+BA887</f>
        <v>1322.9449038243574</v>
      </c>
      <c r="BB915" s="37">
        <f>BA915+BB888+BB887</f>
        <v>1512.9230747631757</v>
      </c>
      <c r="BC915" s="37">
        <f>BX915+BC888+BC887</f>
        <v>1607.3741602120429</v>
      </c>
      <c r="BD915" s="37">
        <f>BC915+BD888+BD887</f>
        <v>1696.8404924195133</v>
      </c>
      <c r="BE915" s="37">
        <f>BD915+BE888+BE887</f>
        <v>1781.4550717223431</v>
      </c>
      <c r="BF915" s="37">
        <f>BE915+BF888+BF887</f>
        <v>1862.2306991532416</v>
      </c>
      <c r="BG915" s="37"/>
      <c r="BH915" s="158"/>
      <c r="BI915" s="857">
        <v>96</v>
      </c>
      <c r="BJ915" s="857">
        <v>162</v>
      </c>
      <c r="BK915" s="857">
        <v>1388</v>
      </c>
      <c r="BL915" s="857">
        <v>883</v>
      </c>
      <c r="BM915" s="857">
        <v>3929</v>
      </c>
      <c r="BN915" s="857">
        <v>3246</v>
      </c>
      <c r="BO915" s="857">
        <v>2535</v>
      </c>
      <c r="BP915" s="857">
        <v>1884</v>
      </c>
      <c r="BQ915" s="857">
        <v>1294</v>
      </c>
      <c r="BR915" s="857">
        <v>894</v>
      </c>
      <c r="BS915" s="857">
        <v>623</v>
      </c>
      <c r="BT915" s="857">
        <v>634</v>
      </c>
      <c r="BU915" s="857">
        <v>897</v>
      </c>
      <c r="BV915" s="857">
        <v>788</v>
      </c>
      <c r="BW915" s="862">
        <v>915</v>
      </c>
      <c r="BX915" s="158">
        <f t="shared" si="1175"/>
        <v>1512.9230747631757</v>
      </c>
      <c r="BY915" s="158">
        <f t="shared" si="1176"/>
        <v>1862.2306991532416</v>
      </c>
      <c r="BZ915" s="158">
        <f>BY915+BZ888+BZ887</f>
        <v>2173.429173305658</v>
      </c>
      <c r="CA915" s="158">
        <f>BZ915+CA888+CA887</f>
        <v>2428.6119221106396</v>
      </c>
      <c r="CB915" s="158">
        <f>CA915+CB888+CB887</f>
        <v>2637.8617761307246</v>
      </c>
      <c r="CC915" s="117"/>
    </row>
    <row r="916" spans="1:81" x14ac:dyDescent="0.55000000000000004">
      <c r="A916" s="116" t="s">
        <v>194</v>
      </c>
      <c r="B916" s="87"/>
      <c r="C916" s="37"/>
      <c r="D916" s="37"/>
      <c r="E916" s="37"/>
      <c r="F916" s="759">
        <v>839</v>
      </c>
      <c r="G916" s="37"/>
      <c r="H916" s="37"/>
      <c r="I916" s="759">
        <v>2612</v>
      </c>
      <c r="J916" s="759">
        <v>17981</v>
      </c>
      <c r="K916" s="759">
        <v>18005</v>
      </c>
      <c r="L916" s="759">
        <v>18025</v>
      </c>
      <c r="M916" s="759">
        <v>18024</v>
      </c>
      <c r="N916" s="759">
        <v>18026</v>
      </c>
      <c r="O916" s="759">
        <v>18029</v>
      </c>
      <c r="P916" s="759">
        <v>18043</v>
      </c>
      <c r="Q916" s="759">
        <v>18085</v>
      </c>
      <c r="R916" s="37">
        <f>BO916</f>
        <v>18122</v>
      </c>
      <c r="S916" s="759">
        <v>18126</v>
      </c>
      <c r="T916" s="759">
        <v>18129</v>
      </c>
      <c r="U916" s="759">
        <v>18213</v>
      </c>
      <c r="V916" s="37">
        <f>BP916</f>
        <v>18221</v>
      </c>
      <c r="W916" s="759">
        <v>18268</v>
      </c>
      <c r="X916" s="759">
        <v>18263</v>
      </c>
      <c r="Y916" s="759">
        <v>18304</v>
      </c>
      <c r="Z916" s="37">
        <f>BQ916</f>
        <v>18301</v>
      </c>
      <c r="AA916" s="759">
        <v>18333</v>
      </c>
      <c r="AB916" s="759">
        <v>18334</v>
      </c>
      <c r="AC916" s="759">
        <v>18338</v>
      </c>
      <c r="AD916" s="37">
        <f t="shared" si="1177"/>
        <v>18715</v>
      </c>
      <c r="AE916" s="759">
        <v>18811</v>
      </c>
      <c r="AF916" s="759">
        <v>19029</v>
      </c>
      <c r="AG916" s="759">
        <v>19031</v>
      </c>
      <c r="AH916" s="37">
        <f t="shared" si="1170"/>
        <v>19050</v>
      </c>
      <c r="AI916" s="759">
        <v>19056</v>
      </c>
      <c r="AJ916" s="759">
        <v>19219</v>
      </c>
      <c r="AK916" s="759">
        <v>19065</v>
      </c>
      <c r="AL916" s="37">
        <f t="shared" si="1171"/>
        <v>19197</v>
      </c>
      <c r="AM916" s="759">
        <v>19923</v>
      </c>
      <c r="AN916" s="759">
        <v>20229</v>
      </c>
      <c r="AO916" s="759">
        <v>20268</v>
      </c>
      <c r="AP916" s="37">
        <f t="shared" si="1172"/>
        <v>20306</v>
      </c>
      <c r="AQ916" s="759">
        <v>20649</v>
      </c>
      <c r="AR916" s="759">
        <v>20659</v>
      </c>
      <c r="AS916" s="759">
        <v>20668</v>
      </c>
      <c r="AT916" s="37">
        <f t="shared" si="1173"/>
        <v>20654</v>
      </c>
      <c r="AU916" s="759">
        <v>20654</v>
      </c>
      <c r="AV916" s="759">
        <v>20654</v>
      </c>
      <c r="AW916" s="759">
        <v>20654</v>
      </c>
      <c r="AX916" s="37">
        <f t="shared" si="1174"/>
        <v>20654</v>
      </c>
      <c r="AY916" s="762">
        <v>20654</v>
      </c>
      <c r="AZ916" s="37">
        <f t="shared" ref="AZ916:BB917" si="1178">AY916</f>
        <v>20654</v>
      </c>
      <c r="BA916" s="37">
        <f t="shared" si="1178"/>
        <v>20654</v>
      </c>
      <c r="BB916" s="37">
        <f t="shared" si="1178"/>
        <v>20654</v>
      </c>
      <c r="BC916" s="37">
        <f>BX916</f>
        <v>20654</v>
      </c>
      <c r="BD916" s="37">
        <f t="shared" ref="BD916:BF917" si="1179">BC916</f>
        <v>20654</v>
      </c>
      <c r="BE916" s="37">
        <f t="shared" si="1179"/>
        <v>20654</v>
      </c>
      <c r="BF916" s="37">
        <f t="shared" si="1179"/>
        <v>20654</v>
      </c>
      <c r="BG916" s="37"/>
      <c r="BH916" s="158"/>
      <c r="BI916" s="158"/>
      <c r="BJ916" s="158"/>
      <c r="BK916" s="158"/>
      <c r="BL916" s="857">
        <v>839</v>
      </c>
      <c r="BM916" s="857">
        <v>17981</v>
      </c>
      <c r="BN916" s="857">
        <v>18026</v>
      </c>
      <c r="BO916" s="857">
        <v>18122</v>
      </c>
      <c r="BP916" s="857">
        <v>18221</v>
      </c>
      <c r="BQ916" s="857">
        <v>18301</v>
      </c>
      <c r="BR916" s="857">
        <v>18715</v>
      </c>
      <c r="BS916" s="857">
        <v>19050</v>
      </c>
      <c r="BT916" s="857">
        <v>19197</v>
      </c>
      <c r="BU916" s="857">
        <v>20306</v>
      </c>
      <c r="BV916" s="857">
        <v>20654</v>
      </c>
      <c r="BW916" s="862">
        <v>20654</v>
      </c>
      <c r="BX916" s="158">
        <f t="shared" si="1175"/>
        <v>20654</v>
      </c>
      <c r="BY916" s="158">
        <f t="shared" si="1176"/>
        <v>20654</v>
      </c>
      <c r="BZ916" s="158">
        <f t="shared" ref="BZ916:CB917" si="1180">BY916</f>
        <v>20654</v>
      </c>
      <c r="CA916" s="158">
        <f t="shared" si="1180"/>
        <v>20654</v>
      </c>
      <c r="CB916" s="158">
        <f t="shared" si="1180"/>
        <v>20654</v>
      </c>
      <c r="CC916" s="117"/>
    </row>
    <row r="917" spans="1:81" x14ac:dyDescent="0.55000000000000004">
      <c r="A917" s="86" t="s">
        <v>187</v>
      </c>
      <c r="B917" s="87"/>
      <c r="C917" s="37"/>
      <c r="D917" s="37"/>
      <c r="E917" s="37"/>
      <c r="F917" s="37"/>
      <c r="G917" s="37"/>
      <c r="H917" s="37"/>
      <c r="I917" s="37"/>
      <c r="J917" s="37"/>
      <c r="K917" s="37"/>
      <c r="L917" s="37"/>
      <c r="M917" s="37"/>
      <c r="N917" s="37"/>
      <c r="O917" s="37"/>
      <c r="P917" s="37"/>
      <c r="Q917" s="37"/>
      <c r="R917" s="37"/>
      <c r="S917" s="37"/>
      <c r="T917" s="37"/>
      <c r="U917" s="37"/>
      <c r="V917" s="37"/>
      <c r="W917" s="759">
        <v>114</v>
      </c>
      <c r="X917" s="759">
        <v>105</v>
      </c>
      <c r="Y917" s="759">
        <v>100</v>
      </c>
      <c r="Z917" s="37">
        <f>BQ917</f>
        <v>95</v>
      </c>
      <c r="AA917" s="759">
        <v>111</v>
      </c>
      <c r="AB917" s="759">
        <v>112</v>
      </c>
      <c r="AC917" s="759">
        <v>94</v>
      </c>
      <c r="AD917" s="37">
        <f t="shared" si="1177"/>
        <v>192</v>
      </c>
      <c r="AE917" s="759">
        <v>172</v>
      </c>
      <c r="AF917" s="759">
        <v>216</v>
      </c>
      <c r="AG917" s="759">
        <v>140</v>
      </c>
      <c r="AH917" s="37">
        <f t="shared" si="1170"/>
        <v>137</v>
      </c>
      <c r="AI917" s="759">
        <v>121</v>
      </c>
      <c r="AJ917" s="759">
        <v>124</v>
      </c>
      <c r="AK917" s="759">
        <v>113</v>
      </c>
      <c r="AL917" s="37">
        <f t="shared" si="1171"/>
        <v>115</v>
      </c>
      <c r="AM917" s="759">
        <v>173</v>
      </c>
      <c r="AN917" s="759">
        <v>569</v>
      </c>
      <c r="AO917" s="759">
        <v>711</v>
      </c>
      <c r="AP917" s="37">
        <f t="shared" si="1172"/>
        <v>621</v>
      </c>
      <c r="AQ917" s="759">
        <v>645</v>
      </c>
      <c r="AR917" s="759">
        <v>854</v>
      </c>
      <c r="AS917" s="759">
        <v>858</v>
      </c>
      <c r="AT917" s="37">
        <f t="shared" si="1173"/>
        <v>866</v>
      </c>
      <c r="AU917" s="759">
        <v>893</v>
      </c>
      <c r="AV917" s="759">
        <v>881</v>
      </c>
      <c r="AW917" s="759">
        <v>1185</v>
      </c>
      <c r="AX917" s="37">
        <f t="shared" si="1174"/>
        <v>1196</v>
      </c>
      <c r="AY917" s="762">
        <v>1250</v>
      </c>
      <c r="AZ917" s="37">
        <f t="shared" si="1178"/>
        <v>1250</v>
      </c>
      <c r="BA917" s="37">
        <f t="shared" si="1178"/>
        <v>1250</v>
      </c>
      <c r="BB917" s="37">
        <f t="shared" si="1178"/>
        <v>1250</v>
      </c>
      <c r="BC917" s="37">
        <f>BX917</f>
        <v>1250</v>
      </c>
      <c r="BD917" s="37">
        <f t="shared" si="1179"/>
        <v>1250</v>
      </c>
      <c r="BE917" s="37">
        <f t="shared" si="1179"/>
        <v>1250</v>
      </c>
      <c r="BF917" s="37">
        <f t="shared" si="1179"/>
        <v>1250</v>
      </c>
      <c r="BG917" s="37"/>
      <c r="BH917" s="158"/>
      <c r="BI917" s="158"/>
      <c r="BJ917" s="158"/>
      <c r="BK917" s="158"/>
      <c r="BL917" s="158"/>
      <c r="BM917" s="158"/>
      <c r="BN917" s="158"/>
      <c r="BO917" s="158"/>
      <c r="BP917" s="158"/>
      <c r="BQ917" s="857">
        <v>95</v>
      </c>
      <c r="BR917" s="857">
        <v>192</v>
      </c>
      <c r="BS917" s="857">
        <v>137</v>
      </c>
      <c r="BT917" s="857">
        <v>115</v>
      </c>
      <c r="BU917" s="857">
        <v>621</v>
      </c>
      <c r="BV917" s="857">
        <v>866</v>
      </c>
      <c r="BW917" s="862">
        <v>1196</v>
      </c>
      <c r="BX917" s="158">
        <f t="shared" si="1175"/>
        <v>1250</v>
      </c>
      <c r="BY917" s="158">
        <f t="shared" si="1176"/>
        <v>1250</v>
      </c>
      <c r="BZ917" s="158">
        <f t="shared" si="1180"/>
        <v>1250</v>
      </c>
      <c r="CA917" s="158">
        <f t="shared" si="1180"/>
        <v>1250</v>
      </c>
      <c r="CB917" s="158">
        <f t="shared" si="1180"/>
        <v>1250</v>
      </c>
      <c r="CC917" s="117"/>
    </row>
    <row r="918" spans="1:81" x14ac:dyDescent="0.55000000000000004">
      <c r="A918" s="18" t="s">
        <v>140</v>
      </c>
      <c r="B918" s="244"/>
      <c r="C918" s="763">
        <v>87</v>
      </c>
      <c r="D918" s="763">
        <v>95</v>
      </c>
      <c r="E918" s="763">
        <v>90</v>
      </c>
      <c r="F918" s="763">
        <v>221</v>
      </c>
      <c r="G918" s="763">
        <v>212</v>
      </c>
      <c r="H918" s="763">
        <v>206</v>
      </c>
      <c r="I918" s="763">
        <v>441</v>
      </c>
      <c r="J918" s="763">
        <v>699</v>
      </c>
      <c r="K918" s="763">
        <v>605</v>
      </c>
      <c r="L918" s="763">
        <v>594</v>
      </c>
      <c r="M918" s="763">
        <v>534</v>
      </c>
      <c r="N918" s="763">
        <v>796</v>
      </c>
      <c r="O918" s="763">
        <v>886</v>
      </c>
      <c r="P918" s="763">
        <v>935</v>
      </c>
      <c r="Q918" s="763">
        <v>990</v>
      </c>
      <c r="R918" s="82">
        <f>BO918</f>
        <v>1312</v>
      </c>
      <c r="S918" s="763">
        <v>1836</v>
      </c>
      <c r="T918" s="763">
        <v>2096</v>
      </c>
      <c r="U918" s="763">
        <v>2374</v>
      </c>
      <c r="V918" s="82">
        <f>BP918</f>
        <v>2135</v>
      </c>
      <c r="W918" s="14">
        <f>2319-W917</f>
        <v>2205</v>
      </c>
      <c r="X918" s="14">
        <f>2265-X917</f>
        <v>2160</v>
      </c>
      <c r="Y918" s="14">
        <f>2438-Y917</f>
        <v>2338</v>
      </c>
      <c r="Z918" s="82">
        <f>BQ918</f>
        <v>2481</v>
      </c>
      <c r="AA918" s="14">
        <f>2602-AA917</f>
        <v>2491</v>
      </c>
      <c r="AB918" s="14">
        <f>2446-AB917</f>
        <v>2334</v>
      </c>
      <c r="AC918" s="14">
        <f>2461-AC917</f>
        <v>2367</v>
      </c>
      <c r="AD918" s="82">
        <f t="shared" si="1177"/>
        <v>2567</v>
      </c>
      <c r="AE918" s="14">
        <f>2887-AE917</f>
        <v>2715</v>
      </c>
      <c r="AF918" s="14">
        <f>3238-AF917</f>
        <v>3022</v>
      </c>
      <c r="AG918" s="14">
        <f>2969-AG917</f>
        <v>2829</v>
      </c>
      <c r="AH918" s="82">
        <f t="shared" si="1170"/>
        <v>2621</v>
      </c>
      <c r="AI918" s="14">
        <f>2376-AI917</f>
        <v>2255</v>
      </c>
      <c r="AJ918" s="14">
        <f>2352-AJ917</f>
        <v>2228</v>
      </c>
      <c r="AK918" s="14">
        <f>3187-AK917</f>
        <v>3074</v>
      </c>
      <c r="AL918" s="82">
        <f t="shared" si="1171"/>
        <v>2636</v>
      </c>
      <c r="AM918" s="14">
        <f>3522-AM917</f>
        <v>3349</v>
      </c>
      <c r="AN918" s="14">
        <f>4344-AN917</f>
        <v>3775</v>
      </c>
      <c r="AO918" s="14">
        <f>5529-AO917</f>
        <v>4818</v>
      </c>
      <c r="AP918" s="82">
        <f t="shared" si="1172"/>
        <v>5962</v>
      </c>
      <c r="AQ918" s="14">
        <f>7188-AQ917</f>
        <v>6543</v>
      </c>
      <c r="AR918" s="14">
        <f>8501-AR917</f>
        <v>7647</v>
      </c>
      <c r="AS918" s="14">
        <f>5468-AS917</f>
        <v>4610</v>
      </c>
      <c r="AT918" s="82">
        <f t="shared" si="1173"/>
        <v>5928</v>
      </c>
      <c r="AU918" s="14">
        <f>8179-AU917-AU915</f>
        <v>6457</v>
      </c>
      <c r="AV918" s="14">
        <f>9929-AV917-AV915</f>
        <v>8064</v>
      </c>
      <c r="AW918" s="14">
        <f>11642-AW917-AW915</f>
        <v>9484</v>
      </c>
      <c r="AX918" s="82">
        <f t="shared" si="1174"/>
        <v>10906</v>
      </c>
      <c r="AY918" s="406">
        <f>14092-AY917-AY915</f>
        <v>11927</v>
      </c>
      <c r="AZ918" s="82">
        <f>AY918-AZ195</f>
        <v>11927</v>
      </c>
      <c r="BA918" s="82">
        <f>AZ918-BA195</f>
        <v>11927</v>
      </c>
      <c r="BB918" s="82">
        <f>BA918-BB195</f>
        <v>11927</v>
      </c>
      <c r="BC918" s="82">
        <f>BX918-BC195</f>
        <v>11927</v>
      </c>
      <c r="BD918" s="82">
        <f>BC918-BD195</f>
        <v>11927</v>
      </c>
      <c r="BE918" s="82">
        <f>BD918-BE195</f>
        <v>11927</v>
      </c>
      <c r="BF918" s="82">
        <f>BE918-BF195</f>
        <v>11927</v>
      </c>
      <c r="BG918" s="82"/>
      <c r="BH918" s="854"/>
      <c r="BI918" s="863">
        <v>74</v>
      </c>
      <c r="BJ918" s="863">
        <v>90</v>
      </c>
      <c r="BK918" s="863">
        <v>57</v>
      </c>
      <c r="BL918" s="863">
        <v>221</v>
      </c>
      <c r="BM918" s="863">
        <v>699</v>
      </c>
      <c r="BN918" s="863">
        <v>796</v>
      </c>
      <c r="BO918" s="863">
        <v>1312</v>
      </c>
      <c r="BP918" s="863">
        <v>2135</v>
      </c>
      <c r="BQ918" s="854">
        <f>2576-BQ917</f>
        <v>2481</v>
      </c>
      <c r="BR918" s="854">
        <f>2759-BR917</f>
        <v>2567</v>
      </c>
      <c r="BS918" s="854">
        <f>2758-BS917</f>
        <v>2621</v>
      </c>
      <c r="BT918" s="854">
        <f>2751-BT917</f>
        <v>2636</v>
      </c>
      <c r="BU918" s="854">
        <f>6583-BU917</f>
        <v>5962</v>
      </c>
      <c r="BV918" s="854">
        <f>6794-BV917</f>
        <v>5928</v>
      </c>
      <c r="BW918" s="855">
        <f>13017-BW917-BW915</f>
        <v>10906</v>
      </c>
      <c r="BX918" s="854">
        <f t="shared" si="1175"/>
        <v>11927</v>
      </c>
      <c r="BY918" s="854">
        <f t="shared" si="1176"/>
        <v>11927</v>
      </c>
      <c r="BZ918" s="854">
        <f>BY918-BZ195</f>
        <v>11927</v>
      </c>
      <c r="CA918" s="854">
        <f>BZ918-CA195</f>
        <v>11927</v>
      </c>
      <c r="CB918" s="854">
        <f>CA918-CB195</f>
        <v>11927</v>
      </c>
      <c r="CC918" s="117"/>
    </row>
    <row r="919" spans="1:81" x14ac:dyDescent="0.55000000000000004">
      <c r="A919" s="20" t="s">
        <v>195</v>
      </c>
      <c r="B919" s="195"/>
      <c r="C919" s="5">
        <f t="shared" ref="C919:AH919" si="1181">SUM(C912:C918)</f>
        <v>4121</v>
      </c>
      <c r="D919" s="5">
        <f t="shared" si="1181"/>
        <v>4303</v>
      </c>
      <c r="E919" s="5">
        <f t="shared" si="1181"/>
        <v>4384</v>
      </c>
      <c r="F919" s="5">
        <f t="shared" si="1181"/>
        <v>4825</v>
      </c>
      <c r="G919" s="5">
        <f t="shared" si="1181"/>
        <v>4968</v>
      </c>
      <c r="H919" s="5">
        <f t="shared" si="1181"/>
        <v>5212</v>
      </c>
      <c r="I919" s="5">
        <f t="shared" si="1181"/>
        <v>8073</v>
      </c>
      <c r="J919" s="5">
        <f t="shared" si="1181"/>
        <v>26576</v>
      </c>
      <c r="K919" s="5">
        <f t="shared" si="1181"/>
        <v>27003</v>
      </c>
      <c r="L919" s="5">
        <f t="shared" si="1181"/>
        <v>27179</v>
      </c>
      <c r="M919" s="5">
        <f t="shared" si="1181"/>
        <v>27330</v>
      </c>
      <c r="N919" s="5">
        <f t="shared" si="1181"/>
        <v>27755</v>
      </c>
      <c r="O919" s="5">
        <f t="shared" si="1181"/>
        <v>28449</v>
      </c>
      <c r="P919" s="5">
        <f t="shared" si="1181"/>
        <v>28961</v>
      </c>
      <c r="Q919" s="5">
        <f t="shared" si="1181"/>
        <v>29676</v>
      </c>
      <c r="R919" s="33">
        <f t="shared" si="1181"/>
        <v>30560</v>
      </c>
      <c r="S919" s="5">
        <f t="shared" si="1181"/>
        <v>31784</v>
      </c>
      <c r="T919" s="5">
        <f t="shared" si="1181"/>
        <v>33039</v>
      </c>
      <c r="U919" s="5">
        <f t="shared" si="1181"/>
        <v>34795</v>
      </c>
      <c r="V919" s="33">
        <f t="shared" si="1181"/>
        <v>35961</v>
      </c>
      <c r="W919" s="5">
        <f t="shared" si="1181"/>
        <v>38533</v>
      </c>
      <c r="X919" s="5">
        <f t="shared" si="1181"/>
        <v>40458</v>
      </c>
      <c r="Y919" s="5">
        <f t="shared" si="1181"/>
        <v>43305</v>
      </c>
      <c r="Z919" s="33">
        <f t="shared" si="1181"/>
        <v>46854</v>
      </c>
      <c r="AA919" s="5">
        <f t="shared" si="1181"/>
        <v>56177</v>
      </c>
      <c r="AB919" s="5">
        <f t="shared" si="1181"/>
        <v>59045</v>
      </c>
      <c r="AC919" s="5">
        <f t="shared" si="1181"/>
        <v>62339</v>
      </c>
      <c r="AD919" s="33">
        <f t="shared" si="1181"/>
        <v>67151</v>
      </c>
      <c r="AE919" s="5">
        <f t="shared" si="1181"/>
        <v>69022</v>
      </c>
      <c r="AF919" s="5">
        <f t="shared" si="1181"/>
        <v>71561</v>
      </c>
      <c r="AG919" s="5">
        <f t="shared" si="1181"/>
        <v>80638</v>
      </c>
      <c r="AH919" s="33">
        <f t="shared" si="1181"/>
        <v>83646</v>
      </c>
      <c r="AI919" s="5">
        <f t="shared" ref="AI919:BF919" si="1182">SUM(AI912:AI918)</f>
        <v>86201</v>
      </c>
      <c r="AJ919" s="5">
        <f t="shared" si="1182"/>
        <v>89912</v>
      </c>
      <c r="AK919" s="5">
        <f t="shared" si="1182"/>
        <v>94164</v>
      </c>
      <c r="AL919" s="33">
        <f t="shared" si="1182"/>
        <v>99321</v>
      </c>
      <c r="AM919" s="5">
        <f t="shared" si="1182"/>
        <v>104953</v>
      </c>
      <c r="AN919" s="5">
        <f t="shared" si="1182"/>
        <v>113792</v>
      </c>
      <c r="AO919" s="5">
        <f t="shared" si="1182"/>
        <v>120579</v>
      </c>
      <c r="AP919" s="33">
        <f t="shared" si="1182"/>
        <v>126178</v>
      </c>
      <c r="AQ919" s="5">
        <f t="shared" si="1182"/>
        <v>132008</v>
      </c>
      <c r="AR919" s="5">
        <f t="shared" si="1182"/>
        <v>137128</v>
      </c>
      <c r="AS919" s="5">
        <f t="shared" si="1182"/>
        <v>137896</v>
      </c>
      <c r="AT919" s="33">
        <f t="shared" si="1182"/>
        <v>144258</v>
      </c>
      <c r="AU919" s="5">
        <f t="shared" si="1182"/>
        <v>147514</v>
      </c>
      <c r="AV919" s="5">
        <f t="shared" si="1182"/>
        <v>153807</v>
      </c>
      <c r="AW919" s="5">
        <f t="shared" si="1182"/>
        <v>165341</v>
      </c>
      <c r="AX919" s="33">
        <f t="shared" si="1182"/>
        <v>176009</v>
      </c>
      <c r="AY919" s="409">
        <f t="shared" si="1182"/>
        <v>189986</v>
      </c>
      <c r="AZ919" s="33">
        <f t="shared" si="1182"/>
        <v>201407.40458904108</v>
      </c>
      <c r="BA919" s="33">
        <f t="shared" si="1182"/>
        <v>212419.86684086695</v>
      </c>
      <c r="BB919" s="33">
        <f t="shared" si="1182"/>
        <v>223082.60226584415</v>
      </c>
      <c r="BC919" s="33">
        <f t="shared" si="1182"/>
        <v>227996.99063649942</v>
      </c>
      <c r="BD919" s="33">
        <f t="shared" si="1182"/>
        <v>232699.31207167188</v>
      </c>
      <c r="BE919" s="33">
        <f t="shared" si="1182"/>
        <v>237192.92275190237</v>
      </c>
      <c r="BF919" s="33">
        <f t="shared" si="1182"/>
        <v>241543.78090447828</v>
      </c>
      <c r="BG919" s="33"/>
      <c r="BH919" s="834">
        <f t="shared" ref="BH919:CB919" si="1183">SUM(BH912:BH918)</f>
        <v>0</v>
      </c>
      <c r="BI919" s="834">
        <f t="shared" si="1183"/>
        <v>744</v>
      </c>
      <c r="BJ919" s="834">
        <f t="shared" si="1183"/>
        <v>1727</v>
      </c>
      <c r="BK919" s="834">
        <f t="shared" si="1183"/>
        <v>3836</v>
      </c>
      <c r="BL919" s="834">
        <f t="shared" si="1183"/>
        <v>4825</v>
      </c>
      <c r="BM919" s="834">
        <f t="shared" si="1183"/>
        <v>26576</v>
      </c>
      <c r="BN919" s="834">
        <f t="shared" si="1183"/>
        <v>27755</v>
      </c>
      <c r="BO919" s="833">
        <f t="shared" si="1183"/>
        <v>30560</v>
      </c>
      <c r="BP919" s="833">
        <f t="shared" si="1183"/>
        <v>35961</v>
      </c>
      <c r="BQ919" s="833">
        <f t="shared" si="1183"/>
        <v>46854</v>
      </c>
      <c r="BR919" s="833">
        <f t="shared" si="1183"/>
        <v>67151</v>
      </c>
      <c r="BS919" s="833">
        <f t="shared" si="1183"/>
        <v>83646</v>
      </c>
      <c r="BT919" s="833">
        <f t="shared" si="1183"/>
        <v>99321</v>
      </c>
      <c r="BU919" s="833">
        <f t="shared" si="1183"/>
        <v>126178</v>
      </c>
      <c r="BV919" s="833">
        <f t="shared" si="1183"/>
        <v>144258</v>
      </c>
      <c r="BW919" s="835">
        <f t="shared" si="1183"/>
        <v>176009</v>
      </c>
      <c r="BX919" s="833">
        <f t="shared" si="1183"/>
        <v>223082.60226584415</v>
      </c>
      <c r="BY919" s="833">
        <f t="shared" si="1183"/>
        <v>241543.78090447828</v>
      </c>
      <c r="BZ919" s="833">
        <f t="shared" si="1183"/>
        <v>258586.38560296508</v>
      </c>
      <c r="CA919" s="833">
        <f t="shared" si="1183"/>
        <v>273481.54879806261</v>
      </c>
      <c r="CB919" s="833">
        <f t="shared" si="1183"/>
        <v>286500.78154258872</v>
      </c>
      <c r="CC919" s="6"/>
    </row>
    <row r="920" spans="1:81" x14ac:dyDescent="0.55000000000000004">
      <c r="A920" s="19" t="s">
        <v>196</v>
      </c>
      <c r="B920" s="193"/>
      <c r="C920" s="6">
        <f t="shared" ref="C920:AH920" si="1184">C909+C919</f>
        <v>15163</v>
      </c>
      <c r="D920" s="6">
        <f t="shared" si="1184"/>
        <v>15724</v>
      </c>
      <c r="E920" s="6">
        <f t="shared" si="1184"/>
        <v>14933</v>
      </c>
      <c r="F920" s="6">
        <f t="shared" si="1184"/>
        <v>17895</v>
      </c>
      <c r="G920" s="6">
        <f t="shared" si="1184"/>
        <v>19028</v>
      </c>
      <c r="H920" s="6">
        <f t="shared" si="1184"/>
        <v>20769</v>
      </c>
      <c r="I920" s="6">
        <f t="shared" si="1184"/>
        <v>24188</v>
      </c>
      <c r="J920" s="6">
        <f t="shared" si="1184"/>
        <v>39966</v>
      </c>
      <c r="K920" s="6">
        <f t="shared" si="1184"/>
        <v>42007</v>
      </c>
      <c r="L920" s="6">
        <f t="shared" si="1184"/>
        <v>44130</v>
      </c>
      <c r="M920" s="6">
        <f t="shared" si="1184"/>
        <v>46469</v>
      </c>
      <c r="N920" s="6">
        <f t="shared" si="1184"/>
        <v>49407</v>
      </c>
      <c r="O920" s="6">
        <f t="shared" si="1184"/>
        <v>52262</v>
      </c>
      <c r="P920" s="6">
        <f t="shared" si="1184"/>
        <v>55968</v>
      </c>
      <c r="Q920" s="6">
        <f t="shared" si="1184"/>
        <v>60007</v>
      </c>
      <c r="R920" s="35">
        <f t="shared" si="1184"/>
        <v>64961</v>
      </c>
      <c r="S920" s="6">
        <f t="shared" si="1184"/>
        <v>68714</v>
      </c>
      <c r="T920" s="6">
        <f t="shared" si="1184"/>
        <v>73843</v>
      </c>
      <c r="U920" s="6">
        <f t="shared" si="1184"/>
        <v>78998</v>
      </c>
      <c r="V920" s="35">
        <f t="shared" si="1184"/>
        <v>84524</v>
      </c>
      <c r="W920" s="6">
        <f t="shared" si="1184"/>
        <v>88945</v>
      </c>
      <c r="X920" s="6">
        <f t="shared" si="1184"/>
        <v>90291</v>
      </c>
      <c r="Y920" s="6">
        <f t="shared" si="1184"/>
        <v>92452</v>
      </c>
      <c r="Z920" s="35">
        <f t="shared" si="1184"/>
        <v>97334</v>
      </c>
      <c r="AA920" s="6">
        <f t="shared" si="1184"/>
        <v>109477</v>
      </c>
      <c r="AB920" s="6">
        <f t="shared" si="1184"/>
        <v>117006</v>
      </c>
      <c r="AC920" s="6">
        <f t="shared" si="1184"/>
        <v>124418</v>
      </c>
      <c r="AD920" s="35">
        <f t="shared" si="1184"/>
        <v>133376</v>
      </c>
      <c r="AE920" s="6">
        <f t="shared" si="1184"/>
        <v>138371</v>
      </c>
      <c r="AF920" s="6">
        <f t="shared" si="1184"/>
        <v>139691</v>
      </c>
      <c r="AG920" s="6">
        <f t="shared" si="1184"/>
        <v>146437</v>
      </c>
      <c r="AH920" s="35">
        <f t="shared" si="1184"/>
        <v>159316</v>
      </c>
      <c r="AI920" s="6">
        <f t="shared" ref="AI920:BF920" si="1185">AI909+AI919</f>
        <v>163523</v>
      </c>
      <c r="AJ920" s="6">
        <f t="shared" si="1185"/>
        <v>170609</v>
      </c>
      <c r="AK920" s="6">
        <f t="shared" si="1185"/>
        <v>169585</v>
      </c>
      <c r="AL920" s="35">
        <f t="shared" si="1185"/>
        <v>165987</v>
      </c>
      <c r="AM920" s="6">
        <f t="shared" si="1185"/>
        <v>164218</v>
      </c>
      <c r="AN920" s="6">
        <f t="shared" si="1185"/>
        <v>169779</v>
      </c>
      <c r="AO920" s="6">
        <f t="shared" si="1185"/>
        <v>178894</v>
      </c>
      <c r="AP920" s="35">
        <f t="shared" si="1185"/>
        <v>185727</v>
      </c>
      <c r="AQ920" s="6">
        <f t="shared" si="1185"/>
        <v>184491</v>
      </c>
      <c r="AR920" s="6">
        <f t="shared" si="1185"/>
        <v>206688</v>
      </c>
      <c r="AS920" s="6">
        <f t="shared" si="1185"/>
        <v>216274</v>
      </c>
      <c r="AT920" s="35">
        <f t="shared" si="1185"/>
        <v>229623</v>
      </c>
      <c r="AU920" s="6">
        <f t="shared" si="1185"/>
        <v>222844</v>
      </c>
      <c r="AV920" s="6">
        <f t="shared" si="1185"/>
        <v>230238</v>
      </c>
      <c r="AW920" s="6">
        <f t="shared" si="1185"/>
        <v>256408</v>
      </c>
      <c r="AX920" s="35">
        <f t="shared" si="1185"/>
        <v>276054</v>
      </c>
      <c r="AY920" s="272">
        <f t="shared" si="1185"/>
        <v>280213</v>
      </c>
      <c r="AZ920" s="35">
        <f t="shared" ca="1" si="1185"/>
        <v>300438.60311457916</v>
      </c>
      <c r="BA920" s="35">
        <f t="shared" ca="1" si="1185"/>
        <v>322288.64751922089</v>
      </c>
      <c r="BB920" s="35">
        <f t="shared" ca="1" si="1185"/>
        <v>345859.95684995677</v>
      </c>
      <c r="BC920" s="35">
        <f t="shared" ca="1" si="1185"/>
        <v>373149.13821714307</v>
      </c>
      <c r="BD920" s="35">
        <f t="shared" ca="1" si="1185"/>
        <v>400789.3691509018</v>
      </c>
      <c r="BE920" s="35">
        <f t="shared" ca="1" si="1185"/>
        <v>429819.08569970517</v>
      </c>
      <c r="BF920" s="35">
        <f t="shared" ca="1" si="1185"/>
        <v>460328.02894977853</v>
      </c>
      <c r="BG920" s="35"/>
      <c r="BH920" s="813">
        <f t="shared" ref="BH920:CB920" si="1186">BH909+BH919</f>
        <v>0</v>
      </c>
      <c r="BI920" s="813">
        <f t="shared" si="1186"/>
        <v>2990</v>
      </c>
      <c r="BJ920" s="813">
        <f t="shared" si="1186"/>
        <v>6331</v>
      </c>
      <c r="BK920" s="813">
        <f t="shared" si="1186"/>
        <v>15103</v>
      </c>
      <c r="BL920" s="813">
        <f t="shared" si="1186"/>
        <v>17895</v>
      </c>
      <c r="BM920" s="813">
        <f t="shared" si="1186"/>
        <v>39966</v>
      </c>
      <c r="BN920" s="813">
        <f t="shared" si="1186"/>
        <v>49407</v>
      </c>
      <c r="BO920" s="812">
        <f t="shared" si="1186"/>
        <v>64961</v>
      </c>
      <c r="BP920" s="812">
        <f t="shared" si="1186"/>
        <v>84524</v>
      </c>
      <c r="BQ920" s="812">
        <f t="shared" si="1186"/>
        <v>97334</v>
      </c>
      <c r="BR920" s="812">
        <f t="shared" si="1186"/>
        <v>133376</v>
      </c>
      <c r="BS920" s="812">
        <f t="shared" si="1186"/>
        <v>159316</v>
      </c>
      <c r="BT920" s="812">
        <f t="shared" si="1186"/>
        <v>165987</v>
      </c>
      <c r="BU920" s="812">
        <f t="shared" si="1186"/>
        <v>185727</v>
      </c>
      <c r="BV920" s="812">
        <f t="shared" si="1186"/>
        <v>229623</v>
      </c>
      <c r="BW920" s="814">
        <f t="shared" si="1186"/>
        <v>276054</v>
      </c>
      <c r="BX920" s="812">
        <f t="shared" ca="1" si="1186"/>
        <v>345859.95684995677</v>
      </c>
      <c r="BY920" s="812">
        <f t="shared" ca="1" si="1186"/>
        <v>460328.02894977853</v>
      </c>
      <c r="BZ920" s="812">
        <f t="shared" ca="1" si="1186"/>
        <v>584026.3541096102</v>
      </c>
      <c r="CA920" s="812">
        <f t="shared" ca="1" si="1186"/>
        <v>711849.50592137943</v>
      </c>
      <c r="CB920" s="812">
        <f t="shared" ca="1" si="1186"/>
        <v>856648.66091555951</v>
      </c>
      <c r="CC920" s="6"/>
    </row>
    <row r="921" spans="1:81" x14ac:dyDescent="0.55000000000000004">
      <c r="A921" s="192"/>
      <c r="B921" s="193"/>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s="272"/>
      <c r="AZ921" s="35"/>
      <c r="BA921" s="35"/>
      <c r="BB921" s="35"/>
      <c r="BC921" s="35"/>
      <c r="BD921" s="35"/>
      <c r="BE921" s="35"/>
      <c r="BF921" s="35"/>
      <c r="BG921" s="35"/>
      <c r="BH921" s="812"/>
      <c r="BI921" s="812"/>
      <c r="BJ921" s="812"/>
      <c r="BK921" s="812"/>
      <c r="BL921" s="812"/>
      <c r="BM921" s="812"/>
      <c r="BN921" s="812"/>
      <c r="BO921" s="812"/>
      <c r="BP921" s="812"/>
      <c r="BQ921" s="812"/>
      <c r="BR921" s="812"/>
      <c r="BS921" s="812"/>
      <c r="BT921" s="812"/>
      <c r="BU921" s="812"/>
      <c r="BV921" s="812"/>
      <c r="BW921" s="814"/>
      <c r="BX921" s="812"/>
      <c r="BY921" s="812"/>
      <c r="BZ921" s="812"/>
      <c r="CA921" s="812"/>
      <c r="CB921" s="812"/>
      <c r="CC921" s="6"/>
    </row>
    <row r="922" spans="1:81" x14ac:dyDescent="0.55000000000000004">
      <c r="A922" s="19" t="s">
        <v>197</v>
      </c>
      <c r="B922" s="193"/>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s="272"/>
      <c r="AZ922" s="35"/>
      <c r="BA922" s="35"/>
      <c r="BB922" s="35"/>
      <c r="BC922" s="35"/>
      <c r="BD922" s="35"/>
      <c r="BE922" s="35"/>
      <c r="BF922" s="35"/>
      <c r="BG922" s="35"/>
      <c r="BH922" s="812"/>
      <c r="BI922" s="812"/>
      <c r="BJ922" s="812"/>
      <c r="BK922" s="812"/>
      <c r="BL922" s="812"/>
      <c r="BM922" s="812"/>
      <c r="BN922" s="812"/>
      <c r="BO922" s="812"/>
      <c r="BP922" s="812"/>
      <c r="BQ922" s="812"/>
      <c r="BR922" s="812"/>
      <c r="BS922" s="812"/>
      <c r="BT922" s="812"/>
      <c r="BU922" s="812"/>
      <c r="BV922" s="812"/>
      <c r="BW922" s="814"/>
      <c r="BX922" s="812"/>
      <c r="BY922" s="812"/>
      <c r="BZ922" s="812"/>
      <c r="CA922" s="812"/>
      <c r="CB922" s="812"/>
      <c r="CC922" s="6"/>
    </row>
    <row r="923" spans="1:81" x14ac:dyDescent="0.55000000000000004">
      <c r="A923" s="116" t="s">
        <v>141</v>
      </c>
      <c r="B923" s="87"/>
      <c r="C923" s="759">
        <v>75</v>
      </c>
      <c r="D923" s="759">
        <v>55</v>
      </c>
      <c r="E923" s="759">
        <v>36</v>
      </c>
      <c r="F923" s="759">
        <v>87</v>
      </c>
      <c r="G923" s="759">
        <v>85</v>
      </c>
      <c r="H923" s="759">
        <v>146</v>
      </c>
      <c r="I923" s="759">
        <v>120</v>
      </c>
      <c r="J923" s="759">
        <v>176</v>
      </c>
      <c r="K923" s="759">
        <v>129</v>
      </c>
      <c r="L923" s="759">
        <v>139</v>
      </c>
      <c r="M923" s="759">
        <v>149</v>
      </c>
      <c r="N923" s="759">
        <v>196</v>
      </c>
      <c r="O923" s="759">
        <v>149</v>
      </c>
      <c r="P923" s="759">
        <v>130</v>
      </c>
      <c r="Q923" s="759">
        <v>260</v>
      </c>
      <c r="R923" s="37">
        <f>BO923</f>
        <v>302</v>
      </c>
      <c r="S923" s="759">
        <v>170</v>
      </c>
      <c r="T923" s="759">
        <v>323</v>
      </c>
      <c r="U923" s="759">
        <v>383</v>
      </c>
      <c r="V923" s="37">
        <f>BP923</f>
        <v>380</v>
      </c>
      <c r="W923" s="759">
        <v>593</v>
      </c>
      <c r="X923" s="759">
        <v>419</v>
      </c>
      <c r="Y923" s="759">
        <v>590</v>
      </c>
      <c r="Z923" s="37">
        <f>BQ923</f>
        <v>820</v>
      </c>
      <c r="AA923" s="759">
        <v>604</v>
      </c>
      <c r="AB923" s="759">
        <v>655</v>
      </c>
      <c r="AC923" s="759">
        <v>860</v>
      </c>
      <c r="AD923" s="37">
        <f>BR923</f>
        <v>1363</v>
      </c>
      <c r="AE923" s="759">
        <v>829</v>
      </c>
      <c r="AF923" s="759">
        <v>920</v>
      </c>
      <c r="AG923" s="759">
        <v>1106</v>
      </c>
      <c r="AH923" s="37">
        <f>BS923</f>
        <v>1331</v>
      </c>
      <c r="AI923" s="759">
        <v>878</v>
      </c>
      <c r="AJ923" s="759">
        <v>973</v>
      </c>
      <c r="AK923" s="759">
        <v>2195</v>
      </c>
      <c r="AL923" s="37">
        <f>BT923</f>
        <v>4083</v>
      </c>
      <c r="AM923" s="759">
        <v>3246</v>
      </c>
      <c r="AN923" s="759">
        <v>4008</v>
      </c>
      <c r="AO923" s="759">
        <v>3871</v>
      </c>
      <c r="AP923" s="37">
        <f>BU923</f>
        <v>4990</v>
      </c>
      <c r="AQ923" s="759">
        <v>3672</v>
      </c>
      <c r="AR923" s="759">
        <v>3093</v>
      </c>
      <c r="AS923" s="759">
        <v>4372</v>
      </c>
      <c r="AT923" s="37">
        <f t="shared" ref="AT923:AT930" si="1187">BV923</f>
        <v>4849</v>
      </c>
      <c r="AU923" s="759">
        <v>3785</v>
      </c>
      <c r="AV923" s="759">
        <v>3173</v>
      </c>
      <c r="AW923" s="759">
        <v>7656</v>
      </c>
      <c r="AX923" s="37">
        <f t="shared" ref="AX923:AX934" si="1188">BW923</f>
        <v>7687</v>
      </c>
      <c r="AY923" s="762">
        <v>8512</v>
      </c>
      <c r="AZ923" s="37">
        <f t="shared" ref="AZ923:BB925" si="1189">AY923</f>
        <v>8512</v>
      </c>
      <c r="BA923" s="37">
        <f t="shared" si="1189"/>
        <v>8512</v>
      </c>
      <c r="BB923" s="37">
        <f t="shared" si="1189"/>
        <v>8512</v>
      </c>
      <c r="BC923" s="37">
        <f>BX923</f>
        <v>8512</v>
      </c>
      <c r="BD923" s="37">
        <f t="shared" ref="BD923:BF925" si="1190">BC923</f>
        <v>8512</v>
      </c>
      <c r="BE923" s="37">
        <f t="shared" si="1190"/>
        <v>8512</v>
      </c>
      <c r="BF923" s="37">
        <f t="shared" si="1190"/>
        <v>8512</v>
      </c>
      <c r="BG923" s="37"/>
      <c r="BH923" s="158"/>
      <c r="BI923" s="857">
        <v>29</v>
      </c>
      <c r="BJ923" s="857">
        <v>63</v>
      </c>
      <c r="BK923" s="857">
        <v>65</v>
      </c>
      <c r="BL923" s="857">
        <v>87</v>
      </c>
      <c r="BM923" s="857">
        <v>176</v>
      </c>
      <c r="BN923" s="857">
        <v>196</v>
      </c>
      <c r="BO923" s="857">
        <v>302</v>
      </c>
      <c r="BP923" s="857">
        <v>380</v>
      </c>
      <c r="BQ923" s="857">
        <v>820</v>
      </c>
      <c r="BR923" s="857">
        <v>1363</v>
      </c>
      <c r="BS923" s="857">
        <v>1331</v>
      </c>
      <c r="BT923" s="857">
        <v>4083</v>
      </c>
      <c r="BU923" s="857">
        <v>4990</v>
      </c>
      <c r="BV923" s="857">
        <v>4849</v>
      </c>
      <c r="BW923" s="862">
        <v>7687</v>
      </c>
      <c r="BX923" s="158">
        <f>BB923</f>
        <v>8512</v>
      </c>
      <c r="BY923" s="158">
        <f>BF923</f>
        <v>8512</v>
      </c>
      <c r="BZ923" s="158">
        <f t="shared" ref="BZ923:CB925" si="1191">BY923</f>
        <v>8512</v>
      </c>
      <c r="CA923" s="158">
        <f t="shared" si="1191"/>
        <v>8512</v>
      </c>
      <c r="CB923" s="158">
        <f t="shared" si="1191"/>
        <v>8512</v>
      </c>
      <c r="CC923" s="117"/>
    </row>
    <row r="924" spans="1:81" x14ac:dyDescent="0.55000000000000004">
      <c r="A924" s="116" t="s">
        <v>142</v>
      </c>
      <c r="B924" s="87"/>
      <c r="C924" s="759">
        <v>190</v>
      </c>
      <c r="D924" s="759">
        <v>172</v>
      </c>
      <c r="E924" s="759">
        <v>171</v>
      </c>
      <c r="F924" s="759">
        <v>181</v>
      </c>
      <c r="G924" s="759">
        <v>188</v>
      </c>
      <c r="H924" s="759">
        <v>176</v>
      </c>
      <c r="I924" s="759">
        <v>208</v>
      </c>
      <c r="J924" s="759">
        <v>202</v>
      </c>
      <c r="K924" s="759">
        <v>189</v>
      </c>
      <c r="L924" s="759">
        <v>182</v>
      </c>
      <c r="M924" s="759">
        <v>241</v>
      </c>
      <c r="N924" s="759">
        <v>217</v>
      </c>
      <c r="O924" s="759">
        <v>216</v>
      </c>
      <c r="P924" s="759">
        <v>232</v>
      </c>
      <c r="Q924" s="759">
        <v>239</v>
      </c>
      <c r="R924" s="37">
        <f>BO924</f>
        <v>280</v>
      </c>
      <c r="S924" s="759">
        <v>278</v>
      </c>
      <c r="T924" s="759">
        <v>278</v>
      </c>
      <c r="U924" s="759">
        <v>314</v>
      </c>
      <c r="V924" s="37">
        <f>BP924</f>
        <v>390</v>
      </c>
      <c r="W924" s="759">
        <v>396</v>
      </c>
      <c r="X924" s="759">
        <v>440</v>
      </c>
      <c r="Y924" s="759">
        <v>502</v>
      </c>
      <c r="Z924" s="37">
        <f>BQ924</f>
        <v>541</v>
      </c>
      <c r="AA924" s="759">
        <v>537</v>
      </c>
      <c r="AB924" s="759">
        <v>560</v>
      </c>
      <c r="AC924" s="759">
        <v>590</v>
      </c>
      <c r="AD924" s="37">
        <f>BR924</f>
        <v>886</v>
      </c>
      <c r="AE924" s="759">
        <v>712</v>
      </c>
      <c r="AF924" s="759">
        <v>729</v>
      </c>
      <c r="AG924" s="759">
        <v>800</v>
      </c>
      <c r="AH924" s="37">
        <f>BS924</f>
        <v>1093</v>
      </c>
      <c r="AI924" s="759">
        <v>1006</v>
      </c>
      <c r="AJ924" s="759">
        <v>949</v>
      </c>
      <c r="AK924" s="759">
        <v>909</v>
      </c>
      <c r="AL924" s="37">
        <f>BT924</f>
        <v>1052</v>
      </c>
      <c r="AM924" s="759">
        <v>935</v>
      </c>
      <c r="AN924" s="759">
        <v>982</v>
      </c>
      <c r="AO924" s="759">
        <v>975</v>
      </c>
      <c r="AP924" s="37">
        <f>BU924</f>
        <v>1117</v>
      </c>
      <c r="AQ924" s="759">
        <v>885</v>
      </c>
      <c r="AR924" s="759">
        <v>772</v>
      </c>
      <c r="AS924" s="759">
        <v>770</v>
      </c>
      <c r="AT924" s="37">
        <f t="shared" si="1187"/>
        <v>863</v>
      </c>
      <c r="AU924" s="37"/>
      <c r="AV924" s="37"/>
      <c r="AW924" s="37"/>
      <c r="AX924" s="37">
        <f t="shared" si="1188"/>
        <v>0</v>
      </c>
      <c r="AY924" s="273"/>
      <c r="AZ924" s="37">
        <f t="shared" si="1189"/>
        <v>0</v>
      </c>
      <c r="BA924" s="37">
        <f t="shared" si="1189"/>
        <v>0</v>
      </c>
      <c r="BB924" s="37">
        <f t="shared" si="1189"/>
        <v>0</v>
      </c>
      <c r="BC924" s="37">
        <f>BX924</f>
        <v>0</v>
      </c>
      <c r="BD924" s="37">
        <f t="shared" si="1190"/>
        <v>0</v>
      </c>
      <c r="BE924" s="37">
        <f t="shared" si="1190"/>
        <v>0</v>
      </c>
      <c r="BF924" s="37">
        <f t="shared" si="1190"/>
        <v>0</v>
      </c>
      <c r="BG924" s="37"/>
      <c r="BH924" s="158"/>
      <c r="BI924" s="857">
        <v>75</v>
      </c>
      <c r="BJ924" s="857">
        <v>171</v>
      </c>
      <c r="BK924" s="857">
        <v>169</v>
      </c>
      <c r="BL924" s="857">
        <v>181</v>
      </c>
      <c r="BM924" s="857">
        <v>202</v>
      </c>
      <c r="BN924" s="857">
        <v>217</v>
      </c>
      <c r="BO924" s="857">
        <v>280</v>
      </c>
      <c r="BP924" s="857">
        <v>390</v>
      </c>
      <c r="BQ924" s="857">
        <v>541</v>
      </c>
      <c r="BR924" s="857">
        <v>886</v>
      </c>
      <c r="BS924" s="857">
        <v>1093</v>
      </c>
      <c r="BT924" s="857">
        <v>1052</v>
      </c>
      <c r="BU924" s="857">
        <v>1117</v>
      </c>
      <c r="BV924" s="857">
        <v>863</v>
      </c>
      <c r="BW924" s="846"/>
      <c r="BX924" s="158">
        <f>BB924</f>
        <v>0</v>
      </c>
      <c r="BY924" s="158">
        <f>BF924</f>
        <v>0</v>
      </c>
      <c r="BZ924" s="158">
        <f t="shared" si="1191"/>
        <v>0</v>
      </c>
      <c r="CA924" s="158">
        <f t="shared" si="1191"/>
        <v>0</v>
      </c>
      <c r="CB924" s="158">
        <f t="shared" si="1191"/>
        <v>0</v>
      </c>
      <c r="CC924" s="117"/>
    </row>
    <row r="925" spans="1:81" x14ac:dyDescent="0.55000000000000004">
      <c r="A925" s="116" t="s">
        <v>347</v>
      </c>
      <c r="B925" s="8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759">
        <v>645</v>
      </c>
      <c r="AB925" s="759">
        <v>688</v>
      </c>
      <c r="AC925" s="759">
        <v>776</v>
      </c>
      <c r="AD925" s="37">
        <f>BR925</f>
        <v>800</v>
      </c>
      <c r="AE925" s="759">
        <v>835</v>
      </c>
      <c r="AF925" s="759">
        <v>899</v>
      </c>
      <c r="AG925" s="759">
        <v>975</v>
      </c>
      <c r="AH925" s="37">
        <f>BS925</f>
        <v>1023</v>
      </c>
      <c r="AI925" s="759">
        <v>1040</v>
      </c>
      <c r="AJ925" s="759">
        <v>1051</v>
      </c>
      <c r="AK925" s="759">
        <v>1086</v>
      </c>
      <c r="AL925" s="37">
        <f>BT925</f>
        <v>1127</v>
      </c>
      <c r="AM925" s="759">
        <v>1159</v>
      </c>
      <c r="AN925" s="759">
        <v>1275</v>
      </c>
      <c r="AO925" s="759">
        <v>1291</v>
      </c>
      <c r="AP925" s="37">
        <f>BU925</f>
        <v>1367</v>
      </c>
      <c r="AQ925" s="759">
        <v>1479</v>
      </c>
      <c r="AR925" s="759">
        <v>1396</v>
      </c>
      <c r="AS925" s="759">
        <v>1460</v>
      </c>
      <c r="AT925" s="37">
        <f t="shared" si="1187"/>
        <v>1623</v>
      </c>
      <c r="AU925" s="759">
        <v>1676</v>
      </c>
      <c r="AV925" s="759">
        <v>1917</v>
      </c>
      <c r="AW925" s="759">
        <v>2016</v>
      </c>
      <c r="AX925" s="37">
        <f t="shared" si="1188"/>
        <v>1942</v>
      </c>
      <c r="AY925" s="762">
        <v>1976</v>
      </c>
      <c r="AZ925" s="37">
        <f t="shared" si="1189"/>
        <v>1976</v>
      </c>
      <c r="BA925" s="37">
        <f t="shared" si="1189"/>
        <v>1976</v>
      </c>
      <c r="BB925" s="37">
        <f t="shared" si="1189"/>
        <v>1976</v>
      </c>
      <c r="BC925" s="37">
        <f>BX925</f>
        <v>1976</v>
      </c>
      <c r="BD925" s="37">
        <f t="shared" si="1190"/>
        <v>1976</v>
      </c>
      <c r="BE925" s="37">
        <f t="shared" si="1190"/>
        <v>1976</v>
      </c>
      <c r="BF925" s="37">
        <f t="shared" si="1190"/>
        <v>1976</v>
      </c>
      <c r="BG925" s="37"/>
      <c r="BH925" s="158"/>
      <c r="BI925" s="158"/>
      <c r="BJ925" s="158"/>
      <c r="BK925" s="158"/>
      <c r="BL925" s="158"/>
      <c r="BM925" s="158"/>
      <c r="BN925" s="158"/>
      <c r="BO925" s="158"/>
      <c r="BP925" s="158"/>
      <c r="BQ925" s="158"/>
      <c r="BR925" s="857">
        <v>800</v>
      </c>
      <c r="BS925" s="857">
        <v>1023</v>
      </c>
      <c r="BT925" s="857">
        <v>1127</v>
      </c>
      <c r="BU925" s="857">
        <v>1367</v>
      </c>
      <c r="BV925" s="857">
        <v>1623</v>
      </c>
      <c r="BW925" s="862">
        <v>1942</v>
      </c>
      <c r="BX925" s="158">
        <f>BB925</f>
        <v>1976</v>
      </c>
      <c r="BY925" s="158">
        <f>BF925</f>
        <v>1976</v>
      </c>
      <c r="BZ925" s="158">
        <f t="shared" si="1191"/>
        <v>1976</v>
      </c>
      <c r="CA925" s="158">
        <f t="shared" si="1191"/>
        <v>1976</v>
      </c>
      <c r="CB925" s="158">
        <f t="shared" si="1191"/>
        <v>1976</v>
      </c>
      <c r="CC925" s="117"/>
    </row>
    <row r="926" spans="1:81" outlineLevel="1" x14ac:dyDescent="0.55000000000000004">
      <c r="A926" s="414" t="s">
        <v>1020</v>
      </c>
      <c r="B926" s="8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c r="AF926" s="37"/>
      <c r="AG926" s="37"/>
      <c r="AH926" s="37"/>
      <c r="AI926" s="37"/>
      <c r="AJ926" s="37"/>
      <c r="AK926" s="37"/>
      <c r="AL926" s="37"/>
      <c r="AM926" s="37"/>
      <c r="AN926" s="37"/>
      <c r="AO926" s="37"/>
      <c r="AP926" s="37"/>
      <c r="AQ926" s="759">
        <v>5474</v>
      </c>
      <c r="AR926" s="759">
        <v>7456</v>
      </c>
      <c r="AS926" s="759">
        <v>7119</v>
      </c>
      <c r="AT926" s="37">
        <f t="shared" si="1187"/>
        <v>6592</v>
      </c>
      <c r="AU926" s="759">
        <v>7791</v>
      </c>
      <c r="AV926" s="759">
        <v>7956</v>
      </c>
      <c r="AW926" s="759">
        <v>7480</v>
      </c>
      <c r="AX926" s="37">
        <f t="shared" si="1188"/>
        <v>5523</v>
      </c>
      <c r="AY926" s="273"/>
      <c r="AZ926" s="37"/>
      <c r="BA926" s="37"/>
      <c r="BB926" s="37"/>
      <c r="BC926" s="37"/>
      <c r="BD926" s="37"/>
      <c r="BE926" s="37"/>
      <c r="BF926" s="37"/>
      <c r="BG926" s="37"/>
      <c r="BH926" s="158"/>
      <c r="BI926" s="158"/>
      <c r="BJ926" s="158"/>
      <c r="BK926" s="158"/>
      <c r="BL926" s="158"/>
      <c r="BM926" s="158"/>
      <c r="BN926" s="158"/>
      <c r="BO926" s="158"/>
      <c r="BP926" s="158"/>
      <c r="BQ926" s="158"/>
      <c r="BR926" s="857">
        <v>5998</v>
      </c>
      <c r="BS926" s="857">
        <v>1622</v>
      </c>
      <c r="BT926" s="857">
        <v>3254</v>
      </c>
      <c r="BU926" s="857">
        <v>4795</v>
      </c>
      <c r="BV926" s="857">
        <v>6592</v>
      </c>
      <c r="BW926" s="862">
        <v>5523</v>
      </c>
      <c r="BX926" s="158"/>
      <c r="BY926" s="158"/>
      <c r="BZ926" s="158"/>
      <c r="CA926" s="158"/>
      <c r="CB926" s="158"/>
      <c r="CC926" s="117"/>
    </row>
    <row r="927" spans="1:81" outlineLevel="1" x14ac:dyDescent="0.55000000000000004">
      <c r="A927" s="414" t="s">
        <v>1021</v>
      </c>
      <c r="B927" s="8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c r="AF927" s="37"/>
      <c r="AG927" s="37"/>
      <c r="AH927" s="37"/>
      <c r="AI927" s="37"/>
      <c r="AJ927" s="37"/>
      <c r="AK927" s="37"/>
      <c r="AL927" s="37"/>
      <c r="AM927" s="37"/>
      <c r="AN927" s="37"/>
      <c r="AO927" s="37"/>
      <c r="AP927" s="37"/>
      <c r="AQ927" s="759">
        <v>3392</v>
      </c>
      <c r="AR927" s="759">
        <v>4338</v>
      </c>
      <c r="AS927" s="759">
        <v>4968</v>
      </c>
      <c r="AT927" s="37">
        <f t="shared" si="1187"/>
        <v>6659</v>
      </c>
      <c r="AU927" s="759">
        <v>3333</v>
      </c>
      <c r="AV927" s="759">
        <v>4130</v>
      </c>
      <c r="AW927" s="759">
        <v>5458</v>
      </c>
      <c r="AX927" s="37">
        <f t="shared" si="1188"/>
        <v>6350</v>
      </c>
      <c r="AY927" s="273"/>
      <c r="AZ927" s="37"/>
      <c r="BA927" s="37"/>
      <c r="BB927" s="37"/>
      <c r="BC927" s="37"/>
      <c r="BD927" s="37"/>
      <c r="BE927" s="37"/>
      <c r="BF927" s="37"/>
      <c r="BG927" s="37"/>
      <c r="BH927" s="158"/>
      <c r="BI927" s="158"/>
      <c r="BJ927" s="857">
        <v>57</v>
      </c>
      <c r="BK927" s="857">
        <v>146</v>
      </c>
      <c r="BL927" s="857">
        <v>196</v>
      </c>
      <c r="BM927" s="857">
        <v>322</v>
      </c>
      <c r="BN927" s="857">
        <v>473</v>
      </c>
      <c r="BO927" s="857">
        <v>636</v>
      </c>
      <c r="BP927" s="857">
        <v>790</v>
      </c>
      <c r="BQ927" s="857">
        <v>1203</v>
      </c>
      <c r="BR927" s="857">
        <v>1704</v>
      </c>
      <c r="BS927" s="857">
        <v>2609</v>
      </c>
      <c r="BT927" s="857">
        <v>3152</v>
      </c>
      <c r="BU927" s="857">
        <v>4591</v>
      </c>
      <c r="BV927" s="857">
        <v>6659</v>
      </c>
      <c r="BW927" s="862">
        <v>6350</v>
      </c>
      <c r="BX927" s="158"/>
      <c r="BY927" s="158"/>
      <c r="BZ927" s="158"/>
      <c r="CA927" s="158"/>
      <c r="CB927" s="158"/>
      <c r="CC927" s="117"/>
    </row>
    <row r="928" spans="1:81" outlineLevel="1" x14ac:dyDescent="0.55000000000000004">
      <c r="A928" s="414" t="s">
        <v>1022</v>
      </c>
      <c r="B928" s="8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37"/>
      <c r="AG928" s="37"/>
      <c r="AH928" s="37"/>
      <c r="AI928" s="37"/>
      <c r="AJ928" s="37"/>
      <c r="AK928" s="37"/>
      <c r="AL928" s="37"/>
      <c r="AM928" s="37"/>
      <c r="AN928" s="37"/>
      <c r="AO928" s="37"/>
      <c r="AP928" s="37"/>
      <c r="AQ928" s="759">
        <v>3589</v>
      </c>
      <c r="AR928" s="759">
        <v>5837</v>
      </c>
      <c r="AS928" s="759">
        <v>4608</v>
      </c>
      <c r="AT928" s="37">
        <f t="shared" si="1187"/>
        <v>3655</v>
      </c>
      <c r="AU928" s="759">
        <v>4863</v>
      </c>
      <c r="AV928" s="759">
        <v>2244</v>
      </c>
      <c r="AW928" s="759">
        <v>2703</v>
      </c>
      <c r="AX928" s="37">
        <f t="shared" si="1188"/>
        <v>3438</v>
      </c>
      <c r="AY928" s="273"/>
      <c r="AZ928" s="37"/>
      <c r="BA928" s="37"/>
      <c r="BB928" s="37"/>
      <c r="BC928" s="37"/>
      <c r="BD928" s="37"/>
      <c r="BE928" s="37"/>
      <c r="BF928" s="37"/>
      <c r="BG928" s="37"/>
      <c r="BH928" s="158"/>
      <c r="BI928" s="158"/>
      <c r="BJ928" s="158"/>
      <c r="BK928" s="158"/>
      <c r="BL928" s="158"/>
      <c r="BM928" s="158"/>
      <c r="BN928" s="158"/>
      <c r="BO928" s="857">
        <v>155</v>
      </c>
      <c r="BP928" s="857">
        <v>340</v>
      </c>
      <c r="BQ928" s="857">
        <v>491</v>
      </c>
      <c r="BR928" s="857">
        <v>624</v>
      </c>
      <c r="BS928" s="857">
        <v>2038</v>
      </c>
      <c r="BT928" s="857">
        <v>1256</v>
      </c>
      <c r="BU928" s="857">
        <v>2339</v>
      </c>
      <c r="BV928" s="857">
        <v>3655</v>
      </c>
      <c r="BW928" s="862">
        <v>3438</v>
      </c>
      <c r="BX928" s="158"/>
      <c r="BY928" s="158"/>
      <c r="BZ928" s="158"/>
      <c r="CA928" s="158"/>
      <c r="CB928" s="158"/>
      <c r="CC928" s="117"/>
    </row>
    <row r="929" spans="1:81" outlineLevel="1" x14ac:dyDescent="0.55000000000000004">
      <c r="A929" s="414" t="s">
        <v>1023</v>
      </c>
      <c r="B929" s="8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759">
        <v>2561</v>
      </c>
      <c r="AR929" s="759">
        <v>2306</v>
      </c>
      <c r="AS929" s="759">
        <v>2303</v>
      </c>
      <c r="AT929" s="37">
        <f t="shared" si="1187"/>
        <v>2213</v>
      </c>
      <c r="AU929" s="759">
        <v>1744</v>
      </c>
      <c r="AV929" s="759">
        <v>1822</v>
      </c>
      <c r="AW929" s="759">
        <v>2312</v>
      </c>
      <c r="AX929" s="37">
        <f t="shared" si="1188"/>
        <v>2582</v>
      </c>
      <c r="AY929" s="273"/>
      <c r="AZ929" s="37"/>
      <c r="BA929" s="37"/>
      <c r="BB929" s="37"/>
      <c r="BC929" s="37"/>
      <c r="BD929" s="37"/>
      <c r="BE929" s="37"/>
      <c r="BF929" s="37"/>
      <c r="BG929" s="37"/>
      <c r="BH929" s="158"/>
      <c r="BI929" s="158"/>
      <c r="BJ929" s="158"/>
      <c r="BK929" s="857">
        <v>46</v>
      </c>
      <c r="BL929" s="857">
        <v>87</v>
      </c>
      <c r="BM929" s="857">
        <v>164</v>
      </c>
      <c r="BN929" s="857">
        <v>192</v>
      </c>
      <c r="BO929" s="857">
        <v>331</v>
      </c>
      <c r="BP929" s="857">
        <v>685</v>
      </c>
      <c r="BQ929" s="857">
        <v>1531</v>
      </c>
      <c r="BR929" s="857">
        <v>1082</v>
      </c>
      <c r="BS929" s="857">
        <v>1414</v>
      </c>
      <c r="BT929" s="857">
        <v>1392</v>
      </c>
      <c r="BU929" s="857">
        <v>2921</v>
      </c>
      <c r="BV929" s="857">
        <v>2213</v>
      </c>
      <c r="BW929" s="862">
        <v>2582</v>
      </c>
      <c r="BX929" s="158"/>
      <c r="BY929" s="158"/>
      <c r="BZ929" s="158"/>
      <c r="CA929" s="158"/>
      <c r="CB929" s="158"/>
      <c r="CC929" s="117"/>
    </row>
    <row r="930" spans="1:81" outlineLevel="1" x14ac:dyDescent="0.55000000000000004">
      <c r="A930" s="515" t="s">
        <v>1024</v>
      </c>
      <c r="B930" s="244"/>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763">
        <v>4329</v>
      </c>
      <c r="AR930" s="763">
        <v>4723</v>
      </c>
      <c r="AS930" s="763">
        <v>4931</v>
      </c>
      <c r="AT930" s="82">
        <f t="shared" si="1187"/>
        <v>5506</v>
      </c>
      <c r="AU930" s="763">
        <v>4909</v>
      </c>
      <c r="AV930" s="763">
        <v>5762</v>
      </c>
      <c r="AW930" s="763">
        <v>5705</v>
      </c>
      <c r="AX930" s="37">
        <f t="shared" si="1188"/>
        <v>6074</v>
      </c>
      <c r="AY930" s="406"/>
      <c r="AZ930" s="82"/>
      <c r="BA930" s="82"/>
      <c r="BB930" s="82"/>
      <c r="BC930" s="82"/>
      <c r="BD930" s="82"/>
      <c r="BE930" s="82"/>
      <c r="BF930" s="82"/>
      <c r="BG930" s="82"/>
      <c r="BH930" s="854"/>
      <c r="BI930" s="854"/>
      <c r="BJ930" s="863">
        <v>239</v>
      </c>
      <c r="BK930" s="863">
        <v>231</v>
      </c>
      <c r="BL930" s="863">
        <v>272</v>
      </c>
      <c r="BM930" s="863">
        <v>380</v>
      </c>
      <c r="BN930" s="863">
        <f>201+583</f>
        <v>784</v>
      </c>
      <c r="BO930" s="863">
        <f>242+839</f>
        <v>1081</v>
      </c>
      <c r="BP930" s="863">
        <v>1077</v>
      </c>
      <c r="BQ930" s="863">
        <f>500+1784</f>
        <v>2284</v>
      </c>
      <c r="BR930" s="863">
        <v>2327</v>
      </c>
      <c r="BS930" s="863">
        <v>3469</v>
      </c>
      <c r="BT930" s="863">
        <v>5258</v>
      </c>
      <c r="BU930" s="863">
        <v>4906</v>
      </c>
      <c r="BV930" s="863">
        <v>5506</v>
      </c>
      <c r="BW930" s="864">
        <v>6074</v>
      </c>
      <c r="BX930" s="854"/>
      <c r="BY930" s="854"/>
      <c r="BZ930" s="854"/>
      <c r="CA930" s="854"/>
      <c r="CB930" s="854"/>
      <c r="CC930" s="117"/>
    </row>
    <row r="931" spans="1:81" x14ac:dyDescent="0.55000000000000004">
      <c r="A931" s="116" t="s">
        <v>143</v>
      </c>
      <c r="B931" s="87"/>
      <c r="C931" s="759">
        <v>430</v>
      </c>
      <c r="D931" s="759">
        <v>505</v>
      </c>
      <c r="E931" s="759">
        <v>453</v>
      </c>
      <c r="F931" s="117">
        <f>BL931</f>
        <v>555</v>
      </c>
      <c r="G931" s="759">
        <v>525</v>
      </c>
      <c r="H931" s="759">
        <v>666</v>
      </c>
      <c r="I931" s="759">
        <v>709</v>
      </c>
      <c r="J931" s="117">
        <f>BM931</f>
        <v>866</v>
      </c>
      <c r="K931" s="759">
        <v>1300</v>
      </c>
      <c r="L931" s="759">
        <v>1472</v>
      </c>
      <c r="M931" s="759">
        <v>1338</v>
      </c>
      <c r="N931" s="117">
        <f>BN931</f>
        <v>1449</v>
      </c>
      <c r="O931" s="759">
        <v>1387</v>
      </c>
      <c r="P931" s="759">
        <v>1762</v>
      </c>
      <c r="Q931" s="759">
        <v>2019</v>
      </c>
      <c r="R931" s="37">
        <f>BO931</f>
        <v>2203</v>
      </c>
      <c r="S931" s="759">
        <v>2400</v>
      </c>
      <c r="T931" s="759">
        <v>2626</v>
      </c>
      <c r="U931" s="759">
        <v>2503</v>
      </c>
      <c r="V931" s="37">
        <f>BP931</f>
        <v>2892</v>
      </c>
      <c r="W931" s="759">
        <v>4003</v>
      </c>
      <c r="X931" s="759">
        <v>3720</v>
      </c>
      <c r="Y931" s="759">
        <v>4255</v>
      </c>
      <c r="Z931" s="37">
        <f>BQ931</f>
        <v>5509</v>
      </c>
      <c r="AA931" s="759">
        <v>7980</v>
      </c>
      <c r="AB931" s="759">
        <v>10878</v>
      </c>
      <c r="AC931" s="759">
        <v>10877</v>
      </c>
      <c r="AD931" s="37">
        <f>BR931</f>
        <v>11735</v>
      </c>
      <c r="AE931" s="759">
        <v>12446</v>
      </c>
      <c r="AF931" s="759">
        <v>8496</v>
      </c>
      <c r="AG931" s="759">
        <v>8684</v>
      </c>
      <c r="AH931" s="37">
        <f>BS931</f>
        <v>11152</v>
      </c>
      <c r="AI931" s="759">
        <v>9411</v>
      </c>
      <c r="AJ931" s="759">
        <v>11510</v>
      </c>
      <c r="AK931" s="759">
        <v>13158</v>
      </c>
      <c r="AL931" s="37">
        <f>BT931</f>
        <v>14312</v>
      </c>
      <c r="AM931" s="759">
        <v>15226</v>
      </c>
      <c r="AN931" s="759">
        <v>15420</v>
      </c>
      <c r="AO931" s="759">
        <v>16036</v>
      </c>
      <c r="AP931" s="37">
        <f>BU931</f>
        <v>19552</v>
      </c>
      <c r="AQ931" s="117">
        <f t="shared" ref="AQ931:AW931" si="1192">SUM(AQ926:AQ930)</f>
        <v>19345</v>
      </c>
      <c r="AR931" s="117">
        <f t="shared" si="1192"/>
        <v>24660</v>
      </c>
      <c r="AS931" s="117">
        <f t="shared" si="1192"/>
        <v>23929</v>
      </c>
      <c r="AT931" s="37">
        <f t="shared" si="1192"/>
        <v>24625</v>
      </c>
      <c r="AU931" s="117">
        <f t="shared" si="1192"/>
        <v>22640</v>
      </c>
      <c r="AV931" s="117">
        <f t="shared" si="1192"/>
        <v>21914</v>
      </c>
      <c r="AW931" s="117">
        <f t="shared" si="1192"/>
        <v>23658</v>
      </c>
      <c r="AX931" s="173">
        <f t="shared" si="1188"/>
        <v>23967</v>
      </c>
      <c r="AY931" s="762">
        <v>23402</v>
      </c>
      <c r="AZ931" s="37">
        <f t="shared" ref="AZ931:BF931" si="1193">(AZ$378+AY$378+AX$378+AW$378)*AZ874</f>
        <v>25569.060702149112</v>
      </c>
      <c r="BA931" s="37">
        <f t="shared" si="1193"/>
        <v>27262.933369631177</v>
      </c>
      <c r="BB931" s="37">
        <f t="shared" si="1193"/>
        <v>27380.787797544075</v>
      </c>
      <c r="BC931" s="37">
        <f t="shared" si="1193"/>
        <v>26583.048851049844</v>
      </c>
      <c r="BD931" s="37">
        <f t="shared" si="1193"/>
        <v>29000.740681071955</v>
      </c>
      <c r="BE931" s="37">
        <f t="shared" si="1193"/>
        <v>30838.34044797358</v>
      </c>
      <c r="BF931" s="37">
        <f t="shared" si="1193"/>
        <v>30869.605653760125</v>
      </c>
      <c r="BG931" s="37"/>
      <c r="BH931" s="158"/>
      <c r="BI931" s="857">
        <v>137</v>
      </c>
      <c r="BJ931" s="876">
        <f t="shared" ref="BJ931:BW931" si="1194">SUM(BJ926:BJ930)</f>
        <v>296</v>
      </c>
      <c r="BK931" s="876">
        <f t="shared" si="1194"/>
        <v>423</v>
      </c>
      <c r="BL931" s="876">
        <f t="shared" si="1194"/>
        <v>555</v>
      </c>
      <c r="BM931" s="876">
        <f t="shared" si="1194"/>
        <v>866</v>
      </c>
      <c r="BN931" s="876">
        <f t="shared" si="1194"/>
        <v>1449</v>
      </c>
      <c r="BO931" s="158">
        <f t="shared" si="1194"/>
        <v>2203</v>
      </c>
      <c r="BP931" s="158">
        <f t="shared" si="1194"/>
        <v>2892</v>
      </c>
      <c r="BQ931" s="158">
        <f t="shared" si="1194"/>
        <v>5509</v>
      </c>
      <c r="BR931" s="158">
        <f t="shared" si="1194"/>
        <v>11735</v>
      </c>
      <c r="BS931" s="158">
        <f t="shared" si="1194"/>
        <v>11152</v>
      </c>
      <c r="BT931" s="158">
        <f t="shared" si="1194"/>
        <v>14312</v>
      </c>
      <c r="BU931" s="158">
        <f t="shared" si="1194"/>
        <v>19552</v>
      </c>
      <c r="BV931" s="158">
        <f t="shared" si="1194"/>
        <v>24625</v>
      </c>
      <c r="BW931" s="846">
        <f t="shared" si="1194"/>
        <v>23967</v>
      </c>
      <c r="BX931" s="158">
        <f>BB931</f>
        <v>27380.787797544075</v>
      </c>
      <c r="BY931" s="158">
        <f>BF931</f>
        <v>30869.605653760125</v>
      </c>
      <c r="BZ931" s="158">
        <f>BZ378*BZ874</f>
        <v>34353.794707252411</v>
      </c>
      <c r="CA931" s="158">
        <f>CA378*CA874</f>
        <v>36179.664369725004</v>
      </c>
      <c r="CB931" s="158">
        <f>CB378*CB874</f>
        <v>37980.094781033054</v>
      </c>
      <c r="CC931" s="117"/>
    </row>
    <row r="932" spans="1:81" x14ac:dyDescent="0.55000000000000004">
      <c r="A932" s="116" t="s">
        <v>144</v>
      </c>
      <c r="B932" s="87"/>
      <c r="C932" s="759">
        <v>30</v>
      </c>
      <c r="D932" s="759">
        <v>32</v>
      </c>
      <c r="E932" s="759">
        <v>36</v>
      </c>
      <c r="F932" s="117">
        <f>BL932</f>
        <v>38</v>
      </c>
      <c r="G932" s="759">
        <v>38</v>
      </c>
      <c r="H932" s="759">
        <v>53</v>
      </c>
      <c r="I932" s="759">
        <v>48</v>
      </c>
      <c r="J932" s="117">
        <f>BM932</f>
        <v>66</v>
      </c>
      <c r="K932" s="759">
        <v>55</v>
      </c>
      <c r="L932" s="759">
        <v>49</v>
      </c>
      <c r="M932" s="759">
        <v>47</v>
      </c>
      <c r="N932" s="117">
        <f>BN932</f>
        <v>56</v>
      </c>
      <c r="O932" s="759">
        <v>55</v>
      </c>
      <c r="P932" s="759">
        <v>79</v>
      </c>
      <c r="Q932" s="759">
        <v>78</v>
      </c>
      <c r="R932" s="37">
        <f>BO932</f>
        <v>90</v>
      </c>
      <c r="S932" s="759">
        <v>80</v>
      </c>
      <c r="T932" s="759">
        <v>88</v>
      </c>
      <c r="U932" s="759">
        <v>105</v>
      </c>
      <c r="V932" s="37">
        <f>BP932</f>
        <v>98</v>
      </c>
      <c r="W932" s="759">
        <v>94</v>
      </c>
      <c r="X932" s="759">
        <v>91</v>
      </c>
      <c r="Y932" s="759">
        <v>115</v>
      </c>
      <c r="Z932" s="37">
        <f>BQ932</f>
        <v>147</v>
      </c>
      <c r="AA932" s="759">
        <v>142</v>
      </c>
      <c r="AB932" s="759">
        <v>198</v>
      </c>
      <c r="AC932" s="759">
        <v>225</v>
      </c>
      <c r="AD932" s="37">
        <f>BR932</f>
        <v>269</v>
      </c>
      <c r="AE932" s="759">
        <v>247</v>
      </c>
      <c r="AF932" s="759">
        <v>264</v>
      </c>
      <c r="AG932" s="759">
        <v>379</v>
      </c>
      <c r="AH932" s="37">
        <f>BS932</f>
        <v>382</v>
      </c>
      <c r="AI932" s="759">
        <v>382</v>
      </c>
      <c r="AJ932" s="759">
        <v>391</v>
      </c>
      <c r="AK932" s="759">
        <v>464</v>
      </c>
      <c r="AL932" s="37">
        <f>BT932</f>
        <v>561</v>
      </c>
      <c r="AM932" s="759">
        <v>520</v>
      </c>
      <c r="AN932" s="759">
        <v>532</v>
      </c>
      <c r="AO932" s="759">
        <v>514</v>
      </c>
      <c r="AP932" s="37">
        <f>BU932</f>
        <v>0</v>
      </c>
      <c r="AQ932" s="37"/>
      <c r="AR932" s="37"/>
      <c r="AS932" s="37"/>
      <c r="AT932" s="37">
        <f>BV932</f>
        <v>0</v>
      </c>
      <c r="AU932" s="37"/>
      <c r="AV932" s="37"/>
      <c r="AW932" s="37"/>
      <c r="AX932" s="37">
        <f t="shared" si="1188"/>
        <v>0</v>
      </c>
      <c r="AY932" s="273"/>
      <c r="AZ932" s="37">
        <f>AY932</f>
        <v>0</v>
      </c>
      <c r="BA932" s="37">
        <f>AZ932</f>
        <v>0</v>
      </c>
      <c r="BB932" s="37">
        <f>BA932</f>
        <v>0</v>
      </c>
      <c r="BC932" s="37">
        <f>BX932</f>
        <v>0</v>
      </c>
      <c r="BD932" s="37">
        <f>BC932</f>
        <v>0</v>
      </c>
      <c r="BE932" s="37">
        <f>BD932</f>
        <v>0</v>
      </c>
      <c r="BF932" s="37">
        <f>BE932</f>
        <v>0</v>
      </c>
      <c r="BG932" s="37"/>
      <c r="BH932" s="158"/>
      <c r="BI932" s="857">
        <v>42</v>
      </c>
      <c r="BJ932" s="857">
        <v>90</v>
      </c>
      <c r="BK932" s="857">
        <v>30</v>
      </c>
      <c r="BL932" s="857">
        <v>38</v>
      </c>
      <c r="BM932" s="857">
        <v>66</v>
      </c>
      <c r="BN932" s="857">
        <v>56</v>
      </c>
      <c r="BO932" s="857">
        <v>90</v>
      </c>
      <c r="BP932" s="857">
        <v>98</v>
      </c>
      <c r="BQ932" s="857">
        <v>147</v>
      </c>
      <c r="BR932" s="857">
        <v>269</v>
      </c>
      <c r="BS932" s="857">
        <v>382</v>
      </c>
      <c r="BT932" s="857">
        <v>561</v>
      </c>
      <c r="BU932" s="158"/>
      <c r="BV932" s="158"/>
      <c r="BW932" s="846"/>
      <c r="BX932" s="158">
        <f>BB932</f>
        <v>0</v>
      </c>
      <c r="BY932" s="158">
        <f>BF932</f>
        <v>0</v>
      </c>
      <c r="BZ932" s="158">
        <f>BY932</f>
        <v>0</v>
      </c>
      <c r="CA932" s="158">
        <f>BZ932</f>
        <v>0</v>
      </c>
      <c r="CB932" s="158">
        <f>CA932</f>
        <v>0</v>
      </c>
      <c r="CC932" s="117"/>
    </row>
    <row r="933" spans="1:81" x14ac:dyDescent="0.55000000000000004">
      <c r="A933" s="116" t="s">
        <v>132</v>
      </c>
      <c r="B933" s="8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c r="AV933" s="37"/>
      <c r="AW933" s="37"/>
      <c r="AX933" s="37">
        <f t="shared" si="1188"/>
        <v>0</v>
      </c>
      <c r="AY933" s="273"/>
      <c r="AZ933" s="37">
        <f>+AY933</f>
        <v>0</v>
      </c>
      <c r="BA933" s="37">
        <f>+AZ933</f>
        <v>0</v>
      </c>
      <c r="BB933" s="37">
        <f>+BA933</f>
        <v>0</v>
      </c>
      <c r="BC933" s="37">
        <f>+BX933</f>
        <v>0</v>
      </c>
      <c r="BD933" s="37">
        <f>+BC933</f>
        <v>0</v>
      </c>
      <c r="BE933" s="37">
        <f>+BD933</f>
        <v>0</v>
      </c>
      <c r="BF933" s="37">
        <f>+BE933</f>
        <v>0</v>
      </c>
      <c r="BG933" s="37"/>
      <c r="BH933" s="158"/>
      <c r="BI933" s="158"/>
      <c r="BJ933" s="158"/>
      <c r="BK933" s="158"/>
      <c r="BL933" s="158"/>
      <c r="BM933" s="158"/>
      <c r="BN933" s="158"/>
      <c r="BO933" s="158"/>
      <c r="BP933" s="158"/>
      <c r="BQ933" s="158"/>
      <c r="BR933" s="158"/>
      <c r="BS933" s="158"/>
      <c r="BT933" s="158"/>
      <c r="BU933" s="158"/>
      <c r="BV933" s="158"/>
      <c r="BW933" s="846"/>
      <c r="BX933" s="158">
        <f>BB933</f>
        <v>0</v>
      </c>
      <c r="BY933" s="158">
        <f>BF933</f>
        <v>0</v>
      </c>
      <c r="BZ933" s="158">
        <f>+BY933</f>
        <v>0</v>
      </c>
      <c r="CA933" s="158">
        <f>+BZ933</f>
        <v>0</v>
      </c>
      <c r="CB933" s="158">
        <f>+CA933</f>
        <v>0</v>
      </c>
      <c r="CC933" s="117"/>
    </row>
    <row r="934" spans="1:81" x14ac:dyDescent="0.55000000000000004">
      <c r="A934" s="18" t="s">
        <v>198</v>
      </c>
      <c r="B934" s="244"/>
      <c r="C934" s="763">
        <v>338</v>
      </c>
      <c r="D934" s="763">
        <v>316</v>
      </c>
      <c r="E934" s="763">
        <v>288</v>
      </c>
      <c r="F934" s="763">
        <v>239</v>
      </c>
      <c r="G934" s="763">
        <v>201</v>
      </c>
      <c r="H934" s="763">
        <v>173</v>
      </c>
      <c r="I934" s="763">
        <v>149</v>
      </c>
      <c r="J934" s="763">
        <v>114</v>
      </c>
      <c r="K934" s="763">
        <v>73</v>
      </c>
      <c r="L934" s="763">
        <v>39</v>
      </c>
      <c r="M934" s="763">
        <v>17</v>
      </c>
      <c r="N934" s="763">
        <v>7</v>
      </c>
      <c r="O934" s="763">
        <v>0</v>
      </c>
      <c r="P934" s="763">
        <v>0</v>
      </c>
      <c r="Q934" s="763">
        <v>0</v>
      </c>
      <c r="R934" s="82">
        <f>BO934</f>
        <v>0</v>
      </c>
      <c r="S934" s="763">
        <v>0</v>
      </c>
      <c r="T934" s="82"/>
      <c r="U934" s="82"/>
      <c r="V934" s="82">
        <f>BP934</f>
        <v>0</v>
      </c>
      <c r="W934" s="82"/>
      <c r="X934" s="82"/>
      <c r="Y934" s="82"/>
      <c r="Z934" s="82">
        <f>BQ934</f>
        <v>0</v>
      </c>
      <c r="AA934" s="82"/>
      <c r="AB934" s="82"/>
      <c r="AC934" s="82"/>
      <c r="AD934" s="82">
        <f>BR934</f>
        <v>0</v>
      </c>
      <c r="AE934" s="82"/>
      <c r="AF934" s="82"/>
      <c r="AG934" s="82"/>
      <c r="AH934" s="82">
        <f>BS934</f>
        <v>0</v>
      </c>
      <c r="AI934" s="82"/>
      <c r="AJ934" s="82"/>
      <c r="AK934" s="82"/>
      <c r="AL934" s="82">
        <f>BT934</f>
        <v>0</v>
      </c>
      <c r="AM934" s="82"/>
      <c r="AN934" s="82"/>
      <c r="AO934" s="82"/>
      <c r="AP934" s="82">
        <f>BU934</f>
        <v>0</v>
      </c>
      <c r="AQ934" s="82"/>
      <c r="AR934" s="82"/>
      <c r="AS934" s="82"/>
      <c r="AT934" s="82">
        <f>BV934</f>
        <v>0</v>
      </c>
      <c r="AU934" s="82"/>
      <c r="AV934" s="82"/>
      <c r="AW934" s="82"/>
      <c r="AX934" s="82">
        <f t="shared" si="1188"/>
        <v>0</v>
      </c>
      <c r="AY934" s="406"/>
      <c r="AZ934" s="82">
        <f t="shared" ref="AZ934:BF934" si="1195">AZ691</f>
        <v>0</v>
      </c>
      <c r="BA934" s="82">
        <f t="shared" si="1195"/>
        <v>0</v>
      </c>
      <c r="BB934" s="82">
        <f t="shared" si="1195"/>
        <v>0</v>
      </c>
      <c r="BC934" s="82">
        <f t="shared" si="1195"/>
        <v>0</v>
      </c>
      <c r="BD934" s="82">
        <f t="shared" si="1195"/>
        <v>0</v>
      </c>
      <c r="BE934" s="82">
        <f t="shared" si="1195"/>
        <v>0</v>
      </c>
      <c r="BF934" s="82">
        <f t="shared" si="1195"/>
        <v>0</v>
      </c>
      <c r="BG934" s="82"/>
      <c r="BH934" s="854"/>
      <c r="BI934" s="863">
        <v>106</v>
      </c>
      <c r="BJ934" s="863">
        <v>279</v>
      </c>
      <c r="BK934" s="863">
        <v>365</v>
      </c>
      <c r="BL934" s="863">
        <v>239</v>
      </c>
      <c r="BM934" s="863">
        <v>114</v>
      </c>
      <c r="BN934" s="863">
        <v>7</v>
      </c>
      <c r="BO934" s="854"/>
      <c r="BP934" s="854"/>
      <c r="BQ934" s="854"/>
      <c r="BR934" s="854"/>
      <c r="BS934" s="854"/>
      <c r="BT934" s="854"/>
      <c r="BU934" s="854"/>
      <c r="BV934" s="854"/>
      <c r="BW934" s="855"/>
      <c r="BX934" s="854">
        <f>BB934</f>
        <v>0</v>
      </c>
      <c r="BY934" s="854">
        <f>BF934</f>
        <v>0</v>
      </c>
      <c r="BZ934" s="854">
        <f>BZ691</f>
        <v>0</v>
      </c>
      <c r="CA934" s="854">
        <f>CA691</f>
        <v>0</v>
      </c>
      <c r="CB934" s="854">
        <f>CB691</f>
        <v>0</v>
      </c>
      <c r="CC934" s="117"/>
    </row>
    <row r="935" spans="1:81" x14ac:dyDescent="0.55000000000000004">
      <c r="A935" s="20" t="s">
        <v>199</v>
      </c>
      <c r="B935" s="195"/>
      <c r="C935" s="5">
        <f t="shared" ref="C935:AH935" si="1196">SUM(C923:C925,C931:C934)</f>
        <v>1063</v>
      </c>
      <c r="D935" s="5">
        <f t="shared" si="1196"/>
        <v>1080</v>
      </c>
      <c r="E935" s="5">
        <f t="shared" si="1196"/>
        <v>984</v>
      </c>
      <c r="F935" s="5">
        <f t="shared" si="1196"/>
        <v>1100</v>
      </c>
      <c r="G935" s="5">
        <f t="shared" si="1196"/>
        <v>1037</v>
      </c>
      <c r="H935" s="5">
        <f t="shared" si="1196"/>
        <v>1214</v>
      </c>
      <c r="I935" s="5">
        <f t="shared" si="1196"/>
        <v>1234</v>
      </c>
      <c r="J935" s="5">
        <f t="shared" si="1196"/>
        <v>1424</v>
      </c>
      <c r="K935" s="5">
        <f t="shared" si="1196"/>
        <v>1746</v>
      </c>
      <c r="L935" s="5">
        <f t="shared" si="1196"/>
        <v>1881</v>
      </c>
      <c r="M935" s="5">
        <f t="shared" si="1196"/>
        <v>1792</v>
      </c>
      <c r="N935" s="5">
        <f t="shared" si="1196"/>
        <v>1925</v>
      </c>
      <c r="O935" s="5">
        <f t="shared" si="1196"/>
        <v>1807</v>
      </c>
      <c r="P935" s="5">
        <f t="shared" si="1196"/>
        <v>2203</v>
      </c>
      <c r="Q935" s="5">
        <f t="shared" si="1196"/>
        <v>2596</v>
      </c>
      <c r="R935" s="33">
        <f t="shared" si="1196"/>
        <v>2875</v>
      </c>
      <c r="S935" s="5">
        <f t="shared" si="1196"/>
        <v>2928</v>
      </c>
      <c r="T935" s="5">
        <f t="shared" si="1196"/>
        <v>3315</v>
      </c>
      <c r="U935" s="5">
        <f t="shared" si="1196"/>
        <v>3305</v>
      </c>
      <c r="V935" s="33">
        <f t="shared" si="1196"/>
        <v>3760</v>
      </c>
      <c r="W935" s="5">
        <f t="shared" si="1196"/>
        <v>5086</v>
      </c>
      <c r="X935" s="5">
        <f t="shared" si="1196"/>
        <v>4670</v>
      </c>
      <c r="Y935" s="5">
        <f t="shared" si="1196"/>
        <v>5462</v>
      </c>
      <c r="Z935" s="33">
        <f t="shared" si="1196"/>
        <v>7017</v>
      </c>
      <c r="AA935" s="5">
        <f t="shared" si="1196"/>
        <v>9908</v>
      </c>
      <c r="AB935" s="5">
        <f t="shared" si="1196"/>
        <v>12979</v>
      </c>
      <c r="AC935" s="5">
        <f t="shared" si="1196"/>
        <v>13328</v>
      </c>
      <c r="AD935" s="33">
        <f t="shared" si="1196"/>
        <v>15053</v>
      </c>
      <c r="AE935" s="5">
        <f t="shared" si="1196"/>
        <v>15069</v>
      </c>
      <c r="AF935" s="5">
        <f t="shared" si="1196"/>
        <v>11308</v>
      </c>
      <c r="AG935" s="5">
        <f t="shared" si="1196"/>
        <v>11944</v>
      </c>
      <c r="AH935" s="33">
        <f t="shared" si="1196"/>
        <v>14981</v>
      </c>
      <c r="AI935" s="5">
        <f t="shared" ref="AI935:BF935" si="1197">SUM(AI923:AI925,AI931:AI934)</f>
        <v>12717</v>
      </c>
      <c r="AJ935" s="5">
        <f t="shared" si="1197"/>
        <v>14874</v>
      </c>
      <c r="AK935" s="5">
        <f t="shared" si="1197"/>
        <v>17812</v>
      </c>
      <c r="AL935" s="33">
        <f t="shared" si="1197"/>
        <v>21135</v>
      </c>
      <c r="AM935" s="5">
        <f t="shared" si="1197"/>
        <v>21086</v>
      </c>
      <c r="AN935" s="5">
        <f t="shared" si="1197"/>
        <v>22217</v>
      </c>
      <c r="AO935" s="5">
        <f t="shared" si="1197"/>
        <v>22687</v>
      </c>
      <c r="AP935" s="33">
        <f t="shared" si="1197"/>
        <v>27026</v>
      </c>
      <c r="AQ935" s="5">
        <f t="shared" si="1197"/>
        <v>25381</v>
      </c>
      <c r="AR935" s="5">
        <f t="shared" si="1197"/>
        <v>29921</v>
      </c>
      <c r="AS935" s="5">
        <f t="shared" si="1197"/>
        <v>30531</v>
      </c>
      <c r="AT935" s="33">
        <f t="shared" si="1197"/>
        <v>31960</v>
      </c>
      <c r="AU935" s="5">
        <f t="shared" si="1197"/>
        <v>28101</v>
      </c>
      <c r="AV935" s="5">
        <f t="shared" si="1197"/>
        <v>27004</v>
      </c>
      <c r="AW935" s="5">
        <f t="shared" si="1197"/>
        <v>33330</v>
      </c>
      <c r="AX935" s="33">
        <f t="shared" si="1197"/>
        <v>33596</v>
      </c>
      <c r="AY935" s="409">
        <f t="shared" si="1197"/>
        <v>33890</v>
      </c>
      <c r="AZ935" s="33">
        <f t="shared" si="1197"/>
        <v>36057.060702149116</v>
      </c>
      <c r="BA935" s="33">
        <f t="shared" si="1197"/>
        <v>37750.933369631181</v>
      </c>
      <c r="BB935" s="33">
        <f t="shared" si="1197"/>
        <v>37868.787797544079</v>
      </c>
      <c r="BC935" s="33">
        <f t="shared" si="1197"/>
        <v>37071.04885104984</v>
      </c>
      <c r="BD935" s="33">
        <f t="shared" si="1197"/>
        <v>39488.740681071955</v>
      </c>
      <c r="BE935" s="33">
        <f t="shared" si="1197"/>
        <v>41326.340447973576</v>
      </c>
      <c r="BF935" s="33">
        <f t="shared" si="1197"/>
        <v>41357.605653760125</v>
      </c>
      <c r="BG935" s="33"/>
      <c r="BH935" s="834">
        <f t="shared" ref="BH935:CB935" si="1198">SUM(BH923:BH925,BH931:BH934)</f>
        <v>0</v>
      </c>
      <c r="BI935" s="834">
        <f t="shared" si="1198"/>
        <v>389</v>
      </c>
      <c r="BJ935" s="834">
        <f t="shared" si="1198"/>
        <v>899</v>
      </c>
      <c r="BK935" s="834">
        <f t="shared" si="1198"/>
        <v>1052</v>
      </c>
      <c r="BL935" s="834">
        <f t="shared" si="1198"/>
        <v>1100</v>
      </c>
      <c r="BM935" s="834">
        <f t="shared" si="1198"/>
        <v>1424</v>
      </c>
      <c r="BN935" s="834">
        <f t="shared" si="1198"/>
        <v>1925</v>
      </c>
      <c r="BO935" s="833">
        <f t="shared" si="1198"/>
        <v>2875</v>
      </c>
      <c r="BP935" s="833">
        <f t="shared" si="1198"/>
        <v>3760</v>
      </c>
      <c r="BQ935" s="833">
        <f t="shared" si="1198"/>
        <v>7017</v>
      </c>
      <c r="BR935" s="833">
        <f t="shared" si="1198"/>
        <v>15053</v>
      </c>
      <c r="BS935" s="833">
        <f t="shared" si="1198"/>
        <v>14981</v>
      </c>
      <c r="BT935" s="833">
        <f t="shared" si="1198"/>
        <v>21135</v>
      </c>
      <c r="BU935" s="833">
        <f t="shared" si="1198"/>
        <v>27026</v>
      </c>
      <c r="BV935" s="833">
        <f t="shared" si="1198"/>
        <v>31960</v>
      </c>
      <c r="BW935" s="835">
        <f t="shared" si="1198"/>
        <v>33596</v>
      </c>
      <c r="BX935" s="833">
        <f t="shared" si="1198"/>
        <v>37868.787797544079</v>
      </c>
      <c r="BY935" s="833">
        <f t="shared" si="1198"/>
        <v>41357.605653760125</v>
      </c>
      <c r="BZ935" s="833">
        <f t="shared" si="1198"/>
        <v>44841.794707252411</v>
      </c>
      <c r="CA935" s="833">
        <f t="shared" si="1198"/>
        <v>46667.664369725004</v>
      </c>
      <c r="CB935" s="833">
        <f t="shared" si="1198"/>
        <v>48468.094781033054</v>
      </c>
      <c r="CC935" s="6"/>
    </row>
    <row r="936" spans="1:81" x14ac:dyDescent="0.55000000000000004">
      <c r="A936" s="192"/>
      <c r="B936" s="193"/>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c r="AM936" s="35"/>
      <c r="AN936" s="35"/>
      <c r="AO936" s="35"/>
      <c r="AP936" s="35"/>
      <c r="AQ936" s="35"/>
      <c r="AR936" s="35"/>
      <c r="AS936" s="35"/>
      <c r="AT936" s="35"/>
      <c r="AU936" s="35"/>
      <c r="AV936" s="35"/>
      <c r="AW936" s="35"/>
      <c r="AX936" s="35"/>
      <c r="AY936" s="272"/>
      <c r="AZ936" s="35"/>
      <c r="BA936" s="35"/>
      <c r="BB936" s="35"/>
      <c r="BC936" s="35"/>
      <c r="BD936" s="35"/>
      <c r="BE936" s="35"/>
      <c r="BF936" s="35"/>
      <c r="BG936" s="35"/>
      <c r="BH936" s="812"/>
      <c r="BI936" s="812"/>
      <c r="BJ936" s="812"/>
      <c r="BK936" s="812"/>
      <c r="BL936" s="812"/>
      <c r="BM936" s="812"/>
      <c r="BN936" s="812"/>
      <c r="BO936" s="812"/>
      <c r="BP936" s="812"/>
      <c r="BQ936" s="812"/>
      <c r="BR936" s="812"/>
      <c r="BS936" s="812"/>
      <c r="BT936" s="812"/>
      <c r="BU936" s="812"/>
      <c r="BV936" s="812"/>
      <c r="BW936" s="814"/>
      <c r="BX936" s="812"/>
      <c r="BY936" s="812"/>
      <c r="BZ936" s="812"/>
      <c r="CA936" s="812"/>
      <c r="CB936" s="812"/>
      <c r="CC936" s="6"/>
    </row>
    <row r="937" spans="1:81" x14ac:dyDescent="0.55000000000000004">
      <c r="A937" s="26" t="s">
        <v>200</v>
      </c>
      <c r="B937" s="193"/>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272"/>
      <c r="AZ937" s="35"/>
      <c r="BA937" s="35"/>
      <c r="BB937" s="35"/>
      <c r="BC937" s="35"/>
      <c r="BD937" s="35"/>
      <c r="BE937" s="35"/>
      <c r="BF937" s="35"/>
      <c r="BG937" s="35"/>
      <c r="BH937" s="812"/>
      <c r="BI937" s="812"/>
      <c r="BJ937" s="812"/>
      <c r="BK937" s="812"/>
      <c r="BL937" s="812"/>
      <c r="BM937" s="812"/>
      <c r="BN937" s="812"/>
      <c r="BO937" s="812"/>
      <c r="BP937" s="812"/>
      <c r="BQ937" s="812"/>
      <c r="BR937" s="812"/>
      <c r="BS937" s="812"/>
      <c r="BT937" s="812"/>
      <c r="BU937" s="812"/>
      <c r="BV937" s="812"/>
      <c r="BW937" s="814"/>
      <c r="BX937" s="812"/>
      <c r="BY937" s="812"/>
      <c r="BZ937" s="812"/>
      <c r="CA937" s="812"/>
      <c r="CB937" s="812"/>
      <c r="CC937" s="6"/>
    </row>
    <row r="938" spans="1:81" x14ac:dyDescent="0.55000000000000004">
      <c r="A938" s="116" t="s">
        <v>201</v>
      </c>
      <c r="B938" s="87"/>
      <c r="C938" s="759">
        <v>420</v>
      </c>
      <c r="D938" s="759">
        <v>351</v>
      </c>
      <c r="E938" s="759">
        <v>287</v>
      </c>
      <c r="F938" s="759">
        <v>237</v>
      </c>
      <c r="G938" s="759">
        <v>191</v>
      </c>
      <c r="H938" s="759">
        <v>153</v>
      </c>
      <c r="I938" s="759">
        <v>129</v>
      </c>
      <c r="J938" s="759">
        <v>119</v>
      </c>
      <c r="K938" s="759">
        <v>113</v>
      </c>
      <c r="L938" s="759">
        <v>110</v>
      </c>
      <c r="M938" s="759">
        <v>109</v>
      </c>
      <c r="N938" s="759">
        <v>107</v>
      </c>
      <c r="O938" s="759">
        <v>0</v>
      </c>
      <c r="P938" s="759">
        <v>0</v>
      </c>
      <c r="Q938" s="759">
        <v>0</v>
      </c>
      <c r="R938" s="37">
        <f>BO938</f>
        <v>0</v>
      </c>
      <c r="S938" s="759">
        <v>0</v>
      </c>
      <c r="T938" s="37"/>
      <c r="U938" s="37"/>
      <c r="V938" s="37">
        <f>BP938</f>
        <v>0</v>
      </c>
      <c r="W938" s="37"/>
      <c r="X938" s="37"/>
      <c r="Y938" s="37"/>
      <c r="Z938" s="37">
        <f>BQ938</f>
        <v>0</v>
      </c>
      <c r="AA938" s="37"/>
      <c r="AB938" s="37"/>
      <c r="AC938" s="37"/>
      <c r="AD938" s="37">
        <f>BR938</f>
        <v>0</v>
      </c>
      <c r="AE938" s="37"/>
      <c r="AF938" s="37"/>
      <c r="AG938" s="37"/>
      <c r="AH938" s="37"/>
      <c r="AI938" s="37"/>
      <c r="AJ938" s="37"/>
      <c r="AK938" s="37"/>
      <c r="AL938" s="37"/>
      <c r="AM938" s="37"/>
      <c r="AN938" s="37"/>
      <c r="AO938" s="37"/>
      <c r="AP938" s="37"/>
      <c r="AQ938" s="37"/>
      <c r="AR938" s="37"/>
      <c r="AS938" s="37"/>
      <c r="AT938" s="37"/>
      <c r="AU938" s="37"/>
      <c r="AV938" s="37"/>
      <c r="AW938" s="37"/>
      <c r="AX938" s="37"/>
      <c r="AY938" s="273"/>
      <c r="AZ938" s="37"/>
      <c r="BA938" s="37"/>
      <c r="BB938" s="37"/>
      <c r="BC938" s="37"/>
      <c r="BD938" s="37"/>
      <c r="BE938" s="37"/>
      <c r="BF938" s="37"/>
      <c r="BG938" s="37"/>
      <c r="BH938" s="158"/>
      <c r="BI938" s="857">
        <v>117</v>
      </c>
      <c r="BJ938" s="857">
        <v>398</v>
      </c>
      <c r="BK938" s="857">
        <v>491</v>
      </c>
      <c r="BL938" s="857">
        <v>237</v>
      </c>
      <c r="BM938" s="857">
        <v>119</v>
      </c>
      <c r="BN938" s="857">
        <v>107</v>
      </c>
      <c r="BO938" s="158"/>
      <c r="BP938" s="158"/>
      <c r="BQ938" s="158"/>
      <c r="BR938" s="158"/>
      <c r="BS938" s="158"/>
      <c r="BT938" s="158"/>
      <c r="BU938" s="158"/>
      <c r="BV938" s="158"/>
      <c r="BW938" s="846"/>
      <c r="BX938" s="158"/>
      <c r="BY938" s="158"/>
      <c r="BZ938" s="158"/>
      <c r="CA938" s="158"/>
      <c r="CB938" s="158"/>
      <c r="CC938" s="117"/>
    </row>
    <row r="939" spans="1:81" x14ac:dyDescent="0.55000000000000004">
      <c r="A939" s="116" t="s">
        <v>348</v>
      </c>
      <c r="B939" s="8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759">
        <v>6565</v>
      </c>
      <c r="AB939" s="759">
        <v>7122</v>
      </c>
      <c r="AC939" s="759">
        <v>8356</v>
      </c>
      <c r="AD939" s="37">
        <f>BR939</f>
        <v>9524</v>
      </c>
      <c r="AE939" s="759">
        <v>9509</v>
      </c>
      <c r="AF939" s="759">
        <v>9633</v>
      </c>
      <c r="AG939" s="759">
        <v>9641</v>
      </c>
      <c r="AH939" s="37">
        <f>BS939</f>
        <v>9631</v>
      </c>
      <c r="AI939" s="759">
        <v>10574</v>
      </c>
      <c r="AJ939" s="759">
        <v>10956</v>
      </c>
      <c r="AK939" s="759">
        <v>11554</v>
      </c>
      <c r="AL939" s="37">
        <f>BT939</f>
        <v>12746</v>
      </c>
      <c r="AM939" s="759">
        <v>12894</v>
      </c>
      <c r="AN939" s="759">
        <v>14792</v>
      </c>
      <c r="AO939" s="759">
        <v>14687</v>
      </c>
      <c r="AP939" s="37">
        <f>BU939</f>
        <v>15301</v>
      </c>
      <c r="AQ939" s="759">
        <v>16171</v>
      </c>
      <c r="AR939" s="759">
        <v>16440</v>
      </c>
      <c r="AS939" s="759">
        <v>16374</v>
      </c>
      <c r="AT939" s="37">
        <f>BV939</f>
        <v>17226</v>
      </c>
      <c r="AU939" s="759">
        <v>17570</v>
      </c>
      <c r="AV939" s="759">
        <v>17685</v>
      </c>
      <c r="AW939" s="759">
        <v>18208</v>
      </c>
      <c r="AX939" s="37">
        <f>BW939</f>
        <v>18292</v>
      </c>
      <c r="AY939" s="762">
        <v>18714</v>
      </c>
      <c r="AZ939" s="37">
        <f>AY939</f>
        <v>18714</v>
      </c>
      <c r="BA939" s="37">
        <f>AZ939</f>
        <v>18714</v>
      </c>
      <c r="BB939" s="37">
        <f>BA939</f>
        <v>18714</v>
      </c>
      <c r="BC939" s="37">
        <f>BX939</f>
        <v>18714</v>
      </c>
      <c r="BD939" s="37">
        <f>BC939</f>
        <v>18714</v>
      </c>
      <c r="BE939" s="37">
        <f>BD939</f>
        <v>18714</v>
      </c>
      <c r="BF939" s="37">
        <f>BE939</f>
        <v>18714</v>
      </c>
      <c r="BG939" s="37"/>
      <c r="BH939" s="158"/>
      <c r="BI939" s="158"/>
      <c r="BJ939" s="158"/>
      <c r="BK939" s="158"/>
      <c r="BL939" s="158"/>
      <c r="BM939" s="158"/>
      <c r="BN939" s="158"/>
      <c r="BO939" s="158"/>
      <c r="BP939" s="158"/>
      <c r="BQ939" s="158"/>
      <c r="BR939" s="857">
        <v>9524</v>
      </c>
      <c r="BS939" s="857">
        <v>9631</v>
      </c>
      <c r="BT939" s="857">
        <v>12746</v>
      </c>
      <c r="BU939" s="857">
        <v>15301</v>
      </c>
      <c r="BV939" s="857">
        <v>17226</v>
      </c>
      <c r="BW939" s="862">
        <v>18292</v>
      </c>
      <c r="BX939" s="158">
        <f>BB939</f>
        <v>18714</v>
      </c>
      <c r="BY939" s="158">
        <f>BF939</f>
        <v>18714</v>
      </c>
      <c r="BZ939" s="158">
        <f>BY939</f>
        <v>18714</v>
      </c>
      <c r="CA939" s="158">
        <f>BZ939</f>
        <v>18714</v>
      </c>
      <c r="CB939" s="158">
        <f>CA939</f>
        <v>18714</v>
      </c>
      <c r="CC939" s="117"/>
    </row>
    <row r="940" spans="1:81" x14ac:dyDescent="0.55000000000000004">
      <c r="A940" s="116" t="s">
        <v>202</v>
      </c>
      <c r="B940" s="87"/>
      <c r="C940" s="759">
        <v>1500</v>
      </c>
      <c r="D940" s="759">
        <v>1500</v>
      </c>
      <c r="E940" s="759">
        <v>0</v>
      </c>
      <c r="F940" s="759">
        <v>0</v>
      </c>
      <c r="G940" s="37"/>
      <c r="H940" s="37"/>
      <c r="I940" s="37"/>
      <c r="J940" s="759">
        <v>0</v>
      </c>
      <c r="K940" s="37"/>
      <c r="L940" s="37"/>
      <c r="M940" s="37"/>
      <c r="N940" s="759">
        <v>0</v>
      </c>
      <c r="O940" s="37"/>
      <c r="P940" s="117">
        <f>O940</f>
        <v>0</v>
      </c>
      <c r="Q940" s="759">
        <v>0</v>
      </c>
      <c r="R940" s="37">
        <f>BO940</f>
        <v>0</v>
      </c>
      <c r="S940" s="759">
        <v>0</v>
      </c>
      <c r="T940" s="37"/>
      <c r="U940" s="37"/>
      <c r="V940" s="37">
        <f>BP940</f>
        <v>0</v>
      </c>
      <c r="W940" s="37"/>
      <c r="X940" s="37"/>
      <c r="Y940" s="37"/>
      <c r="Z940" s="37">
        <f>BQ940</f>
        <v>0</v>
      </c>
      <c r="AA940" s="37"/>
      <c r="AB940" s="37"/>
      <c r="AC940" s="37"/>
      <c r="AD940" s="37">
        <f>BR940</f>
        <v>0</v>
      </c>
      <c r="AE940" s="37"/>
      <c r="AF940" s="37"/>
      <c r="AG940" s="37"/>
      <c r="AH940" s="37"/>
      <c r="AI940" s="37"/>
      <c r="AJ940" s="37"/>
      <c r="AK940" s="37"/>
      <c r="AL940" s="37"/>
      <c r="AM940" s="37"/>
      <c r="AN940" s="37"/>
      <c r="AO940" s="759">
        <v>9922</v>
      </c>
      <c r="AP940" s="37">
        <f>BU940</f>
        <v>9923</v>
      </c>
      <c r="AQ940" s="759">
        <v>9925</v>
      </c>
      <c r="AR940" s="759">
        <v>18382</v>
      </c>
      <c r="AS940" s="759">
        <v>18383</v>
      </c>
      <c r="AT940" s="37">
        <f>BV940</f>
        <v>18385</v>
      </c>
      <c r="AU940" s="759">
        <v>18387</v>
      </c>
      <c r="AV940" s="759">
        <v>18389</v>
      </c>
      <c r="AW940" s="759">
        <v>28823</v>
      </c>
      <c r="AX940" s="37">
        <f>BW940</f>
        <v>28826</v>
      </c>
      <c r="AY940" s="762">
        <v>28829</v>
      </c>
      <c r="AZ940" s="37">
        <f t="shared" ref="AZ940:BF940" si="1199">AZ692</f>
        <v>28829</v>
      </c>
      <c r="BA940" s="37">
        <f t="shared" si="1199"/>
        <v>28829</v>
      </c>
      <c r="BB940" s="37">
        <f t="shared" si="1199"/>
        <v>28829</v>
      </c>
      <c r="BC940" s="37">
        <f t="shared" si="1199"/>
        <v>28829</v>
      </c>
      <c r="BD940" s="37">
        <f t="shared" si="1199"/>
        <v>28829</v>
      </c>
      <c r="BE940" s="37">
        <f t="shared" si="1199"/>
        <v>28829</v>
      </c>
      <c r="BF940" s="37">
        <f t="shared" si="1199"/>
        <v>28829</v>
      </c>
      <c r="BG940" s="37"/>
      <c r="BH940" s="158"/>
      <c r="BI940" s="857">
        <v>250</v>
      </c>
      <c r="BJ940" s="857">
        <v>0</v>
      </c>
      <c r="BK940" s="857">
        <v>1500</v>
      </c>
      <c r="BL940" s="158"/>
      <c r="BM940" s="158"/>
      <c r="BN940" s="158"/>
      <c r="BO940" s="158"/>
      <c r="BP940" s="158"/>
      <c r="BQ940" s="158"/>
      <c r="BR940" s="158"/>
      <c r="BS940" s="158"/>
      <c r="BT940" s="158"/>
      <c r="BU940" s="857">
        <v>9923</v>
      </c>
      <c r="BV940" s="857">
        <v>18385</v>
      </c>
      <c r="BW940" s="862">
        <v>28826</v>
      </c>
      <c r="BX940" s="158">
        <f>BB940</f>
        <v>28829</v>
      </c>
      <c r="BY940" s="158">
        <f>BF940</f>
        <v>28829</v>
      </c>
      <c r="BZ940" s="158">
        <f>BZ692</f>
        <v>28829</v>
      </c>
      <c r="CA940" s="158">
        <f>CA692</f>
        <v>28829</v>
      </c>
      <c r="CB940" s="158">
        <f>CB692</f>
        <v>28829</v>
      </c>
      <c r="CC940" s="117"/>
    </row>
    <row r="941" spans="1:81" x14ac:dyDescent="0.55000000000000004">
      <c r="A941" s="116" t="s">
        <v>1009</v>
      </c>
      <c r="B941" s="8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7"/>
      <c r="AS941" s="37"/>
      <c r="AT941" s="37"/>
      <c r="AU941" s="759">
        <v>7795</v>
      </c>
      <c r="AV941" s="759">
        <v>7897</v>
      </c>
      <c r="AW941" s="759">
        <v>9171</v>
      </c>
      <c r="AX941" s="37">
        <f>BW941</f>
        <v>9987</v>
      </c>
      <c r="AY941" s="762">
        <v>10991</v>
      </c>
      <c r="AZ941" s="37">
        <f>AY941+AZ809</f>
        <v>9726.1464645371689</v>
      </c>
      <c r="BA941" s="37">
        <f ca="1">AZ941+BA809</f>
        <v>8322.7676743818447</v>
      </c>
      <c r="BB941" s="37">
        <f ca="1">BA941+BB809</f>
        <v>6751.4678179366674</v>
      </c>
      <c r="BC941" s="37">
        <f ca="1">BX941+BC809</f>
        <v>6173.7499159403433</v>
      </c>
      <c r="BD941" s="37">
        <f ca="1">BC941+BD809</f>
        <v>5664.0932788779446</v>
      </c>
      <c r="BE941" s="37">
        <f ca="1">BD941+BE809</f>
        <v>5115.3672129454917</v>
      </c>
      <c r="BF941" s="37">
        <f ca="1">BE941+BF809</f>
        <v>4520.4950481010737</v>
      </c>
      <c r="BG941" s="37"/>
      <c r="BH941" s="158"/>
      <c r="BI941" s="158"/>
      <c r="BJ941" s="158"/>
      <c r="BK941" s="158"/>
      <c r="BL941" s="158"/>
      <c r="BM941" s="158"/>
      <c r="BN941" s="158"/>
      <c r="BO941" s="158"/>
      <c r="BP941" s="158"/>
      <c r="BQ941" s="158"/>
      <c r="BR941" s="158"/>
      <c r="BS941" s="158"/>
      <c r="BT941" s="158"/>
      <c r="BU941" s="158"/>
      <c r="BV941" s="158"/>
      <c r="BW941" s="862">
        <v>9987</v>
      </c>
      <c r="BX941" s="158">
        <f ca="1">BB941</f>
        <v>6751.4678179366674</v>
      </c>
      <c r="BY941" s="158">
        <f ca="1">BF941</f>
        <v>4520.4950481010737</v>
      </c>
      <c r="BZ941" s="158">
        <f ca="1">BY941+BZ809</f>
        <v>1981.9376683733262</v>
      </c>
      <c r="CA941" s="158">
        <f ca="1">BZ941+CA809</f>
        <v>-828.3947683657334</v>
      </c>
      <c r="CB941" s="158">
        <f ca="1">CA941+CB809</f>
        <v>-4032.7495692507396</v>
      </c>
      <c r="CC941" s="117"/>
    </row>
    <row r="942" spans="1:81" x14ac:dyDescent="0.55000000000000004">
      <c r="A942" s="18" t="s">
        <v>145</v>
      </c>
      <c r="B942" s="244"/>
      <c r="C942" s="763">
        <v>356</v>
      </c>
      <c r="D942" s="763">
        <v>444</v>
      </c>
      <c r="E942" s="763">
        <v>614</v>
      </c>
      <c r="F942" s="763">
        <v>1088</v>
      </c>
      <c r="G942" s="763">
        <v>1063</v>
      </c>
      <c r="H942" s="763">
        <v>1056</v>
      </c>
      <c r="I942" s="763">
        <v>1587</v>
      </c>
      <c r="J942" s="763">
        <v>2327</v>
      </c>
      <c r="K942" s="763">
        <v>2647</v>
      </c>
      <c r="L942" s="763">
        <v>2687</v>
      </c>
      <c r="M942" s="763">
        <v>3148</v>
      </c>
      <c r="N942" s="763">
        <v>3157</v>
      </c>
      <c r="O942" s="763">
        <v>1867</v>
      </c>
      <c r="P942" s="763">
        <v>2170</v>
      </c>
      <c r="Q942" s="763">
        <v>2290</v>
      </c>
      <c r="R942" s="82">
        <f>BO942</f>
        <v>2892</v>
      </c>
      <c r="S942" s="763">
        <v>3598</v>
      </c>
      <c r="T942" s="763">
        <v>4047</v>
      </c>
      <c r="U942" s="763">
        <v>4485</v>
      </c>
      <c r="V942" s="82">
        <f>BP942</f>
        <v>6417</v>
      </c>
      <c r="W942" s="763">
        <v>6239</v>
      </c>
      <c r="X942" s="763">
        <v>6239</v>
      </c>
      <c r="Y942" s="763">
        <v>6648</v>
      </c>
      <c r="Z942" s="82">
        <f>BQ942</f>
        <v>6190</v>
      </c>
      <c r="AA942" s="763">
        <v>6488</v>
      </c>
      <c r="AB942" s="763">
        <v>8143</v>
      </c>
      <c r="AC942" s="763">
        <v>8735</v>
      </c>
      <c r="AD942" s="82">
        <f>BR942</f>
        <v>7745</v>
      </c>
      <c r="AE942" s="763">
        <v>8489</v>
      </c>
      <c r="AF942" s="763">
        <v>8303</v>
      </c>
      <c r="AG942" s="763">
        <v>7121</v>
      </c>
      <c r="AH942" s="82">
        <f>BS942</f>
        <v>6414</v>
      </c>
      <c r="AI942" s="763">
        <v>6575</v>
      </c>
      <c r="AJ942" s="763">
        <v>6552</v>
      </c>
      <c r="AK942" s="763">
        <v>6859</v>
      </c>
      <c r="AL942" s="82">
        <f>BT942</f>
        <v>7227</v>
      </c>
      <c r="AM942" s="763">
        <v>7010</v>
      </c>
      <c r="AN942" s="763">
        <v>7003</v>
      </c>
      <c r="AO942" s="763">
        <v>7504</v>
      </c>
      <c r="AP942" s="82">
        <f>BU942</f>
        <v>7764</v>
      </c>
      <c r="AQ942" s="763">
        <v>8219</v>
      </c>
      <c r="AR942" s="763">
        <v>7912</v>
      </c>
      <c r="AS942" s="763">
        <v>8113</v>
      </c>
      <c r="AT942" s="82">
        <f>BV942</f>
        <v>8884</v>
      </c>
      <c r="AU942" s="763">
        <v>1462</v>
      </c>
      <c r="AV942" s="763">
        <v>2500</v>
      </c>
      <c r="AW942" s="763">
        <v>2347</v>
      </c>
      <c r="AX942" s="82">
        <f>BW942</f>
        <v>2716</v>
      </c>
      <c r="AY942" s="764">
        <v>2760</v>
      </c>
      <c r="AZ942" s="82">
        <f>AY942</f>
        <v>2760</v>
      </c>
      <c r="BA942" s="82">
        <f>AZ942</f>
        <v>2760</v>
      </c>
      <c r="BB942" s="82">
        <f>BA942</f>
        <v>2760</v>
      </c>
      <c r="BC942" s="82">
        <f>BX942</f>
        <v>2760</v>
      </c>
      <c r="BD942" s="82">
        <f>BC942</f>
        <v>2760</v>
      </c>
      <c r="BE942" s="82">
        <f>BD942</f>
        <v>2760</v>
      </c>
      <c r="BF942" s="82">
        <f>BE942</f>
        <v>2760</v>
      </c>
      <c r="BG942" s="82"/>
      <c r="BH942" s="854"/>
      <c r="BI942" s="863">
        <v>72</v>
      </c>
      <c r="BJ942" s="863">
        <v>135</v>
      </c>
      <c r="BK942" s="863">
        <v>305</v>
      </c>
      <c r="BL942" s="863">
        <v>1088</v>
      </c>
      <c r="BM942" s="863">
        <v>2327</v>
      </c>
      <c r="BN942" s="863">
        <v>3157</v>
      </c>
      <c r="BO942" s="863">
        <v>2892</v>
      </c>
      <c r="BP942" s="863">
        <v>6417</v>
      </c>
      <c r="BQ942" s="863">
        <v>6190</v>
      </c>
      <c r="BR942" s="863">
        <v>7745</v>
      </c>
      <c r="BS942" s="863">
        <v>6414</v>
      </c>
      <c r="BT942" s="863">
        <v>7227</v>
      </c>
      <c r="BU942" s="863">
        <v>7764</v>
      </c>
      <c r="BV942" s="863">
        <v>8884</v>
      </c>
      <c r="BW942" s="864">
        <v>2716</v>
      </c>
      <c r="BX942" s="854">
        <f>BB942</f>
        <v>2760</v>
      </c>
      <c r="BY942" s="854">
        <f>BF942</f>
        <v>2760</v>
      </c>
      <c r="BZ942" s="854">
        <f>BY942</f>
        <v>2760</v>
      </c>
      <c r="CA942" s="854">
        <f>BZ942</f>
        <v>2760</v>
      </c>
      <c r="CB942" s="854">
        <f>CA942</f>
        <v>2760</v>
      </c>
      <c r="CC942" s="117"/>
    </row>
    <row r="943" spans="1:81" x14ac:dyDescent="0.55000000000000004">
      <c r="A943" s="20" t="s">
        <v>203</v>
      </c>
      <c r="B943" s="195"/>
      <c r="C943" s="5">
        <f t="shared" ref="C943:AH943" si="1200">SUM(C938:C942)</f>
        <v>2276</v>
      </c>
      <c r="D943" s="5">
        <f t="shared" si="1200"/>
        <v>2295</v>
      </c>
      <c r="E943" s="5">
        <f t="shared" si="1200"/>
        <v>901</v>
      </c>
      <c r="F943" s="5">
        <f t="shared" si="1200"/>
        <v>1325</v>
      </c>
      <c r="G943" s="5">
        <f t="shared" si="1200"/>
        <v>1254</v>
      </c>
      <c r="H943" s="5">
        <f t="shared" si="1200"/>
        <v>1209</v>
      </c>
      <c r="I943" s="5">
        <f t="shared" si="1200"/>
        <v>1716</v>
      </c>
      <c r="J943" s="5">
        <f t="shared" si="1200"/>
        <v>2446</v>
      </c>
      <c r="K943" s="5">
        <f t="shared" si="1200"/>
        <v>2760</v>
      </c>
      <c r="L943" s="5">
        <f t="shared" si="1200"/>
        <v>2797</v>
      </c>
      <c r="M943" s="5">
        <f t="shared" si="1200"/>
        <v>3257</v>
      </c>
      <c r="N943" s="5">
        <f t="shared" si="1200"/>
        <v>3264</v>
      </c>
      <c r="O943" s="5">
        <f t="shared" si="1200"/>
        <v>1867</v>
      </c>
      <c r="P943" s="5">
        <f t="shared" si="1200"/>
        <v>2170</v>
      </c>
      <c r="Q943" s="5">
        <f t="shared" si="1200"/>
        <v>2290</v>
      </c>
      <c r="R943" s="33">
        <f t="shared" si="1200"/>
        <v>2892</v>
      </c>
      <c r="S943" s="5">
        <f t="shared" si="1200"/>
        <v>3598</v>
      </c>
      <c r="T943" s="5">
        <f t="shared" si="1200"/>
        <v>4047</v>
      </c>
      <c r="U943" s="5">
        <f t="shared" si="1200"/>
        <v>4485</v>
      </c>
      <c r="V943" s="33">
        <f t="shared" si="1200"/>
        <v>6417</v>
      </c>
      <c r="W943" s="5">
        <f t="shared" si="1200"/>
        <v>6239</v>
      </c>
      <c r="X943" s="5">
        <f t="shared" si="1200"/>
        <v>6239</v>
      </c>
      <c r="Y943" s="5">
        <f t="shared" si="1200"/>
        <v>6648</v>
      </c>
      <c r="Z943" s="33">
        <f t="shared" si="1200"/>
        <v>6190</v>
      </c>
      <c r="AA943" s="5">
        <f t="shared" si="1200"/>
        <v>13053</v>
      </c>
      <c r="AB943" s="5">
        <f t="shared" si="1200"/>
        <v>15265</v>
      </c>
      <c r="AC943" s="5">
        <f t="shared" si="1200"/>
        <v>17091</v>
      </c>
      <c r="AD943" s="33">
        <f t="shared" si="1200"/>
        <v>17269</v>
      </c>
      <c r="AE943" s="5">
        <f t="shared" si="1200"/>
        <v>17998</v>
      </c>
      <c r="AF943" s="5">
        <f t="shared" si="1200"/>
        <v>17936</v>
      </c>
      <c r="AG943" s="5">
        <f t="shared" si="1200"/>
        <v>16762</v>
      </c>
      <c r="AH943" s="33">
        <f t="shared" si="1200"/>
        <v>16045</v>
      </c>
      <c r="AI943" s="5">
        <f t="shared" ref="AI943:BF943" si="1201">SUM(AI938:AI942)</f>
        <v>17149</v>
      </c>
      <c r="AJ943" s="5">
        <f t="shared" si="1201"/>
        <v>17508</v>
      </c>
      <c r="AK943" s="5">
        <f t="shared" si="1201"/>
        <v>18413</v>
      </c>
      <c r="AL943" s="33">
        <f t="shared" si="1201"/>
        <v>19973</v>
      </c>
      <c r="AM943" s="5">
        <f t="shared" si="1201"/>
        <v>19904</v>
      </c>
      <c r="AN943" s="5">
        <f t="shared" si="1201"/>
        <v>21795</v>
      </c>
      <c r="AO943" s="5">
        <f t="shared" si="1201"/>
        <v>32113</v>
      </c>
      <c r="AP943" s="33">
        <f t="shared" si="1201"/>
        <v>32988</v>
      </c>
      <c r="AQ943" s="5">
        <f t="shared" si="1201"/>
        <v>34315</v>
      </c>
      <c r="AR943" s="5">
        <f t="shared" si="1201"/>
        <v>42734</v>
      </c>
      <c r="AS943" s="5">
        <f t="shared" si="1201"/>
        <v>42870</v>
      </c>
      <c r="AT943" s="33">
        <f t="shared" si="1201"/>
        <v>44495</v>
      </c>
      <c r="AU943" s="5">
        <f t="shared" si="1201"/>
        <v>45214</v>
      </c>
      <c r="AV943" s="5">
        <f t="shared" si="1201"/>
        <v>46471</v>
      </c>
      <c r="AW943" s="5">
        <f t="shared" si="1201"/>
        <v>58549</v>
      </c>
      <c r="AX943" s="33">
        <f t="shared" si="1201"/>
        <v>59821</v>
      </c>
      <c r="AY943" s="409">
        <f t="shared" si="1201"/>
        <v>61294</v>
      </c>
      <c r="AZ943" s="33">
        <f t="shared" si="1201"/>
        <v>60029.146464537167</v>
      </c>
      <c r="BA943" s="33">
        <f t="shared" ca="1" si="1201"/>
        <v>58625.767674381845</v>
      </c>
      <c r="BB943" s="33">
        <f t="shared" ca="1" si="1201"/>
        <v>57054.467817936667</v>
      </c>
      <c r="BC943" s="33">
        <f t="shared" ca="1" si="1201"/>
        <v>56476.749915940345</v>
      </c>
      <c r="BD943" s="33">
        <f t="shared" ca="1" si="1201"/>
        <v>55967.093278877946</v>
      </c>
      <c r="BE943" s="33">
        <f t="shared" ca="1" si="1201"/>
        <v>55418.367212945494</v>
      </c>
      <c r="BF943" s="33">
        <f t="shared" ca="1" si="1201"/>
        <v>54823.495048101075</v>
      </c>
      <c r="BG943" s="33"/>
      <c r="BH943" s="834">
        <f t="shared" ref="BH943:CB943" si="1202">SUM(BH938:BH942)</f>
        <v>0</v>
      </c>
      <c r="BI943" s="834">
        <f t="shared" si="1202"/>
        <v>439</v>
      </c>
      <c r="BJ943" s="834">
        <f t="shared" si="1202"/>
        <v>533</v>
      </c>
      <c r="BK943" s="834">
        <f t="shared" si="1202"/>
        <v>2296</v>
      </c>
      <c r="BL943" s="834">
        <f t="shared" si="1202"/>
        <v>1325</v>
      </c>
      <c r="BM943" s="834">
        <f t="shared" si="1202"/>
        <v>2446</v>
      </c>
      <c r="BN943" s="834">
        <f t="shared" si="1202"/>
        <v>3264</v>
      </c>
      <c r="BO943" s="833">
        <f t="shared" si="1202"/>
        <v>2892</v>
      </c>
      <c r="BP943" s="833">
        <f t="shared" si="1202"/>
        <v>6417</v>
      </c>
      <c r="BQ943" s="833">
        <f t="shared" si="1202"/>
        <v>6190</v>
      </c>
      <c r="BR943" s="833">
        <f t="shared" si="1202"/>
        <v>17269</v>
      </c>
      <c r="BS943" s="833">
        <f t="shared" si="1202"/>
        <v>16045</v>
      </c>
      <c r="BT943" s="833">
        <f t="shared" si="1202"/>
        <v>19973</v>
      </c>
      <c r="BU943" s="833">
        <f t="shared" si="1202"/>
        <v>32988</v>
      </c>
      <c r="BV943" s="833">
        <f t="shared" si="1202"/>
        <v>44495</v>
      </c>
      <c r="BW943" s="835">
        <f t="shared" si="1202"/>
        <v>59821</v>
      </c>
      <c r="BX943" s="833">
        <f t="shared" ca="1" si="1202"/>
        <v>57054.467817936667</v>
      </c>
      <c r="BY943" s="833">
        <f t="shared" ca="1" si="1202"/>
        <v>54823.495048101075</v>
      </c>
      <c r="BZ943" s="833">
        <f t="shared" ca="1" si="1202"/>
        <v>52284.937668373328</v>
      </c>
      <c r="CA943" s="833">
        <f t="shared" ca="1" si="1202"/>
        <v>49474.605231634268</v>
      </c>
      <c r="CB943" s="833">
        <f t="shared" ca="1" si="1202"/>
        <v>46270.250430749264</v>
      </c>
      <c r="CC943" s="6"/>
    </row>
    <row r="944" spans="1:81" x14ac:dyDescent="0.55000000000000004">
      <c r="A944" s="19" t="s">
        <v>204</v>
      </c>
      <c r="B944" s="193"/>
      <c r="C944" s="6">
        <f t="shared" ref="C944:AH944" si="1203">C935+C943</f>
        <v>3339</v>
      </c>
      <c r="D944" s="6">
        <f t="shared" si="1203"/>
        <v>3375</v>
      </c>
      <c r="E944" s="6">
        <f t="shared" si="1203"/>
        <v>1885</v>
      </c>
      <c r="F944" s="6">
        <f t="shared" si="1203"/>
        <v>2425</v>
      </c>
      <c r="G944" s="6">
        <f t="shared" si="1203"/>
        <v>2291</v>
      </c>
      <c r="H944" s="6">
        <f t="shared" si="1203"/>
        <v>2423</v>
      </c>
      <c r="I944" s="6">
        <f t="shared" si="1203"/>
        <v>2950</v>
      </c>
      <c r="J944" s="6">
        <f t="shared" si="1203"/>
        <v>3870</v>
      </c>
      <c r="K944" s="6">
        <f t="shared" si="1203"/>
        <v>4506</v>
      </c>
      <c r="L944" s="6">
        <f t="shared" si="1203"/>
        <v>4678</v>
      </c>
      <c r="M944" s="6">
        <f t="shared" si="1203"/>
        <v>5049</v>
      </c>
      <c r="N944" s="6">
        <f t="shared" si="1203"/>
        <v>5189</v>
      </c>
      <c r="O944" s="6">
        <f t="shared" si="1203"/>
        <v>3674</v>
      </c>
      <c r="P944" s="6">
        <f t="shared" si="1203"/>
        <v>4373</v>
      </c>
      <c r="Q944" s="6">
        <f t="shared" si="1203"/>
        <v>4886</v>
      </c>
      <c r="R944" s="35">
        <f t="shared" si="1203"/>
        <v>5767</v>
      </c>
      <c r="S944" s="6">
        <f t="shared" si="1203"/>
        <v>6526</v>
      </c>
      <c r="T944" s="6">
        <f t="shared" si="1203"/>
        <v>7362</v>
      </c>
      <c r="U944" s="6">
        <f t="shared" si="1203"/>
        <v>7790</v>
      </c>
      <c r="V944" s="35">
        <f t="shared" si="1203"/>
        <v>10177</v>
      </c>
      <c r="W944" s="6">
        <f t="shared" si="1203"/>
        <v>11325</v>
      </c>
      <c r="X944" s="6">
        <f t="shared" si="1203"/>
        <v>10909</v>
      </c>
      <c r="Y944" s="6">
        <f t="shared" si="1203"/>
        <v>12110</v>
      </c>
      <c r="Z944" s="35">
        <f t="shared" si="1203"/>
        <v>13207</v>
      </c>
      <c r="AA944" s="6">
        <f t="shared" si="1203"/>
        <v>22961</v>
      </c>
      <c r="AB944" s="6">
        <f t="shared" si="1203"/>
        <v>28244</v>
      </c>
      <c r="AC944" s="6">
        <f t="shared" si="1203"/>
        <v>30419</v>
      </c>
      <c r="AD944" s="35">
        <f t="shared" si="1203"/>
        <v>32322</v>
      </c>
      <c r="AE944" s="6">
        <f t="shared" si="1203"/>
        <v>33067</v>
      </c>
      <c r="AF944" s="6">
        <f t="shared" si="1203"/>
        <v>29244</v>
      </c>
      <c r="AG944" s="6">
        <f t="shared" si="1203"/>
        <v>28706</v>
      </c>
      <c r="AH944" s="35">
        <f t="shared" si="1203"/>
        <v>31026</v>
      </c>
      <c r="AI944" s="6">
        <f t="shared" ref="AI944:BF944" si="1204">AI935+AI943</f>
        <v>29866</v>
      </c>
      <c r="AJ944" s="6">
        <f t="shared" si="1204"/>
        <v>32382</v>
      </c>
      <c r="AK944" s="6">
        <f t="shared" si="1204"/>
        <v>36225</v>
      </c>
      <c r="AL944" s="35">
        <f t="shared" si="1204"/>
        <v>41108</v>
      </c>
      <c r="AM944" s="6">
        <f t="shared" si="1204"/>
        <v>40990</v>
      </c>
      <c r="AN944" s="6">
        <f t="shared" si="1204"/>
        <v>44012</v>
      </c>
      <c r="AO944" s="6">
        <f t="shared" si="1204"/>
        <v>54800</v>
      </c>
      <c r="AP944" s="35">
        <f t="shared" si="1204"/>
        <v>60014</v>
      </c>
      <c r="AQ944" s="6">
        <f t="shared" si="1204"/>
        <v>59696</v>
      </c>
      <c r="AR944" s="6">
        <f t="shared" si="1204"/>
        <v>72655</v>
      </c>
      <c r="AS944" s="6">
        <f t="shared" si="1204"/>
        <v>73401</v>
      </c>
      <c r="AT944" s="35">
        <f t="shared" si="1204"/>
        <v>76455</v>
      </c>
      <c r="AU944" s="6">
        <f t="shared" si="1204"/>
        <v>73315</v>
      </c>
      <c r="AV944" s="6">
        <f t="shared" si="1204"/>
        <v>73475</v>
      </c>
      <c r="AW944" s="6">
        <f t="shared" si="1204"/>
        <v>91879</v>
      </c>
      <c r="AX944" s="35">
        <f t="shared" si="1204"/>
        <v>93417</v>
      </c>
      <c r="AY944" s="272">
        <f t="shared" si="1204"/>
        <v>95184</v>
      </c>
      <c r="AZ944" s="35">
        <f t="shared" si="1204"/>
        <v>96086.207166686276</v>
      </c>
      <c r="BA944" s="35">
        <f t="shared" ca="1" si="1204"/>
        <v>96376.701044013025</v>
      </c>
      <c r="BB944" s="35">
        <f t="shared" ca="1" si="1204"/>
        <v>94923.255615480739</v>
      </c>
      <c r="BC944" s="35">
        <f t="shared" ca="1" si="1204"/>
        <v>93547.798766990192</v>
      </c>
      <c r="BD944" s="35">
        <f t="shared" ca="1" si="1204"/>
        <v>95455.833959949901</v>
      </c>
      <c r="BE944" s="35">
        <f t="shared" ca="1" si="1204"/>
        <v>96744.70766091907</v>
      </c>
      <c r="BF944" s="35">
        <f t="shared" ca="1" si="1204"/>
        <v>96181.1007018612</v>
      </c>
      <c r="BG944" s="35"/>
      <c r="BH944" s="813">
        <f t="shared" ref="BH944:CB944" si="1205">BH935+BH943</f>
        <v>0</v>
      </c>
      <c r="BI944" s="813">
        <f t="shared" si="1205"/>
        <v>828</v>
      </c>
      <c r="BJ944" s="813">
        <f t="shared" si="1205"/>
        <v>1432</v>
      </c>
      <c r="BK944" s="813">
        <f t="shared" si="1205"/>
        <v>3348</v>
      </c>
      <c r="BL944" s="813">
        <f t="shared" si="1205"/>
        <v>2425</v>
      </c>
      <c r="BM944" s="813">
        <f t="shared" si="1205"/>
        <v>3870</v>
      </c>
      <c r="BN944" s="813">
        <f t="shared" si="1205"/>
        <v>5189</v>
      </c>
      <c r="BO944" s="812">
        <f t="shared" si="1205"/>
        <v>5767</v>
      </c>
      <c r="BP944" s="812">
        <f t="shared" si="1205"/>
        <v>10177</v>
      </c>
      <c r="BQ944" s="812">
        <f t="shared" si="1205"/>
        <v>13207</v>
      </c>
      <c r="BR944" s="812">
        <f t="shared" si="1205"/>
        <v>32322</v>
      </c>
      <c r="BS944" s="812">
        <f t="shared" si="1205"/>
        <v>31026</v>
      </c>
      <c r="BT944" s="812">
        <f t="shared" si="1205"/>
        <v>41108</v>
      </c>
      <c r="BU944" s="812">
        <f t="shared" si="1205"/>
        <v>60014</v>
      </c>
      <c r="BV944" s="812">
        <f t="shared" si="1205"/>
        <v>76455</v>
      </c>
      <c r="BW944" s="814">
        <f t="shared" si="1205"/>
        <v>93417</v>
      </c>
      <c r="BX944" s="812">
        <f t="shared" ca="1" si="1205"/>
        <v>94923.255615480739</v>
      </c>
      <c r="BY944" s="812">
        <f t="shared" ca="1" si="1205"/>
        <v>96181.1007018612</v>
      </c>
      <c r="BZ944" s="812">
        <f t="shared" ca="1" si="1205"/>
        <v>97126.732375625739</v>
      </c>
      <c r="CA944" s="812">
        <f t="shared" ca="1" si="1205"/>
        <v>96142.269601359265</v>
      </c>
      <c r="CB944" s="812">
        <f t="shared" ca="1" si="1205"/>
        <v>94738.345211782318</v>
      </c>
      <c r="CC944" s="6"/>
    </row>
    <row r="945" spans="1:81" x14ac:dyDescent="0.55000000000000004">
      <c r="A945" s="192"/>
      <c r="B945" s="193"/>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c r="AM945" s="35"/>
      <c r="AN945" s="35"/>
      <c r="AO945" s="35"/>
      <c r="AP945" s="35"/>
      <c r="AQ945" s="35"/>
      <c r="AR945" s="35"/>
      <c r="AS945" s="35"/>
      <c r="AT945" s="35"/>
      <c r="AU945" s="35"/>
      <c r="AV945" s="35"/>
      <c r="AW945" s="35"/>
      <c r="AX945" s="35"/>
      <c r="AY945" s="272"/>
      <c r="AZ945" s="35"/>
      <c r="BA945" s="35"/>
      <c r="BB945" s="35"/>
      <c r="BC945" s="35"/>
      <c r="BD945" s="35"/>
      <c r="BE945" s="35"/>
      <c r="BF945" s="35"/>
      <c r="BG945" s="35"/>
      <c r="BH945" s="812"/>
      <c r="BI945" s="812"/>
      <c r="BJ945" s="812"/>
      <c r="BK945" s="812"/>
      <c r="BL945" s="812"/>
      <c r="BM945" s="812"/>
      <c r="BN945" s="812"/>
      <c r="BO945" s="812"/>
      <c r="BP945" s="812"/>
      <c r="BQ945" s="812"/>
      <c r="BR945" s="812"/>
      <c r="BS945" s="812"/>
      <c r="BT945" s="812"/>
      <c r="BU945" s="812"/>
      <c r="BV945" s="812"/>
      <c r="BW945" s="814"/>
      <c r="BX945" s="812"/>
      <c r="BY945" s="812"/>
      <c r="BZ945" s="812"/>
      <c r="CA945" s="812"/>
      <c r="CB945" s="812"/>
      <c r="CC945" s="6"/>
    </row>
    <row r="946" spans="1:81" x14ac:dyDescent="0.55000000000000004">
      <c r="A946" s="26" t="s">
        <v>205</v>
      </c>
      <c r="B946" s="193"/>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c r="AU946" s="35"/>
      <c r="AV946" s="35"/>
      <c r="AW946" s="35"/>
      <c r="AX946" s="35"/>
      <c r="AY946" s="272"/>
      <c r="AZ946" s="35"/>
      <c r="BA946" s="35"/>
      <c r="BB946" s="35"/>
      <c r="BC946" s="35"/>
      <c r="BD946" s="35"/>
      <c r="BE946" s="35"/>
      <c r="BF946" s="35"/>
      <c r="BG946" s="35"/>
      <c r="BH946" s="812"/>
      <c r="BI946" s="812"/>
      <c r="BJ946" s="812"/>
      <c r="BK946" s="812"/>
      <c r="BL946" s="812"/>
      <c r="BM946" s="812"/>
      <c r="BN946" s="812"/>
      <c r="BO946" s="812"/>
      <c r="BP946" s="812"/>
      <c r="BQ946" s="812"/>
      <c r="BR946" s="812"/>
      <c r="BS946" s="812"/>
      <c r="BT946" s="812"/>
      <c r="BU946" s="812"/>
      <c r="BV946" s="812"/>
      <c r="BW946" s="814"/>
      <c r="BX946" s="812"/>
      <c r="BY946" s="812"/>
      <c r="BZ946" s="812"/>
      <c r="CA946" s="812"/>
      <c r="CB946" s="812"/>
      <c r="CC946" s="6"/>
    </row>
    <row r="947" spans="1:81" x14ac:dyDescent="0.55000000000000004">
      <c r="A947" s="116" t="s">
        <v>206</v>
      </c>
      <c r="B947" s="87"/>
      <c r="C947" s="37"/>
      <c r="D947" s="37"/>
      <c r="E947" s="37"/>
      <c r="F947" s="759">
        <v>0</v>
      </c>
      <c r="G947" s="37"/>
      <c r="H947" s="37"/>
      <c r="I947" s="37"/>
      <c r="J947" s="759">
        <v>0</v>
      </c>
      <c r="K947" s="37"/>
      <c r="L947" s="37"/>
      <c r="M947" s="37"/>
      <c r="N947" s="759">
        <v>0</v>
      </c>
      <c r="O947" s="37"/>
      <c r="P947" s="117">
        <f>O947</f>
        <v>0</v>
      </c>
      <c r="Q947" s="759">
        <v>0</v>
      </c>
      <c r="R947" s="37">
        <f>BO947</f>
        <v>0</v>
      </c>
      <c r="S947" s="37"/>
      <c r="T947" s="37"/>
      <c r="U947" s="37"/>
      <c r="V947" s="37">
        <f>BP947</f>
        <v>0</v>
      </c>
      <c r="W947" s="37"/>
      <c r="X947" s="37"/>
      <c r="Y947" s="37"/>
      <c r="Z947" s="37">
        <f>BQ947</f>
        <v>0</v>
      </c>
      <c r="AA947" s="37"/>
      <c r="AB947" s="37"/>
      <c r="AC947" s="37"/>
      <c r="AD947" s="37">
        <f>BR947</f>
        <v>0</v>
      </c>
      <c r="AE947" s="37"/>
      <c r="AF947" s="37"/>
      <c r="AG947" s="37"/>
      <c r="AH947" s="37">
        <f>BS947</f>
        <v>0</v>
      </c>
      <c r="AI947" s="37"/>
      <c r="AJ947" s="37"/>
      <c r="AK947" s="37"/>
      <c r="AL947" s="37"/>
      <c r="AM947" s="37"/>
      <c r="AN947" s="37"/>
      <c r="AO947" s="37"/>
      <c r="AP947" s="37"/>
      <c r="AQ947" s="37"/>
      <c r="AR947" s="37"/>
      <c r="AS947" s="37"/>
      <c r="AT947" s="37"/>
      <c r="AU947" s="37"/>
      <c r="AV947" s="37"/>
      <c r="AW947" s="37"/>
      <c r="AX947" s="37"/>
      <c r="AY947" s="273"/>
      <c r="AZ947" s="37">
        <f>AY947</f>
        <v>0</v>
      </c>
      <c r="BA947" s="37">
        <f>AZ947</f>
        <v>0</v>
      </c>
      <c r="BB947" s="37">
        <f>BA947</f>
        <v>0</v>
      </c>
      <c r="BC947" s="37">
        <f>BX947</f>
        <v>0</v>
      </c>
      <c r="BD947" s="37">
        <f>BC947</f>
        <v>0</v>
      </c>
      <c r="BE947" s="37">
        <f>BD947</f>
        <v>0</v>
      </c>
      <c r="BF947" s="37">
        <f>BE947</f>
        <v>0</v>
      </c>
      <c r="BG947" s="37"/>
      <c r="BH947" s="158"/>
      <c r="BI947" s="857">
        <v>615</v>
      </c>
      <c r="BJ947" s="857">
        <v>615</v>
      </c>
      <c r="BK947" s="158"/>
      <c r="BL947" s="158"/>
      <c r="BM947" s="158"/>
      <c r="BN947" s="158"/>
      <c r="BO947" s="857">
        <v>0</v>
      </c>
      <c r="BP947" s="158"/>
      <c r="BQ947" s="158"/>
      <c r="BR947" s="158"/>
      <c r="BS947" s="158"/>
      <c r="BT947" s="158"/>
      <c r="BU947" s="158"/>
      <c r="BV947" s="158"/>
      <c r="BW947" s="846"/>
      <c r="BX947" s="158">
        <f>BB947</f>
        <v>0</v>
      </c>
      <c r="BY947" s="158">
        <f>BF947</f>
        <v>0</v>
      </c>
      <c r="BZ947" s="158">
        <f>BY947</f>
        <v>0</v>
      </c>
      <c r="CA947" s="158">
        <f>BZ947</f>
        <v>0</v>
      </c>
      <c r="CB947" s="158">
        <f>CA947</f>
        <v>0</v>
      </c>
      <c r="CC947" s="117"/>
    </row>
    <row r="948" spans="1:81" x14ac:dyDescent="0.55000000000000004">
      <c r="A948" s="116" t="s">
        <v>207</v>
      </c>
      <c r="B948" s="87"/>
      <c r="C948" s="759">
        <v>9961</v>
      </c>
      <c r="D948" s="759">
        <v>10167</v>
      </c>
      <c r="E948" s="759">
        <v>10399</v>
      </c>
      <c r="F948" s="759">
        <v>12297</v>
      </c>
      <c r="G948" s="759">
        <v>12921</v>
      </c>
      <c r="H948" s="759">
        <v>13759</v>
      </c>
      <c r="I948" s="759">
        <v>15949</v>
      </c>
      <c r="J948" s="759">
        <v>30225</v>
      </c>
      <c r="K948" s="759">
        <v>31337</v>
      </c>
      <c r="L948" s="759">
        <v>32479</v>
      </c>
      <c r="M948" s="759">
        <v>33574</v>
      </c>
      <c r="N948" s="759">
        <v>34886</v>
      </c>
      <c r="O948" s="759">
        <v>35673</v>
      </c>
      <c r="P948" s="759">
        <v>36494</v>
      </c>
      <c r="Q948" s="759">
        <v>37391</v>
      </c>
      <c r="R948" s="37">
        <f>BO948</f>
        <v>38227</v>
      </c>
      <c r="S948" s="759">
        <v>38639</v>
      </c>
      <c r="T948" s="759">
        <v>39291</v>
      </c>
      <c r="U948" s="759">
        <v>40199</v>
      </c>
      <c r="V948" s="37">
        <f>BP948</f>
        <v>40584</v>
      </c>
      <c r="W948" s="759">
        <v>41134</v>
      </c>
      <c r="X948" s="759">
        <v>41832</v>
      </c>
      <c r="Y948" s="759">
        <v>42352</v>
      </c>
      <c r="Z948" s="37">
        <f>BQ948</f>
        <v>42906</v>
      </c>
      <c r="AA948" s="759">
        <v>43533</v>
      </c>
      <c r="AB948" s="759">
        <v>44277</v>
      </c>
      <c r="AC948" s="759">
        <v>45059</v>
      </c>
      <c r="AD948" s="37">
        <f>BR948</f>
        <v>45851</v>
      </c>
      <c r="AE948" s="759">
        <v>46688</v>
      </c>
      <c r="AF948" s="759">
        <v>47805</v>
      </c>
      <c r="AG948" s="759">
        <v>48910</v>
      </c>
      <c r="AH948" s="37">
        <f>BS948</f>
        <v>50018</v>
      </c>
      <c r="AI948" s="759">
        <v>51160</v>
      </c>
      <c r="AJ948" s="759">
        <v>52845</v>
      </c>
      <c r="AK948" s="759">
        <v>54334</v>
      </c>
      <c r="AL948" s="37">
        <f>BT948</f>
        <v>55811</v>
      </c>
      <c r="AM948" s="759">
        <v>57512</v>
      </c>
      <c r="AN948" s="759">
        <v>59929</v>
      </c>
      <c r="AO948" s="759">
        <v>62092</v>
      </c>
      <c r="AP948" s="37">
        <f>BU948</f>
        <v>64444</v>
      </c>
      <c r="AQ948" s="759">
        <v>66535</v>
      </c>
      <c r="AR948" s="759">
        <v>69159</v>
      </c>
      <c r="AS948" s="759">
        <v>71224</v>
      </c>
      <c r="AT948" s="37">
        <f>BV948</f>
        <v>73253</v>
      </c>
      <c r="AU948" s="759">
        <v>75391</v>
      </c>
      <c r="AV948" s="759">
        <v>78270</v>
      </c>
      <c r="AW948" s="759">
        <v>80749</v>
      </c>
      <c r="AX948" s="37">
        <f>BW948</f>
        <v>83228</v>
      </c>
      <c r="AY948" s="762">
        <v>85568</v>
      </c>
      <c r="AZ948" s="37">
        <f>AY948+AZ808</f>
        <v>89915.747499999998</v>
      </c>
      <c r="BA948" s="37">
        <f>AZ948+BA808</f>
        <v>94501.223799999992</v>
      </c>
      <c r="BB948" s="37">
        <f>BA948+BB808</f>
        <v>100129.68879999999</v>
      </c>
      <c r="BC948" s="37">
        <f>BX948+BC808</f>
        <v>104919.60079999999</v>
      </c>
      <c r="BD948" s="37">
        <f>BC948+BD808</f>
        <v>109737.86094999999</v>
      </c>
      <c r="BE948" s="37">
        <f>BD948+BE808</f>
        <v>114865.37366399998</v>
      </c>
      <c r="BF948" s="37">
        <f>BE948+BF808</f>
        <v>121317.36406199998</v>
      </c>
      <c r="BG948" s="37"/>
      <c r="BH948" s="158"/>
      <c r="BI948" s="857">
        <v>947</v>
      </c>
      <c r="BJ948" s="857">
        <v>2684</v>
      </c>
      <c r="BK948" s="857">
        <v>10094</v>
      </c>
      <c r="BL948" s="857">
        <v>12297</v>
      </c>
      <c r="BM948" s="857">
        <v>30225</v>
      </c>
      <c r="BN948" s="857">
        <v>34886</v>
      </c>
      <c r="BO948" s="857">
        <v>38227</v>
      </c>
      <c r="BP948" s="857">
        <v>40584</v>
      </c>
      <c r="BQ948" s="857">
        <v>42906</v>
      </c>
      <c r="BR948" s="857">
        <v>45851</v>
      </c>
      <c r="BS948" s="857">
        <v>50018</v>
      </c>
      <c r="BT948" s="857">
        <v>55811</v>
      </c>
      <c r="BU948" s="857">
        <v>64444</v>
      </c>
      <c r="BV948" s="857">
        <v>73253</v>
      </c>
      <c r="BW948" s="862">
        <v>83228</v>
      </c>
      <c r="BX948" s="158">
        <f>BB948</f>
        <v>100129.68879999999</v>
      </c>
      <c r="BY948" s="158">
        <f>BF948</f>
        <v>121317.36406199998</v>
      </c>
      <c r="BZ948" s="158">
        <f>BY948+BZ808</f>
        <v>144896.44875905436</v>
      </c>
      <c r="CA948" s="158">
        <f>BZ948+CA808</f>
        <v>169728.73811032803</v>
      </c>
      <c r="CB948" s="158">
        <f>CA948+CB808</f>
        <v>195796.77162090482</v>
      </c>
      <c r="CC948" s="117"/>
    </row>
    <row r="949" spans="1:81" x14ac:dyDescent="0.55000000000000004">
      <c r="A949" s="116" t="s">
        <v>208</v>
      </c>
      <c r="B949" s="87"/>
      <c r="C949" s="759">
        <v>-15</v>
      </c>
      <c r="D949" s="759">
        <v>-29</v>
      </c>
      <c r="E949" s="759">
        <v>13</v>
      </c>
      <c r="F949" s="759">
        <v>14</v>
      </c>
      <c r="G949" s="759">
        <v>15</v>
      </c>
      <c r="H949" s="759">
        <v>-5</v>
      </c>
      <c r="I949" s="759">
        <v>-109</v>
      </c>
      <c r="J949" s="759">
        <v>-228</v>
      </c>
      <c r="K949" s="759">
        <v>-447</v>
      </c>
      <c r="L949" s="759">
        <v>-357</v>
      </c>
      <c r="M949" s="759">
        <v>-380</v>
      </c>
      <c r="N949" s="759">
        <v>-455</v>
      </c>
      <c r="O949" s="759">
        <v>-276</v>
      </c>
      <c r="P949" s="759">
        <v>-374</v>
      </c>
      <c r="Q949" s="759">
        <v>-372</v>
      </c>
      <c r="R949" s="37">
        <f>BO949</f>
        <v>-703</v>
      </c>
      <c r="S949" s="759">
        <v>-626</v>
      </c>
      <c r="T949" s="759">
        <v>-370</v>
      </c>
      <c r="U949" s="759">
        <v>-200</v>
      </c>
      <c r="V949" s="37">
        <f>BP949</f>
        <v>-227</v>
      </c>
      <c r="W949" s="759">
        <v>-294</v>
      </c>
      <c r="X949" s="759">
        <v>-687</v>
      </c>
      <c r="Y949" s="759">
        <v>-777</v>
      </c>
      <c r="Z949" s="37">
        <f>BQ949</f>
        <v>-760</v>
      </c>
      <c r="AA949" s="759">
        <v>-781</v>
      </c>
      <c r="AB949" s="759">
        <v>-483</v>
      </c>
      <c r="AC949" s="759">
        <v>-849</v>
      </c>
      <c r="AD949" s="37">
        <f>BR949</f>
        <v>-489</v>
      </c>
      <c r="AE949" s="759">
        <v>-544</v>
      </c>
      <c r="AF949" s="759">
        <v>-142</v>
      </c>
      <c r="AG949" s="759">
        <v>308</v>
      </c>
      <c r="AH949" s="37">
        <f>BS949</f>
        <v>927</v>
      </c>
      <c r="AI949" s="759">
        <v>154</v>
      </c>
      <c r="AJ949" s="759">
        <v>285</v>
      </c>
      <c r="AK949" s="759">
        <v>-207</v>
      </c>
      <c r="AL949" s="37">
        <f>BT949</f>
        <v>-693</v>
      </c>
      <c r="AM949" s="759">
        <v>-1996</v>
      </c>
      <c r="AN949" s="759">
        <v>-3411</v>
      </c>
      <c r="AO949" s="759">
        <v>-5054</v>
      </c>
      <c r="AP949" s="37">
        <f>BU949</f>
        <v>-3530</v>
      </c>
      <c r="AQ949" s="759">
        <v>-2981</v>
      </c>
      <c r="AR949" s="759">
        <v>-3106</v>
      </c>
      <c r="AS949" s="759">
        <v>-3556</v>
      </c>
      <c r="AT949" s="37">
        <f>BV949</f>
        <v>-2155</v>
      </c>
      <c r="AU949" s="759">
        <v>-2655</v>
      </c>
      <c r="AV949" s="759">
        <v>-2695</v>
      </c>
      <c r="AW949" s="759">
        <v>-1192</v>
      </c>
      <c r="AX949" s="37">
        <f>BW949</f>
        <v>-3097</v>
      </c>
      <c r="AY949" s="762">
        <v>-1865</v>
      </c>
      <c r="AZ949" s="37">
        <f>AY949</f>
        <v>-1865</v>
      </c>
      <c r="BA949" s="37">
        <f>AZ949</f>
        <v>-1865</v>
      </c>
      <c r="BB949" s="37">
        <f>BA949</f>
        <v>-1865</v>
      </c>
      <c r="BC949" s="37">
        <f>BX949</f>
        <v>-1865</v>
      </c>
      <c r="BD949" s="37">
        <f>BC949</f>
        <v>-1865</v>
      </c>
      <c r="BE949" s="37">
        <f>BD949</f>
        <v>-1865</v>
      </c>
      <c r="BF949" s="37">
        <f>BE949</f>
        <v>-1865</v>
      </c>
      <c r="BG949" s="37"/>
      <c r="BH949" s="158"/>
      <c r="BI949" s="857">
        <v>-6</v>
      </c>
      <c r="BJ949" s="857">
        <v>-6</v>
      </c>
      <c r="BK949" s="857">
        <v>2</v>
      </c>
      <c r="BL949" s="857">
        <v>14</v>
      </c>
      <c r="BM949" s="857">
        <v>-228</v>
      </c>
      <c r="BN949" s="857">
        <v>-455</v>
      </c>
      <c r="BO949" s="857">
        <v>-703</v>
      </c>
      <c r="BP949" s="857">
        <v>-227</v>
      </c>
      <c r="BQ949" s="857">
        <v>-760</v>
      </c>
      <c r="BR949" s="857">
        <v>-489</v>
      </c>
      <c r="BS949" s="857">
        <v>927</v>
      </c>
      <c r="BT949" s="857">
        <v>-693</v>
      </c>
      <c r="BU949" s="857">
        <v>-3530</v>
      </c>
      <c r="BV949" s="857">
        <v>-2155</v>
      </c>
      <c r="BW949" s="862">
        <v>-3097</v>
      </c>
      <c r="BX949" s="158">
        <f>BB949</f>
        <v>-1865</v>
      </c>
      <c r="BY949" s="158">
        <f>BF949</f>
        <v>-1865</v>
      </c>
      <c r="BZ949" s="158">
        <f>BY949</f>
        <v>-1865</v>
      </c>
      <c r="CA949" s="158">
        <f>BZ949</f>
        <v>-1865</v>
      </c>
      <c r="CB949" s="158">
        <f>CA949</f>
        <v>-1865</v>
      </c>
      <c r="CC949" s="117"/>
    </row>
    <row r="950" spans="1:81" x14ac:dyDescent="0.55000000000000004">
      <c r="A950" s="18" t="s">
        <v>209</v>
      </c>
      <c r="B950" s="244"/>
      <c r="C950" s="763">
        <v>1878</v>
      </c>
      <c r="D950" s="763">
        <v>2211</v>
      </c>
      <c r="E950" s="763">
        <v>2636</v>
      </c>
      <c r="F950" s="763">
        <v>3159</v>
      </c>
      <c r="G950" s="763">
        <v>3801</v>
      </c>
      <c r="H950" s="763">
        <v>4592</v>
      </c>
      <c r="I950" s="763">
        <v>5398</v>
      </c>
      <c r="J950" s="763">
        <v>6099</v>
      </c>
      <c r="K950" s="763">
        <v>6611</v>
      </c>
      <c r="L950" s="763">
        <v>7330</v>
      </c>
      <c r="M950" s="763">
        <v>8226</v>
      </c>
      <c r="N950" s="763">
        <v>9787</v>
      </c>
      <c r="O950" s="763">
        <v>13191</v>
      </c>
      <c r="P950" s="763">
        <v>15475</v>
      </c>
      <c r="Q950" s="763">
        <v>18102</v>
      </c>
      <c r="R950" s="82">
        <f>BO950</f>
        <v>21670</v>
      </c>
      <c r="S950" s="763">
        <v>24175</v>
      </c>
      <c r="T950" s="763">
        <v>27560</v>
      </c>
      <c r="U950" s="763">
        <v>31209</v>
      </c>
      <c r="V950" s="82">
        <f>BP950</f>
        <v>33990</v>
      </c>
      <c r="W950" s="763">
        <v>36780</v>
      </c>
      <c r="X950" s="763">
        <v>38237</v>
      </c>
      <c r="Y950" s="763">
        <v>38767</v>
      </c>
      <c r="Z950" s="82">
        <f>BQ950</f>
        <v>41981</v>
      </c>
      <c r="AA950" s="763">
        <v>43764</v>
      </c>
      <c r="AB950" s="763">
        <v>44968</v>
      </c>
      <c r="AC950" s="763">
        <v>49789</v>
      </c>
      <c r="AD950" s="82">
        <f>BR950</f>
        <v>55692</v>
      </c>
      <c r="AE950" s="763">
        <v>59160</v>
      </c>
      <c r="AF950" s="763">
        <v>62784</v>
      </c>
      <c r="AG950" s="763">
        <v>68513</v>
      </c>
      <c r="AH950" s="82">
        <f>BS950</f>
        <v>77345</v>
      </c>
      <c r="AI950" s="763">
        <v>82343</v>
      </c>
      <c r="AJ950" s="763">
        <v>85097</v>
      </c>
      <c r="AK950" s="763">
        <v>79233</v>
      </c>
      <c r="AL950" s="82">
        <f>BT950</f>
        <v>69761</v>
      </c>
      <c r="AM950" s="763">
        <v>67712</v>
      </c>
      <c r="AN950" s="763">
        <v>69249</v>
      </c>
      <c r="AO950" s="763">
        <v>67056</v>
      </c>
      <c r="AP950" s="82">
        <f>BU950</f>
        <v>64799</v>
      </c>
      <c r="AQ950" s="763">
        <v>61241</v>
      </c>
      <c r="AR950" s="763">
        <v>67980</v>
      </c>
      <c r="AS950" s="763">
        <v>75205</v>
      </c>
      <c r="AT950" s="82">
        <f>BV950</f>
        <v>82070</v>
      </c>
      <c r="AU950" s="763">
        <v>76793</v>
      </c>
      <c r="AV950" s="763">
        <v>81188</v>
      </c>
      <c r="AW950" s="763">
        <v>84972</v>
      </c>
      <c r="AX950" s="82">
        <f>BW950</f>
        <v>102506</v>
      </c>
      <c r="AY950" s="764">
        <v>101326</v>
      </c>
      <c r="AZ950" s="82">
        <f ca="1">AY950+AZ855+AZ803+AZ853</f>
        <v>116301.64844789289</v>
      </c>
      <c r="BA950" s="82">
        <f ca="1">AZ950+BA855+BA803+BA853</f>
        <v>133275.72267520789</v>
      </c>
      <c r="BB950" s="82">
        <f ca="1">BA950+BB855+BB803+BB853</f>
        <v>152672.012434476</v>
      </c>
      <c r="BC950" s="82">
        <f ca="1">BX950+BC855+BC803+BC853</f>
        <v>176546.73865015287</v>
      </c>
      <c r="BD950" s="82">
        <f ca="1">BC950+BD855+BD803+BD853</f>
        <v>197460.67424095189</v>
      </c>
      <c r="BE950" s="82">
        <f ca="1">BD950+BE855+BE803+BE853</f>
        <v>220074.00437478611</v>
      </c>
      <c r="BF950" s="82">
        <f ca="1">BE950+BF855+BF803+BF853</f>
        <v>244694.56418591738</v>
      </c>
      <c r="BG950" s="82"/>
      <c r="BH950" s="854"/>
      <c r="BI950" s="863">
        <v>606</v>
      </c>
      <c r="BJ950" s="863">
        <v>1606</v>
      </c>
      <c r="BK950" s="863">
        <v>1659</v>
      </c>
      <c r="BL950" s="863">
        <v>3159</v>
      </c>
      <c r="BM950" s="863">
        <v>6099</v>
      </c>
      <c r="BN950" s="863">
        <v>9787</v>
      </c>
      <c r="BO950" s="863">
        <v>21670</v>
      </c>
      <c r="BP950" s="863">
        <v>33990</v>
      </c>
      <c r="BQ950" s="863">
        <v>41981</v>
      </c>
      <c r="BR950" s="863">
        <v>55692</v>
      </c>
      <c r="BS950" s="863">
        <v>77345</v>
      </c>
      <c r="BT950" s="863">
        <v>69761</v>
      </c>
      <c r="BU950" s="863">
        <v>64799</v>
      </c>
      <c r="BV950" s="863">
        <v>82070</v>
      </c>
      <c r="BW950" s="864">
        <v>102506</v>
      </c>
      <c r="BX950" s="854">
        <f ca="1">BB950</f>
        <v>152672.012434476</v>
      </c>
      <c r="BY950" s="854">
        <f ca="1">BF950</f>
        <v>244694.56418591738</v>
      </c>
      <c r="BZ950" s="854">
        <f ca="1">BY950+BZ855+BZ803+BZ853</f>
        <v>343868.17297493003</v>
      </c>
      <c r="CA950" s="854">
        <f ca="1">BZ950+CA855+CA803+CA853</f>
        <v>447843.49820969207</v>
      </c>
      <c r="CB950" s="854">
        <f ca="1">CA950+CB855+CB803+CB853</f>
        <v>567978.54408287234</v>
      </c>
      <c r="CC950" s="117"/>
    </row>
    <row r="951" spans="1:81" x14ac:dyDescent="0.55000000000000004">
      <c r="A951" s="20" t="s">
        <v>210</v>
      </c>
      <c r="B951" s="195"/>
      <c r="C951" s="5">
        <f t="shared" ref="C951:AH951" si="1206">SUM(C947:C950)</f>
        <v>11824</v>
      </c>
      <c r="D951" s="5">
        <f t="shared" si="1206"/>
        <v>12349</v>
      </c>
      <c r="E951" s="5">
        <f t="shared" si="1206"/>
        <v>13048</v>
      </c>
      <c r="F951" s="5">
        <f t="shared" si="1206"/>
        <v>15470</v>
      </c>
      <c r="G951" s="5">
        <f t="shared" si="1206"/>
        <v>16737</v>
      </c>
      <c r="H951" s="5">
        <f t="shared" si="1206"/>
        <v>18346</v>
      </c>
      <c r="I951" s="5">
        <f t="shared" si="1206"/>
        <v>21238</v>
      </c>
      <c r="J951" s="5">
        <f t="shared" si="1206"/>
        <v>36096</v>
      </c>
      <c r="K951" s="5">
        <f t="shared" si="1206"/>
        <v>37501</v>
      </c>
      <c r="L951" s="5">
        <f t="shared" si="1206"/>
        <v>39452</v>
      </c>
      <c r="M951" s="5">
        <f t="shared" si="1206"/>
        <v>41420</v>
      </c>
      <c r="N951" s="5">
        <f t="shared" si="1206"/>
        <v>44218</v>
      </c>
      <c r="O951" s="5">
        <f t="shared" si="1206"/>
        <v>48588</v>
      </c>
      <c r="P951" s="5">
        <f t="shared" si="1206"/>
        <v>51595</v>
      </c>
      <c r="Q951" s="5">
        <f t="shared" si="1206"/>
        <v>55121</v>
      </c>
      <c r="R951" s="33">
        <f t="shared" si="1206"/>
        <v>59194</v>
      </c>
      <c r="S951" s="5">
        <f t="shared" si="1206"/>
        <v>62188</v>
      </c>
      <c r="T951" s="5">
        <f t="shared" si="1206"/>
        <v>66481</v>
      </c>
      <c r="U951" s="5">
        <f t="shared" si="1206"/>
        <v>71208</v>
      </c>
      <c r="V951" s="33">
        <f t="shared" si="1206"/>
        <v>74347</v>
      </c>
      <c r="W951" s="5">
        <f t="shared" si="1206"/>
        <v>77620</v>
      </c>
      <c r="X951" s="5">
        <f t="shared" si="1206"/>
        <v>79382</v>
      </c>
      <c r="Y951" s="5">
        <f t="shared" si="1206"/>
        <v>80342</v>
      </c>
      <c r="Z951" s="33">
        <f t="shared" si="1206"/>
        <v>84127</v>
      </c>
      <c r="AA951" s="5">
        <f t="shared" si="1206"/>
        <v>86516</v>
      </c>
      <c r="AB951" s="5">
        <f t="shared" si="1206"/>
        <v>88762</v>
      </c>
      <c r="AC951" s="5">
        <f t="shared" si="1206"/>
        <v>93999</v>
      </c>
      <c r="AD951" s="33">
        <f t="shared" si="1206"/>
        <v>101054</v>
      </c>
      <c r="AE951" s="5">
        <f t="shared" si="1206"/>
        <v>105304</v>
      </c>
      <c r="AF951" s="5">
        <f t="shared" si="1206"/>
        <v>110447</v>
      </c>
      <c r="AG951" s="5">
        <f t="shared" si="1206"/>
        <v>117731</v>
      </c>
      <c r="AH951" s="33">
        <f t="shared" si="1206"/>
        <v>128290</v>
      </c>
      <c r="AI951" s="5">
        <f t="shared" ref="AI951:BF951" si="1207">SUM(AI947:AI950)</f>
        <v>133657</v>
      </c>
      <c r="AJ951" s="5">
        <f t="shared" si="1207"/>
        <v>138227</v>
      </c>
      <c r="AK951" s="5">
        <f t="shared" si="1207"/>
        <v>133360</v>
      </c>
      <c r="AL951" s="33">
        <f t="shared" si="1207"/>
        <v>124879</v>
      </c>
      <c r="AM951" s="5">
        <f t="shared" si="1207"/>
        <v>123228</v>
      </c>
      <c r="AN951" s="5">
        <f t="shared" si="1207"/>
        <v>125767</v>
      </c>
      <c r="AO951" s="5">
        <f t="shared" si="1207"/>
        <v>124094</v>
      </c>
      <c r="AP951" s="33">
        <f t="shared" si="1207"/>
        <v>125713</v>
      </c>
      <c r="AQ951" s="5">
        <f t="shared" si="1207"/>
        <v>124795</v>
      </c>
      <c r="AR951" s="5">
        <f t="shared" si="1207"/>
        <v>134033</v>
      </c>
      <c r="AS951" s="5">
        <f t="shared" si="1207"/>
        <v>142873</v>
      </c>
      <c r="AT951" s="33">
        <f t="shared" si="1207"/>
        <v>153168</v>
      </c>
      <c r="AU951" s="5">
        <f t="shared" si="1207"/>
        <v>149529</v>
      </c>
      <c r="AV951" s="5">
        <f t="shared" si="1207"/>
        <v>156763</v>
      </c>
      <c r="AW951" s="5">
        <f t="shared" si="1207"/>
        <v>164529</v>
      </c>
      <c r="AX951" s="33">
        <f t="shared" si="1207"/>
        <v>182637</v>
      </c>
      <c r="AY951" s="409">
        <f t="shared" si="1207"/>
        <v>185029</v>
      </c>
      <c r="AZ951" s="33">
        <f t="shared" ca="1" si="1207"/>
        <v>204352.39594789289</v>
      </c>
      <c r="BA951" s="33">
        <f t="shared" ca="1" si="1207"/>
        <v>225911.94647520786</v>
      </c>
      <c r="BB951" s="33">
        <f t="shared" ca="1" si="1207"/>
        <v>250936.701234476</v>
      </c>
      <c r="BC951" s="33">
        <f t="shared" ca="1" si="1207"/>
        <v>279601.33945015282</v>
      </c>
      <c r="BD951" s="33">
        <f t="shared" ca="1" si="1207"/>
        <v>305333.53519095189</v>
      </c>
      <c r="BE951" s="33">
        <f t="shared" ca="1" si="1207"/>
        <v>333074.37803878612</v>
      </c>
      <c r="BF951" s="33">
        <f t="shared" ca="1" si="1207"/>
        <v>364146.92824791733</v>
      </c>
      <c r="BG951" s="33"/>
      <c r="BH951" s="834">
        <f t="shared" ref="BH951:CB951" si="1208">SUM(BH947:BH950)</f>
        <v>0</v>
      </c>
      <c r="BI951" s="834">
        <f t="shared" si="1208"/>
        <v>2162</v>
      </c>
      <c r="BJ951" s="834">
        <f t="shared" si="1208"/>
        <v>4899</v>
      </c>
      <c r="BK951" s="834">
        <f t="shared" si="1208"/>
        <v>11755</v>
      </c>
      <c r="BL951" s="834">
        <f t="shared" si="1208"/>
        <v>15470</v>
      </c>
      <c r="BM951" s="834">
        <f t="shared" si="1208"/>
        <v>36096</v>
      </c>
      <c r="BN951" s="834">
        <f t="shared" si="1208"/>
        <v>44218</v>
      </c>
      <c r="BO951" s="833">
        <f t="shared" si="1208"/>
        <v>59194</v>
      </c>
      <c r="BP951" s="833">
        <f t="shared" si="1208"/>
        <v>74347</v>
      </c>
      <c r="BQ951" s="833">
        <f t="shared" si="1208"/>
        <v>84127</v>
      </c>
      <c r="BR951" s="833">
        <f t="shared" si="1208"/>
        <v>101054</v>
      </c>
      <c r="BS951" s="833">
        <f t="shared" si="1208"/>
        <v>128290</v>
      </c>
      <c r="BT951" s="833">
        <f t="shared" si="1208"/>
        <v>124879</v>
      </c>
      <c r="BU951" s="833">
        <f t="shared" si="1208"/>
        <v>125713</v>
      </c>
      <c r="BV951" s="833">
        <f t="shared" si="1208"/>
        <v>153168</v>
      </c>
      <c r="BW951" s="835">
        <f t="shared" si="1208"/>
        <v>182637</v>
      </c>
      <c r="BX951" s="833">
        <f t="shared" ca="1" si="1208"/>
        <v>250936.701234476</v>
      </c>
      <c r="BY951" s="833">
        <f t="shared" ca="1" si="1208"/>
        <v>364146.92824791733</v>
      </c>
      <c r="BZ951" s="833">
        <f t="shared" ca="1" si="1208"/>
        <v>486899.62173398439</v>
      </c>
      <c r="CA951" s="833">
        <f t="shared" ca="1" si="1208"/>
        <v>615707.23632002017</v>
      </c>
      <c r="CB951" s="833">
        <f t="shared" ca="1" si="1208"/>
        <v>761910.31570377713</v>
      </c>
      <c r="CC951" s="6"/>
    </row>
    <row r="952" spans="1:81" x14ac:dyDescent="0.55000000000000004">
      <c r="A952" s="116" t="s">
        <v>211</v>
      </c>
      <c r="B952" s="8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c r="AF952" s="37"/>
      <c r="AG952" s="37"/>
      <c r="AH952" s="37"/>
      <c r="AI952" s="37"/>
      <c r="AJ952" s="37"/>
      <c r="AK952" s="37"/>
      <c r="AL952" s="37"/>
      <c r="AM952" s="37"/>
      <c r="AN952" s="37"/>
      <c r="AO952" s="37"/>
      <c r="AP952" s="37"/>
      <c r="AQ952" s="37"/>
      <c r="AR952" s="37"/>
      <c r="AS952" s="37"/>
      <c r="AT952" s="37"/>
      <c r="AU952" s="37"/>
      <c r="AV952" s="37"/>
      <c r="AW952" s="37"/>
      <c r="AX952" s="37"/>
      <c r="AY952" s="273"/>
      <c r="AZ952" s="37">
        <f>AY952</f>
        <v>0</v>
      </c>
      <c r="BA952" s="37">
        <f>AZ952</f>
        <v>0</v>
      </c>
      <c r="BB952" s="37">
        <f>BA952</f>
        <v>0</v>
      </c>
      <c r="BC952" s="37">
        <f>BX952</f>
        <v>0</v>
      </c>
      <c r="BD952" s="37">
        <f>BC952</f>
        <v>0</v>
      </c>
      <c r="BE952" s="37">
        <f>BD952</f>
        <v>0</v>
      </c>
      <c r="BF952" s="37">
        <f>BE952</f>
        <v>0</v>
      </c>
      <c r="BG952" s="37"/>
      <c r="BH952" s="158"/>
      <c r="BI952" s="158"/>
      <c r="BJ952" s="158"/>
      <c r="BK952" s="158"/>
      <c r="BL952" s="158"/>
      <c r="BM952" s="158"/>
      <c r="BN952" s="158"/>
      <c r="BO952" s="158"/>
      <c r="BP952" s="158"/>
      <c r="BQ952" s="158"/>
      <c r="BR952" s="158"/>
      <c r="BS952" s="158"/>
      <c r="BT952" s="158"/>
      <c r="BU952" s="158"/>
      <c r="BV952" s="158"/>
      <c r="BW952" s="846"/>
      <c r="BX952" s="158">
        <f>BB952</f>
        <v>0</v>
      </c>
      <c r="BY952" s="158">
        <f>BF952</f>
        <v>0</v>
      </c>
      <c r="BZ952" s="158">
        <f>BY952</f>
        <v>0</v>
      </c>
      <c r="CA952" s="158">
        <f>BZ952</f>
        <v>0</v>
      </c>
      <c r="CB952" s="158">
        <f>CA952</f>
        <v>0</v>
      </c>
      <c r="CC952" s="117"/>
    </row>
    <row r="953" spans="1:81" x14ac:dyDescent="0.55000000000000004">
      <c r="A953" s="19" t="s">
        <v>212</v>
      </c>
      <c r="B953" s="193"/>
      <c r="C953" s="6">
        <f t="shared" ref="C953:AH953" si="1209">C951+C944+C952</f>
        <v>15163</v>
      </c>
      <c r="D953" s="6">
        <f t="shared" si="1209"/>
        <v>15724</v>
      </c>
      <c r="E953" s="6">
        <f t="shared" si="1209"/>
        <v>14933</v>
      </c>
      <c r="F953" s="6">
        <f t="shared" si="1209"/>
        <v>17895</v>
      </c>
      <c r="G953" s="6">
        <f t="shared" si="1209"/>
        <v>19028</v>
      </c>
      <c r="H953" s="6">
        <f t="shared" si="1209"/>
        <v>20769</v>
      </c>
      <c r="I953" s="6">
        <f t="shared" si="1209"/>
        <v>24188</v>
      </c>
      <c r="J953" s="6">
        <f t="shared" si="1209"/>
        <v>39966</v>
      </c>
      <c r="K953" s="6">
        <f t="shared" si="1209"/>
        <v>42007</v>
      </c>
      <c r="L953" s="6">
        <f t="shared" si="1209"/>
        <v>44130</v>
      </c>
      <c r="M953" s="6">
        <f t="shared" si="1209"/>
        <v>46469</v>
      </c>
      <c r="N953" s="6">
        <f t="shared" si="1209"/>
        <v>49407</v>
      </c>
      <c r="O953" s="6">
        <f t="shared" si="1209"/>
        <v>52262</v>
      </c>
      <c r="P953" s="6">
        <f t="shared" si="1209"/>
        <v>55968</v>
      </c>
      <c r="Q953" s="6">
        <f t="shared" si="1209"/>
        <v>60007</v>
      </c>
      <c r="R953" s="35">
        <f t="shared" si="1209"/>
        <v>64961</v>
      </c>
      <c r="S953" s="6">
        <f t="shared" si="1209"/>
        <v>68714</v>
      </c>
      <c r="T953" s="6">
        <f t="shared" si="1209"/>
        <v>73843</v>
      </c>
      <c r="U953" s="6">
        <f t="shared" si="1209"/>
        <v>78998</v>
      </c>
      <c r="V953" s="35">
        <f t="shared" si="1209"/>
        <v>84524</v>
      </c>
      <c r="W953" s="6">
        <f t="shared" si="1209"/>
        <v>88945</v>
      </c>
      <c r="X953" s="6">
        <f t="shared" si="1209"/>
        <v>90291</v>
      </c>
      <c r="Y953" s="6">
        <f t="shared" si="1209"/>
        <v>92452</v>
      </c>
      <c r="Z953" s="35">
        <f t="shared" si="1209"/>
        <v>97334</v>
      </c>
      <c r="AA953" s="6">
        <f t="shared" si="1209"/>
        <v>109477</v>
      </c>
      <c r="AB953" s="6">
        <f t="shared" si="1209"/>
        <v>117006</v>
      </c>
      <c r="AC953" s="6">
        <f t="shared" si="1209"/>
        <v>124418</v>
      </c>
      <c r="AD953" s="35">
        <f t="shared" si="1209"/>
        <v>133376</v>
      </c>
      <c r="AE953" s="6">
        <f t="shared" si="1209"/>
        <v>138371</v>
      </c>
      <c r="AF953" s="6">
        <f t="shared" si="1209"/>
        <v>139691</v>
      </c>
      <c r="AG953" s="6">
        <f t="shared" si="1209"/>
        <v>146437</v>
      </c>
      <c r="AH953" s="35">
        <f t="shared" si="1209"/>
        <v>159316</v>
      </c>
      <c r="AI953" s="6">
        <f t="shared" ref="AI953:BF953" si="1210">AI951+AI944+AI952</f>
        <v>163523</v>
      </c>
      <c r="AJ953" s="6">
        <f t="shared" si="1210"/>
        <v>170609</v>
      </c>
      <c r="AK953" s="6">
        <f t="shared" si="1210"/>
        <v>169585</v>
      </c>
      <c r="AL953" s="35">
        <f t="shared" si="1210"/>
        <v>165987</v>
      </c>
      <c r="AM953" s="6">
        <f t="shared" si="1210"/>
        <v>164218</v>
      </c>
      <c r="AN953" s="6">
        <f t="shared" si="1210"/>
        <v>169779</v>
      </c>
      <c r="AO953" s="6">
        <f t="shared" si="1210"/>
        <v>178894</v>
      </c>
      <c r="AP953" s="35">
        <f t="shared" si="1210"/>
        <v>185727</v>
      </c>
      <c r="AQ953" s="6">
        <f t="shared" si="1210"/>
        <v>184491</v>
      </c>
      <c r="AR953" s="6">
        <f t="shared" si="1210"/>
        <v>206688</v>
      </c>
      <c r="AS953" s="6">
        <f t="shared" si="1210"/>
        <v>216274</v>
      </c>
      <c r="AT953" s="35">
        <f t="shared" si="1210"/>
        <v>229623</v>
      </c>
      <c r="AU953" s="6">
        <f t="shared" si="1210"/>
        <v>222844</v>
      </c>
      <c r="AV953" s="6">
        <f t="shared" si="1210"/>
        <v>230238</v>
      </c>
      <c r="AW953" s="6">
        <f t="shared" si="1210"/>
        <v>256408</v>
      </c>
      <c r="AX953" s="35">
        <f t="shared" si="1210"/>
        <v>276054</v>
      </c>
      <c r="AY953" s="272">
        <f t="shared" si="1210"/>
        <v>280213</v>
      </c>
      <c r="AZ953" s="35">
        <f t="shared" ca="1" si="1210"/>
        <v>300438.60311457916</v>
      </c>
      <c r="BA953" s="35">
        <f t="shared" ca="1" si="1210"/>
        <v>322288.64751922089</v>
      </c>
      <c r="BB953" s="35">
        <f t="shared" ca="1" si="1210"/>
        <v>345859.95684995677</v>
      </c>
      <c r="BC953" s="35">
        <f t="shared" ca="1" si="1210"/>
        <v>373149.13821714302</v>
      </c>
      <c r="BD953" s="35">
        <f t="shared" ca="1" si="1210"/>
        <v>400789.3691509018</v>
      </c>
      <c r="BE953" s="35">
        <f t="shared" ca="1" si="1210"/>
        <v>429819.08569970517</v>
      </c>
      <c r="BF953" s="35">
        <f t="shared" ca="1" si="1210"/>
        <v>460328.02894977853</v>
      </c>
      <c r="BG953" s="35"/>
      <c r="BH953" s="813">
        <f t="shared" ref="BH953:CB953" si="1211">BH951+BH944+BH952</f>
        <v>0</v>
      </c>
      <c r="BI953" s="813">
        <f t="shared" si="1211"/>
        <v>2990</v>
      </c>
      <c r="BJ953" s="813">
        <f t="shared" si="1211"/>
        <v>6331</v>
      </c>
      <c r="BK953" s="813">
        <f t="shared" si="1211"/>
        <v>15103</v>
      </c>
      <c r="BL953" s="813">
        <f t="shared" si="1211"/>
        <v>17895</v>
      </c>
      <c r="BM953" s="813">
        <f t="shared" si="1211"/>
        <v>39966</v>
      </c>
      <c r="BN953" s="813">
        <f t="shared" si="1211"/>
        <v>49407</v>
      </c>
      <c r="BO953" s="812">
        <f t="shared" si="1211"/>
        <v>64961</v>
      </c>
      <c r="BP953" s="812">
        <f t="shared" si="1211"/>
        <v>84524</v>
      </c>
      <c r="BQ953" s="812">
        <f t="shared" si="1211"/>
        <v>97334</v>
      </c>
      <c r="BR953" s="812">
        <f t="shared" si="1211"/>
        <v>133376</v>
      </c>
      <c r="BS953" s="812">
        <f t="shared" si="1211"/>
        <v>159316</v>
      </c>
      <c r="BT953" s="812">
        <f t="shared" si="1211"/>
        <v>165987</v>
      </c>
      <c r="BU953" s="812">
        <f t="shared" si="1211"/>
        <v>185727</v>
      </c>
      <c r="BV953" s="812">
        <f t="shared" si="1211"/>
        <v>229623</v>
      </c>
      <c r="BW953" s="814">
        <f t="shared" si="1211"/>
        <v>276054</v>
      </c>
      <c r="BX953" s="812">
        <f t="shared" ca="1" si="1211"/>
        <v>345859.95684995677</v>
      </c>
      <c r="BY953" s="812">
        <f t="shared" ca="1" si="1211"/>
        <v>460328.02894977853</v>
      </c>
      <c r="BZ953" s="812">
        <f t="shared" ca="1" si="1211"/>
        <v>584026.35410961008</v>
      </c>
      <c r="CA953" s="812">
        <f t="shared" ca="1" si="1211"/>
        <v>711849.50592137943</v>
      </c>
      <c r="CB953" s="812">
        <f t="shared" ca="1" si="1211"/>
        <v>856648.66091555939</v>
      </c>
      <c r="CC953" s="6"/>
    </row>
    <row r="954" spans="1:81" x14ac:dyDescent="0.55000000000000004">
      <c r="A954" s="600"/>
      <c r="B954" s="600"/>
      <c r="C954" s="600"/>
      <c r="D954" s="600"/>
      <c r="E954" s="600"/>
      <c r="F954" s="600"/>
      <c r="G954" s="600"/>
      <c r="H954" s="600"/>
      <c r="I954" s="600"/>
      <c r="J954" s="600"/>
      <c r="K954" s="600"/>
      <c r="L954" s="600"/>
      <c r="M954" s="600"/>
      <c r="N954" s="600"/>
      <c r="O954" s="600"/>
      <c r="P954" s="600"/>
      <c r="Q954" s="600"/>
      <c r="R954" s="600"/>
      <c r="S954" s="600"/>
      <c r="T954" s="600"/>
      <c r="U954" s="600"/>
      <c r="V954" s="600"/>
      <c r="W954" s="600"/>
      <c r="X954" s="600"/>
      <c r="Y954" s="600"/>
      <c r="Z954" s="600"/>
      <c r="AA954" s="600"/>
      <c r="AB954" s="600"/>
      <c r="AC954" s="600"/>
      <c r="AD954" s="600"/>
      <c r="AE954" s="600"/>
      <c r="AF954" s="600"/>
      <c r="AG954" s="600"/>
      <c r="AH954" s="600"/>
      <c r="AI954" s="600"/>
      <c r="AJ954" s="600"/>
      <c r="AK954" s="600"/>
      <c r="AL954" s="600"/>
      <c r="AM954" s="600"/>
      <c r="AN954" s="600"/>
      <c r="AO954" s="600"/>
      <c r="AP954" s="600"/>
      <c r="AQ954" s="600"/>
      <c r="AR954" s="600"/>
      <c r="AS954" s="600"/>
      <c r="AT954" s="600"/>
      <c r="AU954" s="600"/>
      <c r="AV954" s="600"/>
      <c r="AW954" s="600"/>
      <c r="AX954" s="600"/>
      <c r="AY954" s="600"/>
      <c r="AZ954" s="600"/>
      <c r="BA954" s="600"/>
      <c r="BB954" s="600"/>
      <c r="BC954" s="600"/>
      <c r="BD954" s="600"/>
      <c r="BE954" s="600"/>
      <c r="BF954" s="600"/>
      <c r="BG954" s="600"/>
      <c r="BH954" s="600"/>
      <c r="BI954" s="600"/>
      <c r="BJ954" s="600"/>
      <c r="BK954" s="600"/>
      <c r="BL954" s="600"/>
      <c r="BM954" s="600"/>
      <c r="BN954" s="600"/>
      <c r="BO954" s="600"/>
      <c r="BP954" s="600"/>
      <c r="BQ954" s="600"/>
      <c r="BR954" s="600"/>
      <c r="BS954" s="600"/>
      <c r="BT954" s="600"/>
      <c r="BU954" s="600"/>
      <c r="BV954" s="600"/>
      <c r="BW954" s="600"/>
      <c r="BX954" s="600"/>
      <c r="BY954" s="600"/>
      <c r="BZ954" s="600"/>
      <c r="CA954" s="600"/>
      <c r="CB954" s="600"/>
      <c r="CC954" s="358"/>
    </row>
    <row r="955" spans="1:81" x14ac:dyDescent="0.55000000000000004">
      <c r="A955" s="556" t="s">
        <v>213</v>
      </c>
      <c r="B955" s="556"/>
      <c r="C955" s="615">
        <f t="shared" ref="C955:AH955" si="1212">ROUND(C920-C953,6)</f>
        <v>0</v>
      </c>
      <c r="D955" s="615">
        <f t="shared" si="1212"/>
        <v>0</v>
      </c>
      <c r="E955" s="615">
        <f t="shared" si="1212"/>
        <v>0</v>
      </c>
      <c r="F955" s="615">
        <f t="shared" si="1212"/>
        <v>0</v>
      </c>
      <c r="G955" s="615">
        <f t="shared" si="1212"/>
        <v>0</v>
      </c>
      <c r="H955" s="615">
        <f t="shared" si="1212"/>
        <v>0</v>
      </c>
      <c r="I955" s="615">
        <f t="shared" si="1212"/>
        <v>0</v>
      </c>
      <c r="J955" s="615">
        <f t="shared" si="1212"/>
        <v>0</v>
      </c>
      <c r="K955" s="615">
        <f t="shared" si="1212"/>
        <v>0</v>
      </c>
      <c r="L955" s="615">
        <f t="shared" si="1212"/>
        <v>0</v>
      </c>
      <c r="M955" s="615">
        <f t="shared" si="1212"/>
        <v>0</v>
      </c>
      <c r="N955" s="615">
        <f t="shared" si="1212"/>
        <v>0</v>
      </c>
      <c r="O955" s="615">
        <f t="shared" si="1212"/>
        <v>0</v>
      </c>
      <c r="P955" s="615">
        <f t="shared" si="1212"/>
        <v>0</v>
      </c>
      <c r="Q955" s="615">
        <f t="shared" si="1212"/>
        <v>0</v>
      </c>
      <c r="R955" s="615">
        <f t="shared" si="1212"/>
        <v>0</v>
      </c>
      <c r="S955" s="615">
        <f t="shared" si="1212"/>
        <v>0</v>
      </c>
      <c r="T955" s="615">
        <f t="shared" si="1212"/>
        <v>0</v>
      </c>
      <c r="U955" s="615">
        <f t="shared" si="1212"/>
        <v>0</v>
      </c>
      <c r="V955" s="615">
        <f t="shared" si="1212"/>
        <v>0</v>
      </c>
      <c r="W955" s="615">
        <f t="shared" si="1212"/>
        <v>0</v>
      </c>
      <c r="X955" s="615">
        <f t="shared" si="1212"/>
        <v>0</v>
      </c>
      <c r="Y955" s="615">
        <f t="shared" si="1212"/>
        <v>0</v>
      </c>
      <c r="Z955" s="615">
        <f t="shared" si="1212"/>
        <v>0</v>
      </c>
      <c r="AA955" s="615">
        <f t="shared" si="1212"/>
        <v>0</v>
      </c>
      <c r="AB955" s="615">
        <f t="shared" si="1212"/>
        <v>0</v>
      </c>
      <c r="AC955" s="615">
        <f t="shared" si="1212"/>
        <v>0</v>
      </c>
      <c r="AD955" s="615">
        <f t="shared" si="1212"/>
        <v>0</v>
      </c>
      <c r="AE955" s="615">
        <f t="shared" si="1212"/>
        <v>0</v>
      </c>
      <c r="AF955" s="615">
        <f t="shared" si="1212"/>
        <v>0</v>
      </c>
      <c r="AG955" s="615">
        <f t="shared" si="1212"/>
        <v>0</v>
      </c>
      <c r="AH955" s="615">
        <f t="shared" si="1212"/>
        <v>0</v>
      </c>
      <c r="AI955" s="615">
        <f t="shared" ref="AI955:BF955" si="1213">ROUND(AI920-AI953,6)</f>
        <v>0</v>
      </c>
      <c r="AJ955" s="615">
        <f t="shared" si="1213"/>
        <v>0</v>
      </c>
      <c r="AK955" s="615">
        <f t="shared" si="1213"/>
        <v>0</v>
      </c>
      <c r="AL955" s="615">
        <f t="shared" si="1213"/>
        <v>0</v>
      </c>
      <c r="AM955" s="615">
        <f t="shared" si="1213"/>
        <v>0</v>
      </c>
      <c r="AN955" s="615">
        <f t="shared" si="1213"/>
        <v>0</v>
      </c>
      <c r="AO955" s="615">
        <f t="shared" si="1213"/>
        <v>0</v>
      </c>
      <c r="AP955" s="615">
        <f t="shared" si="1213"/>
        <v>0</v>
      </c>
      <c r="AQ955" s="615">
        <f t="shared" si="1213"/>
        <v>0</v>
      </c>
      <c r="AR955" s="615">
        <f t="shared" si="1213"/>
        <v>0</v>
      </c>
      <c r="AS955" s="615">
        <f t="shared" si="1213"/>
        <v>0</v>
      </c>
      <c r="AT955" s="615">
        <f t="shared" si="1213"/>
        <v>0</v>
      </c>
      <c r="AU955" s="615">
        <f t="shared" si="1213"/>
        <v>0</v>
      </c>
      <c r="AV955" s="615">
        <f t="shared" si="1213"/>
        <v>0</v>
      </c>
      <c r="AW955" s="615">
        <f t="shared" si="1213"/>
        <v>0</v>
      </c>
      <c r="AX955" s="615">
        <f t="shared" si="1213"/>
        <v>0</v>
      </c>
      <c r="AY955" s="615">
        <f t="shared" si="1213"/>
        <v>0</v>
      </c>
      <c r="AZ955" s="615">
        <f t="shared" ca="1" si="1213"/>
        <v>0</v>
      </c>
      <c r="BA955" s="615">
        <f t="shared" ca="1" si="1213"/>
        <v>0</v>
      </c>
      <c r="BB955" s="615">
        <f t="shared" ca="1" si="1213"/>
        <v>0</v>
      </c>
      <c r="BC955" s="615">
        <f t="shared" ca="1" si="1213"/>
        <v>0</v>
      </c>
      <c r="BD955" s="615">
        <f t="shared" ca="1" si="1213"/>
        <v>0</v>
      </c>
      <c r="BE955" s="615">
        <f t="shared" ca="1" si="1213"/>
        <v>0</v>
      </c>
      <c r="BF955" s="615">
        <f t="shared" ca="1" si="1213"/>
        <v>0</v>
      </c>
      <c r="BG955" s="615"/>
      <c r="BH955" s="615">
        <f t="shared" ref="BH955:CB955" si="1214">ROUND(BH920-BH953,6)</f>
        <v>0</v>
      </c>
      <c r="BI955" s="615">
        <f t="shared" si="1214"/>
        <v>0</v>
      </c>
      <c r="BJ955" s="615">
        <f t="shared" si="1214"/>
        <v>0</v>
      </c>
      <c r="BK955" s="615">
        <f t="shared" si="1214"/>
        <v>0</v>
      </c>
      <c r="BL955" s="615">
        <f t="shared" si="1214"/>
        <v>0</v>
      </c>
      <c r="BM955" s="615">
        <f t="shared" si="1214"/>
        <v>0</v>
      </c>
      <c r="BN955" s="615">
        <f t="shared" si="1214"/>
        <v>0</v>
      </c>
      <c r="BO955" s="615">
        <f t="shared" si="1214"/>
        <v>0</v>
      </c>
      <c r="BP955" s="615">
        <f t="shared" si="1214"/>
        <v>0</v>
      </c>
      <c r="BQ955" s="615">
        <f t="shared" si="1214"/>
        <v>0</v>
      </c>
      <c r="BR955" s="615">
        <f t="shared" si="1214"/>
        <v>0</v>
      </c>
      <c r="BS955" s="615">
        <f t="shared" si="1214"/>
        <v>0</v>
      </c>
      <c r="BT955" s="615">
        <f t="shared" si="1214"/>
        <v>0</v>
      </c>
      <c r="BU955" s="615">
        <f t="shared" si="1214"/>
        <v>0</v>
      </c>
      <c r="BV955" s="615">
        <f t="shared" si="1214"/>
        <v>0</v>
      </c>
      <c r="BW955" s="615">
        <f t="shared" si="1214"/>
        <v>0</v>
      </c>
      <c r="BX955" s="615">
        <f t="shared" ca="1" si="1214"/>
        <v>0</v>
      </c>
      <c r="BY955" s="615">
        <f t="shared" ca="1" si="1214"/>
        <v>0</v>
      </c>
      <c r="BZ955" s="615">
        <f t="shared" ca="1" si="1214"/>
        <v>0</v>
      </c>
      <c r="CA955" s="615">
        <f t="shared" ca="1" si="1214"/>
        <v>0</v>
      </c>
      <c r="CB955" s="615">
        <f t="shared" ca="1" si="1214"/>
        <v>0</v>
      </c>
      <c r="CC955" s="358"/>
    </row>
    <row r="956" spans="1:81" x14ac:dyDescent="0.55000000000000004">
      <c r="A956" s="600"/>
      <c r="B956" s="600"/>
      <c r="C956" s="600"/>
      <c r="D956" s="600"/>
      <c r="E956" s="600"/>
      <c r="F956" s="600"/>
      <c r="G956" s="600"/>
      <c r="H956" s="600"/>
      <c r="I956" s="600"/>
      <c r="J956" s="600"/>
      <c r="K956" s="600"/>
      <c r="L956" s="600"/>
      <c r="M956" s="600"/>
      <c r="N956" s="600"/>
      <c r="O956" s="600"/>
      <c r="P956" s="600"/>
      <c r="Q956" s="600"/>
      <c r="R956" s="600"/>
      <c r="S956" s="600"/>
      <c r="T956" s="600"/>
      <c r="U956" s="600"/>
      <c r="V956" s="600"/>
      <c r="W956" s="600"/>
      <c r="X956" s="600"/>
      <c r="Y956" s="600"/>
      <c r="Z956" s="600"/>
      <c r="AA956" s="600"/>
      <c r="AB956" s="600"/>
      <c r="AC956" s="600"/>
      <c r="AD956" s="600"/>
      <c r="AE956" s="600"/>
      <c r="AF956" s="600"/>
      <c r="AG956" s="600"/>
      <c r="AH956" s="600"/>
      <c r="AI956" s="600"/>
      <c r="AJ956" s="600"/>
      <c r="AK956" s="600"/>
      <c r="AL956" s="600"/>
      <c r="AM956" s="600"/>
      <c r="AN956" s="600"/>
      <c r="AO956" s="600"/>
      <c r="AP956" s="600"/>
      <c r="AQ956" s="600"/>
      <c r="AR956" s="600"/>
      <c r="AS956" s="600"/>
      <c r="AT956" s="600"/>
      <c r="AU956" s="600"/>
      <c r="AV956" s="600"/>
      <c r="AW956" s="600"/>
      <c r="AX956" s="600"/>
      <c r="AY956" s="600"/>
      <c r="AZ956" s="600"/>
      <c r="BA956" s="600"/>
      <c r="BB956" s="600"/>
      <c r="BC956" s="600"/>
      <c r="BD956" s="600"/>
      <c r="BE956" s="600"/>
      <c r="BF956" s="600"/>
      <c r="BG956" s="600"/>
      <c r="BH956" s="600"/>
      <c r="BI956" s="600"/>
      <c r="BJ956" s="600"/>
      <c r="BK956" s="600"/>
      <c r="BL956" s="600"/>
      <c r="BM956" s="600"/>
      <c r="BN956" s="600"/>
      <c r="BO956" s="600"/>
      <c r="BP956" s="600"/>
      <c r="BQ956" s="600"/>
      <c r="BR956" s="600"/>
      <c r="BS956" s="600"/>
      <c r="BT956" s="600"/>
      <c r="BU956" s="600"/>
      <c r="BV956" s="600"/>
      <c r="BW956" s="600"/>
      <c r="BX956" s="600"/>
      <c r="BY956" s="600"/>
      <c r="BZ956" s="600"/>
      <c r="CA956" s="600"/>
      <c r="CB956" s="600"/>
      <c r="CC956" s="358"/>
    </row>
    <row r="957" spans="1:81" x14ac:dyDescent="0.55000000000000004">
      <c r="A957" s="605" t="s">
        <v>214</v>
      </c>
      <c r="B957" s="605"/>
      <c r="C957" s="605"/>
      <c r="D957" s="605"/>
      <c r="E957" s="605"/>
      <c r="F957" s="605"/>
      <c r="G957" s="605"/>
      <c r="H957" s="605"/>
      <c r="I957" s="605"/>
      <c r="J957" s="605"/>
      <c r="K957" s="605"/>
      <c r="L957" s="605"/>
      <c r="M957" s="605"/>
      <c r="N957" s="605"/>
      <c r="O957" s="605"/>
      <c r="P957" s="605"/>
      <c r="Q957" s="605"/>
      <c r="R957" s="605"/>
      <c r="S957" s="605"/>
      <c r="T957" s="605"/>
      <c r="U957" s="605"/>
      <c r="V957" s="605"/>
      <c r="W957" s="605"/>
      <c r="X957" s="605"/>
      <c r="Y957" s="605"/>
      <c r="Z957" s="605"/>
      <c r="AA957" s="605"/>
      <c r="AB957" s="605"/>
      <c r="AC957" s="605"/>
      <c r="AD957" s="605"/>
      <c r="AE957" s="605"/>
      <c r="AF957" s="605"/>
      <c r="AG957" s="605"/>
      <c r="AH957" s="605"/>
      <c r="AI957" s="605"/>
      <c r="AJ957" s="605"/>
      <c r="AK957" s="605"/>
      <c r="AL957" s="605"/>
      <c r="AM957" s="605"/>
      <c r="AN957" s="605"/>
      <c r="AO957" s="605"/>
      <c r="AP957" s="605"/>
      <c r="AQ957" s="605"/>
      <c r="AR957" s="605"/>
      <c r="AS957" s="605"/>
      <c r="AT957" s="605"/>
      <c r="AU957" s="605"/>
      <c r="AV957" s="605"/>
      <c r="AW957" s="605"/>
      <c r="AX957" s="605"/>
      <c r="AY957" s="605"/>
      <c r="AZ957" s="605"/>
      <c r="BA957" s="605"/>
      <c r="BB957" s="605"/>
      <c r="BC957" s="605"/>
      <c r="BD957" s="605"/>
      <c r="BE957" s="605"/>
      <c r="BF957" s="605"/>
      <c r="BG957" s="605"/>
      <c r="BH957" s="605"/>
      <c r="BI957" s="605"/>
      <c r="BJ957" s="605"/>
      <c r="BK957" s="605"/>
      <c r="BL957" s="605"/>
      <c r="BM957" s="605"/>
      <c r="BN957" s="605"/>
      <c r="BO957" s="605"/>
      <c r="BP957" s="605"/>
      <c r="BQ957" s="605"/>
      <c r="BR957" s="605"/>
      <c r="BS957" s="605"/>
      <c r="BT957" s="605"/>
      <c r="BU957" s="605"/>
      <c r="BV957" s="605"/>
      <c r="BW957" s="605"/>
      <c r="BX957" s="605"/>
      <c r="BY957" s="605"/>
      <c r="BZ957" s="605"/>
      <c r="CA957" s="605"/>
      <c r="CB957" s="605"/>
      <c r="CC957" s="217"/>
    </row>
    <row r="958" spans="1:81" outlineLevel="1" x14ac:dyDescent="0.55000000000000004">
      <c r="A958" s="117" t="s">
        <v>215</v>
      </c>
      <c r="B958" s="200"/>
      <c r="C958" s="554">
        <f t="shared" ref="C958:AH958" si="1215">IF(ISBLANK(INDEX(MO_IS_FirstRow,0,COLUMN())),0,ROUND(C803-C406,6))</f>
        <v>0</v>
      </c>
      <c r="D958" s="554">
        <f t="shared" si="1215"/>
        <v>0</v>
      </c>
      <c r="E958" s="554">
        <f t="shared" si="1215"/>
        <v>0</v>
      </c>
      <c r="F958" s="554">
        <f t="shared" si="1215"/>
        <v>0</v>
      </c>
      <c r="G958" s="554">
        <f t="shared" si="1215"/>
        <v>0</v>
      </c>
      <c r="H958" s="554">
        <f t="shared" si="1215"/>
        <v>0</v>
      </c>
      <c r="I958" s="554">
        <f t="shared" si="1215"/>
        <v>0</v>
      </c>
      <c r="J958" s="554">
        <f t="shared" si="1215"/>
        <v>0</v>
      </c>
      <c r="K958" s="554">
        <f t="shared" si="1215"/>
        <v>0</v>
      </c>
      <c r="L958" s="554">
        <f t="shared" si="1215"/>
        <v>0</v>
      </c>
      <c r="M958" s="554">
        <f t="shared" si="1215"/>
        <v>0</v>
      </c>
      <c r="N958" s="554">
        <f t="shared" si="1215"/>
        <v>-1</v>
      </c>
      <c r="O958" s="554">
        <f t="shared" si="1215"/>
        <v>0</v>
      </c>
      <c r="P958" s="554">
        <f t="shared" si="1215"/>
        <v>0</v>
      </c>
      <c r="Q958" s="554">
        <f t="shared" si="1215"/>
        <v>0</v>
      </c>
      <c r="R958" s="554">
        <f t="shared" si="1215"/>
        <v>1</v>
      </c>
      <c r="S958" s="554">
        <f t="shared" si="1215"/>
        <v>0</v>
      </c>
      <c r="T958" s="554">
        <f t="shared" si="1215"/>
        <v>1</v>
      </c>
      <c r="U958" s="554">
        <f t="shared" si="1215"/>
        <v>-1</v>
      </c>
      <c r="V958" s="554">
        <f t="shared" si="1215"/>
        <v>2</v>
      </c>
      <c r="W958" s="554">
        <f t="shared" si="1215"/>
        <v>0</v>
      </c>
      <c r="X958" s="554">
        <f t="shared" si="1215"/>
        <v>-1</v>
      </c>
      <c r="Y958" s="554">
        <f t="shared" si="1215"/>
        <v>0</v>
      </c>
      <c r="Z958" s="554">
        <f t="shared" si="1215"/>
        <v>1</v>
      </c>
      <c r="AA958" s="554">
        <f t="shared" si="1215"/>
        <v>0</v>
      </c>
      <c r="AB958" s="554">
        <f t="shared" si="1215"/>
        <v>0</v>
      </c>
      <c r="AC958" s="554">
        <f t="shared" si="1215"/>
        <v>0</v>
      </c>
      <c r="AD958" s="554">
        <f t="shared" si="1215"/>
        <v>0</v>
      </c>
      <c r="AE958" s="554">
        <f t="shared" si="1215"/>
        <v>0</v>
      </c>
      <c r="AF958" s="554">
        <f t="shared" si="1215"/>
        <v>1</v>
      </c>
      <c r="AG958" s="554">
        <f t="shared" si="1215"/>
        <v>0</v>
      </c>
      <c r="AH958" s="554">
        <f t="shared" si="1215"/>
        <v>0</v>
      </c>
      <c r="AI958" s="554">
        <f t="shared" ref="AI958:BF958" si="1216">IF(ISBLANK(INDEX(MO_IS_FirstRow,0,COLUMN())),0,ROUND(AI803-AI406,6))</f>
        <v>0</v>
      </c>
      <c r="AJ958" s="554">
        <f t="shared" si="1216"/>
        <v>1</v>
      </c>
      <c r="AK958" s="554">
        <f t="shared" si="1216"/>
        <v>-1</v>
      </c>
      <c r="AL958" s="554">
        <f t="shared" si="1216"/>
        <v>-1</v>
      </c>
      <c r="AM958" s="554">
        <f t="shared" si="1216"/>
        <v>0</v>
      </c>
      <c r="AN958" s="554">
        <f t="shared" si="1216"/>
        <v>0</v>
      </c>
      <c r="AO958" s="554">
        <f t="shared" si="1216"/>
        <v>0</v>
      </c>
      <c r="AP958" s="554">
        <f t="shared" si="1216"/>
        <v>1</v>
      </c>
      <c r="AQ958" s="554">
        <f t="shared" si="1216"/>
        <v>0</v>
      </c>
      <c r="AR958" s="554">
        <f t="shared" si="1216"/>
        <v>1</v>
      </c>
      <c r="AS958" s="554">
        <f t="shared" si="1216"/>
        <v>0</v>
      </c>
      <c r="AT958" s="554">
        <f t="shared" si="1216"/>
        <v>0</v>
      </c>
      <c r="AU958" s="554">
        <f t="shared" si="1216"/>
        <v>0</v>
      </c>
      <c r="AV958" s="554">
        <f t="shared" si="1216"/>
        <v>0</v>
      </c>
      <c r="AW958" s="554">
        <f t="shared" si="1216"/>
        <v>0</v>
      </c>
      <c r="AX958" s="554">
        <f t="shared" si="1216"/>
        <v>0</v>
      </c>
      <c r="AY958" s="554">
        <f t="shared" si="1216"/>
        <v>0</v>
      </c>
      <c r="AZ958" s="554">
        <f t="shared" si="1216"/>
        <v>0</v>
      </c>
      <c r="BA958" s="554">
        <f t="shared" si="1216"/>
        <v>0</v>
      </c>
      <c r="BB958" s="554">
        <f t="shared" si="1216"/>
        <v>0</v>
      </c>
      <c r="BC958" s="554">
        <f t="shared" si="1216"/>
        <v>0</v>
      </c>
      <c r="BD958" s="554">
        <f t="shared" si="1216"/>
        <v>0</v>
      </c>
      <c r="BE958" s="554">
        <f t="shared" si="1216"/>
        <v>0</v>
      </c>
      <c r="BF958" s="554">
        <f t="shared" si="1216"/>
        <v>0</v>
      </c>
      <c r="BG958" s="554"/>
      <c r="BH958" s="554">
        <f t="shared" ref="BH958:CB958" si="1217">IF(ISBLANK(INDEX(MO_IS_FirstRow,0,COLUMN())),0,ROUND(BH803-BH406,6))</f>
        <v>0</v>
      </c>
      <c r="BI958" s="554">
        <f t="shared" si="1217"/>
        <v>0</v>
      </c>
      <c r="BJ958" s="554">
        <f t="shared" si="1217"/>
        <v>0</v>
      </c>
      <c r="BK958" s="554">
        <f t="shared" si="1217"/>
        <v>0</v>
      </c>
      <c r="BL958" s="554">
        <f t="shared" si="1217"/>
        <v>0</v>
      </c>
      <c r="BM958" s="554">
        <f t="shared" si="1217"/>
        <v>0</v>
      </c>
      <c r="BN958" s="554">
        <f t="shared" si="1217"/>
        <v>0</v>
      </c>
      <c r="BO958" s="554">
        <f t="shared" si="1217"/>
        <v>0</v>
      </c>
      <c r="BP958" s="554">
        <f t="shared" si="1217"/>
        <v>0</v>
      </c>
      <c r="BQ958" s="554">
        <f t="shared" si="1217"/>
        <v>0</v>
      </c>
      <c r="BR958" s="554">
        <f t="shared" si="1217"/>
        <v>0</v>
      </c>
      <c r="BS958" s="554">
        <f t="shared" si="1217"/>
        <v>0</v>
      </c>
      <c r="BT958" s="554">
        <f t="shared" si="1217"/>
        <v>0</v>
      </c>
      <c r="BU958" s="554">
        <f t="shared" si="1217"/>
        <v>0</v>
      </c>
      <c r="BV958" s="554">
        <f t="shared" si="1217"/>
        <v>0</v>
      </c>
      <c r="BW958" s="554">
        <f t="shared" si="1217"/>
        <v>0</v>
      </c>
      <c r="BX958" s="554">
        <f t="shared" si="1217"/>
        <v>0</v>
      </c>
      <c r="BY958" s="554">
        <f t="shared" si="1217"/>
        <v>0</v>
      </c>
      <c r="BZ958" s="554">
        <f t="shared" si="1217"/>
        <v>0</v>
      </c>
      <c r="CA958" s="554">
        <f t="shared" si="1217"/>
        <v>0</v>
      </c>
      <c r="CB958" s="554">
        <f t="shared" si="1217"/>
        <v>0</v>
      </c>
      <c r="CC958" s="117"/>
    </row>
    <row r="959" spans="1:81" outlineLevel="1" x14ac:dyDescent="0.55000000000000004">
      <c r="A959" s="117" t="s">
        <v>216</v>
      </c>
      <c r="B959" s="200"/>
      <c r="C959" s="554">
        <f t="shared" ref="C959:AH959" si="1218">IF(ISBLANK(INDEX(MO_IS_FirstRow,0,COLUMN())),0,ROUND(C355-C410,6))</f>
        <v>0</v>
      </c>
      <c r="D959" s="554">
        <f t="shared" si="1218"/>
        <v>0</v>
      </c>
      <c r="E959" s="554">
        <f t="shared" si="1218"/>
        <v>0</v>
      </c>
      <c r="F959" s="554">
        <f t="shared" si="1218"/>
        <v>0</v>
      </c>
      <c r="G959" s="554">
        <f t="shared" si="1218"/>
        <v>0</v>
      </c>
      <c r="H959" s="554">
        <f t="shared" si="1218"/>
        <v>0</v>
      </c>
      <c r="I959" s="554">
        <f t="shared" si="1218"/>
        <v>0</v>
      </c>
      <c r="J959" s="554">
        <f t="shared" si="1218"/>
        <v>0</v>
      </c>
      <c r="K959" s="554">
        <f t="shared" si="1218"/>
        <v>0</v>
      </c>
      <c r="L959" s="554">
        <f t="shared" si="1218"/>
        <v>0</v>
      </c>
      <c r="M959" s="554">
        <f t="shared" si="1218"/>
        <v>0</v>
      </c>
      <c r="N959" s="554">
        <f t="shared" si="1218"/>
        <v>0</v>
      </c>
      <c r="O959" s="554">
        <f t="shared" si="1218"/>
        <v>0</v>
      </c>
      <c r="P959" s="554">
        <f t="shared" si="1218"/>
        <v>0</v>
      </c>
      <c r="Q959" s="554">
        <f t="shared" si="1218"/>
        <v>0</v>
      </c>
      <c r="R959" s="554">
        <f t="shared" si="1218"/>
        <v>0</v>
      </c>
      <c r="S959" s="554">
        <f t="shared" si="1218"/>
        <v>0</v>
      </c>
      <c r="T959" s="554">
        <f t="shared" si="1218"/>
        <v>0</v>
      </c>
      <c r="U959" s="554">
        <f t="shared" si="1218"/>
        <v>0</v>
      </c>
      <c r="V959" s="554">
        <f t="shared" si="1218"/>
        <v>0</v>
      </c>
      <c r="W959" s="554">
        <f t="shared" si="1218"/>
        <v>0</v>
      </c>
      <c r="X959" s="554">
        <f t="shared" si="1218"/>
        <v>0</v>
      </c>
      <c r="Y959" s="554">
        <f t="shared" si="1218"/>
        <v>0</v>
      </c>
      <c r="Z959" s="554">
        <f t="shared" si="1218"/>
        <v>0</v>
      </c>
      <c r="AA959" s="554">
        <f t="shared" si="1218"/>
        <v>0</v>
      </c>
      <c r="AB959" s="554">
        <f t="shared" si="1218"/>
        <v>0</v>
      </c>
      <c r="AC959" s="554">
        <f t="shared" si="1218"/>
        <v>0</v>
      </c>
      <c r="AD959" s="554">
        <f t="shared" si="1218"/>
        <v>0</v>
      </c>
      <c r="AE959" s="554">
        <f t="shared" si="1218"/>
        <v>0</v>
      </c>
      <c r="AF959" s="554">
        <f t="shared" si="1218"/>
        <v>0</v>
      </c>
      <c r="AG959" s="554">
        <f t="shared" si="1218"/>
        <v>0</v>
      </c>
      <c r="AH959" s="554">
        <f t="shared" si="1218"/>
        <v>0</v>
      </c>
      <c r="AI959" s="554">
        <f t="shared" ref="AI959:BF959" si="1219">IF(ISBLANK(INDEX(MO_IS_FirstRow,0,COLUMN())),0,ROUND(AI355-AI410,6))</f>
        <v>0</v>
      </c>
      <c r="AJ959" s="554">
        <f t="shared" si="1219"/>
        <v>0</v>
      </c>
      <c r="AK959" s="554">
        <f t="shared" si="1219"/>
        <v>0</v>
      </c>
      <c r="AL959" s="554">
        <f t="shared" si="1219"/>
        <v>0</v>
      </c>
      <c r="AM959" s="554">
        <f t="shared" si="1219"/>
        <v>0</v>
      </c>
      <c r="AN959" s="554">
        <f t="shared" si="1219"/>
        <v>0</v>
      </c>
      <c r="AO959" s="554">
        <f t="shared" si="1219"/>
        <v>0</v>
      </c>
      <c r="AP959" s="554">
        <f t="shared" si="1219"/>
        <v>0</v>
      </c>
      <c r="AQ959" s="554">
        <f t="shared" si="1219"/>
        <v>0</v>
      </c>
      <c r="AR959" s="554">
        <f t="shared" si="1219"/>
        <v>0</v>
      </c>
      <c r="AS959" s="554">
        <f t="shared" si="1219"/>
        <v>0</v>
      </c>
      <c r="AT959" s="554">
        <f t="shared" si="1219"/>
        <v>0</v>
      </c>
      <c r="AU959" s="554">
        <f t="shared" si="1219"/>
        <v>0</v>
      </c>
      <c r="AV959" s="554">
        <f t="shared" si="1219"/>
        <v>0</v>
      </c>
      <c r="AW959" s="554">
        <f t="shared" si="1219"/>
        <v>0</v>
      </c>
      <c r="AX959" s="554">
        <f t="shared" si="1219"/>
        <v>0</v>
      </c>
      <c r="AY959" s="554">
        <f t="shared" si="1219"/>
        <v>0</v>
      </c>
      <c r="AZ959" s="554">
        <f t="shared" si="1219"/>
        <v>0</v>
      </c>
      <c r="BA959" s="554">
        <f t="shared" si="1219"/>
        <v>0</v>
      </c>
      <c r="BB959" s="554">
        <f t="shared" si="1219"/>
        <v>0</v>
      </c>
      <c r="BC959" s="554">
        <f t="shared" si="1219"/>
        <v>0</v>
      </c>
      <c r="BD959" s="554">
        <f t="shared" si="1219"/>
        <v>0</v>
      </c>
      <c r="BE959" s="554">
        <f t="shared" si="1219"/>
        <v>0</v>
      </c>
      <c r="BF959" s="554">
        <f t="shared" si="1219"/>
        <v>0</v>
      </c>
      <c r="BG959" s="554"/>
      <c r="BH959" s="554">
        <f t="shared" ref="BH959:CB959" si="1220">IF(ISBLANK(INDEX(MO_IS_FirstRow,0,COLUMN())),0,ROUND(BH355-BH410,6))</f>
        <v>0</v>
      </c>
      <c r="BI959" s="554">
        <f t="shared" si="1220"/>
        <v>0</v>
      </c>
      <c r="BJ959" s="554">
        <f t="shared" si="1220"/>
        <v>0</v>
      </c>
      <c r="BK959" s="554">
        <f t="shared" si="1220"/>
        <v>0</v>
      </c>
      <c r="BL959" s="554">
        <f t="shared" si="1220"/>
        <v>0</v>
      </c>
      <c r="BM959" s="554">
        <f t="shared" si="1220"/>
        <v>0</v>
      </c>
      <c r="BN959" s="554">
        <f t="shared" si="1220"/>
        <v>0</v>
      </c>
      <c r="BO959" s="554">
        <f t="shared" si="1220"/>
        <v>0</v>
      </c>
      <c r="BP959" s="554">
        <f t="shared" si="1220"/>
        <v>0</v>
      </c>
      <c r="BQ959" s="554">
        <f t="shared" si="1220"/>
        <v>0</v>
      </c>
      <c r="BR959" s="554">
        <f t="shared" si="1220"/>
        <v>0</v>
      </c>
      <c r="BS959" s="554">
        <f t="shared" si="1220"/>
        <v>0</v>
      </c>
      <c r="BT959" s="554">
        <f t="shared" si="1220"/>
        <v>0</v>
      </c>
      <c r="BU959" s="554">
        <f t="shared" si="1220"/>
        <v>0</v>
      </c>
      <c r="BV959" s="554">
        <f t="shared" si="1220"/>
        <v>0</v>
      </c>
      <c r="BW959" s="554">
        <f t="shared" si="1220"/>
        <v>0</v>
      </c>
      <c r="BX959" s="554">
        <f t="shared" si="1220"/>
        <v>0</v>
      </c>
      <c r="BY959" s="554">
        <f t="shared" si="1220"/>
        <v>0</v>
      </c>
      <c r="BZ959" s="554">
        <f t="shared" si="1220"/>
        <v>0</v>
      </c>
      <c r="CA959" s="554">
        <f t="shared" si="1220"/>
        <v>0</v>
      </c>
      <c r="CB959" s="554">
        <f t="shared" si="1220"/>
        <v>0</v>
      </c>
      <c r="CC959" s="117"/>
    </row>
    <row r="960" spans="1:81" outlineLevel="1" x14ac:dyDescent="0.55000000000000004">
      <c r="A960" s="117" t="s">
        <v>417</v>
      </c>
      <c r="B960" s="200"/>
      <c r="C960" s="554">
        <f t="shared" ref="C960:AH960" si="1221">IF(C690&lt;0,C690,0)</f>
        <v>0</v>
      </c>
      <c r="D960" s="554">
        <f t="shared" si="1221"/>
        <v>0</v>
      </c>
      <c r="E960" s="554">
        <f t="shared" si="1221"/>
        <v>0</v>
      </c>
      <c r="F960" s="554">
        <f t="shared" si="1221"/>
        <v>0</v>
      </c>
      <c r="G960" s="554">
        <f t="shared" si="1221"/>
        <v>0</v>
      </c>
      <c r="H960" s="554">
        <f t="shared" si="1221"/>
        <v>0</v>
      </c>
      <c r="I960" s="554">
        <f t="shared" si="1221"/>
        <v>0</v>
      </c>
      <c r="J960" s="554">
        <f t="shared" si="1221"/>
        <v>0</v>
      </c>
      <c r="K960" s="554">
        <f t="shared" si="1221"/>
        <v>0</v>
      </c>
      <c r="L960" s="554">
        <f t="shared" si="1221"/>
        <v>0</v>
      </c>
      <c r="M960" s="554">
        <f t="shared" si="1221"/>
        <v>0</v>
      </c>
      <c r="N960" s="554">
        <f t="shared" si="1221"/>
        <v>0</v>
      </c>
      <c r="O960" s="554">
        <f t="shared" si="1221"/>
        <v>0</v>
      </c>
      <c r="P960" s="554">
        <f t="shared" si="1221"/>
        <v>0</v>
      </c>
      <c r="Q960" s="554">
        <f t="shared" si="1221"/>
        <v>0</v>
      </c>
      <c r="R960" s="554">
        <f t="shared" si="1221"/>
        <v>0</v>
      </c>
      <c r="S960" s="554">
        <f t="shared" si="1221"/>
        <v>0</v>
      </c>
      <c r="T960" s="554">
        <f t="shared" si="1221"/>
        <v>0</v>
      </c>
      <c r="U960" s="554">
        <f t="shared" si="1221"/>
        <v>0</v>
      </c>
      <c r="V960" s="554">
        <f t="shared" si="1221"/>
        <v>0</v>
      </c>
      <c r="W960" s="554">
        <f t="shared" si="1221"/>
        <v>0</v>
      </c>
      <c r="X960" s="554">
        <f t="shared" si="1221"/>
        <v>0</v>
      </c>
      <c r="Y960" s="554">
        <f t="shared" si="1221"/>
        <v>0</v>
      </c>
      <c r="Z960" s="554">
        <f t="shared" si="1221"/>
        <v>0</v>
      </c>
      <c r="AA960" s="554">
        <f t="shared" si="1221"/>
        <v>0</v>
      </c>
      <c r="AB960" s="554">
        <f t="shared" si="1221"/>
        <v>0</v>
      </c>
      <c r="AC960" s="554">
        <f t="shared" si="1221"/>
        <v>0</v>
      </c>
      <c r="AD960" s="554">
        <f t="shared" si="1221"/>
        <v>0</v>
      </c>
      <c r="AE960" s="554">
        <f t="shared" si="1221"/>
        <v>0</v>
      </c>
      <c r="AF960" s="554">
        <f t="shared" si="1221"/>
        <v>0</v>
      </c>
      <c r="AG960" s="554">
        <f t="shared" si="1221"/>
        <v>0</v>
      </c>
      <c r="AH960" s="554">
        <f t="shared" si="1221"/>
        <v>0</v>
      </c>
      <c r="AI960" s="554">
        <f t="shared" ref="AI960:BF960" si="1222">IF(AI690&lt;0,AI690,0)</f>
        <v>0</v>
      </c>
      <c r="AJ960" s="554">
        <f t="shared" si="1222"/>
        <v>0</v>
      </c>
      <c r="AK960" s="554">
        <f t="shared" si="1222"/>
        <v>0</v>
      </c>
      <c r="AL960" s="554">
        <f t="shared" si="1222"/>
        <v>0</v>
      </c>
      <c r="AM960" s="554">
        <f t="shared" si="1222"/>
        <v>0</v>
      </c>
      <c r="AN960" s="554">
        <f t="shared" si="1222"/>
        <v>0</v>
      </c>
      <c r="AO960" s="554">
        <f t="shared" si="1222"/>
        <v>0</v>
      </c>
      <c r="AP960" s="554">
        <f t="shared" si="1222"/>
        <v>0</v>
      </c>
      <c r="AQ960" s="554">
        <f t="shared" si="1222"/>
        <v>0</v>
      </c>
      <c r="AR960" s="554">
        <f t="shared" si="1222"/>
        <v>0</v>
      </c>
      <c r="AS960" s="554">
        <f t="shared" si="1222"/>
        <v>0</v>
      </c>
      <c r="AT960" s="554">
        <f t="shared" si="1222"/>
        <v>0</v>
      </c>
      <c r="AU960" s="554">
        <f t="shared" si="1222"/>
        <v>0</v>
      </c>
      <c r="AV960" s="554">
        <f t="shared" si="1222"/>
        <v>0</v>
      </c>
      <c r="AW960" s="554">
        <f t="shared" si="1222"/>
        <v>0</v>
      </c>
      <c r="AX960" s="554">
        <f t="shared" si="1222"/>
        <v>0</v>
      </c>
      <c r="AY960" s="554">
        <f t="shared" si="1222"/>
        <v>0</v>
      </c>
      <c r="AZ960" s="554">
        <f t="shared" ca="1" si="1222"/>
        <v>0</v>
      </c>
      <c r="BA960" s="554">
        <f t="shared" ca="1" si="1222"/>
        <v>0</v>
      </c>
      <c r="BB960" s="554">
        <f t="shared" ca="1" si="1222"/>
        <v>0</v>
      </c>
      <c r="BC960" s="554">
        <f t="shared" ca="1" si="1222"/>
        <v>0</v>
      </c>
      <c r="BD960" s="554">
        <f t="shared" ca="1" si="1222"/>
        <v>0</v>
      </c>
      <c r="BE960" s="554">
        <f t="shared" ca="1" si="1222"/>
        <v>0</v>
      </c>
      <c r="BF960" s="554">
        <f t="shared" ca="1" si="1222"/>
        <v>0</v>
      </c>
      <c r="BG960" s="554"/>
      <c r="BH960" s="554">
        <f t="shared" ref="BH960:CB960" si="1223">IF(BH690&lt;0,BH690,0)</f>
        <v>0</v>
      </c>
      <c r="BI960" s="554">
        <f t="shared" si="1223"/>
        <v>0</v>
      </c>
      <c r="BJ960" s="554">
        <f t="shared" si="1223"/>
        <v>0</v>
      </c>
      <c r="BK960" s="554">
        <f t="shared" si="1223"/>
        <v>0</v>
      </c>
      <c r="BL960" s="554">
        <f t="shared" si="1223"/>
        <v>0</v>
      </c>
      <c r="BM960" s="554">
        <f t="shared" si="1223"/>
        <v>0</v>
      </c>
      <c r="BN960" s="554">
        <f t="shared" si="1223"/>
        <v>0</v>
      </c>
      <c r="BO960" s="554">
        <f t="shared" si="1223"/>
        <v>0</v>
      </c>
      <c r="BP960" s="554">
        <f t="shared" si="1223"/>
        <v>0</v>
      </c>
      <c r="BQ960" s="554">
        <f t="shared" si="1223"/>
        <v>0</v>
      </c>
      <c r="BR960" s="554">
        <f t="shared" si="1223"/>
        <v>0</v>
      </c>
      <c r="BS960" s="554">
        <f t="shared" si="1223"/>
        <v>0</v>
      </c>
      <c r="BT960" s="554">
        <f t="shared" si="1223"/>
        <v>0</v>
      </c>
      <c r="BU960" s="554">
        <f t="shared" si="1223"/>
        <v>0</v>
      </c>
      <c r="BV960" s="554">
        <f t="shared" si="1223"/>
        <v>0</v>
      </c>
      <c r="BW960" s="554">
        <f t="shared" si="1223"/>
        <v>0</v>
      </c>
      <c r="BX960" s="554">
        <f t="shared" ca="1" si="1223"/>
        <v>0</v>
      </c>
      <c r="BY960" s="554">
        <f t="shared" ca="1" si="1223"/>
        <v>0</v>
      </c>
      <c r="BZ960" s="554">
        <f t="shared" ca="1" si="1223"/>
        <v>0</v>
      </c>
      <c r="CA960" s="554">
        <f t="shared" ca="1" si="1223"/>
        <v>0</v>
      </c>
      <c r="CB960" s="554">
        <f t="shared" ca="1" si="1223"/>
        <v>0</v>
      </c>
      <c r="CC960" s="117"/>
    </row>
    <row r="961" spans="1:81" outlineLevel="1" x14ac:dyDescent="0.55000000000000004">
      <c r="A961" s="117" t="s">
        <v>418</v>
      </c>
      <c r="B961" s="200"/>
      <c r="C961" s="554">
        <f t="shared" ref="C961:AH961" si="1224">IF(C693&lt;0,C693,0)</f>
        <v>0</v>
      </c>
      <c r="D961" s="554">
        <f t="shared" si="1224"/>
        <v>0</v>
      </c>
      <c r="E961" s="554">
        <f t="shared" si="1224"/>
        <v>0</v>
      </c>
      <c r="F961" s="554">
        <f t="shared" si="1224"/>
        <v>0</v>
      </c>
      <c r="G961" s="554">
        <f t="shared" si="1224"/>
        <v>0</v>
      </c>
      <c r="H961" s="554">
        <f t="shared" si="1224"/>
        <v>0</v>
      </c>
      <c r="I961" s="554">
        <f t="shared" si="1224"/>
        <v>0</v>
      </c>
      <c r="J961" s="554">
        <f t="shared" si="1224"/>
        <v>0</v>
      </c>
      <c r="K961" s="554">
        <f t="shared" si="1224"/>
        <v>0</v>
      </c>
      <c r="L961" s="554">
        <f t="shared" si="1224"/>
        <v>0</v>
      </c>
      <c r="M961" s="554">
        <f t="shared" si="1224"/>
        <v>0</v>
      </c>
      <c r="N961" s="554">
        <f t="shared" si="1224"/>
        <v>0</v>
      </c>
      <c r="O961" s="554">
        <f t="shared" si="1224"/>
        <v>0</v>
      </c>
      <c r="P961" s="554">
        <f t="shared" si="1224"/>
        <v>0</v>
      </c>
      <c r="Q961" s="554">
        <f t="shared" si="1224"/>
        <v>0</v>
      </c>
      <c r="R961" s="554">
        <f t="shared" si="1224"/>
        <v>0</v>
      </c>
      <c r="S961" s="554">
        <f t="shared" si="1224"/>
        <v>0</v>
      </c>
      <c r="T961" s="554">
        <f t="shared" si="1224"/>
        <v>0</v>
      </c>
      <c r="U961" s="554">
        <f t="shared" si="1224"/>
        <v>0</v>
      </c>
      <c r="V961" s="554">
        <f t="shared" si="1224"/>
        <v>0</v>
      </c>
      <c r="W961" s="554">
        <f t="shared" si="1224"/>
        <v>0</v>
      </c>
      <c r="X961" s="554">
        <f t="shared" si="1224"/>
        <v>0</v>
      </c>
      <c r="Y961" s="554">
        <f t="shared" si="1224"/>
        <v>0</v>
      </c>
      <c r="Z961" s="554">
        <f t="shared" si="1224"/>
        <v>0</v>
      </c>
      <c r="AA961" s="554">
        <f t="shared" si="1224"/>
        <v>0</v>
      </c>
      <c r="AB961" s="554">
        <f t="shared" si="1224"/>
        <v>0</v>
      </c>
      <c r="AC961" s="554">
        <f t="shared" si="1224"/>
        <v>0</v>
      </c>
      <c r="AD961" s="554">
        <f t="shared" si="1224"/>
        <v>0</v>
      </c>
      <c r="AE961" s="554">
        <f t="shared" si="1224"/>
        <v>0</v>
      </c>
      <c r="AF961" s="554">
        <f t="shared" si="1224"/>
        <v>0</v>
      </c>
      <c r="AG961" s="554">
        <f t="shared" si="1224"/>
        <v>0</v>
      </c>
      <c r="AH961" s="554">
        <f t="shared" si="1224"/>
        <v>0</v>
      </c>
      <c r="AI961" s="554">
        <f t="shared" ref="AI961:BF961" si="1225">IF(AI693&lt;0,AI693,0)</f>
        <v>0</v>
      </c>
      <c r="AJ961" s="554">
        <f t="shared" si="1225"/>
        <v>0</v>
      </c>
      <c r="AK961" s="554">
        <f t="shared" si="1225"/>
        <v>0</v>
      </c>
      <c r="AL961" s="554">
        <f t="shared" si="1225"/>
        <v>0</v>
      </c>
      <c r="AM961" s="554">
        <f t="shared" si="1225"/>
        <v>0</v>
      </c>
      <c r="AN961" s="554">
        <f t="shared" si="1225"/>
        <v>0</v>
      </c>
      <c r="AO961" s="554">
        <f t="shared" si="1225"/>
        <v>0</v>
      </c>
      <c r="AP961" s="554">
        <f t="shared" si="1225"/>
        <v>0</v>
      </c>
      <c r="AQ961" s="554">
        <f t="shared" si="1225"/>
        <v>0</v>
      </c>
      <c r="AR961" s="554">
        <f t="shared" si="1225"/>
        <v>0</v>
      </c>
      <c r="AS961" s="554">
        <f t="shared" si="1225"/>
        <v>0</v>
      </c>
      <c r="AT961" s="554">
        <f t="shared" si="1225"/>
        <v>0</v>
      </c>
      <c r="AU961" s="554">
        <f t="shared" si="1225"/>
        <v>0</v>
      </c>
      <c r="AV961" s="554">
        <f t="shared" si="1225"/>
        <v>0</v>
      </c>
      <c r="AW961" s="554">
        <f t="shared" si="1225"/>
        <v>0</v>
      </c>
      <c r="AX961" s="554">
        <f t="shared" si="1225"/>
        <v>0</v>
      </c>
      <c r="AY961" s="554">
        <f t="shared" si="1225"/>
        <v>0</v>
      </c>
      <c r="AZ961" s="554">
        <f t="shared" si="1225"/>
        <v>0</v>
      </c>
      <c r="BA961" s="554">
        <f t="shared" si="1225"/>
        <v>0</v>
      </c>
      <c r="BB961" s="554">
        <f t="shared" si="1225"/>
        <v>0</v>
      </c>
      <c r="BC961" s="554">
        <f t="shared" si="1225"/>
        <v>0</v>
      </c>
      <c r="BD961" s="554">
        <f t="shared" si="1225"/>
        <v>0</v>
      </c>
      <c r="BE961" s="554">
        <f t="shared" si="1225"/>
        <v>0</v>
      </c>
      <c r="BF961" s="554">
        <f t="shared" si="1225"/>
        <v>0</v>
      </c>
      <c r="BG961" s="554"/>
      <c r="BH961" s="554">
        <f t="shared" ref="BH961:CB961" si="1226">IF(BH693&lt;0,BH693,0)</f>
        <v>0</v>
      </c>
      <c r="BI961" s="554">
        <f t="shared" si="1226"/>
        <v>0</v>
      </c>
      <c r="BJ961" s="554">
        <f t="shared" si="1226"/>
        <v>0</v>
      </c>
      <c r="BK961" s="554">
        <f t="shared" si="1226"/>
        <v>0</v>
      </c>
      <c r="BL961" s="554">
        <f t="shared" si="1226"/>
        <v>0</v>
      </c>
      <c r="BM961" s="554">
        <f t="shared" si="1226"/>
        <v>0</v>
      </c>
      <c r="BN961" s="554">
        <f t="shared" si="1226"/>
        <v>0</v>
      </c>
      <c r="BO961" s="554">
        <f t="shared" si="1226"/>
        <v>0</v>
      </c>
      <c r="BP961" s="554">
        <f t="shared" si="1226"/>
        <v>0</v>
      </c>
      <c r="BQ961" s="554">
        <f t="shared" si="1226"/>
        <v>0</v>
      </c>
      <c r="BR961" s="554">
        <f t="shared" si="1226"/>
        <v>0</v>
      </c>
      <c r="BS961" s="554">
        <f t="shared" si="1226"/>
        <v>0</v>
      </c>
      <c r="BT961" s="554">
        <f t="shared" si="1226"/>
        <v>0</v>
      </c>
      <c r="BU961" s="554">
        <f t="shared" si="1226"/>
        <v>0</v>
      </c>
      <c r="BV961" s="554">
        <f t="shared" si="1226"/>
        <v>0</v>
      </c>
      <c r="BW961" s="554">
        <f t="shared" si="1226"/>
        <v>0</v>
      </c>
      <c r="BX961" s="554">
        <f t="shared" si="1226"/>
        <v>0</v>
      </c>
      <c r="BY961" s="554">
        <f t="shared" si="1226"/>
        <v>0</v>
      </c>
      <c r="BZ961" s="554">
        <f t="shared" si="1226"/>
        <v>0</v>
      </c>
      <c r="CA961" s="554">
        <f t="shared" si="1226"/>
        <v>0</v>
      </c>
      <c r="CB961" s="554">
        <f t="shared" si="1226"/>
        <v>0</v>
      </c>
      <c r="CC961" s="117"/>
    </row>
    <row r="962" spans="1:81" outlineLevel="1" x14ac:dyDescent="0.55000000000000004">
      <c r="A962" s="117" t="s">
        <v>217</v>
      </c>
      <c r="B962" s="200"/>
      <c r="C962" s="554">
        <f t="shared" ref="C962:AH962" si="1227">IF(ISBLANK(C85),0,ROUND(C378-C85,6))+IF(ISBLANK(C109),0,ROUND(C109-C81,6))+IF(ISBLANK(C121),0,ROUND(C378-C121,6))+IF(ISBLANK(C135),0,ROUND(C378-C135,6))</f>
        <v>0</v>
      </c>
      <c r="D962" s="554">
        <f t="shared" si="1227"/>
        <v>0</v>
      </c>
      <c r="E962" s="554">
        <f t="shared" si="1227"/>
        <v>0</v>
      </c>
      <c r="F962" s="554">
        <f t="shared" si="1227"/>
        <v>0</v>
      </c>
      <c r="G962" s="554">
        <f t="shared" si="1227"/>
        <v>0</v>
      </c>
      <c r="H962" s="554">
        <f t="shared" si="1227"/>
        <v>0</v>
      </c>
      <c r="I962" s="554">
        <f t="shared" si="1227"/>
        <v>0</v>
      </c>
      <c r="J962" s="554">
        <f t="shared" si="1227"/>
        <v>0</v>
      </c>
      <c r="K962" s="554">
        <f t="shared" si="1227"/>
        <v>0</v>
      </c>
      <c r="L962" s="554">
        <f t="shared" si="1227"/>
        <v>0</v>
      </c>
      <c r="M962" s="554">
        <f t="shared" si="1227"/>
        <v>0</v>
      </c>
      <c r="N962" s="554">
        <f t="shared" si="1227"/>
        <v>-2</v>
      </c>
      <c r="O962" s="554">
        <f t="shared" si="1227"/>
        <v>0</v>
      </c>
      <c r="P962" s="554">
        <f t="shared" si="1227"/>
        <v>0</v>
      </c>
      <c r="Q962" s="554">
        <f t="shared" si="1227"/>
        <v>0</v>
      </c>
      <c r="R962" s="554">
        <f t="shared" si="1227"/>
        <v>0</v>
      </c>
      <c r="S962" s="554">
        <f t="shared" si="1227"/>
        <v>0</v>
      </c>
      <c r="T962" s="554">
        <f t="shared" si="1227"/>
        <v>0</v>
      </c>
      <c r="U962" s="554">
        <f t="shared" si="1227"/>
        <v>0</v>
      </c>
      <c r="V962" s="554">
        <f t="shared" si="1227"/>
        <v>0</v>
      </c>
      <c r="W962" s="554">
        <f t="shared" si="1227"/>
        <v>0</v>
      </c>
      <c r="X962" s="554">
        <f t="shared" si="1227"/>
        <v>0</v>
      </c>
      <c r="Y962" s="554">
        <f t="shared" si="1227"/>
        <v>0</v>
      </c>
      <c r="Z962" s="554">
        <f t="shared" si="1227"/>
        <v>0</v>
      </c>
      <c r="AA962" s="554">
        <f t="shared" si="1227"/>
        <v>0</v>
      </c>
      <c r="AB962" s="554">
        <f t="shared" si="1227"/>
        <v>0</v>
      </c>
      <c r="AC962" s="554">
        <f t="shared" si="1227"/>
        <v>0</v>
      </c>
      <c r="AD962" s="554">
        <f t="shared" si="1227"/>
        <v>0</v>
      </c>
      <c r="AE962" s="554">
        <f t="shared" si="1227"/>
        <v>0</v>
      </c>
      <c r="AF962" s="554">
        <f t="shared" si="1227"/>
        <v>0</v>
      </c>
      <c r="AG962" s="554">
        <f t="shared" si="1227"/>
        <v>0</v>
      </c>
      <c r="AH962" s="554">
        <f t="shared" si="1227"/>
        <v>1</v>
      </c>
      <c r="AI962" s="554">
        <f t="shared" ref="AI962:BF962" si="1228">IF(ISBLANK(AI85),0,ROUND(AI378-AI85,6))+IF(ISBLANK(AI109),0,ROUND(AI109-AI81,6))+IF(ISBLANK(AI121),0,ROUND(AI378-AI121,6))+IF(ISBLANK(AI135),0,ROUND(AI378-AI135,6))</f>
        <v>0</v>
      </c>
      <c r="AJ962" s="554">
        <f t="shared" si="1228"/>
        <v>0</v>
      </c>
      <c r="AK962" s="554">
        <f t="shared" si="1228"/>
        <v>0</v>
      </c>
      <c r="AL962" s="554">
        <f t="shared" si="1228"/>
        <v>0</v>
      </c>
      <c r="AM962" s="554">
        <f t="shared" si="1228"/>
        <v>0</v>
      </c>
      <c r="AN962" s="554">
        <f t="shared" si="1228"/>
        <v>0</v>
      </c>
      <c r="AO962" s="554">
        <f t="shared" si="1228"/>
        <v>0</v>
      </c>
      <c r="AP962" s="554">
        <f t="shared" si="1228"/>
        <v>0</v>
      </c>
      <c r="AQ962" s="554">
        <f t="shared" si="1228"/>
        <v>0</v>
      </c>
      <c r="AR962" s="554">
        <f t="shared" si="1228"/>
        <v>0</v>
      </c>
      <c r="AS962" s="554">
        <f t="shared" si="1228"/>
        <v>0</v>
      </c>
      <c r="AT962" s="554">
        <f t="shared" si="1228"/>
        <v>-1</v>
      </c>
      <c r="AU962" s="554">
        <f t="shared" si="1228"/>
        <v>0</v>
      </c>
      <c r="AV962" s="554">
        <f t="shared" si="1228"/>
        <v>0</v>
      </c>
      <c r="AW962" s="554">
        <f t="shared" si="1228"/>
        <v>0</v>
      </c>
      <c r="AX962" s="554">
        <f t="shared" si="1228"/>
        <v>-1</v>
      </c>
      <c r="AY962" s="554">
        <f t="shared" si="1228"/>
        <v>0</v>
      </c>
      <c r="AZ962" s="554">
        <f t="shared" si="1228"/>
        <v>0</v>
      </c>
      <c r="BA962" s="554">
        <f t="shared" si="1228"/>
        <v>0</v>
      </c>
      <c r="BB962" s="554">
        <f t="shared" si="1228"/>
        <v>0</v>
      </c>
      <c r="BC962" s="554">
        <f t="shared" si="1228"/>
        <v>0</v>
      </c>
      <c r="BD962" s="554">
        <f t="shared" si="1228"/>
        <v>0</v>
      </c>
      <c r="BE962" s="554">
        <f t="shared" si="1228"/>
        <v>0</v>
      </c>
      <c r="BF962" s="554">
        <f t="shared" si="1228"/>
        <v>0</v>
      </c>
      <c r="BG962" s="554"/>
      <c r="BH962" s="554"/>
      <c r="BI962" s="554"/>
      <c r="BJ962" s="554"/>
      <c r="BK962" s="554">
        <f t="shared" ref="BK962:CB962" si="1229">IF(ISBLANK(BK85),0,ROUND(BK378-BK85,6))+IF(ISBLANK(BK109),0,ROUND(BK109-BK81,6))+IF(ISBLANK(BK121),0,ROUND(BK378-BK121,6))+IF(ISBLANK(BK135),0,ROUND(BK378-BK135,6))</f>
        <v>0</v>
      </c>
      <c r="BL962" s="554">
        <f t="shared" si="1229"/>
        <v>0</v>
      </c>
      <c r="BM962" s="554">
        <f t="shared" si="1229"/>
        <v>0</v>
      </c>
      <c r="BN962" s="554">
        <f t="shared" si="1229"/>
        <v>1</v>
      </c>
      <c r="BO962" s="554">
        <f t="shared" si="1229"/>
        <v>0</v>
      </c>
      <c r="BP962" s="554">
        <f t="shared" si="1229"/>
        <v>0</v>
      </c>
      <c r="BQ962" s="554">
        <f t="shared" si="1229"/>
        <v>0</v>
      </c>
      <c r="BR962" s="554">
        <f t="shared" si="1229"/>
        <v>0</v>
      </c>
      <c r="BS962" s="554">
        <f t="shared" si="1229"/>
        <v>-1</v>
      </c>
      <c r="BT962" s="554">
        <f t="shared" si="1229"/>
        <v>0</v>
      </c>
      <c r="BU962" s="554">
        <f t="shared" si="1229"/>
        <v>0</v>
      </c>
      <c r="BV962" s="554">
        <f t="shared" si="1229"/>
        <v>1</v>
      </c>
      <c r="BW962" s="554">
        <f t="shared" si="1229"/>
        <v>0</v>
      </c>
      <c r="BX962" s="554">
        <f t="shared" si="1229"/>
        <v>0</v>
      </c>
      <c r="BY962" s="554">
        <f t="shared" si="1229"/>
        <v>0</v>
      </c>
      <c r="BZ962" s="554">
        <f t="shared" si="1229"/>
        <v>0</v>
      </c>
      <c r="CA962" s="554">
        <f t="shared" si="1229"/>
        <v>0</v>
      </c>
      <c r="CB962" s="554">
        <f t="shared" si="1229"/>
        <v>0</v>
      </c>
      <c r="CC962" s="117"/>
    </row>
    <row r="963" spans="1:81" outlineLevel="1" x14ac:dyDescent="0.55000000000000004">
      <c r="A963" s="117" t="s">
        <v>1055</v>
      </c>
      <c r="B963" s="200"/>
      <c r="C963" s="554">
        <f t="shared" ref="C963:AH963" si="1230">IF(ISBLANK(C95),0,ROUND(C388-C95,6))</f>
        <v>0</v>
      </c>
      <c r="D963" s="554">
        <f t="shared" si="1230"/>
        <v>0</v>
      </c>
      <c r="E963" s="554">
        <f t="shared" si="1230"/>
        <v>0</v>
      </c>
      <c r="F963" s="554">
        <f t="shared" si="1230"/>
        <v>0</v>
      </c>
      <c r="G963" s="554">
        <f t="shared" si="1230"/>
        <v>0</v>
      </c>
      <c r="H963" s="554">
        <f t="shared" si="1230"/>
        <v>0</v>
      </c>
      <c r="I963" s="554">
        <f t="shared" si="1230"/>
        <v>0</v>
      </c>
      <c r="J963" s="554">
        <f t="shared" si="1230"/>
        <v>0</v>
      </c>
      <c r="K963" s="554">
        <f t="shared" si="1230"/>
        <v>0</v>
      </c>
      <c r="L963" s="554">
        <f t="shared" si="1230"/>
        <v>0</v>
      </c>
      <c r="M963" s="554">
        <f t="shared" si="1230"/>
        <v>0</v>
      </c>
      <c r="N963" s="554">
        <f t="shared" si="1230"/>
        <v>0</v>
      </c>
      <c r="O963" s="554">
        <f t="shared" si="1230"/>
        <v>0</v>
      </c>
      <c r="P963" s="554">
        <f t="shared" si="1230"/>
        <v>0</v>
      </c>
      <c r="Q963" s="554">
        <f t="shared" si="1230"/>
        <v>0</v>
      </c>
      <c r="R963" s="554">
        <f t="shared" si="1230"/>
        <v>0</v>
      </c>
      <c r="S963" s="554">
        <f t="shared" si="1230"/>
        <v>0</v>
      </c>
      <c r="T963" s="554">
        <f t="shared" si="1230"/>
        <v>0</v>
      </c>
      <c r="U963" s="554">
        <f t="shared" si="1230"/>
        <v>0</v>
      </c>
      <c r="V963" s="554">
        <f t="shared" si="1230"/>
        <v>0</v>
      </c>
      <c r="W963" s="554">
        <f t="shared" si="1230"/>
        <v>0</v>
      </c>
      <c r="X963" s="554">
        <f t="shared" si="1230"/>
        <v>0</v>
      </c>
      <c r="Y963" s="554">
        <f t="shared" si="1230"/>
        <v>0</v>
      </c>
      <c r="Z963" s="554">
        <f t="shared" si="1230"/>
        <v>0</v>
      </c>
      <c r="AA963" s="554">
        <f t="shared" si="1230"/>
        <v>0</v>
      </c>
      <c r="AB963" s="554">
        <f t="shared" si="1230"/>
        <v>0</v>
      </c>
      <c r="AC963" s="554">
        <f t="shared" si="1230"/>
        <v>0</v>
      </c>
      <c r="AD963" s="554">
        <f t="shared" si="1230"/>
        <v>0</v>
      </c>
      <c r="AE963" s="554">
        <f t="shared" si="1230"/>
        <v>0</v>
      </c>
      <c r="AF963" s="554">
        <f t="shared" si="1230"/>
        <v>0</v>
      </c>
      <c r="AG963" s="554">
        <f t="shared" si="1230"/>
        <v>0</v>
      </c>
      <c r="AH963" s="554">
        <f t="shared" si="1230"/>
        <v>0</v>
      </c>
      <c r="AI963" s="554">
        <f t="shared" ref="AI963:BF963" si="1231">IF(ISBLANK(AI95),0,ROUND(AI388-AI95,6))</f>
        <v>0</v>
      </c>
      <c r="AJ963" s="554">
        <f t="shared" si="1231"/>
        <v>0</v>
      </c>
      <c r="AK963" s="554">
        <f t="shared" si="1231"/>
        <v>0</v>
      </c>
      <c r="AL963" s="554">
        <f t="shared" si="1231"/>
        <v>0</v>
      </c>
      <c r="AM963" s="554">
        <f t="shared" si="1231"/>
        <v>0</v>
      </c>
      <c r="AN963" s="554">
        <f t="shared" si="1231"/>
        <v>0</v>
      </c>
      <c r="AO963" s="554">
        <f t="shared" si="1231"/>
        <v>0</v>
      </c>
      <c r="AP963" s="554">
        <f t="shared" si="1231"/>
        <v>0</v>
      </c>
      <c r="AQ963" s="554">
        <f t="shared" si="1231"/>
        <v>0</v>
      </c>
      <c r="AR963" s="554">
        <f t="shared" si="1231"/>
        <v>0</v>
      </c>
      <c r="AS963" s="554">
        <f t="shared" si="1231"/>
        <v>0</v>
      </c>
      <c r="AT963" s="554">
        <f t="shared" si="1231"/>
        <v>0</v>
      </c>
      <c r="AU963" s="554">
        <f t="shared" si="1231"/>
        <v>0</v>
      </c>
      <c r="AV963" s="554">
        <f t="shared" si="1231"/>
        <v>0</v>
      </c>
      <c r="AW963" s="554">
        <f t="shared" si="1231"/>
        <v>0</v>
      </c>
      <c r="AX963" s="554">
        <f t="shared" si="1231"/>
        <v>0</v>
      </c>
      <c r="AY963" s="554">
        <f t="shared" si="1231"/>
        <v>0</v>
      </c>
      <c r="AZ963" s="554">
        <f t="shared" si="1231"/>
        <v>0</v>
      </c>
      <c r="BA963" s="554">
        <f t="shared" si="1231"/>
        <v>0</v>
      </c>
      <c r="BB963" s="554">
        <f t="shared" si="1231"/>
        <v>0</v>
      </c>
      <c r="BC963" s="554">
        <f t="shared" si="1231"/>
        <v>0</v>
      </c>
      <c r="BD963" s="554">
        <f t="shared" si="1231"/>
        <v>0</v>
      </c>
      <c r="BE963" s="554">
        <f t="shared" si="1231"/>
        <v>0</v>
      </c>
      <c r="BF963" s="554">
        <f t="shared" si="1231"/>
        <v>0</v>
      </c>
      <c r="BG963" s="554"/>
      <c r="BH963" s="554"/>
      <c r="BI963" s="554"/>
      <c r="BJ963" s="554"/>
      <c r="BK963" s="554">
        <f t="shared" ref="BK963:CB963" si="1232">IF(ISBLANK(BK95),0,ROUND(BK388-BK95,6))</f>
        <v>0</v>
      </c>
      <c r="BL963" s="554">
        <f t="shared" si="1232"/>
        <v>0</v>
      </c>
      <c r="BM963" s="554">
        <f t="shared" si="1232"/>
        <v>0</v>
      </c>
      <c r="BN963" s="554">
        <f t="shared" si="1232"/>
        <v>0</v>
      </c>
      <c r="BO963" s="554">
        <f t="shared" si="1232"/>
        <v>0</v>
      </c>
      <c r="BP963" s="554">
        <f t="shared" si="1232"/>
        <v>0</v>
      </c>
      <c r="BQ963" s="554">
        <f t="shared" si="1232"/>
        <v>0</v>
      </c>
      <c r="BR963" s="554">
        <f t="shared" si="1232"/>
        <v>0</v>
      </c>
      <c r="BS963" s="554">
        <f t="shared" si="1232"/>
        <v>0</v>
      </c>
      <c r="BT963" s="554">
        <f t="shared" si="1232"/>
        <v>0</v>
      </c>
      <c r="BU963" s="554">
        <f t="shared" si="1232"/>
        <v>0</v>
      </c>
      <c r="BV963" s="554">
        <f t="shared" si="1232"/>
        <v>0</v>
      </c>
      <c r="BW963" s="554">
        <f t="shared" si="1232"/>
        <v>0</v>
      </c>
      <c r="BX963" s="554">
        <f t="shared" si="1232"/>
        <v>0</v>
      </c>
      <c r="BY963" s="554">
        <f t="shared" si="1232"/>
        <v>0</v>
      </c>
      <c r="BZ963" s="554">
        <f t="shared" si="1232"/>
        <v>0</v>
      </c>
      <c r="CA963" s="554">
        <f t="shared" si="1232"/>
        <v>0</v>
      </c>
      <c r="CB963" s="554">
        <f t="shared" si="1232"/>
        <v>0</v>
      </c>
      <c r="CC963" s="117"/>
    </row>
    <row r="964" spans="1:81" outlineLevel="1" x14ac:dyDescent="0.55000000000000004">
      <c r="A964" s="117" t="s">
        <v>218</v>
      </c>
      <c r="B964" s="200"/>
      <c r="C964" s="554">
        <f>IF(ISBLANK(INDEX(MO_IS_FirstRow,0,COLUMN())),0,IF(OR(C860=B860,C860=D860,C860=BJ860),"CHECK",0))</f>
        <v>0</v>
      </c>
      <c r="D964" s="554">
        <f>IF(ISBLANK(INDEX(MO_IS_FirstRow,0,COLUMN())),0,IF(OR(D860=BH860,D860=E860,D860=C860),"CHECK",0))</f>
        <v>0</v>
      </c>
      <c r="E964" s="554">
        <f>IF(ISBLANK(INDEX(MO_IS_FirstRow,0,COLUMN())),0,IF(OR(E860=BI860,E860=F860,E860=D860),"CHECK",0))</f>
        <v>0</v>
      </c>
      <c r="F964" s="554">
        <f>IF(ISBLANK(INDEX(MO_IS_FirstRow,0,COLUMN())),0,IF(OR(F860=BJ860,F860=BL860,F860=E860),"CHECK",0))</f>
        <v>0</v>
      </c>
      <c r="G964" s="554">
        <f>IF(ISBLANK(INDEX(MO_IS_FirstRow,0,COLUMN())),0,IF(OR(G860=C860,G860=H860,G860=F860),"CHECK",0))</f>
        <v>0</v>
      </c>
      <c r="H964" s="554">
        <f>IF(ISBLANK(INDEX(MO_IS_FirstRow,0,COLUMN())),0,IF(OR(H860=D860,H860=I860,H860=G860),"CHECK",0))</f>
        <v>0</v>
      </c>
      <c r="I964" s="554">
        <f>IF(ISBLANK(INDEX(MO_IS_FirstRow,0,COLUMN())),0,IF(OR(I860=E860,I860=J860,I860=H860),"CHECK",0))</f>
        <v>0</v>
      </c>
      <c r="J964" s="554">
        <f>IF(ISBLANK(INDEX(MO_IS_FirstRow,0,COLUMN())),0,IF(OR(J860=F860,J860=BM860,J860=I860),"CHECK",0))</f>
        <v>0</v>
      </c>
      <c r="K964" s="554">
        <f>IF(ISBLANK(INDEX(MO_IS_FirstRow,0,COLUMN())),0,IF(OR(K860=G860,K860=L860,K860=J860),"CHECK",0))</f>
        <v>0</v>
      </c>
      <c r="L964" s="554">
        <f>IF(ISBLANK(INDEX(MO_IS_FirstRow,0,COLUMN())),0,IF(OR(L860=H860,L860=M860,L860=K860),"CHECK",0))</f>
        <v>0</v>
      </c>
      <c r="M964" s="554">
        <f>IF(ISBLANK(INDEX(MO_IS_FirstRow,0,COLUMN())),0,IF(OR(M860=I860,M860=N860,M860=L860),"CHECK",0))</f>
        <v>0</v>
      </c>
      <c r="N964" s="554">
        <f>IF(ISBLANK(INDEX(MO_IS_FirstRow,0,COLUMN())),0,IF(OR(N860=J860,N860=BN860,N860=M860),"CHECK",0))</f>
        <v>0</v>
      </c>
      <c r="O964" s="554">
        <f>IF(ISBLANK(INDEX(MO_IS_FirstRow,0,COLUMN())),0,IF(OR(O860=K860,O860=P860,O860=N860),"CHECK",0))</f>
        <v>0</v>
      </c>
      <c r="P964" s="554">
        <f>IF(ISBLANK(INDEX(MO_IS_FirstRow,0,COLUMN())),0,IF(OR(P860=L860,P860=Q860,P860=O860),"CHECK",0))</f>
        <v>0</v>
      </c>
      <c r="Q964" s="554">
        <f>IF(ISBLANK(INDEX(MO_IS_FirstRow,0,COLUMN())),0,IF(OR(Q860=M860,Q860=R860,Q860=P860),"CHECK",0))</f>
        <v>0</v>
      </c>
      <c r="R964" s="554">
        <f>IF(ISBLANK(INDEX(MO_IS_FirstRow,0,COLUMN())),0,IF(OR(R860=N860,R860=BO860,R860=Q860),"CHECK",0))</f>
        <v>0</v>
      </c>
      <c r="S964" s="554">
        <f>IF(ISBLANK(INDEX(MO_IS_FirstRow,0,COLUMN())),0,IF(OR(S860=O860,S860=T860,S860=R860),"CHECK",0))</f>
        <v>0</v>
      </c>
      <c r="T964" s="554">
        <f>IF(ISBLANK(INDEX(MO_IS_FirstRow,0,COLUMN())),0,IF(OR(T860=P860,T860=U860,T860=S860),"CHECK",0))</f>
        <v>0</v>
      </c>
      <c r="U964" s="554">
        <f>IF(ISBLANK(INDEX(MO_IS_FirstRow,0,COLUMN())),0,IF(OR(U860=Q860,U860=V860,U860=T860),"CHECK",0))</f>
        <v>0</v>
      </c>
      <c r="V964" s="554">
        <f>IF(ISBLANK(INDEX(MO_IS_FirstRow,0,COLUMN())),0,IF(OR(V860=R860,V860=BP860,V860=U860),"CHECK",0))</f>
        <v>0</v>
      </c>
      <c r="W964" s="554">
        <f>IF(ISBLANK(INDEX(MO_IS_FirstRow,0,COLUMN())),0,IF(OR(W860=S860,W860=X860,W860=V860),"CHECK",0))</f>
        <v>0</v>
      </c>
      <c r="X964" s="554">
        <f>IF(ISBLANK(INDEX(MO_IS_FirstRow,0,COLUMN())),0,IF(OR(X860=T860,X860=Y860,X860=W860),"CHECK",0))</f>
        <v>0</v>
      </c>
      <c r="Y964" s="554">
        <f>IF(ISBLANK(INDEX(MO_IS_FirstRow,0,COLUMN())),0,IF(OR(Y860=U860,Y860=Z860,Y860=X860),"CHECK",0))</f>
        <v>0</v>
      </c>
      <c r="Z964" s="554">
        <f>IF(ISBLANK(INDEX(MO_IS_FirstRow,0,COLUMN())),0,IF(OR(Z860=V860,Z860=BQ860,Z860=Y860),"CHECK",0))</f>
        <v>0</v>
      </c>
      <c r="AA964" s="554">
        <f>IF(ISBLANK(INDEX(MO_IS_FirstRow,0,COLUMN())),0,IF(OR(AA860=W860,AA860=AB860,AA860=Z860),"CHECK",0))</f>
        <v>0</v>
      </c>
      <c r="AB964" s="554">
        <f>IF(ISBLANK(INDEX(MO_IS_FirstRow,0,COLUMN())),0,IF(OR(AB860=X860,AB860=AC860,AB860=AA860),"CHECK",0))</f>
        <v>0</v>
      </c>
      <c r="AC964" s="554">
        <f>IF(ISBLANK(INDEX(MO_IS_FirstRow,0,COLUMN())),0,IF(OR(AC860=Y860,AC860=AD860,AC860=AB860),"CHECK",0))</f>
        <v>0</v>
      </c>
      <c r="AD964" s="554">
        <f>IF(ISBLANK(INDEX(MO_IS_FirstRow,0,COLUMN())),0,IF(OR(AD860=Z860,AD860=BR860,AD860=AC860),"CHECK",0))</f>
        <v>0</v>
      </c>
      <c r="AE964" s="554">
        <f>IF(ISBLANK(INDEX(MO_IS_FirstRow,0,COLUMN())),0,IF(OR(AE860=AA860,AE860=AF860,AE860=AD860),"CHECK",0))</f>
        <v>0</v>
      </c>
      <c r="AF964" s="554">
        <f>IF(ISBLANK(INDEX(MO_IS_FirstRow,0,COLUMN())),0,IF(OR(AF860=AB860,AF860=AG860,AF860=AE860),"CHECK",0))</f>
        <v>0</v>
      </c>
      <c r="AG964" s="554">
        <f>IF(ISBLANK(INDEX(MO_IS_FirstRow,0,COLUMN())),0,IF(OR(AG860=AC860,AG860=AH860,AG860=AF860),"CHECK",0))</f>
        <v>0</v>
      </c>
      <c r="AH964" s="554">
        <f>IF(ISBLANK(INDEX(MO_IS_FirstRow,0,COLUMN())),0,IF(OR(AH860=AD860,AH860=BS860,AH860=AG860),"CHECK",0))</f>
        <v>0</v>
      </c>
      <c r="AI964" s="554">
        <f>IF(ISBLANK(INDEX(MO_IS_FirstRow,0,COLUMN())),0,IF(OR(AI860=AE860,AI860=AJ860,AI860=AH860),"CHECK",0))</f>
        <v>0</v>
      </c>
      <c r="AJ964" s="554">
        <f>IF(ISBLANK(INDEX(MO_IS_FirstRow,0,COLUMN())),0,IF(OR(AJ860=AF860,AJ860=AK860,AJ860=AI860),"CHECK",0))</f>
        <v>0</v>
      </c>
      <c r="AK964" s="554">
        <f>IF(ISBLANK(INDEX(MO_IS_FirstRow,0,COLUMN())),0,IF(OR(AK860=AG860,AK860=AL860,AK860=AJ860),"CHECK",0))</f>
        <v>0</v>
      </c>
      <c r="AL964" s="554">
        <f>IF(ISBLANK(INDEX(MO_IS_FirstRow,0,COLUMN())),0,IF(OR(AL860=AH860,AL860=BT860,AL860=AK860),"CHECK",0))</f>
        <v>0</v>
      </c>
      <c r="AM964" s="554">
        <f>IF(ISBLANK(INDEX(MO_IS_FirstRow,0,COLUMN())),0,IF(OR(AM860=AI860,AM860=AN860,AM860=AL860),"CHECK",0))</f>
        <v>0</v>
      </c>
      <c r="AN964" s="554">
        <f>IF(ISBLANK(INDEX(MO_IS_FirstRow,0,COLUMN())),0,IF(OR(AN860=AJ860,AN860=AO860,AN860=AM860),"CHECK",0))</f>
        <v>0</v>
      </c>
      <c r="AO964" s="554">
        <f>IF(ISBLANK(INDEX(MO_IS_FirstRow,0,COLUMN())),0,IF(OR(AO860=AK860,AO860=AP860,AO860=AN860),"CHECK",0))</f>
        <v>0</v>
      </c>
      <c r="AP964" s="554">
        <f>IF(ISBLANK(INDEX(MO_IS_FirstRow,0,COLUMN())),0,IF(OR(AP860=AL860,AP860=BU860,AP860=AO860),"CHECK",0))</f>
        <v>0</v>
      </c>
      <c r="AQ964" s="554">
        <f>IF(ISBLANK(INDEX(MO_IS_FirstRow,0,COLUMN())),0,IF(OR(AQ860=AM860,AQ860=AR860,AQ860=AP860),"CHECK",0))</f>
        <v>0</v>
      </c>
      <c r="AR964" s="554">
        <f>IF(ISBLANK(INDEX(MO_IS_FirstRow,0,COLUMN())),0,IF(OR(AR860=AN860,AR860=AS860,AR860=AQ860),"CHECK",0))</f>
        <v>0</v>
      </c>
      <c r="AS964" s="554">
        <f>IF(ISBLANK(INDEX(MO_IS_FirstRow,0,COLUMN())),0,IF(OR(AS860=AO860,AS860=AT860,AS860=AR860),"CHECK",0))</f>
        <v>0</v>
      </c>
      <c r="AT964" s="554">
        <f>IF(ISBLANK(INDEX(MO_IS_FirstRow,0,COLUMN())),0,IF(OR(AT860=AP860,AT860=BV860,AT860=AS860),"CHECK",0))</f>
        <v>0</v>
      </c>
      <c r="AU964" s="554">
        <f>IF(ISBLANK(INDEX(MO_IS_FirstRow,0,COLUMN())),0,IF(OR(AU860=AQ860,AU860=AV860,AU860=AT860),"CHECK",0))</f>
        <v>0</v>
      </c>
      <c r="AV964" s="554">
        <f>IF(ISBLANK(INDEX(MO_IS_FirstRow,0,COLUMN())),0,IF(OR(AV860=AR860,AV860=AW860,AV860=AU860),"CHECK",0))</f>
        <v>0</v>
      </c>
      <c r="AW964" s="554">
        <f>IF(ISBLANK(INDEX(MO_IS_FirstRow,0,COLUMN())),0,IF(OR(AW860=AS860,AW860=AX860,AW860=AV860),"CHECK",0))</f>
        <v>0</v>
      </c>
      <c r="AX964" s="554">
        <f>IF(ISBLANK(INDEX(MO_IS_FirstRow,0,COLUMN())),0,IF(OR(AX860=AT860,AX860=BW860,AX860=AW860),"CHECK",0))</f>
        <v>0</v>
      </c>
      <c r="AY964" s="554">
        <f ca="1">IF(ISBLANK(INDEX(MO_IS_FirstRow,0,COLUMN())),0,IF(OR(AY860=AU860,AY860=AZ860,AY860=AX860),"CHECK",0))</f>
        <v>0</v>
      </c>
      <c r="AZ964" s="554"/>
      <c r="BA964" s="554"/>
      <c r="BB964" s="554"/>
      <c r="BC964" s="554"/>
      <c r="BD964" s="554"/>
      <c r="BE964" s="554"/>
      <c r="BF964" s="554"/>
      <c r="BG964" s="554"/>
      <c r="BH964" s="554">
        <f>IF(ISBLANK(INDEX(MO_IS_FirstRow,0,COLUMN())),0,IF(OR(BH860=B860,BH860=BI860),"CHECK",0))</f>
        <v>0</v>
      </c>
      <c r="BI964" s="554">
        <f>IF(ISBLANK(INDEX(MO_IS_FirstRow,0,COLUMN())),0,IF(OR(BI860=BH860,BI860=BJ860),"CHECK",0))</f>
        <v>0</v>
      </c>
      <c r="BJ964" s="554">
        <f>IF(ISBLANK(INDEX(MO_IS_FirstRow,0,COLUMN())),0,IF(OR(BJ860=BI860,BJ860=BK860),"CHECK",0))</f>
        <v>0</v>
      </c>
      <c r="BK964" s="554">
        <f>IF(ISBLANK(INDEX(MO_IS_FirstRow,0,COLUMN())),0,IF(OR(BK860=BJ860,BK860=BL860),"CHECK",0))</f>
        <v>0</v>
      </c>
      <c r="BL964" s="554">
        <f t="shared" ref="BL964:BW964" si="1233">IF(ISBLANK(INDEX(MO_IS_FirstRow,0,COLUMN())),0,IF(BL860=BK860,"CHECK",0))</f>
        <v>0</v>
      </c>
      <c r="BM964" s="554">
        <f t="shared" si="1233"/>
        <v>0</v>
      </c>
      <c r="BN964" s="554">
        <f t="shared" si="1233"/>
        <v>0</v>
      </c>
      <c r="BO964" s="554">
        <f t="shared" si="1233"/>
        <v>0</v>
      </c>
      <c r="BP964" s="554">
        <f t="shared" si="1233"/>
        <v>0</v>
      </c>
      <c r="BQ964" s="554">
        <f t="shared" si="1233"/>
        <v>0</v>
      </c>
      <c r="BR964" s="554">
        <f t="shared" si="1233"/>
        <v>0</v>
      </c>
      <c r="BS964" s="554">
        <f t="shared" si="1233"/>
        <v>0</v>
      </c>
      <c r="BT964" s="554">
        <f t="shared" si="1233"/>
        <v>0</v>
      </c>
      <c r="BU964" s="554">
        <f t="shared" si="1233"/>
        <v>0</v>
      </c>
      <c r="BV964" s="554">
        <f t="shared" si="1233"/>
        <v>0</v>
      </c>
      <c r="BW964" s="554">
        <f t="shared" si="1233"/>
        <v>0</v>
      </c>
      <c r="BX964" s="554"/>
      <c r="BY964" s="554"/>
      <c r="BZ964" s="554"/>
      <c r="CA964" s="554"/>
      <c r="CB964" s="554"/>
      <c r="CC964" s="117"/>
    </row>
    <row r="965" spans="1:81" outlineLevel="1" x14ac:dyDescent="0.55000000000000004">
      <c r="A965" s="117" t="s">
        <v>219</v>
      </c>
      <c r="B965" s="200"/>
      <c r="C965" s="554">
        <f>IF(ISBLANK(INDEX(MO_IS_FirstRow,0,COLUMN())),0,IF(OR(C406=B406,C406=D406,C406=BJ406),"CHECK",0))</f>
        <v>0</v>
      </c>
      <c r="D965" s="554">
        <f>IF(ISBLANK(INDEX(MO_IS_FirstRow,0,COLUMN())),0,IF(OR(D406=BH406,D406=E406,D406=C406),"CHECK",0))</f>
        <v>0</v>
      </c>
      <c r="E965" s="554">
        <f>IF(ISBLANK(INDEX(MO_IS_FirstRow,0,COLUMN())),0,IF(OR(E406=BI406,E406=F406,E406=D406),"CHECK",0))</f>
        <v>0</v>
      </c>
      <c r="F965" s="554">
        <f>IF(ISBLANK(INDEX(MO_IS_FirstRow,0,COLUMN())),0,IF(OR(F406=BJ406,F406=BL406,F406=E406),"CHECK",0))</f>
        <v>0</v>
      </c>
      <c r="G965" s="554">
        <f>IF(ISBLANK(INDEX(MO_IS_FirstRow,0,COLUMN())),0,IF(OR(G406=C406,G406=H406,G406=F406),"CHECK",0))</f>
        <v>0</v>
      </c>
      <c r="H965" s="554">
        <f>IF(ISBLANK(INDEX(MO_IS_FirstRow,0,COLUMN())),0,IF(OR(H406=D406,H406=I406,H406=G406),"CHECK",0))</f>
        <v>0</v>
      </c>
      <c r="I965" s="554">
        <f>IF(ISBLANK(INDEX(MO_IS_FirstRow,0,COLUMN())),0,IF(OR(I406=E406,I406=J406,I406=H406),"CHECK",0))</f>
        <v>0</v>
      </c>
      <c r="J965" s="554">
        <f>IF(ISBLANK(INDEX(MO_IS_FirstRow,0,COLUMN())),0,IF(OR(J406=F406,J406=BM406,J406=I406),"CHECK",0))</f>
        <v>0</v>
      </c>
      <c r="K965" s="554">
        <f>IF(ISBLANK(INDEX(MO_IS_FirstRow,0,COLUMN())),0,IF(OR(K406=G406,K406=L406,K406=J406),"CHECK",0))</f>
        <v>0</v>
      </c>
      <c r="L965" s="554">
        <f>IF(ISBLANK(INDEX(MO_IS_FirstRow,0,COLUMN())),0,IF(OR(L406=H406,L406=M406,L406=K406),"CHECK",0))</f>
        <v>0</v>
      </c>
      <c r="M965" s="554">
        <f>IF(ISBLANK(INDEX(MO_IS_FirstRow,0,COLUMN())),0,IF(OR(M406=I406,M406=N406,M406=L406),"CHECK",0))</f>
        <v>0</v>
      </c>
      <c r="N965" s="554">
        <f>IF(ISBLANK(INDEX(MO_IS_FirstRow,0,COLUMN())),0,IF(OR(N406=J406,N406=BN406,N406=M406),"CHECK",0))</f>
        <v>0</v>
      </c>
      <c r="O965" s="554">
        <f>IF(ISBLANK(INDEX(MO_IS_FirstRow,0,COLUMN())),0,IF(OR(O406=K406,O406=P406,O406=N406),"CHECK",0))</f>
        <v>0</v>
      </c>
      <c r="P965" s="554">
        <f>IF(ISBLANK(INDEX(MO_IS_FirstRow,0,COLUMN())),0,IF(OR(P406=L406,P406=Q406,P406=O406),"CHECK",0))</f>
        <v>0</v>
      </c>
      <c r="Q965" s="554">
        <f>IF(ISBLANK(INDEX(MO_IS_FirstRow,0,COLUMN())),0,IF(OR(Q406=M406,Q406=R406,Q406=P406),"CHECK",0))</f>
        <v>0</v>
      </c>
      <c r="R965" s="554">
        <f>IF(ISBLANK(INDEX(MO_IS_FirstRow,0,COLUMN())),0,IF(OR(R406=N406,R406=BO406,R406=Q406),"CHECK",0))</f>
        <v>0</v>
      </c>
      <c r="S965" s="554">
        <f>IF(ISBLANK(INDEX(MO_IS_FirstRow,0,COLUMN())),0,IF(OR(S406=O406,S406=T406,S406=R406),"CHECK",0))</f>
        <v>0</v>
      </c>
      <c r="T965" s="554">
        <f>IF(ISBLANK(INDEX(MO_IS_FirstRow,0,COLUMN())),0,IF(OR(T406=P406,T406=U406,T406=S406),"CHECK",0))</f>
        <v>0</v>
      </c>
      <c r="U965" s="554">
        <f>IF(ISBLANK(INDEX(MO_IS_FirstRow,0,COLUMN())),0,IF(OR(U406=Q406,U406=V406,U406=T406),"CHECK",0))</f>
        <v>0</v>
      </c>
      <c r="V965" s="554">
        <f>IF(ISBLANK(INDEX(MO_IS_FirstRow,0,COLUMN())),0,IF(OR(V406=R406,V406=BP406,V406=U406),"CHECK",0))</f>
        <v>0</v>
      </c>
      <c r="W965" s="554">
        <f>IF(ISBLANK(INDEX(MO_IS_FirstRow,0,COLUMN())),0,IF(OR(W406=S406,W406=X406,W406=V406),"CHECK",0))</f>
        <v>0</v>
      </c>
      <c r="X965" s="554">
        <f>IF(ISBLANK(INDEX(MO_IS_FirstRow,0,COLUMN())),0,IF(OR(X406=T406,X406=Y406,X406=W406),"CHECK",0))</f>
        <v>0</v>
      </c>
      <c r="Y965" s="554">
        <f>IF(ISBLANK(INDEX(MO_IS_FirstRow,0,COLUMN())),0,IF(OR(Y406=U406,Y406=Z406,Y406=X406),"CHECK",0))</f>
        <v>0</v>
      </c>
      <c r="Z965" s="554">
        <f>IF(ISBLANK(INDEX(MO_IS_FirstRow,0,COLUMN())),0,IF(OR(Z406=V406,Z406=BQ406,Z406=Y406),"CHECK",0))</f>
        <v>0</v>
      </c>
      <c r="AA965" s="554">
        <f>IF(ISBLANK(INDEX(MO_IS_FirstRow,0,COLUMN())),0,IF(OR(AA406=W406,AA406=AB406,AA406=Z406),"CHECK",0))</f>
        <v>0</v>
      </c>
      <c r="AB965" s="554">
        <f>IF(ISBLANK(INDEX(MO_IS_FirstRow,0,COLUMN())),0,IF(OR(AB406=X406,AB406=AC406,AB406=AA406),"CHECK",0))</f>
        <v>0</v>
      </c>
      <c r="AC965" s="554">
        <f>IF(ISBLANK(INDEX(MO_IS_FirstRow,0,COLUMN())),0,IF(OR(AC406=Y406,AC406=AD406,AC406=AB406),"CHECK",0))</f>
        <v>0</v>
      </c>
      <c r="AD965" s="554">
        <f>IF(ISBLANK(INDEX(MO_IS_FirstRow,0,COLUMN())),0,IF(OR(AD406=Z406,AD406=BR406,AD406=AC406),"CHECK",0))</f>
        <v>0</v>
      </c>
      <c r="AE965" s="554">
        <f>IF(ISBLANK(INDEX(MO_IS_FirstRow,0,COLUMN())),0,IF(OR(AE406=AA406,AE406=AF406,AE406=AD406),"CHECK",0))</f>
        <v>0</v>
      </c>
      <c r="AF965" s="554">
        <f>IF(ISBLANK(INDEX(MO_IS_FirstRow,0,COLUMN())),0,IF(OR(AF406=AB406,AF406=AG406,AF406=AE406),"CHECK",0))</f>
        <v>0</v>
      </c>
      <c r="AG965" s="554">
        <f>IF(ISBLANK(INDEX(MO_IS_FirstRow,0,COLUMN())),0,IF(OR(AG406=AC406,AG406=AH406,AG406=AF406),"CHECK",0))</f>
        <v>0</v>
      </c>
      <c r="AH965" s="554">
        <f>IF(ISBLANK(INDEX(MO_IS_FirstRow,0,COLUMN())),0,IF(OR(AH406=AD406,AH406=BS406,AH406=AG406),"CHECK",0))</f>
        <v>0</v>
      </c>
      <c r="AI965" s="554">
        <f>IF(ISBLANK(INDEX(MO_IS_FirstRow,0,COLUMN())),0,IF(OR(AI406=AE406,AI406=AJ406,AI406=AH406),"CHECK",0))</f>
        <v>0</v>
      </c>
      <c r="AJ965" s="554">
        <f>IF(ISBLANK(INDEX(MO_IS_FirstRow,0,COLUMN())),0,IF(OR(AJ406=AF406,AJ406=AK406,AJ406=AI406),"CHECK",0))</f>
        <v>0</v>
      </c>
      <c r="AK965" s="554">
        <f>IF(ISBLANK(INDEX(MO_IS_FirstRow,0,COLUMN())),0,IF(OR(AK406=AG406,AK406=AL406,AK406=AJ406),"CHECK",0))</f>
        <v>0</v>
      </c>
      <c r="AL965" s="554">
        <f>IF(ISBLANK(INDEX(MO_IS_FirstRow,0,COLUMN())),0,IF(OR(AL406=AH406,AL406=BT406,AL406=AK406),"CHECK",0))</f>
        <v>0</v>
      </c>
      <c r="AM965" s="554">
        <f>IF(ISBLANK(INDEX(MO_IS_FirstRow,0,COLUMN())),0,IF(OR(AM406=AI406,AM406=AN406,AM406=AL406),"CHECK",0))</f>
        <v>0</v>
      </c>
      <c r="AN965" s="554">
        <f>IF(ISBLANK(INDEX(MO_IS_FirstRow,0,COLUMN())),0,IF(OR(AN406=AJ406,AN406=AO406,AN406=AM406),"CHECK",0))</f>
        <v>0</v>
      </c>
      <c r="AO965" s="554">
        <f>IF(ISBLANK(INDEX(MO_IS_FirstRow,0,COLUMN())),0,IF(OR(AO406=AK406,AO406=AP406,AO406=AN406),"CHECK",0))</f>
        <v>0</v>
      </c>
      <c r="AP965" s="554">
        <f>IF(ISBLANK(INDEX(MO_IS_FirstRow,0,COLUMN())),0,IF(OR(AP406=AL406,AP406=BU406,AP406=AO406),"CHECK",0))</f>
        <v>0</v>
      </c>
      <c r="AQ965" s="554">
        <f>IF(ISBLANK(INDEX(MO_IS_FirstRow,0,COLUMN())),0,IF(OR(AQ406=AM406,AQ406=AR406,AQ406=AP406),"CHECK",0))</f>
        <v>0</v>
      </c>
      <c r="AR965" s="554">
        <f>IF(ISBLANK(INDEX(MO_IS_FirstRow,0,COLUMN())),0,IF(OR(AR406=AN406,AR406=AS406,AR406=AQ406),"CHECK",0))</f>
        <v>0</v>
      </c>
      <c r="AS965" s="554">
        <f>IF(ISBLANK(INDEX(MO_IS_FirstRow,0,COLUMN())),0,IF(OR(AS406=AO406,AS406=AT406,AS406=AR406),"CHECK",0))</f>
        <v>0</v>
      </c>
      <c r="AT965" s="554">
        <f>IF(ISBLANK(INDEX(MO_IS_FirstRow,0,COLUMN())),0,IF(OR(AT406=AP406,AT406=BV406,AT406=AS406),"CHECK",0))</f>
        <v>0</v>
      </c>
      <c r="AU965" s="554">
        <f>IF(ISBLANK(INDEX(MO_IS_FirstRow,0,COLUMN())),0,IF(OR(AU406=AQ406,AU406=AV406,AU406=AT406),"CHECK",0))</f>
        <v>0</v>
      </c>
      <c r="AV965" s="554">
        <f>IF(ISBLANK(INDEX(MO_IS_FirstRow,0,COLUMN())),0,IF(OR(AV406=AR406,AV406=AW406,AV406=AU406),"CHECK",0))</f>
        <v>0</v>
      </c>
      <c r="AW965" s="554">
        <f>IF(ISBLANK(INDEX(MO_IS_FirstRow,0,COLUMN())),0,IF(OR(AW406=AS406,AW406=AX406,AW406=AV406),"CHECK",0))</f>
        <v>0</v>
      </c>
      <c r="AX965" s="554">
        <f>IF(ISBLANK(INDEX(MO_IS_FirstRow,0,COLUMN())),0,IF(OR(AX406=AT406,AX406=BW406,AX406=AW406),"CHECK",0))</f>
        <v>0</v>
      </c>
      <c r="AY965" s="554">
        <f>IF(ISBLANK(INDEX(MO_IS_FirstRow,0,COLUMN())),0,IF(OR(AY406=AU406,AY406=AZ406,AY406=AX406),"CHECK",0))</f>
        <v>0</v>
      </c>
      <c r="AZ965" s="554"/>
      <c r="BA965" s="554"/>
      <c r="BB965" s="554"/>
      <c r="BC965" s="554"/>
      <c r="BD965" s="554"/>
      <c r="BE965" s="554"/>
      <c r="BF965" s="554"/>
      <c r="BG965" s="554"/>
      <c r="BH965" s="554">
        <f>IF(ISBLANK(INDEX(MO_IS_FirstRow,0,COLUMN())),0,IF(OR(BH406=B406,BH406=BI406),"CHECK",0))</f>
        <v>0</v>
      </c>
      <c r="BI965" s="554">
        <f>IF(ISBLANK(INDEX(MO_IS_FirstRow,0,COLUMN())),0,IF(OR(BI406=BH406,BI406=BJ406),"CHECK",0))</f>
        <v>0</v>
      </c>
      <c r="BJ965" s="554">
        <f>IF(ISBLANK(INDEX(MO_IS_FirstRow,0,COLUMN())),0,IF(OR(BJ406=BI406,BJ406=BK406),"CHECK",0))</f>
        <v>0</v>
      </c>
      <c r="BK965" s="554">
        <f>IF(ISBLANK(INDEX(MO_IS_FirstRow,0,COLUMN())),0,IF(OR(BK406=BJ406,BK406=BL406),"CHECK",0))</f>
        <v>0</v>
      </c>
      <c r="BL965" s="554">
        <f t="shared" ref="BL965:BW965" si="1234">IF(ISBLANK(INDEX(MO_IS_FirstRow,0,COLUMN())),0,IF(BL406=BK406,"CHECK",0))</f>
        <v>0</v>
      </c>
      <c r="BM965" s="554">
        <f t="shared" si="1234"/>
        <v>0</v>
      </c>
      <c r="BN965" s="554">
        <f t="shared" si="1234"/>
        <v>0</v>
      </c>
      <c r="BO965" s="554">
        <f t="shared" si="1234"/>
        <v>0</v>
      </c>
      <c r="BP965" s="554">
        <f t="shared" si="1234"/>
        <v>0</v>
      </c>
      <c r="BQ965" s="554">
        <f t="shared" si="1234"/>
        <v>0</v>
      </c>
      <c r="BR965" s="554">
        <f t="shared" si="1234"/>
        <v>0</v>
      </c>
      <c r="BS965" s="554">
        <f t="shared" si="1234"/>
        <v>0</v>
      </c>
      <c r="BT965" s="554">
        <f t="shared" si="1234"/>
        <v>0</v>
      </c>
      <c r="BU965" s="554">
        <f t="shared" si="1234"/>
        <v>0</v>
      </c>
      <c r="BV965" s="554">
        <f t="shared" si="1234"/>
        <v>0</v>
      </c>
      <c r="BW965" s="554">
        <f t="shared" si="1234"/>
        <v>0</v>
      </c>
      <c r="BX965" s="554"/>
      <c r="BY965" s="554"/>
      <c r="BZ965" s="554"/>
      <c r="CA965" s="554"/>
      <c r="CB965" s="554"/>
      <c r="CC965" s="117"/>
    </row>
    <row r="966" spans="1:81" outlineLevel="1" x14ac:dyDescent="0.55000000000000004">
      <c r="A966" s="117" t="s">
        <v>220</v>
      </c>
      <c r="B966" s="200"/>
      <c r="C966" s="554">
        <f>IF(OR(C920=B920,C920=D920,C920=BJ920),"CHECK",0)</f>
        <v>0</v>
      </c>
      <c r="D966" s="554">
        <f>IF(OR(D920=BH920,D920=E920,D920=C920),"CHECK",0)</f>
        <v>0</v>
      </c>
      <c r="E966" s="554">
        <f>IF(OR(E920=BI920,E920=F920,E920=D920),"CHECK",0)</f>
        <v>0</v>
      </c>
      <c r="F966" s="554">
        <f>IF(OR(F920=BJ920,F920=E920),"CHECK",0)</f>
        <v>0</v>
      </c>
      <c r="G966" s="554">
        <f>IF(OR(G920=C920,G920=H920,G920=F920),"CHECK",0)</f>
        <v>0</v>
      </c>
      <c r="H966" s="554">
        <f>IF(OR(H920=D920,H920=I920,H920=G920),"CHECK",0)</f>
        <v>0</v>
      </c>
      <c r="I966" s="554">
        <f>IF(OR(I920=E920,I920=J920,I920=H920),"CHECK",0)</f>
        <v>0</v>
      </c>
      <c r="J966" s="554">
        <f>IF(OR(J920=F920,J920=I920),"CHECK",0)</f>
        <v>0</v>
      </c>
      <c r="K966" s="554">
        <f>IF(OR(K920=G920,K920=L920,K920=J920),"CHECK",0)</f>
        <v>0</v>
      </c>
      <c r="L966" s="554">
        <f>IF(OR(L920=H920,L920=M920,L920=K920),"CHECK",0)</f>
        <v>0</v>
      </c>
      <c r="M966" s="554">
        <f>IF(OR(M920=I920,M920=N920,M920=L920),"CHECK",0)</f>
        <v>0</v>
      </c>
      <c r="N966" s="554">
        <f>IF(OR(N920=J920,N920=M920),"CHECK",0)</f>
        <v>0</v>
      </c>
      <c r="O966" s="554">
        <f>IF(OR(O920=K920,O920=P920,O920=N920),"CHECK",0)</f>
        <v>0</v>
      </c>
      <c r="P966" s="554">
        <f>IF(OR(P920=L920,P920=Q920,P920=O920),"CHECK",0)</f>
        <v>0</v>
      </c>
      <c r="Q966" s="554">
        <f>IF(OR(Q920=M920,Q920=R920,Q920=P920),"CHECK",0)</f>
        <v>0</v>
      </c>
      <c r="R966" s="554">
        <f>IF(OR(R920=N920,R920=Q920),"CHECK",0)</f>
        <v>0</v>
      </c>
      <c r="S966" s="554">
        <f>IF(OR(S920=O920,S920=T920,S920=R920),"CHECK",0)</f>
        <v>0</v>
      </c>
      <c r="T966" s="554">
        <f>IF(OR(T920=P920,T920=U920,T920=S920),"CHECK",0)</f>
        <v>0</v>
      </c>
      <c r="U966" s="554">
        <f>IF(OR(U920=Q920,U920=V920,U920=T920),"CHECK",0)</f>
        <v>0</v>
      </c>
      <c r="V966" s="554">
        <f>IF(OR(V920=R920,V920=U920),"CHECK",0)</f>
        <v>0</v>
      </c>
      <c r="W966" s="554">
        <f>IF(OR(W920=S920,W920=X920,W920=V920),"CHECK",0)</f>
        <v>0</v>
      </c>
      <c r="X966" s="554">
        <f>IF(OR(X920=T920,X920=Y920,X920=W920),"CHECK",0)</f>
        <v>0</v>
      </c>
      <c r="Y966" s="554">
        <f>IF(OR(Y920=U920,Y920=Z920,Y920=X920),"CHECK",0)</f>
        <v>0</v>
      </c>
      <c r="Z966" s="554">
        <f>IF(OR(Z920=V920,Z920=Y920),"CHECK",0)</f>
        <v>0</v>
      </c>
      <c r="AA966" s="554">
        <f>IF(OR(AA920=W920,AA920=AB920,AA920=Z920),"CHECK",0)</f>
        <v>0</v>
      </c>
      <c r="AB966" s="554">
        <f>IF(OR(AB920=X920,AB920=AC920,AB920=AA920),"CHECK",0)</f>
        <v>0</v>
      </c>
      <c r="AC966" s="554">
        <f>IF(OR(AC920=Y920,AC920=AD920,AC920=AB920),"CHECK",0)</f>
        <v>0</v>
      </c>
      <c r="AD966" s="554">
        <f>IF(OR(AD920=Z920,AD920=AC920),"CHECK",0)</f>
        <v>0</v>
      </c>
      <c r="AE966" s="554">
        <f>IF(OR(AE920=AA920,AE920=AF920,AE920=AD920),"CHECK",0)</f>
        <v>0</v>
      </c>
      <c r="AF966" s="554">
        <f>IF(OR(AF920=AB920,AF920=AG920,AF920=AE920),"CHECK",0)</f>
        <v>0</v>
      </c>
      <c r="AG966" s="554">
        <f>IF(OR(AG920=AC920,AG920=AH920,AG920=AF920),"CHECK",0)</f>
        <v>0</v>
      </c>
      <c r="AH966" s="554">
        <f>IF(OR(AH920=AD920,AH920=AG920),"CHECK",0)</f>
        <v>0</v>
      </c>
      <c r="AI966" s="554">
        <f>IF(OR(AI920=AE920,AI920=AJ920,AI920=AH920),"CHECK",0)</f>
        <v>0</v>
      </c>
      <c r="AJ966" s="554">
        <f>IF(OR(AJ920=AF920,AJ920=AK920,AJ920=AI920),"CHECK",0)</f>
        <v>0</v>
      </c>
      <c r="AK966" s="554">
        <f>IF(OR(AK920=AG920,AK920=AL920,AK920=AJ920),"CHECK",0)</f>
        <v>0</v>
      </c>
      <c r="AL966" s="554">
        <f>IF(OR(AL920=AH920,AL920=AK920),"CHECK",0)</f>
        <v>0</v>
      </c>
      <c r="AM966" s="554">
        <f>IF(OR(AM920=AI920,AM920=AN920,AM920=AL920),"CHECK",0)</f>
        <v>0</v>
      </c>
      <c r="AN966" s="554">
        <f>IF(OR(AN920=AJ920,AN920=AO920,AN920=AM920),"CHECK",0)</f>
        <v>0</v>
      </c>
      <c r="AO966" s="554">
        <f>IF(OR(AO920=AK920,AO920=AP920,AO920=AN920),"CHECK",0)</f>
        <v>0</v>
      </c>
      <c r="AP966" s="554">
        <f>IF(OR(AP920=AL920,AP920=AO920),"CHECK",0)</f>
        <v>0</v>
      </c>
      <c r="AQ966" s="554">
        <f>IF(OR(AQ920=AM920,AQ920=AR920,AQ920=AP920),"CHECK",0)</f>
        <v>0</v>
      </c>
      <c r="AR966" s="554">
        <f>IF(OR(AR920=AN920,AR920=AS920,AR920=AQ920),"CHECK",0)</f>
        <v>0</v>
      </c>
      <c r="AS966" s="554">
        <f>IF(OR(AS920=AO920,AS920=AT920,AS920=AR920),"CHECK",0)</f>
        <v>0</v>
      </c>
      <c r="AT966" s="554">
        <f>IF(OR(AT920=AP920,AT920=AS920),"CHECK",0)</f>
        <v>0</v>
      </c>
      <c r="AU966" s="554">
        <f>IF(OR(AU920=AQ920,AU920=AV920,AU920=AT920),"CHECK",0)</f>
        <v>0</v>
      </c>
      <c r="AV966" s="554">
        <f>IF(OR(AV920=AR920,AV920=AW920,AV920=AU920),"CHECK",0)</f>
        <v>0</v>
      </c>
      <c r="AW966" s="554">
        <f>IF(OR(AW920=AS920,AW920=AX920,AW920=AV920),"CHECK",0)</f>
        <v>0</v>
      </c>
      <c r="AX966" s="554">
        <f>IF(OR(AX920=AT920,AX920=AW920),"CHECK",0)</f>
        <v>0</v>
      </c>
      <c r="AY966" s="554">
        <f ca="1">IF(OR(AY920=AU920,AY920=AZ920,AY920=AX920),"CHECK",0)</f>
        <v>0</v>
      </c>
      <c r="AZ966" s="554"/>
      <c r="BA966" s="554"/>
      <c r="BB966" s="554"/>
      <c r="BC966" s="554"/>
      <c r="BD966" s="554"/>
      <c r="BE966" s="554"/>
      <c r="BF966" s="554"/>
      <c r="BG966" s="554"/>
      <c r="BH966" s="554" t="str">
        <f>IF(OR(BH920=B920,BH920=BI920),"CHECK",0)</f>
        <v>CHECK</v>
      </c>
      <c r="BI966" s="554">
        <f>IF(OR(BI920=BH920,BI920=BJ920),"CHECK",0)</f>
        <v>0</v>
      </c>
      <c r="BJ966" s="554">
        <f>IF(OR(BJ920=BI920,BJ920=BK920),"CHECK",0)</f>
        <v>0</v>
      </c>
      <c r="BK966" s="554">
        <f>IF(OR(BK920=BJ920,BK920=BL920),"CHECK",0)</f>
        <v>0</v>
      </c>
      <c r="BL966" s="554">
        <f t="shared" ref="BL966:BW966" si="1235">IF(BL920=BK920,"CHECK",0)</f>
        <v>0</v>
      </c>
      <c r="BM966" s="554">
        <f t="shared" si="1235"/>
        <v>0</v>
      </c>
      <c r="BN966" s="554">
        <f t="shared" si="1235"/>
        <v>0</v>
      </c>
      <c r="BO966" s="554">
        <f t="shared" si="1235"/>
        <v>0</v>
      </c>
      <c r="BP966" s="554">
        <f t="shared" si="1235"/>
        <v>0</v>
      </c>
      <c r="BQ966" s="554">
        <f t="shared" si="1235"/>
        <v>0</v>
      </c>
      <c r="BR966" s="554">
        <f t="shared" si="1235"/>
        <v>0</v>
      </c>
      <c r="BS966" s="554">
        <f t="shared" si="1235"/>
        <v>0</v>
      </c>
      <c r="BT966" s="554">
        <f t="shared" si="1235"/>
        <v>0</v>
      </c>
      <c r="BU966" s="554">
        <f t="shared" si="1235"/>
        <v>0</v>
      </c>
      <c r="BV966" s="554">
        <f t="shared" si="1235"/>
        <v>0</v>
      </c>
      <c r="BW966" s="554">
        <f t="shared" si="1235"/>
        <v>0</v>
      </c>
      <c r="BX966" s="554"/>
      <c r="BY966" s="554"/>
      <c r="BZ966" s="554"/>
      <c r="CA966" s="554"/>
      <c r="CB966" s="554"/>
      <c r="CC966" s="117"/>
    </row>
    <row r="967" spans="1:81" outlineLevel="1" x14ac:dyDescent="0.55000000000000004">
      <c r="A967" s="117" t="s">
        <v>221</v>
      </c>
      <c r="B967" s="200"/>
      <c r="C967" s="554">
        <f t="shared" ref="C967:AH967" si="1236">IF(ISBLANK(INDEX(MO_IS_FirstRow,0,COLUMN())),0,ROUND(C863-C794,6))</f>
        <v>0</v>
      </c>
      <c r="D967" s="554">
        <f t="shared" si="1236"/>
        <v>0</v>
      </c>
      <c r="E967" s="554">
        <f t="shared" si="1236"/>
        <v>0</v>
      </c>
      <c r="F967" s="554">
        <f t="shared" si="1236"/>
        <v>0</v>
      </c>
      <c r="G967" s="554">
        <f t="shared" si="1236"/>
        <v>0</v>
      </c>
      <c r="H967" s="554">
        <f t="shared" si="1236"/>
        <v>0</v>
      </c>
      <c r="I967" s="554">
        <f t="shared" si="1236"/>
        <v>0</v>
      </c>
      <c r="J967" s="554">
        <f t="shared" si="1236"/>
        <v>0</v>
      </c>
      <c r="K967" s="554">
        <f t="shared" si="1236"/>
        <v>0</v>
      </c>
      <c r="L967" s="554">
        <f t="shared" si="1236"/>
        <v>0</v>
      </c>
      <c r="M967" s="554">
        <f t="shared" si="1236"/>
        <v>0</v>
      </c>
      <c r="N967" s="554">
        <f t="shared" si="1236"/>
        <v>0</v>
      </c>
      <c r="O967" s="554">
        <f t="shared" si="1236"/>
        <v>0</v>
      </c>
      <c r="P967" s="554">
        <f t="shared" si="1236"/>
        <v>0</v>
      </c>
      <c r="Q967" s="554">
        <f t="shared" si="1236"/>
        <v>0</v>
      </c>
      <c r="R967" s="554">
        <f t="shared" si="1236"/>
        <v>0</v>
      </c>
      <c r="S967" s="554">
        <f t="shared" si="1236"/>
        <v>0</v>
      </c>
      <c r="T967" s="554">
        <f t="shared" si="1236"/>
        <v>0</v>
      </c>
      <c r="U967" s="554">
        <f t="shared" si="1236"/>
        <v>0</v>
      </c>
      <c r="V967" s="554">
        <f t="shared" si="1236"/>
        <v>0</v>
      </c>
      <c r="W967" s="554">
        <f t="shared" si="1236"/>
        <v>0</v>
      </c>
      <c r="X967" s="554">
        <f t="shared" si="1236"/>
        <v>0</v>
      </c>
      <c r="Y967" s="554">
        <f t="shared" si="1236"/>
        <v>0</v>
      </c>
      <c r="Z967" s="554">
        <f t="shared" si="1236"/>
        <v>0</v>
      </c>
      <c r="AA967" s="554">
        <f t="shared" si="1236"/>
        <v>0</v>
      </c>
      <c r="AB967" s="554">
        <f t="shared" si="1236"/>
        <v>0</v>
      </c>
      <c r="AC967" s="554">
        <f t="shared" si="1236"/>
        <v>0</v>
      </c>
      <c r="AD967" s="554">
        <f t="shared" si="1236"/>
        <v>0</v>
      </c>
      <c r="AE967" s="554">
        <f t="shared" si="1236"/>
        <v>0</v>
      </c>
      <c r="AF967" s="554">
        <f t="shared" si="1236"/>
        <v>0</v>
      </c>
      <c r="AG967" s="554">
        <f t="shared" si="1236"/>
        <v>0</v>
      </c>
      <c r="AH967" s="554">
        <f t="shared" si="1236"/>
        <v>0</v>
      </c>
      <c r="AI967" s="554">
        <f t="shared" ref="AI967:BF967" si="1237">IF(ISBLANK(INDEX(MO_IS_FirstRow,0,COLUMN())),0,ROUND(AI863-AI794,6))</f>
        <v>0</v>
      </c>
      <c r="AJ967" s="554">
        <f t="shared" si="1237"/>
        <v>0</v>
      </c>
      <c r="AK967" s="554">
        <f t="shared" si="1237"/>
        <v>0</v>
      </c>
      <c r="AL967" s="554">
        <f t="shared" si="1237"/>
        <v>0</v>
      </c>
      <c r="AM967" s="554">
        <f t="shared" si="1237"/>
        <v>0</v>
      </c>
      <c r="AN967" s="554">
        <f t="shared" si="1237"/>
        <v>0</v>
      </c>
      <c r="AO967" s="554">
        <f t="shared" si="1237"/>
        <v>0</v>
      </c>
      <c r="AP967" s="554">
        <f t="shared" si="1237"/>
        <v>0</v>
      </c>
      <c r="AQ967" s="554">
        <f t="shared" si="1237"/>
        <v>0</v>
      </c>
      <c r="AR967" s="554">
        <f t="shared" si="1237"/>
        <v>0</v>
      </c>
      <c r="AS967" s="554">
        <f t="shared" si="1237"/>
        <v>0</v>
      </c>
      <c r="AT967" s="554">
        <f t="shared" si="1237"/>
        <v>0</v>
      </c>
      <c r="AU967" s="554">
        <f t="shared" si="1237"/>
        <v>0</v>
      </c>
      <c r="AV967" s="554">
        <f t="shared" si="1237"/>
        <v>0</v>
      </c>
      <c r="AW967" s="554">
        <f t="shared" si="1237"/>
        <v>0</v>
      </c>
      <c r="AX967" s="554">
        <f t="shared" si="1237"/>
        <v>0</v>
      </c>
      <c r="AY967" s="554">
        <f t="shared" si="1237"/>
        <v>0</v>
      </c>
      <c r="AZ967" s="554">
        <f t="shared" si="1237"/>
        <v>0</v>
      </c>
      <c r="BA967" s="554">
        <f t="shared" si="1237"/>
        <v>0</v>
      </c>
      <c r="BB967" s="554">
        <f t="shared" si="1237"/>
        <v>0</v>
      </c>
      <c r="BC967" s="554">
        <f t="shared" si="1237"/>
        <v>0</v>
      </c>
      <c r="BD967" s="554">
        <f t="shared" si="1237"/>
        <v>0</v>
      </c>
      <c r="BE967" s="554">
        <f t="shared" si="1237"/>
        <v>0</v>
      </c>
      <c r="BF967" s="554">
        <f t="shared" si="1237"/>
        <v>0</v>
      </c>
      <c r="BG967" s="554"/>
      <c r="BH967" s="554">
        <f t="shared" ref="BH967:CB967" si="1238">IF(ISBLANK(INDEX(MO_IS_FirstRow,0,COLUMN())),0,ROUND(BH863-BH794,6))</f>
        <v>0</v>
      </c>
      <c r="BI967" s="554">
        <f t="shared" si="1238"/>
        <v>0</v>
      </c>
      <c r="BJ967" s="554">
        <f t="shared" si="1238"/>
        <v>0</v>
      </c>
      <c r="BK967" s="554">
        <f t="shared" si="1238"/>
        <v>0</v>
      </c>
      <c r="BL967" s="554">
        <f t="shared" si="1238"/>
        <v>0</v>
      </c>
      <c r="BM967" s="554">
        <f t="shared" si="1238"/>
        <v>0</v>
      </c>
      <c r="BN967" s="554">
        <f t="shared" si="1238"/>
        <v>0</v>
      </c>
      <c r="BO967" s="554">
        <f t="shared" si="1238"/>
        <v>0</v>
      </c>
      <c r="BP967" s="554">
        <f t="shared" si="1238"/>
        <v>0</v>
      </c>
      <c r="BQ967" s="554">
        <f t="shared" si="1238"/>
        <v>0</v>
      </c>
      <c r="BR967" s="554">
        <f t="shared" si="1238"/>
        <v>0</v>
      </c>
      <c r="BS967" s="554">
        <f t="shared" si="1238"/>
        <v>0</v>
      </c>
      <c r="BT967" s="554">
        <f t="shared" si="1238"/>
        <v>0</v>
      </c>
      <c r="BU967" s="554">
        <f t="shared" si="1238"/>
        <v>0</v>
      </c>
      <c r="BV967" s="554">
        <f t="shared" si="1238"/>
        <v>0</v>
      </c>
      <c r="BW967" s="554">
        <f t="shared" si="1238"/>
        <v>0</v>
      </c>
      <c r="BX967" s="554">
        <f t="shared" si="1238"/>
        <v>0</v>
      </c>
      <c r="BY967" s="554">
        <f t="shared" si="1238"/>
        <v>0</v>
      </c>
      <c r="BZ967" s="554">
        <f t="shared" si="1238"/>
        <v>0</v>
      </c>
      <c r="CA967" s="554">
        <f t="shared" si="1238"/>
        <v>0</v>
      </c>
      <c r="CB967" s="554">
        <f t="shared" si="1238"/>
        <v>0</v>
      </c>
      <c r="CC967" s="117"/>
    </row>
    <row r="968" spans="1:81" outlineLevel="1" x14ac:dyDescent="0.55000000000000004">
      <c r="A968" s="117" t="s">
        <v>222</v>
      </c>
      <c r="B968" s="200"/>
      <c r="C968" s="554">
        <f t="shared" ref="C968:Z968" si="1239">ROUND(INDEX(MO_CFSum_Capex,0,COLUMN())-C830,6)</f>
        <v>0</v>
      </c>
      <c r="D968" s="554">
        <f t="shared" si="1239"/>
        <v>0</v>
      </c>
      <c r="E968" s="554">
        <f t="shared" si="1239"/>
        <v>0</v>
      </c>
      <c r="F968" s="554">
        <f t="shared" si="1239"/>
        <v>0</v>
      </c>
      <c r="G968" s="554">
        <f t="shared" si="1239"/>
        <v>0</v>
      </c>
      <c r="H968" s="554">
        <f t="shared" si="1239"/>
        <v>0</v>
      </c>
      <c r="I968" s="554">
        <f t="shared" si="1239"/>
        <v>0</v>
      </c>
      <c r="J968" s="554">
        <f t="shared" si="1239"/>
        <v>0</v>
      </c>
      <c r="K968" s="554">
        <f t="shared" si="1239"/>
        <v>0</v>
      </c>
      <c r="L968" s="554">
        <f t="shared" si="1239"/>
        <v>0</v>
      </c>
      <c r="M968" s="554">
        <f t="shared" si="1239"/>
        <v>0</v>
      </c>
      <c r="N968" s="554">
        <f t="shared" si="1239"/>
        <v>0</v>
      </c>
      <c r="O968" s="554">
        <f t="shared" si="1239"/>
        <v>0</v>
      </c>
      <c r="P968" s="554">
        <f t="shared" si="1239"/>
        <v>0</v>
      </c>
      <c r="Q968" s="554">
        <f t="shared" si="1239"/>
        <v>0</v>
      </c>
      <c r="R968" s="554">
        <f t="shared" si="1239"/>
        <v>0</v>
      </c>
      <c r="S968" s="554">
        <f t="shared" si="1239"/>
        <v>0</v>
      </c>
      <c r="T968" s="554">
        <f t="shared" si="1239"/>
        <v>0</v>
      </c>
      <c r="U968" s="554">
        <f t="shared" si="1239"/>
        <v>0</v>
      </c>
      <c r="V968" s="554">
        <f t="shared" si="1239"/>
        <v>0</v>
      </c>
      <c r="W968" s="554">
        <f t="shared" si="1239"/>
        <v>0</v>
      </c>
      <c r="X968" s="554">
        <f t="shared" si="1239"/>
        <v>0</v>
      </c>
      <c r="Y968" s="554">
        <f t="shared" si="1239"/>
        <v>0</v>
      </c>
      <c r="Z968" s="554">
        <f t="shared" si="1239"/>
        <v>0</v>
      </c>
      <c r="AA968" s="554">
        <f t="shared" ref="AA968:BF968" si="1240">ROUND(INDEX(MO_CFSum_Capex,0,COLUMN())-AA830-AA851,6)</f>
        <v>0</v>
      </c>
      <c r="AB968" s="554">
        <f t="shared" si="1240"/>
        <v>0</v>
      </c>
      <c r="AC968" s="554">
        <f t="shared" si="1240"/>
        <v>0</v>
      </c>
      <c r="AD968" s="554">
        <f t="shared" si="1240"/>
        <v>0</v>
      </c>
      <c r="AE968" s="554">
        <f t="shared" si="1240"/>
        <v>0</v>
      </c>
      <c r="AF968" s="554">
        <f t="shared" si="1240"/>
        <v>0</v>
      </c>
      <c r="AG968" s="554">
        <f t="shared" si="1240"/>
        <v>0</v>
      </c>
      <c r="AH968" s="554">
        <f t="shared" si="1240"/>
        <v>0</v>
      </c>
      <c r="AI968" s="554">
        <f t="shared" si="1240"/>
        <v>0</v>
      </c>
      <c r="AJ968" s="554">
        <f t="shared" si="1240"/>
        <v>0</v>
      </c>
      <c r="AK968" s="554">
        <f t="shared" si="1240"/>
        <v>0</v>
      </c>
      <c r="AL968" s="554">
        <f t="shared" si="1240"/>
        <v>0</v>
      </c>
      <c r="AM968" s="554">
        <f t="shared" si="1240"/>
        <v>0</v>
      </c>
      <c r="AN968" s="554">
        <f t="shared" si="1240"/>
        <v>0</v>
      </c>
      <c r="AO968" s="554">
        <f t="shared" si="1240"/>
        <v>0</v>
      </c>
      <c r="AP968" s="554">
        <f t="shared" si="1240"/>
        <v>0</v>
      </c>
      <c r="AQ968" s="554">
        <f t="shared" si="1240"/>
        <v>0</v>
      </c>
      <c r="AR968" s="554">
        <f t="shared" si="1240"/>
        <v>0</v>
      </c>
      <c r="AS968" s="554">
        <f t="shared" si="1240"/>
        <v>0</v>
      </c>
      <c r="AT968" s="554">
        <f t="shared" si="1240"/>
        <v>0</v>
      </c>
      <c r="AU968" s="554">
        <f t="shared" si="1240"/>
        <v>0</v>
      </c>
      <c r="AV968" s="554">
        <f t="shared" si="1240"/>
        <v>0</v>
      </c>
      <c r="AW968" s="554">
        <f t="shared" si="1240"/>
        <v>0</v>
      </c>
      <c r="AX968" s="554">
        <f t="shared" si="1240"/>
        <v>0</v>
      </c>
      <c r="AY968" s="554">
        <f t="shared" si="1240"/>
        <v>0</v>
      </c>
      <c r="AZ968" s="554">
        <f t="shared" si="1240"/>
        <v>0</v>
      </c>
      <c r="BA968" s="554">
        <f t="shared" si="1240"/>
        <v>0</v>
      </c>
      <c r="BB968" s="554">
        <f t="shared" si="1240"/>
        <v>0</v>
      </c>
      <c r="BC968" s="554">
        <f t="shared" si="1240"/>
        <v>0</v>
      </c>
      <c r="BD968" s="554">
        <f t="shared" si="1240"/>
        <v>0</v>
      </c>
      <c r="BE968" s="554">
        <f t="shared" si="1240"/>
        <v>0</v>
      </c>
      <c r="BF968" s="554">
        <f t="shared" si="1240"/>
        <v>0</v>
      </c>
      <c r="BG968" s="554"/>
      <c r="BH968" s="554">
        <f t="shared" ref="BH968:BQ968" si="1241">ROUND(INDEX(MO_CFSum_Capex,0,COLUMN())-BH830,6)</f>
        <v>0</v>
      </c>
      <c r="BI968" s="554">
        <f t="shared" si="1241"/>
        <v>0</v>
      </c>
      <c r="BJ968" s="554">
        <f t="shared" si="1241"/>
        <v>0</v>
      </c>
      <c r="BK968" s="554">
        <f t="shared" si="1241"/>
        <v>0</v>
      </c>
      <c r="BL968" s="554">
        <f t="shared" si="1241"/>
        <v>0</v>
      </c>
      <c r="BM968" s="554">
        <f t="shared" si="1241"/>
        <v>0</v>
      </c>
      <c r="BN968" s="554">
        <f t="shared" si="1241"/>
        <v>0</v>
      </c>
      <c r="BO968" s="554">
        <f t="shared" si="1241"/>
        <v>0</v>
      </c>
      <c r="BP968" s="554">
        <f t="shared" si="1241"/>
        <v>0</v>
      </c>
      <c r="BQ968" s="554">
        <f t="shared" si="1241"/>
        <v>0</v>
      </c>
      <c r="BR968" s="554">
        <f t="shared" ref="BR968:CB968" si="1242">ROUND(INDEX(MO_CFSum_Capex,0,COLUMN())-BR830-BR851,6)</f>
        <v>0</v>
      </c>
      <c r="BS968" s="554">
        <f t="shared" si="1242"/>
        <v>0</v>
      </c>
      <c r="BT968" s="554">
        <f t="shared" si="1242"/>
        <v>0</v>
      </c>
      <c r="BU968" s="554">
        <f t="shared" si="1242"/>
        <v>0</v>
      </c>
      <c r="BV968" s="554">
        <f t="shared" si="1242"/>
        <v>0</v>
      </c>
      <c r="BW968" s="554">
        <f t="shared" si="1242"/>
        <v>0</v>
      </c>
      <c r="BX968" s="554">
        <f t="shared" si="1242"/>
        <v>0</v>
      </c>
      <c r="BY968" s="554">
        <f t="shared" si="1242"/>
        <v>0</v>
      </c>
      <c r="BZ968" s="554">
        <f t="shared" si="1242"/>
        <v>0</v>
      </c>
      <c r="CA968" s="554">
        <f t="shared" si="1242"/>
        <v>0</v>
      </c>
      <c r="CB968" s="554">
        <f t="shared" si="1242"/>
        <v>0</v>
      </c>
      <c r="CC968" s="117"/>
    </row>
    <row r="969" spans="1:81" outlineLevel="1" x14ac:dyDescent="0.55000000000000004">
      <c r="A969" s="117" t="s">
        <v>223</v>
      </c>
      <c r="B969" s="200"/>
      <c r="C969" s="554">
        <f t="shared" ref="C969:AH969" si="1243">IF(ISBLANK(INDEX(MO_IS_FirstRow,0,COLUMN())),0,IF(MOD(C333*1000000,1)=0,"Check",0))</f>
        <v>0</v>
      </c>
      <c r="D969" s="554">
        <f t="shared" si="1243"/>
        <v>0</v>
      </c>
      <c r="E969" s="554">
        <f t="shared" si="1243"/>
        <v>0</v>
      </c>
      <c r="F969" s="554">
        <f t="shared" si="1243"/>
        <v>0</v>
      </c>
      <c r="G969" s="554">
        <f t="shared" si="1243"/>
        <v>0</v>
      </c>
      <c r="H969" s="554">
        <f t="shared" si="1243"/>
        <v>0</v>
      </c>
      <c r="I969" s="554">
        <f t="shared" si="1243"/>
        <v>0</v>
      </c>
      <c r="J969" s="554">
        <f t="shared" si="1243"/>
        <v>0</v>
      </c>
      <c r="K969" s="554">
        <f t="shared" si="1243"/>
        <v>0</v>
      </c>
      <c r="L969" s="554">
        <f t="shared" si="1243"/>
        <v>0</v>
      </c>
      <c r="M969" s="554">
        <f t="shared" si="1243"/>
        <v>0</v>
      </c>
      <c r="N969" s="554">
        <f t="shared" si="1243"/>
        <v>0</v>
      </c>
      <c r="O969" s="554">
        <f t="shared" si="1243"/>
        <v>0</v>
      </c>
      <c r="P969" s="554">
        <f t="shared" si="1243"/>
        <v>0</v>
      </c>
      <c r="Q969" s="554">
        <f t="shared" si="1243"/>
        <v>0</v>
      </c>
      <c r="R969" s="554">
        <f t="shared" si="1243"/>
        <v>0</v>
      </c>
      <c r="S969" s="554">
        <f t="shared" si="1243"/>
        <v>0</v>
      </c>
      <c r="T969" s="554">
        <f t="shared" si="1243"/>
        <v>0</v>
      </c>
      <c r="U969" s="554">
        <f t="shared" si="1243"/>
        <v>0</v>
      </c>
      <c r="V969" s="554">
        <f t="shared" si="1243"/>
        <v>0</v>
      </c>
      <c r="W969" s="554">
        <f t="shared" si="1243"/>
        <v>0</v>
      </c>
      <c r="X969" s="554">
        <f t="shared" si="1243"/>
        <v>0</v>
      </c>
      <c r="Y969" s="554">
        <f t="shared" si="1243"/>
        <v>0</v>
      </c>
      <c r="Z969" s="554">
        <f t="shared" si="1243"/>
        <v>0</v>
      </c>
      <c r="AA969" s="554">
        <f t="shared" si="1243"/>
        <v>0</v>
      </c>
      <c r="AB969" s="554">
        <f t="shared" si="1243"/>
        <v>0</v>
      </c>
      <c r="AC969" s="554">
        <f t="shared" si="1243"/>
        <v>0</v>
      </c>
      <c r="AD969" s="554">
        <f t="shared" si="1243"/>
        <v>0</v>
      </c>
      <c r="AE969" s="554">
        <f t="shared" si="1243"/>
        <v>0</v>
      </c>
      <c r="AF969" s="554">
        <f t="shared" si="1243"/>
        <v>0</v>
      </c>
      <c r="AG969" s="554">
        <f t="shared" si="1243"/>
        <v>0</v>
      </c>
      <c r="AH969" s="554">
        <f t="shared" si="1243"/>
        <v>0</v>
      </c>
      <c r="AI969" s="554">
        <f t="shared" ref="AI969:BF969" si="1244">IF(ISBLANK(INDEX(MO_IS_FirstRow,0,COLUMN())),0,IF(MOD(AI333*1000000,1)=0,"Check",0))</f>
        <v>0</v>
      </c>
      <c r="AJ969" s="554">
        <f t="shared" si="1244"/>
        <v>0</v>
      </c>
      <c r="AK969" s="554">
        <f t="shared" si="1244"/>
        <v>0</v>
      </c>
      <c r="AL969" s="554">
        <f t="shared" si="1244"/>
        <v>0</v>
      </c>
      <c r="AM969" s="554">
        <f t="shared" si="1244"/>
        <v>0</v>
      </c>
      <c r="AN969" s="554">
        <f t="shared" si="1244"/>
        <v>0</v>
      </c>
      <c r="AO969" s="554">
        <f t="shared" si="1244"/>
        <v>0</v>
      </c>
      <c r="AP969" s="554">
        <f t="shared" si="1244"/>
        <v>0</v>
      </c>
      <c r="AQ969" s="554">
        <f t="shared" si="1244"/>
        <v>0</v>
      </c>
      <c r="AR969" s="554">
        <f t="shared" si="1244"/>
        <v>0</v>
      </c>
      <c r="AS969" s="554">
        <f t="shared" si="1244"/>
        <v>0</v>
      </c>
      <c r="AT969" s="554">
        <f t="shared" si="1244"/>
        <v>0</v>
      </c>
      <c r="AU969" s="554">
        <f t="shared" si="1244"/>
        <v>0</v>
      </c>
      <c r="AV969" s="554">
        <f t="shared" si="1244"/>
        <v>0</v>
      </c>
      <c r="AW969" s="554">
        <f t="shared" si="1244"/>
        <v>0</v>
      </c>
      <c r="AX969" s="554">
        <f t="shared" si="1244"/>
        <v>0</v>
      </c>
      <c r="AY969" s="554">
        <f t="shared" si="1244"/>
        <v>0</v>
      </c>
      <c r="AZ969" s="554">
        <f t="shared" si="1244"/>
        <v>0</v>
      </c>
      <c r="BA969" s="554">
        <f t="shared" si="1244"/>
        <v>0</v>
      </c>
      <c r="BB969" s="554">
        <f t="shared" si="1244"/>
        <v>0</v>
      </c>
      <c r="BC969" s="554">
        <f t="shared" si="1244"/>
        <v>0</v>
      </c>
      <c r="BD969" s="554">
        <f t="shared" si="1244"/>
        <v>0</v>
      </c>
      <c r="BE969" s="554">
        <f t="shared" si="1244"/>
        <v>0</v>
      </c>
      <c r="BF969" s="554">
        <f t="shared" si="1244"/>
        <v>0</v>
      </c>
      <c r="BG969" s="554"/>
      <c r="BH969" s="554">
        <f t="shared" ref="BH969:CB969" si="1245">IF(ISBLANK(INDEX(MO_IS_FirstRow,0,COLUMN())),0,IF(MOD(BH333*1000000,1)=0,"Check",0))</f>
        <v>0</v>
      </c>
      <c r="BI969" s="554">
        <f t="shared" si="1245"/>
        <v>0</v>
      </c>
      <c r="BJ969" s="554">
        <f t="shared" si="1245"/>
        <v>0</v>
      </c>
      <c r="BK969" s="554">
        <f t="shared" si="1245"/>
        <v>0</v>
      </c>
      <c r="BL969" s="554">
        <f t="shared" si="1245"/>
        <v>0</v>
      </c>
      <c r="BM969" s="554">
        <f t="shared" si="1245"/>
        <v>0</v>
      </c>
      <c r="BN969" s="554">
        <f t="shared" si="1245"/>
        <v>0</v>
      </c>
      <c r="BO969" s="554">
        <f t="shared" si="1245"/>
        <v>0</v>
      </c>
      <c r="BP969" s="554">
        <f t="shared" si="1245"/>
        <v>0</v>
      </c>
      <c r="BQ969" s="554">
        <f t="shared" si="1245"/>
        <v>0</v>
      </c>
      <c r="BR969" s="554">
        <f t="shared" si="1245"/>
        <v>0</v>
      </c>
      <c r="BS969" s="554">
        <f t="shared" si="1245"/>
        <v>0</v>
      </c>
      <c r="BT969" s="554">
        <f t="shared" si="1245"/>
        <v>0</v>
      </c>
      <c r="BU969" s="554">
        <f t="shared" si="1245"/>
        <v>0</v>
      </c>
      <c r="BV969" s="554">
        <f t="shared" si="1245"/>
        <v>0</v>
      </c>
      <c r="BW969" s="554">
        <f t="shared" si="1245"/>
        <v>0</v>
      </c>
      <c r="BX969" s="554">
        <f t="shared" si="1245"/>
        <v>0</v>
      </c>
      <c r="BY969" s="554">
        <f t="shared" si="1245"/>
        <v>0</v>
      </c>
      <c r="BZ969" s="554">
        <f t="shared" si="1245"/>
        <v>0</v>
      </c>
      <c r="CA969" s="554">
        <f t="shared" si="1245"/>
        <v>0</v>
      </c>
      <c r="CB969" s="554">
        <f t="shared" si="1245"/>
        <v>0</v>
      </c>
      <c r="CC969" s="117"/>
    </row>
    <row r="970" spans="1:81" outlineLevel="1" x14ac:dyDescent="0.55000000000000004">
      <c r="A970" s="117" t="s">
        <v>224</v>
      </c>
      <c r="B970" s="200"/>
      <c r="C970" s="554"/>
      <c r="D970" s="554"/>
      <c r="E970" s="554"/>
      <c r="F970" s="554"/>
      <c r="G970" s="554"/>
      <c r="H970" s="554"/>
      <c r="I970" s="554"/>
      <c r="J970" s="554"/>
      <c r="K970" s="554"/>
      <c r="L970" s="554"/>
      <c r="M970" s="554"/>
      <c r="N970" s="554"/>
      <c r="O970" s="554"/>
      <c r="P970" s="554"/>
      <c r="Q970" s="554"/>
      <c r="R970" s="554"/>
      <c r="S970" s="554"/>
      <c r="T970" s="554"/>
      <c r="U970" s="554"/>
      <c r="V970" s="554"/>
      <c r="W970" s="554"/>
      <c r="X970" s="554"/>
      <c r="Y970" s="554"/>
      <c r="Z970" s="554"/>
      <c r="AA970" s="554"/>
      <c r="AB970" s="554"/>
      <c r="AC970" s="554"/>
      <c r="AD970" s="554"/>
      <c r="AE970" s="554"/>
      <c r="AF970" s="554"/>
      <c r="AG970" s="554"/>
      <c r="AH970" s="554"/>
      <c r="AI970" s="554"/>
      <c r="AJ970" s="554"/>
      <c r="AK970" s="554"/>
      <c r="AL970" s="554"/>
      <c r="AM970" s="554"/>
      <c r="AN970" s="554"/>
      <c r="AO970" s="554"/>
      <c r="AP970" s="554"/>
      <c r="AQ970" s="554"/>
      <c r="AR970" s="554"/>
      <c r="AS970" s="554"/>
      <c r="AT970" s="554"/>
      <c r="AU970" s="554"/>
      <c r="AV970" s="554"/>
      <c r="AW970" s="554"/>
      <c r="AX970" s="554"/>
      <c r="AY970" s="554"/>
      <c r="AZ970" s="554"/>
      <c r="BA970" s="554"/>
      <c r="BB970" s="554"/>
      <c r="BC970" s="554"/>
      <c r="BD970" s="554"/>
      <c r="BE970" s="554"/>
      <c r="BF970" s="554"/>
      <c r="BG970" s="554"/>
      <c r="BH970" s="554"/>
      <c r="BI970" s="554"/>
      <c r="BJ970" s="554"/>
      <c r="BK970" s="554"/>
      <c r="BL970" s="554">
        <f>IF(ISBLANK(INDEX(MO_IS_FirstRow,0,COLUMN())),0,ROUND(BL365-SUM(C365,D365,E365,F365),6))</f>
        <v>54</v>
      </c>
      <c r="BM970" s="554">
        <f>IF(ISBLANK(INDEX(MO_IS_FirstRow,0,COLUMN())),0,ROUND(BM365-SUM(G365,H365,I365,J365),6))</f>
        <v>-2</v>
      </c>
      <c r="BN970" s="554">
        <f>IF(ISBLANK(INDEX(MO_IS_FirstRow,0,COLUMN())),0,ROUND(BN365-SUM(K365,L365,M365,N365),6))</f>
        <v>-1</v>
      </c>
      <c r="BO970" s="554">
        <f>IF(ISBLANK(INDEX(MO_IS_FirstRow,0,COLUMN())),0,ROUND(BO365-SUM(O365,P365,Q365,R365),6))</f>
        <v>0</v>
      </c>
      <c r="BP970" s="554">
        <f>IF(ISBLANK(INDEX(MO_IS_FirstRow,0,COLUMN())),0,ROUND(BP365-SUM(S365,T365,U365,V365),6))</f>
        <v>0</v>
      </c>
      <c r="BQ970" s="554">
        <f>IF(ISBLANK(INDEX(MO_IS_FirstRow,0,COLUMN())),0,ROUND(BQ365-SUM(W365,X365,Y365,Z365),6))</f>
        <v>0</v>
      </c>
      <c r="BR970" s="554">
        <f>IF(ISBLANK(INDEX(MO_IS_FirstRow,0,COLUMN())),0,ROUND(BR365-SUM(AA365,AB365,AC365,AD365),6))</f>
        <v>0</v>
      </c>
      <c r="BS970" s="554">
        <f>IF(ISBLANK(INDEX(MO_IS_FirstRow,0,COLUMN())),0,ROUND(BS365-SUM(AE365,AF365,AG365,AH365),6))</f>
        <v>0</v>
      </c>
      <c r="BT970" s="554">
        <f>IF(ISBLANK(INDEX(MO_IS_FirstRow,0,COLUMN())),0,ROUND(BT365-SUM(AI365,AJ365,AK365,AL365),6))</f>
        <v>0</v>
      </c>
      <c r="BU970" s="554">
        <f>IF(ISBLANK(INDEX(MO_IS_FirstRow,0,COLUMN())),0,ROUND(BU365-SUM(AM365,AN365,AO365,AP365),6))</f>
        <v>0</v>
      </c>
      <c r="BV970" s="554">
        <f>IF(ISBLANK(INDEX(MO_IS_FirstRow,0,COLUMN())),0,ROUND(BV365-SUM(AQ365,AR365,AS365,AT365),6))</f>
        <v>0</v>
      </c>
      <c r="BW970" s="554">
        <f>IF(ISBLANK(INDEX(MO_IS_FirstRow,0,COLUMN())),0,ROUND(BW365-SUM(AU365,AV365,AW365,AX365),6))</f>
        <v>0</v>
      </c>
      <c r="BX970" s="554">
        <f>IF(ISBLANK(INDEX(MO_IS_FirstRow,0,COLUMN())),0,ROUND(BX365-SUM(AY365,AZ365,BA365,BB365),6))</f>
        <v>0</v>
      </c>
      <c r="BY970" s="554">
        <f>IF(ISBLANK(INDEX(MO_IS_FirstRow,0,COLUMN())),0,ROUND(BY365-SUM(BC365,BD365,BE365,BF365),6))</f>
        <v>0</v>
      </c>
      <c r="BZ970" s="554"/>
      <c r="CA970" s="554"/>
      <c r="CB970" s="554"/>
      <c r="CC970" s="117"/>
    </row>
    <row r="971" spans="1:81" outlineLevel="1" x14ac:dyDescent="0.55000000000000004">
      <c r="A971" s="117" t="s">
        <v>225</v>
      </c>
      <c r="B971" s="200"/>
      <c r="C971" s="554">
        <f t="shared" ref="C971:AH971" si="1246">IF(OR(INDEX(MO_CFSum_Acquisition,1,COLUMN())&gt;0,INDEX(MO_CFSum_Divestiture,1,COLUMN())&lt;0,INDEX(MO_CFSum_Capex,1,COLUMN())&gt;0,INDEX(MO_CFSum_Dividend,1,COLUMN())&gt;0),"CHECK",0)</f>
        <v>0</v>
      </c>
      <c r="D971" s="554">
        <f t="shared" si="1246"/>
        <v>0</v>
      </c>
      <c r="E971" s="554">
        <f t="shared" si="1246"/>
        <v>0</v>
      </c>
      <c r="F971" s="554">
        <f t="shared" si="1246"/>
        <v>0</v>
      </c>
      <c r="G971" s="554">
        <f t="shared" si="1246"/>
        <v>0</v>
      </c>
      <c r="H971" s="554">
        <f t="shared" si="1246"/>
        <v>0</v>
      </c>
      <c r="I971" s="554">
        <f t="shared" si="1246"/>
        <v>0</v>
      </c>
      <c r="J971" s="554">
        <f t="shared" si="1246"/>
        <v>0</v>
      </c>
      <c r="K971" s="554">
        <f t="shared" si="1246"/>
        <v>0</v>
      </c>
      <c r="L971" s="554">
        <f t="shared" si="1246"/>
        <v>0</v>
      </c>
      <c r="M971" s="554">
        <f t="shared" si="1246"/>
        <v>0</v>
      </c>
      <c r="N971" s="554">
        <f t="shared" si="1246"/>
        <v>0</v>
      </c>
      <c r="O971" s="554">
        <f t="shared" si="1246"/>
        <v>0</v>
      </c>
      <c r="P971" s="554">
        <f t="shared" si="1246"/>
        <v>0</v>
      </c>
      <c r="Q971" s="554">
        <f t="shared" si="1246"/>
        <v>0</v>
      </c>
      <c r="R971" s="554">
        <f t="shared" si="1246"/>
        <v>0</v>
      </c>
      <c r="S971" s="554">
        <f t="shared" si="1246"/>
        <v>0</v>
      </c>
      <c r="T971" s="554">
        <f t="shared" si="1246"/>
        <v>0</v>
      </c>
      <c r="U971" s="554">
        <f t="shared" si="1246"/>
        <v>0</v>
      </c>
      <c r="V971" s="554">
        <f t="shared" si="1246"/>
        <v>0</v>
      </c>
      <c r="W971" s="554">
        <f t="shared" si="1246"/>
        <v>0</v>
      </c>
      <c r="X971" s="554">
        <f t="shared" si="1246"/>
        <v>0</v>
      </c>
      <c r="Y971" s="554">
        <f t="shared" si="1246"/>
        <v>0</v>
      </c>
      <c r="Z971" s="554">
        <f t="shared" si="1246"/>
        <v>0</v>
      </c>
      <c r="AA971" s="554">
        <f t="shared" si="1246"/>
        <v>0</v>
      </c>
      <c r="AB971" s="554">
        <f t="shared" si="1246"/>
        <v>0</v>
      </c>
      <c r="AC971" s="554">
        <f t="shared" si="1246"/>
        <v>0</v>
      </c>
      <c r="AD971" s="554">
        <f t="shared" si="1246"/>
        <v>0</v>
      </c>
      <c r="AE971" s="554">
        <f t="shared" si="1246"/>
        <v>0</v>
      </c>
      <c r="AF971" s="554">
        <f t="shared" si="1246"/>
        <v>0</v>
      </c>
      <c r="AG971" s="554">
        <f t="shared" si="1246"/>
        <v>0</v>
      </c>
      <c r="AH971" s="554">
        <f t="shared" si="1246"/>
        <v>0</v>
      </c>
      <c r="AI971" s="554">
        <f t="shared" ref="AI971:BF971" si="1247">IF(OR(INDEX(MO_CFSum_Acquisition,1,COLUMN())&gt;0,INDEX(MO_CFSum_Divestiture,1,COLUMN())&lt;0,INDEX(MO_CFSum_Capex,1,COLUMN())&gt;0,INDEX(MO_CFSum_Dividend,1,COLUMN())&gt;0),"CHECK",0)</f>
        <v>0</v>
      </c>
      <c r="AJ971" s="554">
        <f t="shared" si="1247"/>
        <v>0</v>
      </c>
      <c r="AK971" s="554">
        <f t="shared" si="1247"/>
        <v>0</v>
      </c>
      <c r="AL971" s="554">
        <f t="shared" si="1247"/>
        <v>0</v>
      </c>
      <c r="AM971" s="554">
        <f t="shared" si="1247"/>
        <v>0</v>
      </c>
      <c r="AN971" s="554">
        <f t="shared" si="1247"/>
        <v>0</v>
      </c>
      <c r="AO971" s="554">
        <f t="shared" si="1247"/>
        <v>0</v>
      </c>
      <c r="AP971" s="554">
        <f t="shared" si="1247"/>
        <v>0</v>
      </c>
      <c r="AQ971" s="554">
        <f t="shared" si="1247"/>
        <v>0</v>
      </c>
      <c r="AR971" s="554">
        <f t="shared" si="1247"/>
        <v>0</v>
      </c>
      <c r="AS971" s="554">
        <f t="shared" si="1247"/>
        <v>0</v>
      </c>
      <c r="AT971" s="554">
        <f t="shared" si="1247"/>
        <v>0</v>
      </c>
      <c r="AU971" s="554">
        <f t="shared" si="1247"/>
        <v>0</v>
      </c>
      <c r="AV971" s="554">
        <f t="shared" si="1247"/>
        <v>0</v>
      </c>
      <c r="AW971" s="554">
        <f t="shared" si="1247"/>
        <v>0</v>
      </c>
      <c r="AX971" s="554">
        <f t="shared" si="1247"/>
        <v>0</v>
      </c>
      <c r="AY971" s="554">
        <f t="shared" si="1247"/>
        <v>0</v>
      </c>
      <c r="AZ971" s="554">
        <f t="shared" ca="1" si="1247"/>
        <v>0</v>
      </c>
      <c r="BA971" s="554">
        <f t="shared" ca="1" si="1247"/>
        <v>0</v>
      </c>
      <c r="BB971" s="554">
        <f t="shared" ca="1" si="1247"/>
        <v>0</v>
      </c>
      <c r="BC971" s="554">
        <f t="shared" ca="1" si="1247"/>
        <v>0</v>
      </c>
      <c r="BD971" s="554">
        <f t="shared" ca="1" si="1247"/>
        <v>0</v>
      </c>
      <c r="BE971" s="554">
        <f t="shared" ca="1" si="1247"/>
        <v>0</v>
      </c>
      <c r="BF971" s="554">
        <f t="shared" ca="1" si="1247"/>
        <v>0</v>
      </c>
      <c r="BG971" s="554"/>
      <c r="BH971" s="554" t="str">
        <f t="shared" ref="BH971:CB971" si="1248">IF(OR(INDEX(MO_CFSum_Acquisition,1,COLUMN())&gt;0,INDEX(MO_CFSum_Divestiture,1,COLUMN())&lt;0,INDEX(MO_CFSum_Capex,1,COLUMN())&gt;0,INDEX(MO_CFSum_Dividend,1,COLUMN())&gt;0),"CHECK",0)</f>
        <v>CHECK</v>
      </c>
      <c r="BI971" s="554">
        <f t="shared" si="1248"/>
        <v>0</v>
      </c>
      <c r="BJ971" s="554">
        <f t="shared" si="1248"/>
        <v>0</v>
      </c>
      <c r="BK971" s="554">
        <f t="shared" si="1248"/>
        <v>0</v>
      </c>
      <c r="BL971" s="554">
        <f t="shared" si="1248"/>
        <v>0</v>
      </c>
      <c r="BM971" s="554">
        <f t="shared" si="1248"/>
        <v>0</v>
      </c>
      <c r="BN971" s="554">
        <f t="shared" si="1248"/>
        <v>0</v>
      </c>
      <c r="BO971" s="554">
        <f t="shared" si="1248"/>
        <v>0</v>
      </c>
      <c r="BP971" s="554">
        <f t="shared" si="1248"/>
        <v>0</v>
      </c>
      <c r="BQ971" s="554">
        <f t="shared" si="1248"/>
        <v>0</v>
      </c>
      <c r="BR971" s="554">
        <f t="shared" si="1248"/>
        <v>0</v>
      </c>
      <c r="BS971" s="554">
        <f t="shared" si="1248"/>
        <v>0</v>
      </c>
      <c r="BT971" s="554">
        <f t="shared" si="1248"/>
        <v>0</v>
      </c>
      <c r="BU971" s="554">
        <f t="shared" si="1248"/>
        <v>0</v>
      </c>
      <c r="BV971" s="554">
        <f t="shared" si="1248"/>
        <v>0</v>
      </c>
      <c r="BW971" s="554">
        <f t="shared" si="1248"/>
        <v>0</v>
      </c>
      <c r="BX971" s="554">
        <f t="shared" ca="1" si="1248"/>
        <v>0</v>
      </c>
      <c r="BY971" s="554">
        <f t="shared" ca="1" si="1248"/>
        <v>0</v>
      </c>
      <c r="BZ971" s="554">
        <f t="shared" ca="1" si="1248"/>
        <v>0</v>
      </c>
      <c r="CA971" s="554">
        <f t="shared" ca="1" si="1248"/>
        <v>0</v>
      </c>
      <c r="CB971" s="554">
        <f t="shared" ca="1" si="1248"/>
        <v>0</v>
      </c>
      <c r="CC971" s="117"/>
    </row>
    <row r="972" spans="1:81" outlineLevel="1" x14ac:dyDescent="0.55000000000000004">
      <c r="A972" s="117" t="s">
        <v>226</v>
      </c>
      <c r="B972" s="200"/>
      <c r="C972" s="554"/>
      <c r="D972" s="554"/>
      <c r="E972" s="554"/>
      <c r="F972" s="554"/>
      <c r="G972" s="554"/>
      <c r="H972" s="554"/>
      <c r="I972" s="554"/>
      <c r="J972" s="554"/>
      <c r="K972" s="554"/>
      <c r="L972" s="554"/>
      <c r="M972" s="554"/>
      <c r="N972" s="554"/>
      <c r="O972" s="554"/>
      <c r="P972" s="554"/>
      <c r="Q972" s="554"/>
      <c r="R972" s="554"/>
      <c r="S972" s="554"/>
      <c r="T972" s="554"/>
      <c r="U972" s="554"/>
      <c r="V972" s="554"/>
      <c r="W972" s="554"/>
      <c r="X972" s="554"/>
      <c r="Y972" s="554"/>
      <c r="Z972" s="554"/>
      <c r="AA972" s="554"/>
      <c r="AB972" s="554"/>
      <c r="AC972" s="554"/>
      <c r="AD972" s="554"/>
      <c r="AE972" s="554"/>
      <c r="AF972" s="554"/>
      <c r="AG972" s="554"/>
      <c r="AH972" s="554"/>
      <c r="AI972" s="554"/>
      <c r="AJ972" s="554"/>
      <c r="AK972" s="554"/>
      <c r="AL972" s="554"/>
      <c r="AM972" s="554"/>
      <c r="AN972" s="554"/>
      <c r="AO972" s="554"/>
      <c r="AP972" s="554"/>
      <c r="AQ972" s="554"/>
      <c r="AR972" s="554"/>
      <c r="AS972" s="554"/>
      <c r="AT972" s="554"/>
      <c r="AU972" s="554"/>
      <c r="AV972" s="554"/>
      <c r="AW972" s="554"/>
      <c r="AX972" s="554"/>
      <c r="AY972" s="554"/>
      <c r="AZ972" s="554"/>
      <c r="BA972" s="554"/>
      <c r="BB972" s="554"/>
      <c r="BC972" s="554"/>
      <c r="BD972" s="554"/>
      <c r="BE972" s="554"/>
      <c r="BF972" s="554"/>
      <c r="BG972" s="554"/>
      <c r="BH972" s="554"/>
      <c r="BI972" s="554"/>
      <c r="BJ972" s="554"/>
      <c r="BK972" s="554"/>
      <c r="BL972" s="554">
        <f>ROUND(BL406-SUM(C406,D406,E406,F406),6)</f>
        <v>0</v>
      </c>
      <c r="BM972" s="554">
        <f>ROUND(BM406-SUM(G406,H406,I406,J406),6)</f>
        <v>0</v>
      </c>
      <c r="BN972" s="554">
        <f>ROUND(BN406-SUM(K406,L406,M406,N406),6)</f>
        <v>-1</v>
      </c>
      <c r="BO972" s="554">
        <f>ROUND(BO406-SUM(O406,P406,Q406,R406),6)</f>
        <v>1</v>
      </c>
      <c r="BP972" s="554">
        <f>ROUND(BP406-SUM(S406,T406,U406,V406),6)</f>
        <v>2</v>
      </c>
      <c r="BQ972" s="554">
        <f>ROUND(BQ406-SUM(W406,X406,Y406,Z406),6)</f>
        <v>0</v>
      </c>
      <c r="BR972" s="554">
        <f>ROUND(BR406-SUM(AA406,AB406,AC406,AD406),6)</f>
        <v>0</v>
      </c>
      <c r="BS972" s="554">
        <f>ROUND(BS406-SUM(AE406,AF406,AG406,AH406),6)</f>
        <v>1</v>
      </c>
      <c r="BT972" s="554">
        <f>ROUND(BT406-SUM(AI406,AJ406,AK406,AL406),6)</f>
        <v>-1</v>
      </c>
      <c r="BU972" s="554">
        <f>ROUND(BU406-SUM(AM406,AN406,AO406,AP406),6)</f>
        <v>1</v>
      </c>
      <c r="BV972" s="554">
        <f>ROUND(BV406-SUM(AQ406,AR406,AS406,AT406),6)</f>
        <v>1</v>
      </c>
      <c r="BW972" s="554">
        <f>ROUND(BW406-SUM(AU406,AV406,AW406,AX406),6)</f>
        <v>0</v>
      </c>
      <c r="BX972" s="554">
        <f ca="1">ROUND(BX406-SUM(AY406,AZ406,BA406,BB406),6)</f>
        <v>0</v>
      </c>
      <c r="BY972" s="554">
        <f ca="1">ROUND(BY406-SUM(BC406,BD406,BE406,BF406),6)</f>
        <v>0</v>
      </c>
      <c r="BZ972" s="554"/>
      <c r="CA972" s="554"/>
      <c r="CB972" s="554"/>
      <c r="CC972" s="117"/>
    </row>
    <row r="973" spans="1:81" outlineLevel="1" x14ac:dyDescent="0.55000000000000004">
      <c r="A973" s="117" t="s">
        <v>227</v>
      </c>
      <c r="B973" s="200"/>
      <c r="C973" s="554"/>
      <c r="D973" s="554"/>
      <c r="E973" s="554"/>
      <c r="F973" s="554"/>
      <c r="G973" s="554"/>
      <c r="H973" s="554"/>
      <c r="I973" s="554"/>
      <c r="J973" s="554"/>
      <c r="K973" s="554"/>
      <c r="L973" s="554"/>
      <c r="M973" s="554"/>
      <c r="N973" s="554"/>
      <c r="O973" s="554"/>
      <c r="P973" s="554"/>
      <c r="Q973" s="554"/>
      <c r="R973" s="554"/>
      <c r="S973" s="554"/>
      <c r="T973" s="554"/>
      <c r="U973" s="554"/>
      <c r="V973" s="554"/>
      <c r="W973" s="554"/>
      <c r="X973" s="554"/>
      <c r="Y973" s="554"/>
      <c r="Z973" s="554"/>
      <c r="AA973" s="554"/>
      <c r="AB973" s="554"/>
      <c r="AC973" s="554"/>
      <c r="AD973" s="554"/>
      <c r="AE973" s="554"/>
      <c r="AF973" s="554"/>
      <c r="AG973" s="554"/>
      <c r="AH973" s="554"/>
      <c r="AI973" s="554"/>
      <c r="AJ973" s="554"/>
      <c r="AK973" s="554"/>
      <c r="AL973" s="554"/>
      <c r="AM973" s="554"/>
      <c r="AN973" s="554"/>
      <c r="AO973" s="554"/>
      <c r="AP973" s="554"/>
      <c r="AQ973" s="554"/>
      <c r="AR973" s="554"/>
      <c r="AS973" s="554"/>
      <c r="AT973" s="554"/>
      <c r="AU973" s="554"/>
      <c r="AV973" s="554"/>
      <c r="AW973" s="554"/>
      <c r="AX973" s="554"/>
      <c r="AY973" s="554"/>
      <c r="AZ973" s="554"/>
      <c r="BA973" s="554"/>
      <c r="BB973" s="554"/>
      <c r="BC973" s="554"/>
      <c r="BD973" s="554"/>
      <c r="BE973" s="554"/>
      <c r="BF973" s="554"/>
      <c r="BG973" s="554"/>
      <c r="BH973" s="554"/>
      <c r="BI973" s="554"/>
      <c r="BJ973" s="554"/>
      <c r="BK973" s="554"/>
      <c r="BL973" s="554">
        <f>ROUND(SUM(C415,D415,E415,F415)-INDEX(MO_RIS_NI_NONGAAP_Diluted,1,COLUMN()),6)</f>
        <v>-54</v>
      </c>
      <c r="BM973" s="554">
        <f>ROUND(SUM(G415,H415,I415,J415)-INDEX(MO_RIS_NI_NONGAAP_Diluted,1,COLUMN()),6)</f>
        <v>2</v>
      </c>
      <c r="BN973" s="554">
        <f>ROUND(SUM(K415,L415,M415,N415)-INDEX(MO_RIS_NI_NONGAAP_Diluted,1,COLUMN()),6)</f>
        <v>1</v>
      </c>
      <c r="BO973" s="554">
        <f>ROUND(SUM(O415,P415,Q415,R415)-INDEX(MO_RIS_NI_NONGAAP_Diluted,1,COLUMN()),6)</f>
        <v>0</v>
      </c>
      <c r="BP973" s="554">
        <f>ROUND(SUM(S415,T415,U415,V415)-INDEX(MO_RIS_NI_NONGAAP_Diluted,1,COLUMN()),6)</f>
        <v>0</v>
      </c>
      <c r="BQ973" s="554">
        <f>ROUND(SUM(W415,X415,Y415,Z415)-INDEX(MO_RIS_NI_NONGAAP_Diluted,1,COLUMN()),6)</f>
        <v>0</v>
      </c>
      <c r="BR973" s="554">
        <f>ROUND(SUM(AA415,AB415,AC415,AD415)-INDEX(MO_RIS_NI_NONGAAP_Diluted,1,COLUMN()),6)</f>
        <v>0</v>
      </c>
      <c r="BS973" s="554">
        <f>ROUND(SUM(AE415,AF415,AG415,AH415)-INDEX(MO_RIS_NI_NONGAAP_Diluted,1,COLUMN()),6)</f>
        <v>-1</v>
      </c>
      <c r="BT973" s="554">
        <f>ROUND(SUM(AI415,AJ415,AK415,AL415)-INDEX(MO_RIS_NI_NONGAAP_Diluted,1,COLUMN()),6)</f>
        <v>1</v>
      </c>
      <c r="BU973" s="554">
        <f>ROUND(SUM(AM415,AN415,AO415,AP415)-INDEX(MO_RIS_NI_NONGAAP_Diluted,1,COLUMN()),6)</f>
        <v>-1</v>
      </c>
      <c r="BV973" s="554">
        <f>ROUND(SUM(AQ415,AR415,AS415,AT415)-INDEX(MO_RIS_NI_NONGAAP_Diluted,1,COLUMN()),6)</f>
        <v>-1</v>
      </c>
      <c r="BW973" s="554">
        <f>ROUND(SUM(AU415,AV415,AW415,AX415)-INDEX(MO_RIS_NI_NONGAAP_Diluted,1,COLUMN()),6)</f>
        <v>0</v>
      </c>
      <c r="BX973" s="554">
        <f ca="1">ROUND(SUM(AY415,AZ415,BA415,BB415)-INDEX(MO_RIS_NI_NONGAAP_Diluted,1,COLUMN()),6)</f>
        <v>0</v>
      </c>
      <c r="BY973" s="554">
        <f ca="1">ROUND(SUM(BC415,BD415,BE415,BF415)-INDEX(MO_RIS_NI_NONGAAP_Diluted,1,COLUMN()),6)</f>
        <v>0</v>
      </c>
      <c r="BZ973" s="554"/>
      <c r="CA973" s="554"/>
      <c r="CB973" s="554"/>
      <c r="CC973" s="117"/>
    </row>
    <row r="974" spans="1:81" outlineLevel="1" x14ac:dyDescent="0.55000000000000004">
      <c r="A974" s="117" t="s">
        <v>228</v>
      </c>
      <c r="B974" s="200"/>
      <c r="C974" s="554"/>
      <c r="D974" s="554"/>
      <c r="E974" s="554"/>
      <c r="F974" s="554"/>
      <c r="G974" s="554"/>
      <c r="H974" s="554"/>
      <c r="I974" s="554"/>
      <c r="J974" s="554"/>
      <c r="K974" s="554"/>
      <c r="L974" s="554"/>
      <c r="M974" s="554"/>
      <c r="N974" s="554"/>
      <c r="O974" s="554"/>
      <c r="P974" s="554"/>
      <c r="Q974" s="554"/>
      <c r="R974" s="554"/>
      <c r="S974" s="554"/>
      <c r="T974" s="554"/>
      <c r="U974" s="554"/>
      <c r="V974" s="554"/>
      <c r="W974" s="554"/>
      <c r="X974" s="554"/>
      <c r="Y974" s="554"/>
      <c r="Z974" s="554"/>
      <c r="AA974" s="554"/>
      <c r="AB974" s="554"/>
      <c r="AC974" s="554"/>
      <c r="AD974" s="554"/>
      <c r="AE974" s="554"/>
      <c r="AF974" s="554"/>
      <c r="AG974" s="554"/>
      <c r="AH974" s="554"/>
      <c r="AI974" s="554"/>
      <c r="AJ974" s="554"/>
      <c r="AK974" s="554"/>
      <c r="AL974" s="554"/>
      <c r="AM974" s="554"/>
      <c r="AN974" s="554"/>
      <c r="AO974" s="554"/>
      <c r="AP974" s="554"/>
      <c r="AQ974" s="554"/>
      <c r="AR974" s="554"/>
      <c r="AS974" s="554"/>
      <c r="AT974" s="554"/>
      <c r="AU974" s="554"/>
      <c r="AV974" s="554"/>
      <c r="AW974" s="554"/>
      <c r="AX974" s="554"/>
      <c r="AY974" s="554"/>
      <c r="AZ974" s="554"/>
      <c r="BA974" s="554"/>
      <c r="BB974" s="554"/>
      <c r="BC974" s="554"/>
      <c r="BD974" s="554"/>
      <c r="BE974" s="554"/>
      <c r="BF974" s="554"/>
      <c r="BG974" s="554"/>
      <c r="BH974" s="554"/>
      <c r="BI974" s="554"/>
      <c r="BJ974" s="554"/>
      <c r="BK974" s="554"/>
      <c r="BL974" s="554">
        <f ca="1">ROUND(SUM(C815,D815,E815,F815)-SUM(OFFSET(INDEX(MO_CFS_CFO_BeforeWC,1,COLUMN()),ROW(INDEX(MO_SubSection_CFS_CFO,1,COLUMN()))-ROW(INDEX(MO_CFS_CFO_BeforeWC,1,COLUMN())),0,ROW(INDEX(MO_CFS_CFO_BeforeWC,1,COLUMN()))-ROW(INDEX(MO_SubSection_CFS_CFO,1,COLUMN())),1)),6)</f>
        <v>0</v>
      </c>
      <c r="BM974" s="554">
        <f ca="1">ROUND(SUM(G815,H815,I815,J815)-SUM(OFFSET(INDEX(MO_CFS_CFO_BeforeWC,1,COLUMN()),ROW(INDEX(MO_SubSection_CFS_CFO,1,COLUMN()))-ROW(INDEX(MO_CFS_CFO_BeforeWC,1,COLUMN())),0,ROW(INDEX(MO_CFS_CFO_BeforeWC,1,COLUMN()))-ROW(INDEX(MO_SubSection_CFS_CFO,1,COLUMN())),1)),6)</f>
        <v>0</v>
      </c>
      <c r="BN974" s="554">
        <f ca="1">ROUND(SUM(K815,L815,M815,N815)-SUM(OFFSET(INDEX(MO_CFS_CFO_BeforeWC,1,COLUMN()),ROW(INDEX(MO_SubSection_CFS_CFO,1,COLUMN()))-ROW(INDEX(MO_CFS_CFO_BeforeWC,1,COLUMN())),0,ROW(INDEX(MO_CFS_CFO_BeforeWC,1,COLUMN()))-ROW(INDEX(MO_SubSection_CFS_CFO,1,COLUMN())),1)),6)</f>
        <v>0</v>
      </c>
      <c r="BO974" s="554">
        <f ca="1">ROUND(SUM(O815,P815,Q815,R815)-SUM(OFFSET(INDEX(MO_CFS_CFO_BeforeWC,1,COLUMN()),ROW(INDEX(MO_SubSection_CFS_CFO,1,COLUMN()))-ROW(INDEX(MO_CFS_CFO_BeforeWC,1,COLUMN())),0,ROW(INDEX(MO_CFS_CFO_BeforeWC,1,COLUMN()))-ROW(INDEX(MO_SubSection_CFS_CFO,1,COLUMN())),1)),6)</f>
        <v>0</v>
      </c>
      <c r="BP974" s="554">
        <f ca="1">ROUND(SUM(S815,T815,U815,V815)-SUM(OFFSET(INDEX(MO_CFS_CFO_BeforeWC,1,COLUMN()),ROW(INDEX(MO_SubSection_CFS_CFO,1,COLUMN()))-ROW(INDEX(MO_CFS_CFO_BeforeWC,1,COLUMN())),0,ROW(INDEX(MO_CFS_CFO_BeforeWC,1,COLUMN()))-ROW(INDEX(MO_SubSection_CFS_CFO,1,COLUMN())),1)),6)</f>
        <v>0</v>
      </c>
      <c r="BQ974" s="554">
        <f ca="1">ROUND(SUM(W815,X815,Y815,Z815)-SUM(OFFSET(INDEX(MO_CFS_CFO_BeforeWC,1,COLUMN()),ROW(INDEX(MO_SubSection_CFS_CFO,1,COLUMN()))-ROW(INDEX(MO_CFS_CFO_BeforeWC,1,COLUMN())),0,ROW(INDEX(MO_CFS_CFO_BeforeWC,1,COLUMN()))-ROW(INDEX(MO_SubSection_CFS_CFO,1,COLUMN())),1)),6)</f>
        <v>0</v>
      </c>
      <c r="BR974" s="554">
        <f ca="1">ROUND(SUM(AA815,AB815,AC815,AD815)-SUM(OFFSET(INDEX(MO_CFS_CFO_BeforeWC,1,COLUMN()),ROW(INDEX(MO_SubSection_CFS_CFO,1,COLUMN()))-ROW(INDEX(MO_CFS_CFO_BeforeWC,1,COLUMN())),0,ROW(INDEX(MO_CFS_CFO_BeforeWC,1,COLUMN()))-ROW(INDEX(MO_SubSection_CFS_CFO,1,COLUMN())),1)),6)</f>
        <v>0</v>
      </c>
      <c r="BS974" s="554">
        <f ca="1">ROUND(SUM(AE815,AF815,AG815,AH815)-SUM(OFFSET(INDEX(MO_CFS_CFO_BeforeWC,1,COLUMN()),ROW(INDEX(MO_SubSection_CFS_CFO,1,COLUMN()))-ROW(INDEX(MO_CFS_CFO_BeforeWC,1,COLUMN())),0,ROW(INDEX(MO_CFS_CFO_BeforeWC,1,COLUMN()))-ROW(INDEX(MO_SubSection_CFS_CFO,1,COLUMN())),1)),6)</f>
        <v>0</v>
      </c>
      <c r="BT974" s="554">
        <f ca="1">ROUND(SUM(AI815,AJ815,AK815,AL815)-SUM(OFFSET(INDEX(MO_CFS_CFO_BeforeWC,1,COLUMN()),ROW(INDEX(MO_SubSection_CFS_CFO,1,COLUMN()))-ROW(INDEX(MO_CFS_CFO_BeforeWC,1,COLUMN())),0,ROW(INDEX(MO_CFS_CFO_BeforeWC,1,COLUMN()))-ROW(INDEX(MO_SubSection_CFS_CFO,1,COLUMN())),1)),6)</f>
        <v>0</v>
      </c>
      <c r="BU974" s="554">
        <f ca="1">ROUND(SUM(AM815,AN815,AO815,AP815)-SUM(OFFSET(INDEX(MO_CFS_CFO_BeforeWC,1,COLUMN()),ROW(INDEX(MO_SubSection_CFS_CFO,1,COLUMN()))-ROW(INDEX(MO_CFS_CFO_BeforeWC,1,COLUMN())),0,ROW(INDEX(MO_CFS_CFO_BeforeWC,1,COLUMN()))-ROW(INDEX(MO_SubSection_CFS_CFO,1,COLUMN())),1)),6)</f>
        <v>0</v>
      </c>
      <c r="BV974" s="554">
        <f ca="1">ROUND(SUM(AQ815,AR815,AS815,AT815)-SUM(OFFSET(INDEX(MO_CFS_CFO_BeforeWC,1,COLUMN()),ROW(INDEX(MO_SubSection_CFS_CFO,1,COLUMN()))-ROW(INDEX(MO_CFS_CFO_BeforeWC,1,COLUMN())),0,ROW(INDEX(MO_CFS_CFO_BeforeWC,1,COLUMN()))-ROW(INDEX(MO_SubSection_CFS_CFO,1,COLUMN())),1)),6)</f>
        <v>0</v>
      </c>
      <c r="BW974" s="554">
        <f ca="1">ROUND(SUM(AU815,AV815,AW815,AX815)-SUM(OFFSET(INDEX(MO_CFS_CFO_BeforeWC,1,COLUMN()),ROW(INDEX(MO_SubSection_CFS_CFO,1,COLUMN()))-ROW(INDEX(MO_CFS_CFO_BeforeWC,1,COLUMN())),0,ROW(INDEX(MO_CFS_CFO_BeforeWC,1,COLUMN()))-ROW(INDEX(MO_SubSection_CFS_CFO,1,COLUMN())),1)),6)</f>
        <v>0</v>
      </c>
      <c r="BX974" s="554">
        <f ca="1">ROUND(SUM(AY815,AZ815,BA815,BB815)-SUM(OFFSET(INDEX(MO_CFS_CFO_BeforeWC,1,COLUMN()),ROW(INDEX(MO_SubSection_CFS_CFO,1,COLUMN()))-ROW(INDEX(MO_CFS_CFO_BeforeWC,1,COLUMN())),0,ROW(INDEX(MO_CFS_CFO_BeforeWC,1,COLUMN()))-ROW(INDEX(MO_SubSection_CFS_CFO,1,COLUMN())),1)),6)</f>
        <v>0</v>
      </c>
      <c r="BY974" s="554">
        <f ca="1">ROUND(SUM(BC815,BD815,BE815,BF815)-SUM(OFFSET(INDEX(MO_CFS_CFO_BeforeWC,1,COLUMN()),ROW(INDEX(MO_SubSection_CFS_CFO,1,COLUMN()))-ROW(INDEX(MO_CFS_CFO_BeforeWC,1,COLUMN())),0,ROW(INDEX(MO_CFS_CFO_BeforeWC,1,COLUMN()))-ROW(INDEX(MO_SubSection_CFS_CFO,1,COLUMN())),1)),6)</f>
        <v>0</v>
      </c>
      <c r="BZ974" s="554"/>
      <c r="CA974" s="554"/>
      <c r="CB974" s="554"/>
      <c r="CC974" s="117"/>
    </row>
    <row r="975" spans="1:81" outlineLevel="1" x14ac:dyDescent="0.55000000000000004">
      <c r="A975" s="117" t="s">
        <v>229</v>
      </c>
      <c r="B975" s="200"/>
      <c r="C975" s="554"/>
      <c r="D975" s="554"/>
      <c r="E975" s="554"/>
      <c r="F975" s="554"/>
      <c r="G975" s="554"/>
      <c r="H975" s="554"/>
      <c r="I975" s="554"/>
      <c r="J975" s="554"/>
      <c r="K975" s="554"/>
      <c r="L975" s="554"/>
      <c r="M975" s="554"/>
      <c r="N975" s="554"/>
      <c r="O975" s="554"/>
      <c r="P975" s="554"/>
      <c r="Q975" s="554"/>
      <c r="R975" s="554"/>
      <c r="S975" s="554"/>
      <c r="T975" s="554"/>
      <c r="U975" s="554"/>
      <c r="V975" s="554"/>
      <c r="W975" s="554"/>
      <c r="X975" s="554"/>
      <c r="Y975" s="554"/>
      <c r="Z975" s="554"/>
      <c r="AA975" s="554"/>
      <c r="AB975" s="554"/>
      <c r="AC975" s="554"/>
      <c r="AD975" s="554"/>
      <c r="AE975" s="554"/>
      <c r="AF975" s="554"/>
      <c r="AG975" s="554"/>
      <c r="AH975" s="554"/>
      <c r="AI975" s="554"/>
      <c r="AJ975" s="554"/>
      <c r="AK975" s="554"/>
      <c r="AL975" s="554"/>
      <c r="AM975" s="554"/>
      <c r="AN975" s="554"/>
      <c r="AO975" s="554"/>
      <c r="AP975" s="554"/>
      <c r="AQ975" s="554"/>
      <c r="AR975" s="554"/>
      <c r="AS975" s="554"/>
      <c r="AT975" s="554"/>
      <c r="AU975" s="554"/>
      <c r="AV975" s="554"/>
      <c r="AW975" s="554"/>
      <c r="AX975" s="554"/>
      <c r="AY975" s="554"/>
      <c r="AZ975" s="554"/>
      <c r="BA975" s="554"/>
      <c r="BB975" s="554"/>
      <c r="BC975" s="554"/>
      <c r="BD975" s="554"/>
      <c r="BE975" s="554"/>
      <c r="BF975" s="554"/>
      <c r="BG975" s="554"/>
      <c r="BH975" s="554"/>
      <c r="BI975" s="554"/>
      <c r="BJ975" s="554"/>
      <c r="BK975" s="554"/>
      <c r="BL975" s="554">
        <f ca="1">ROUND(SUM(C827,D827,E827,F827)-SUM(OFFSET(INDEX(MO_CFS_CFO,1,COLUMN()),ROW(INDEX(MO_CFS_CFO_BeforeWC,1,COLUMN()))-ROW(INDEX(MO_CFS_CFO,1,COLUMN())),0,ROW(INDEX(MO_CFS_CFO,1,COLUMN()))-ROW(INDEX(MO_CFS_CFO_BeforeWC,1,COLUMN())),1)),6)</f>
        <v>0</v>
      </c>
      <c r="BM975" s="554">
        <f ca="1">ROUND(SUM(G827,H827,I827,J827)-SUM(OFFSET(INDEX(MO_CFS_CFO,1,COLUMN()),ROW(INDEX(MO_CFS_CFO_BeforeWC,1,COLUMN()))-ROW(INDEX(MO_CFS_CFO,1,COLUMN())),0,ROW(INDEX(MO_CFS_CFO,1,COLUMN()))-ROW(INDEX(MO_CFS_CFO_BeforeWC,1,COLUMN())),1)),6)</f>
        <v>0</v>
      </c>
      <c r="BN975" s="554">
        <f ca="1">ROUND(SUM(K827,L827,M827,N827)-SUM(OFFSET(INDEX(MO_CFS_CFO,1,COLUMN()),ROW(INDEX(MO_CFS_CFO_BeforeWC,1,COLUMN()))-ROW(INDEX(MO_CFS_CFO,1,COLUMN())),0,ROW(INDEX(MO_CFS_CFO,1,COLUMN()))-ROW(INDEX(MO_CFS_CFO_BeforeWC,1,COLUMN())),1)),6)</f>
        <v>0</v>
      </c>
      <c r="BO975" s="554">
        <f ca="1">ROUND(SUM(O827,P827,Q827,R827)-SUM(OFFSET(INDEX(MO_CFS_CFO,1,COLUMN()),ROW(INDEX(MO_CFS_CFO_BeforeWC,1,COLUMN()))-ROW(INDEX(MO_CFS_CFO,1,COLUMN())),0,ROW(INDEX(MO_CFS_CFO,1,COLUMN()))-ROW(INDEX(MO_CFS_CFO_BeforeWC,1,COLUMN())),1)),6)</f>
        <v>0</v>
      </c>
      <c r="BP975" s="554">
        <f ca="1">ROUND(SUM(S827,T827,U827,V827)-SUM(OFFSET(INDEX(MO_CFS_CFO,1,COLUMN()),ROW(INDEX(MO_CFS_CFO_BeforeWC,1,COLUMN()))-ROW(INDEX(MO_CFS_CFO,1,COLUMN())),0,ROW(INDEX(MO_CFS_CFO,1,COLUMN()))-ROW(INDEX(MO_CFS_CFO_BeforeWC,1,COLUMN())),1)),6)</f>
        <v>0</v>
      </c>
      <c r="BQ975" s="554">
        <f ca="1">ROUND(SUM(W827,X827,Y827,Z827)-SUM(OFFSET(INDEX(MO_CFS_CFO,1,COLUMN()),ROW(INDEX(MO_CFS_CFO_BeforeWC,1,COLUMN()))-ROW(INDEX(MO_CFS_CFO,1,COLUMN())),0,ROW(INDEX(MO_CFS_CFO,1,COLUMN()))-ROW(INDEX(MO_CFS_CFO_BeforeWC,1,COLUMN())),1)),6)</f>
        <v>0</v>
      </c>
      <c r="BR975" s="554">
        <f ca="1">ROUND(SUM(AA827,AB827,AC827,AD827)-SUM(OFFSET(INDEX(MO_CFS_CFO,1,COLUMN()),ROW(INDEX(MO_CFS_CFO_BeforeWC,1,COLUMN()))-ROW(INDEX(MO_CFS_CFO,1,COLUMN())),0,ROW(INDEX(MO_CFS_CFO,1,COLUMN()))-ROW(INDEX(MO_CFS_CFO_BeforeWC,1,COLUMN())),1)),6)</f>
        <v>0</v>
      </c>
      <c r="BS975" s="554">
        <f ca="1">ROUND(SUM(AE827,AF827,AG827,AH827)-SUM(OFFSET(INDEX(MO_CFS_CFO,1,COLUMN()),ROW(INDEX(MO_CFS_CFO_BeforeWC,1,COLUMN()))-ROW(INDEX(MO_CFS_CFO,1,COLUMN())),0,ROW(INDEX(MO_CFS_CFO,1,COLUMN()))-ROW(INDEX(MO_CFS_CFO_BeforeWC,1,COLUMN())),1)),6)</f>
        <v>0</v>
      </c>
      <c r="BT975" s="554">
        <f ca="1">ROUND(SUM(AI827,AJ827,AK827,AL827)-SUM(OFFSET(INDEX(MO_CFS_CFO,1,COLUMN()),ROW(INDEX(MO_CFS_CFO_BeforeWC,1,COLUMN()))-ROW(INDEX(MO_CFS_CFO,1,COLUMN())),0,ROW(INDEX(MO_CFS_CFO,1,COLUMN()))-ROW(INDEX(MO_CFS_CFO_BeforeWC,1,COLUMN())),1)),6)</f>
        <v>0</v>
      </c>
      <c r="BU975" s="554">
        <f ca="1">ROUND(SUM(AM827,AN827,AO827,AP827)-SUM(OFFSET(INDEX(MO_CFS_CFO,1,COLUMN()),ROW(INDEX(MO_CFS_CFO_BeforeWC,1,COLUMN()))-ROW(INDEX(MO_CFS_CFO,1,COLUMN())),0,ROW(INDEX(MO_CFS_CFO,1,COLUMN()))-ROW(INDEX(MO_CFS_CFO_BeforeWC,1,COLUMN())),1)),6)</f>
        <v>0</v>
      </c>
      <c r="BV975" s="554">
        <f ca="1">ROUND(SUM(AQ827,AR827,AS827,AT827)-SUM(OFFSET(INDEX(MO_CFS_CFO,1,COLUMN()),ROW(INDEX(MO_CFS_CFO_BeforeWC,1,COLUMN()))-ROW(INDEX(MO_CFS_CFO,1,COLUMN())),0,ROW(INDEX(MO_CFS_CFO,1,COLUMN()))-ROW(INDEX(MO_CFS_CFO_BeforeWC,1,COLUMN())),1)),6)</f>
        <v>0</v>
      </c>
      <c r="BW975" s="554">
        <f ca="1">ROUND(SUM(AU827,AV827,AW827,AX827)-SUM(OFFSET(INDEX(MO_CFS_CFO,1,COLUMN()),ROW(INDEX(MO_CFS_CFO_BeforeWC,1,COLUMN()))-ROW(INDEX(MO_CFS_CFO,1,COLUMN())),0,ROW(INDEX(MO_CFS_CFO,1,COLUMN()))-ROW(INDEX(MO_CFS_CFO_BeforeWC,1,COLUMN())),1)),6)</f>
        <v>0</v>
      </c>
      <c r="BX975" s="554">
        <f ca="1">ROUND(SUM(AY827,AZ827,BA827,BB827)-SUM(OFFSET(INDEX(MO_CFS_CFO,1,COLUMN()),ROW(INDEX(MO_CFS_CFO_BeforeWC,1,COLUMN()))-ROW(INDEX(MO_CFS_CFO,1,COLUMN())),0,ROW(INDEX(MO_CFS_CFO,1,COLUMN()))-ROW(INDEX(MO_CFS_CFO_BeforeWC,1,COLUMN())),1)),6)</f>
        <v>0</v>
      </c>
      <c r="BY975" s="554">
        <f ca="1">ROUND(SUM(BC827,BD827,BE827,BF827)-SUM(OFFSET(INDEX(MO_CFS_CFO,1,COLUMN()),ROW(INDEX(MO_CFS_CFO_BeforeWC,1,COLUMN()))-ROW(INDEX(MO_CFS_CFO,1,COLUMN())),0,ROW(INDEX(MO_CFS_CFO,1,COLUMN()))-ROW(INDEX(MO_CFS_CFO_BeforeWC,1,COLUMN())),1)),6)</f>
        <v>0</v>
      </c>
      <c r="BZ975" s="554"/>
      <c r="CA975" s="554"/>
      <c r="CB975" s="554"/>
      <c r="CC975" s="117"/>
    </row>
    <row r="976" spans="1:81" outlineLevel="1" x14ac:dyDescent="0.55000000000000004">
      <c r="A976" s="117" t="s">
        <v>230</v>
      </c>
      <c r="B976" s="200"/>
      <c r="C976" s="554"/>
      <c r="D976" s="554"/>
      <c r="E976" s="554"/>
      <c r="F976" s="554"/>
      <c r="G976" s="554"/>
      <c r="H976" s="554"/>
      <c r="I976" s="554"/>
      <c r="J976" s="554"/>
      <c r="K976" s="554"/>
      <c r="L976" s="554"/>
      <c r="M976" s="554"/>
      <c r="N976" s="554"/>
      <c r="O976" s="554"/>
      <c r="P976" s="554"/>
      <c r="Q976" s="554"/>
      <c r="R976" s="554"/>
      <c r="S976" s="554"/>
      <c r="T976" s="554"/>
      <c r="U976" s="554"/>
      <c r="V976" s="554"/>
      <c r="W976" s="554"/>
      <c r="X976" s="554"/>
      <c r="Y976" s="554"/>
      <c r="Z976" s="554"/>
      <c r="AA976" s="554"/>
      <c r="AB976" s="554"/>
      <c r="AC976" s="554"/>
      <c r="AD976" s="554"/>
      <c r="AE976" s="554"/>
      <c r="AF976" s="554"/>
      <c r="AG976" s="554"/>
      <c r="AH976" s="554"/>
      <c r="AI976" s="554"/>
      <c r="AJ976" s="554"/>
      <c r="AK976" s="554"/>
      <c r="AL976" s="554"/>
      <c r="AM976" s="554"/>
      <c r="AN976" s="554"/>
      <c r="AO976" s="554"/>
      <c r="AP976" s="554"/>
      <c r="AQ976" s="554"/>
      <c r="AR976" s="554"/>
      <c r="AS976" s="554"/>
      <c r="AT976" s="554"/>
      <c r="AU976" s="554"/>
      <c r="AV976" s="554"/>
      <c r="AW976" s="554"/>
      <c r="AX976" s="554"/>
      <c r="AY976" s="554"/>
      <c r="AZ976" s="554"/>
      <c r="BA976" s="554"/>
      <c r="BB976" s="554"/>
      <c r="BC976" s="554"/>
      <c r="BD976" s="554"/>
      <c r="BE976" s="554"/>
      <c r="BF976" s="554"/>
      <c r="BG976" s="554"/>
      <c r="BH976" s="554"/>
      <c r="BI976" s="554"/>
      <c r="BJ976" s="554"/>
      <c r="BK976" s="554"/>
      <c r="BL976" s="554">
        <f ca="1">ROUND(SUM(C841,D841,E841,F841)-SUM(OFFSET(INDEX(MO_CFS_CFI,1,COLUMN()),ROW(INDEX(MO_SubSection_CFS_CFI,1,COLUMN()))-ROW(INDEX(MO_CFS_CFI,1,COLUMN())),0,ROW(INDEX(MO_CFS_CFI,1,COLUMN()))-ROW(INDEX(MO_SubSection_CFS_CFI,1,COLUMN())),1)),6)</f>
        <v>0</v>
      </c>
      <c r="BM976" s="554">
        <f ca="1">ROUND(SUM(G841,H841,I841,J841)-SUM(OFFSET(INDEX(MO_CFS_CFI,1,COLUMN()),ROW(INDEX(MO_SubSection_CFS_CFI,1,COLUMN()))-ROW(INDEX(MO_CFS_CFI,1,COLUMN())),0,ROW(INDEX(MO_CFS_CFI,1,COLUMN()))-ROW(INDEX(MO_SubSection_CFS_CFI,1,COLUMN())),1)),6)</f>
        <v>0</v>
      </c>
      <c r="BN976" s="554">
        <f ca="1">ROUND(SUM(K841,L841,M841,N841)-SUM(OFFSET(INDEX(MO_CFS_CFI,1,COLUMN()),ROW(INDEX(MO_SubSection_CFS_CFI,1,COLUMN()))-ROW(INDEX(MO_CFS_CFI,1,COLUMN())),0,ROW(INDEX(MO_CFS_CFI,1,COLUMN()))-ROW(INDEX(MO_SubSection_CFS_CFI,1,COLUMN())),1)),6)</f>
        <v>0</v>
      </c>
      <c r="BO976" s="554">
        <f ca="1">ROUND(SUM(O841,P841,Q841,R841)-SUM(OFFSET(INDEX(MO_CFS_CFI,1,COLUMN()),ROW(INDEX(MO_SubSection_CFS_CFI,1,COLUMN()))-ROW(INDEX(MO_CFS_CFI,1,COLUMN())),0,ROW(INDEX(MO_CFS_CFI,1,COLUMN()))-ROW(INDEX(MO_SubSection_CFS_CFI,1,COLUMN())),1)),6)</f>
        <v>0</v>
      </c>
      <c r="BP976" s="554">
        <f ca="1">ROUND(SUM(S841,T841,U841,V841)-SUM(OFFSET(INDEX(MO_CFS_CFI,1,COLUMN()),ROW(INDEX(MO_SubSection_CFS_CFI,1,COLUMN()))-ROW(INDEX(MO_CFS_CFI,1,COLUMN())),0,ROW(INDEX(MO_CFS_CFI,1,COLUMN()))-ROW(INDEX(MO_SubSection_CFS_CFI,1,COLUMN())),1)),6)</f>
        <v>0</v>
      </c>
      <c r="BQ976" s="554">
        <f ca="1">ROUND(SUM(W841,X841,Y841,Z841)-SUM(OFFSET(INDEX(MO_CFS_CFI,1,COLUMN()),ROW(INDEX(MO_SubSection_CFS_CFI,1,COLUMN()))-ROW(INDEX(MO_CFS_CFI,1,COLUMN())),0,ROW(INDEX(MO_CFS_CFI,1,COLUMN()))-ROW(INDEX(MO_SubSection_CFS_CFI,1,COLUMN())),1)),6)</f>
        <v>0</v>
      </c>
      <c r="BR976" s="554">
        <f ca="1">ROUND(SUM(AA841,AB841,AC841,AD841)-SUM(OFFSET(INDEX(MO_CFS_CFI,1,COLUMN()),ROW(INDEX(MO_SubSection_CFS_CFI,1,COLUMN()))-ROW(INDEX(MO_CFS_CFI,1,COLUMN())),0,ROW(INDEX(MO_CFS_CFI,1,COLUMN()))-ROW(INDEX(MO_SubSection_CFS_CFI,1,COLUMN())),1)),6)</f>
        <v>0</v>
      </c>
      <c r="BS976" s="554">
        <f ca="1">ROUND(SUM(AE841,AF841,AG841,AH841)-SUM(OFFSET(INDEX(MO_CFS_CFI,1,COLUMN()),ROW(INDEX(MO_SubSection_CFS_CFI,1,COLUMN()))-ROW(INDEX(MO_CFS_CFI,1,COLUMN())),0,ROW(INDEX(MO_CFS_CFI,1,COLUMN()))-ROW(INDEX(MO_SubSection_CFS_CFI,1,COLUMN())),1)),6)</f>
        <v>0</v>
      </c>
      <c r="BT976" s="554">
        <f ca="1">ROUND(SUM(AI841,AJ841,AK841,AL841)-SUM(OFFSET(INDEX(MO_CFS_CFI,1,COLUMN()),ROW(INDEX(MO_SubSection_CFS_CFI,1,COLUMN()))-ROW(INDEX(MO_CFS_CFI,1,COLUMN())),0,ROW(INDEX(MO_CFS_CFI,1,COLUMN()))-ROW(INDEX(MO_SubSection_CFS_CFI,1,COLUMN())),1)),6)</f>
        <v>0</v>
      </c>
      <c r="BU976" s="554">
        <f ca="1">ROUND(SUM(AM841,AN841,AO841,AP841)-SUM(OFFSET(INDEX(MO_CFS_CFI,1,COLUMN()),ROW(INDEX(MO_SubSection_CFS_CFI,1,COLUMN()))-ROW(INDEX(MO_CFS_CFI,1,COLUMN())),0,ROW(INDEX(MO_CFS_CFI,1,COLUMN()))-ROW(INDEX(MO_SubSection_CFS_CFI,1,COLUMN())),1)),6)</f>
        <v>0</v>
      </c>
      <c r="BV976" s="554">
        <f ca="1">ROUND(SUM(AQ841,AR841,AS841,AT841)-SUM(OFFSET(INDEX(MO_CFS_CFI,1,COLUMN()),ROW(INDEX(MO_SubSection_CFS_CFI,1,COLUMN()))-ROW(INDEX(MO_CFS_CFI,1,COLUMN())),0,ROW(INDEX(MO_CFS_CFI,1,COLUMN()))-ROW(INDEX(MO_SubSection_CFS_CFI,1,COLUMN())),1)),6)</f>
        <v>0</v>
      </c>
      <c r="BW976" s="554">
        <f ca="1">ROUND(SUM(AU841,AV841,AW841,AX841)-SUM(OFFSET(INDEX(MO_CFS_CFI,1,COLUMN()),ROW(INDEX(MO_SubSection_CFS_CFI,1,COLUMN()))-ROW(INDEX(MO_CFS_CFI,1,COLUMN())),0,ROW(INDEX(MO_CFS_CFI,1,COLUMN()))-ROW(INDEX(MO_SubSection_CFS_CFI,1,COLUMN())),1)),6)</f>
        <v>0</v>
      </c>
      <c r="BX976" s="554">
        <f ca="1">ROUND(SUM(AY841,AZ841,BA841,BB841)-SUM(OFFSET(INDEX(MO_CFS_CFI,1,COLUMN()),ROW(INDEX(MO_SubSection_CFS_CFI,1,COLUMN()))-ROW(INDEX(MO_CFS_CFI,1,COLUMN())),0,ROW(INDEX(MO_CFS_CFI,1,COLUMN()))-ROW(INDEX(MO_SubSection_CFS_CFI,1,COLUMN())),1)),6)</f>
        <v>0</v>
      </c>
      <c r="BY976" s="554">
        <f ca="1">ROUND(SUM(BC841,BD841,BE841,BF841)-SUM(OFFSET(INDEX(MO_CFS_CFI,1,COLUMN()),ROW(INDEX(MO_SubSection_CFS_CFI,1,COLUMN()))-ROW(INDEX(MO_CFS_CFI,1,COLUMN())),0,ROW(INDEX(MO_CFS_CFI,1,COLUMN()))-ROW(INDEX(MO_SubSection_CFS_CFI,1,COLUMN())),1)),6)</f>
        <v>0</v>
      </c>
      <c r="BZ976" s="554"/>
      <c r="CA976" s="554"/>
      <c r="CB976" s="554"/>
      <c r="CC976" s="117"/>
    </row>
    <row r="977" spans="1:81" outlineLevel="1" x14ac:dyDescent="0.55000000000000004">
      <c r="A977" s="117" t="s">
        <v>231</v>
      </c>
      <c r="B977" s="200"/>
      <c r="C977" s="554"/>
      <c r="D977" s="554"/>
      <c r="E977" s="554"/>
      <c r="F977" s="554"/>
      <c r="G977" s="554"/>
      <c r="H977" s="554"/>
      <c r="I977" s="554"/>
      <c r="J977" s="554"/>
      <c r="K977" s="554"/>
      <c r="L977" s="554"/>
      <c r="M977" s="554"/>
      <c r="N977" s="554"/>
      <c r="O977" s="554"/>
      <c r="P977" s="554"/>
      <c r="Q977" s="554"/>
      <c r="R977" s="554"/>
      <c r="S977" s="554"/>
      <c r="T977" s="554"/>
      <c r="U977" s="554"/>
      <c r="V977" s="554"/>
      <c r="W977" s="554"/>
      <c r="X977" s="554"/>
      <c r="Y977" s="554"/>
      <c r="Z977" s="554"/>
      <c r="AA977" s="554"/>
      <c r="AB977" s="554"/>
      <c r="AC977" s="554"/>
      <c r="AD977" s="554"/>
      <c r="AE977" s="554"/>
      <c r="AF977" s="554"/>
      <c r="AG977" s="554"/>
      <c r="AH977" s="554"/>
      <c r="AI977" s="554"/>
      <c r="AJ977" s="554"/>
      <c r="AK977" s="554"/>
      <c r="AL977" s="554"/>
      <c r="AM977" s="554"/>
      <c r="AN977" s="554"/>
      <c r="AO977" s="554"/>
      <c r="AP977" s="554"/>
      <c r="AQ977" s="554"/>
      <c r="AR977" s="554"/>
      <c r="AS977" s="554"/>
      <c r="AT977" s="554"/>
      <c r="AU977" s="554"/>
      <c r="AV977" s="554"/>
      <c r="AW977" s="554"/>
      <c r="AX977" s="554"/>
      <c r="AY977" s="554"/>
      <c r="AZ977" s="554"/>
      <c r="BA977" s="554"/>
      <c r="BB977" s="554"/>
      <c r="BC977" s="554"/>
      <c r="BD977" s="554"/>
      <c r="BE977" s="554"/>
      <c r="BF977" s="554"/>
      <c r="BG977" s="554"/>
      <c r="BH977" s="554"/>
      <c r="BI977" s="554"/>
      <c r="BJ977" s="554"/>
      <c r="BK977" s="554"/>
      <c r="BL977" s="554">
        <f ca="1">ROUND(SUM(C857,D857,E857,F857)-SUM(OFFSET(INDEX(MO_CFS_CFF,1,COLUMN()),ROW(INDEX(MO_SubSection_CFS_CFF,1,COLUMN()))-ROW(INDEX(MO_CFS_CFF,1,COLUMN())),0,ROW(INDEX(MO_CFS_CFF,1,COLUMN()))-ROW(INDEX(MO_SubSection_CFS_CFF,1,COLUMN())),1)),6)</f>
        <v>0</v>
      </c>
      <c r="BM977" s="554">
        <f ca="1">ROUND(SUM(G857,H857,I857,J857)-SUM(OFFSET(INDEX(MO_CFS_CFF,1,COLUMN()),ROW(INDEX(MO_SubSection_CFS_CFF,1,COLUMN()))-ROW(INDEX(MO_CFS_CFF,1,COLUMN())),0,ROW(INDEX(MO_CFS_CFF,1,COLUMN()))-ROW(INDEX(MO_SubSection_CFS_CFF,1,COLUMN())),1)),6)</f>
        <v>0</v>
      </c>
      <c r="BN977" s="554">
        <f ca="1">ROUND(SUM(K857,L857,M857,N857)-SUM(OFFSET(INDEX(MO_CFS_CFF,1,COLUMN()),ROW(INDEX(MO_SubSection_CFS_CFF,1,COLUMN()))-ROW(INDEX(MO_CFS_CFF,1,COLUMN())),0,ROW(INDEX(MO_CFS_CFF,1,COLUMN()))-ROW(INDEX(MO_SubSection_CFS_CFF,1,COLUMN())),1)),6)</f>
        <v>0</v>
      </c>
      <c r="BO977" s="554">
        <f ca="1">ROUND(SUM(O857,P857,Q857,R857)-SUM(OFFSET(INDEX(MO_CFS_CFF,1,COLUMN()),ROW(INDEX(MO_SubSection_CFS_CFF,1,COLUMN()))-ROW(INDEX(MO_CFS_CFF,1,COLUMN())),0,ROW(INDEX(MO_CFS_CFF,1,COLUMN()))-ROW(INDEX(MO_SubSection_CFS_CFF,1,COLUMN())),1)),6)</f>
        <v>0</v>
      </c>
      <c r="BP977" s="554">
        <f ca="1">ROUND(SUM(S857,T857,U857,V857)-SUM(OFFSET(INDEX(MO_CFS_CFF,1,COLUMN()),ROW(INDEX(MO_SubSection_CFS_CFF,1,COLUMN()))-ROW(INDEX(MO_CFS_CFF,1,COLUMN())),0,ROW(INDEX(MO_CFS_CFF,1,COLUMN()))-ROW(INDEX(MO_SubSection_CFS_CFF,1,COLUMN())),1)),6)</f>
        <v>0</v>
      </c>
      <c r="BQ977" s="554">
        <f ca="1">ROUND(SUM(W857,X857,Y857,Z857)-SUM(OFFSET(INDEX(MO_CFS_CFF,1,COLUMN()),ROW(INDEX(MO_SubSection_CFS_CFF,1,COLUMN()))-ROW(INDEX(MO_CFS_CFF,1,COLUMN())),0,ROW(INDEX(MO_CFS_CFF,1,COLUMN()))-ROW(INDEX(MO_SubSection_CFS_CFF,1,COLUMN())),1)),6)</f>
        <v>0</v>
      </c>
      <c r="BR977" s="554">
        <f ca="1">ROUND(SUM(AA857,AB857,AC857,AD857)-SUM(OFFSET(INDEX(MO_CFS_CFF,1,COLUMN()),ROW(INDEX(MO_SubSection_CFS_CFF,1,COLUMN()))-ROW(INDEX(MO_CFS_CFF,1,COLUMN())),0,ROW(INDEX(MO_CFS_CFF,1,COLUMN()))-ROW(INDEX(MO_SubSection_CFS_CFF,1,COLUMN())),1)),6)</f>
        <v>0</v>
      </c>
      <c r="BS977" s="554">
        <f ca="1">ROUND(SUM(AE857,AF857,AG857,AH857)-SUM(OFFSET(INDEX(MO_CFS_CFF,1,COLUMN()),ROW(INDEX(MO_SubSection_CFS_CFF,1,COLUMN()))-ROW(INDEX(MO_CFS_CFF,1,COLUMN())),0,ROW(INDEX(MO_CFS_CFF,1,COLUMN()))-ROW(INDEX(MO_SubSection_CFS_CFF,1,COLUMN())),1)),6)</f>
        <v>0</v>
      </c>
      <c r="BT977" s="554">
        <f ca="1">ROUND(SUM(AI857,AJ857,AK857,AL857)-SUM(OFFSET(INDEX(MO_CFS_CFF,1,COLUMN()),ROW(INDEX(MO_SubSection_CFS_CFF,1,COLUMN()))-ROW(INDEX(MO_CFS_CFF,1,COLUMN())),0,ROW(INDEX(MO_CFS_CFF,1,COLUMN()))-ROW(INDEX(MO_SubSection_CFS_CFF,1,COLUMN())),1)),6)</f>
        <v>0</v>
      </c>
      <c r="BU977" s="554">
        <f ca="1">ROUND(SUM(AM857,AN857,AO857,AP857)-SUM(OFFSET(INDEX(MO_CFS_CFF,1,COLUMN()),ROW(INDEX(MO_SubSection_CFS_CFF,1,COLUMN()))-ROW(INDEX(MO_CFS_CFF,1,COLUMN())),0,ROW(INDEX(MO_CFS_CFF,1,COLUMN()))-ROW(INDEX(MO_SubSection_CFS_CFF,1,COLUMN())),1)),6)</f>
        <v>0</v>
      </c>
      <c r="BV977" s="554">
        <f ca="1">ROUND(SUM(AQ857,AR857,AS857,AT857)-SUM(OFFSET(INDEX(MO_CFS_CFF,1,COLUMN()),ROW(INDEX(MO_SubSection_CFS_CFF,1,COLUMN()))-ROW(INDEX(MO_CFS_CFF,1,COLUMN())),0,ROW(INDEX(MO_CFS_CFF,1,COLUMN()))-ROW(INDEX(MO_SubSection_CFS_CFF,1,COLUMN())),1)),6)</f>
        <v>0</v>
      </c>
      <c r="BW977" s="554">
        <f ca="1">ROUND(SUM(AU857,AV857,AW857,AX857)-SUM(OFFSET(INDEX(MO_CFS_CFF,1,COLUMN()),ROW(INDEX(MO_SubSection_CFS_CFF,1,COLUMN()))-ROW(INDEX(MO_CFS_CFF,1,COLUMN())),0,ROW(INDEX(MO_CFS_CFF,1,COLUMN()))-ROW(INDEX(MO_SubSection_CFS_CFF,1,COLUMN())),1)),6)</f>
        <v>0</v>
      </c>
      <c r="BX977" s="554">
        <f ca="1">ROUND(SUM(AY857,AZ857,BA857,BB857)-SUM(OFFSET(INDEX(MO_CFS_CFF,1,COLUMN()),ROW(INDEX(MO_SubSection_CFS_CFF,1,COLUMN()))-ROW(INDEX(MO_CFS_CFF,1,COLUMN())),0,ROW(INDEX(MO_CFS_CFF,1,COLUMN()))-ROW(INDEX(MO_SubSection_CFS_CFF,1,COLUMN())),1)),6)</f>
        <v>0</v>
      </c>
      <c r="BY977" s="554">
        <f ca="1">ROUND(SUM(BC857,BD857,BE857,BF857)-SUM(OFFSET(INDEX(MO_CFS_CFF,1,COLUMN()),ROW(INDEX(MO_SubSection_CFS_CFF,1,COLUMN()))-ROW(INDEX(MO_CFS_CFF,1,COLUMN())),0,ROW(INDEX(MO_CFS_CFF,1,COLUMN()))-ROW(INDEX(MO_SubSection_CFS_CFF,1,COLUMN())),1)),6)</f>
        <v>0</v>
      </c>
      <c r="BZ977" s="554"/>
      <c r="CA977" s="554"/>
      <c r="CB977" s="554"/>
      <c r="CC977" s="117"/>
    </row>
    <row r="978" spans="1:81" outlineLevel="1" x14ac:dyDescent="0.55000000000000004">
      <c r="A978" s="117" t="s">
        <v>232</v>
      </c>
      <c r="B978" s="200"/>
      <c r="C978" s="554"/>
      <c r="D978" s="554"/>
      <c r="E978" s="554"/>
      <c r="F978" s="554"/>
      <c r="G978" s="554"/>
      <c r="H978" s="554"/>
      <c r="I978" s="554"/>
      <c r="J978" s="554"/>
      <c r="K978" s="554"/>
      <c r="L978" s="554"/>
      <c r="M978" s="554"/>
      <c r="N978" s="554"/>
      <c r="O978" s="554"/>
      <c r="P978" s="554"/>
      <c r="Q978" s="554"/>
      <c r="R978" s="554"/>
      <c r="S978" s="554"/>
      <c r="T978" s="554"/>
      <c r="U978" s="554"/>
      <c r="V978" s="554"/>
      <c r="W978" s="554"/>
      <c r="X978" s="554"/>
      <c r="Y978" s="554"/>
      <c r="Z978" s="554"/>
      <c r="AA978" s="554"/>
      <c r="AB978" s="554"/>
      <c r="AC978" s="554"/>
      <c r="AD978" s="554"/>
      <c r="AE978" s="554"/>
      <c r="AF978" s="554"/>
      <c r="AG978" s="554"/>
      <c r="AH978" s="554"/>
      <c r="AI978" s="554"/>
      <c r="AJ978" s="554"/>
      <c r="AK978" s="554"/>
      <c r="AL978" s="554"/>
      <c r="AM978" s="554"/>
      <c r="AN978" s="554"/>
      <c r="AO978" s="554"/>
      <c r="AP978" s="554"/>
      <c r="AQ978" s="554"/>
      <c r="AR978" s="554"/>
      <c r="AS978" s="554"/>
      <c r="AT978" s="554"/>
      <c r="AU978" s="554"/>
      <c r="AV978" s="554"/>
      <c r="AW978" s="554"/>
      <c r="AX978" s="554"/>
      <c r="AY978" s="554"/>
      <c r="AZ978" s="554"/>
      <c r="BA978" s="554"/>
      <c r="BB978" s="554"/>
      <c r="BC978" s="554"/>
      <c r="BD978" s="554"/>
      <c r="BE978" s="554"/>
      <c r="BF978" s="554"/>
      <c r="BG978" s="554"/>
      <c r="BH978" s="554"/>
      <c r="BI978" s="554"/>
      <c r="BJ978" s="554"/>
      <c r="BK978" s="554"/>
      <c r="BL978" s="554">
        <f>ROUND(SUM(INDEX(MO_CFSum_Acquisition,0,COLUMN()),INDEX(MO_CFSum_Capex,0,COLUMN()),INDEX(MO_CFSum_Divestiture,0,COLUMN()),INDEX(MO_CFSum_Dividend,0,COLUMN()))-SUM(C668,D668,E668,F668,C669,D669,E669,F669,C670,D670,E670,F670)-SUM(C665,D665,E665,F665),6)</f>
        <v>0</v>
      </c>
      <c r="BM978" s="554">
        <f>ROUND(SUM(INDEX(MO_CFSum_Acquisition,0,COLUMN()),INDEX(MO_CFSum_Capex,0,COLUMN()),INDEX(MO_CFSum_Divestiture,0,COLUMN()),INDEX(MO_CFSum_Dividend,0,COLUMN()))-SUM(G668,H668,I668,J668,G669,H669,I669,J669,G670,H670,I670,J670)-SUM(G665,H665,I665,J665),6)</f>
        <v>0</v>
      </c>
      <c r="BN978" s="554">
        <f>ROUND(SUM(INDEX(MO_CFSum_Acquisition,0,COLUMN()),INDEX(MO_CFSum_Capex,0,COLUMN()),INDEX(MO_CFSum_Divestiture,0,COLUMN()),INDEX(MO_CFSum_Dividend,0,COLUMN()))-SUM(K668,L668,M668,N668,K669,L669,M669,N669,K670,L670,M670,N670)-SUM(K665,L665,M665,N665),6)</f>
        <v>0</v>
      </c>
      <c r="BO978" s="554">
        <f>ROUND(SUM(INDEX(MO_CFSum_Acquisition,0,COLUMN()),INDEX(MO_CFSum_Capex,0,COLUMN()),INDEX(MO_CFSum_Divestiture,0,COLUMN()),INDEX(MO_CFSum_Dividend,0,COLUMN()))-SUM(O668,P668,Q668,R668,O669,P669,Q669,R669,O670,P670,Q670,R670)-SUM(O665,P665,Q665,R665),6)</f>
        <v>0</v>
      </c>
      <c r="BP978" s="554">
        <f>ROUND(SUM(INDEX(MO_CFSum_Acquisition,0,COLUMN()),INDEX(MO_CFSum_Capex,0,COLUMN()),INDEX(MO_CFSum_Divestiture,0,COLUMN()),INDEX(MO_CFSum_Dividend,0,COLUMN()))-SUM(S668,T668,U668,V668,S669,T669,U669,V669,S670,T670,U670,V670)-SUM(S665,T665,U665,V665),6)</f>
        <v>0</v>
      </c>
      <c r="BQ978" s="554">
        <f>ROUND(SUM(INDEX(MO_CFSum_Acquisition,0,COLUMN()),INDEX(MO_CFSum_Capex,0,COLUMN()),INDEX(MO_CFSum_Divestiture,0,COLUMN()),INDEX(MO_CFSum_Dividend,0,COLUMN()))-SUM(W668,X668,Y668,Z668,W669,X669,Y669,Z669,W670,X670,Y670,Z670)-SUM(W665,X665,Y665,Z665),6)</f>
        <v>0</v>
      </c>
      <c r="BR978" s="554">
        <f>ROUND(SUM(INDEX(MO_CFSum_Acquisition,0,COLUMN()),INDEX(MO_CFSum_Capex,0,COLUMN()),INDEX(MO_CFSum_Divestiture,0,COLUMN()),INDEX(MO_CFSum_Dividend,0,COLUMN()))-SUM(AA668,AB668,AC668,AD668,AA669,AB669,AC669,AD669,AA670,AB670,AC670,AD670)-SUM(AA665,AB665,AC665,AD665),6)</f>
        <v>0</v>
      </c>
      <c r="BS978" s="554">
        <f>ROUND(SUM(INDEX(MO_CFSum_Acquisition,0,COLUMN()),INDEX(MO_CFSum_Capex,0,COLUMN()),INDEX(MO_CFSum_Divestiture,0,COLUMN()),INDEX(MO_CFSum_Dividend,0,COLUMN()))-SUM(AE668,AF668,AG668,AH668,AE669,AF669,AG669,AH669,AE670,AF670,AG670,AH670)-SUM(AE665,AF665,AG665,AH665),6)</f>
        <v>0</v>
      </c>
      <c r="BT978" s="554">
        <f>ROUND(SUM(INDEX(MO_CFSum_Acquisition,0,COLUMN()),INDEX(MO_CFSum_Capex,0,COLUMN()),INDEX(MO_CFSum_Divestiture,0,COLUMN()),INDEX(MO_CFSum_Dividend,0,COLUMN()))-SUM(AI668,AJ668,AK668,AL668,AI669,AJ669,AK669,AL669,AI670,AJ670,AK670,AL670)-SUM(AI665,AJ665,AK665,AL665),6)</f>
        <v>0</v>
      </c>
      <c r="BU978" s="554">
        <f>ROUND(SUM(INDEX(MO_CFSum_Acquisition,0,COLUMN()),INDEX(MO_CFSum_Capex,0,COLUMN()),INDEX(MO_CFSum_Divestiture,0,COLUMN()),INDEX(MO_CFSum_Dividend,0,COLUMN()))-SUM(AM668,AN668,AO668,AP668,AM669,AN669,AO669,AP669,AM670,AN670,AO670,AP670)-SUM(AM665,AN665,AO665,AP665),6)</f>
        <v>0</v>
      </c>
      <c r="BV978" s="554">
        <f>ROUND(SUM(INDEX(MO_CFSum_Acquisition,0,COLUMN()),INDEX(MO_CFSum_Capex,0,COLUMN()),INDEX(MO_CFSum_Divestiture,0,COLUMN()),INDEX(MO_CFSum_Dividend,0,COLUMN()))-SUM(AQ668,AR668,AS668,AT668,AQ669,AR669,AS669,AT669,AQ670,AR670,AS670,AT670)-SUM(AQ665,AR665,AS665,AT665),6)</f>
        <v>0</v>
      </c>
      <c r="BW978" s="554">
        <f>ROUND(SUM(INDEX(MO_CFSum_Acquisition,0,COLUMN()),INDEX(MO_CFSum_Capex,0,COLUMN()),INDEX(MO_CFSum_Divestiture,0,COLUMN()),INDEX(MO_CFSum_Dividend,0,COLUMN()))-SUM(AU668,AV668,AW668,AX668,AU669,AV669,AW669,AX669,AU670,AV670,AW670,AX670)-SUM(AU665,AV665,AW665,AX665),6)</f>
        <v>0</v>
      </c>
      <c r="BX978" s="554">
        <f ca="1">ROUND(SUM(INDEX(MO_CFSum_Acquisition,0,COLUMN()),INDEX(MO_CFSum_Capex,0,COLUMN()),INDEX(MO_CFSum_Divestiture,0,COLUMN()),INDEX(MO_CFSum_Dividend,0,COLUMN()))-SUM(AY668,AZ668,BA668,BB668,AY669,AZ669,BA669,BB669,AY670,AZ670,BA670,BB670)-SUM(AY665,AZ665,BA665,BB665),6)</f>
        <v>0</v>
      </c>
      <c r="BY978" s="554">
        <f ca="1">ROUND(SUM(INDEX(MO_CFSum_Acquisition,0,COLUMN()),INDEX(MO_CFSum_Capex,0,COLUMN()),INDEX(MO_CFSum_Divestiture,0,COLUMN()),INDEX(MO_CFSum_Dividend,0,COLUMN()))-SUM(BC668,BD668,BE668,BF668,BC669,BD669,BE669,BF669,BC670,BD670,BE670,BF670)-SUM(BC665,BD665,BE665,BF665),6)</f>
        <v>0</v>
      </c>
      <c r="BZ978" s="554"/>
      <c r="CA978" s="554"/>
      <c r="CB978" s="554"/>
      <c r="CC978" s="117"/>
    </row>
    <row r="979" spans="1:81" x14ac:dyDescent="0.55000000000000004">
      <c r="A979" s="600"/>
      <c r="B979" s="600"/>
      <c r="C979" s="600"/>
      <c r="D979" s="600"/>
      <c r="E979" s="600"/>
      <c r="F979" s="600"/>
      <c r="G979" s="600"/>
      <c r="H979" s="600"/>
      <c r="I979" s="600"/>
      <c r="J979" s="600"/>
      <c r="K979" s="600"/>
      <c r="L979" s="600"/>
      <c r="M979" s="600"/>
      <c r="N979" s="600"/>
      <c r="O979" s="600"/>
      <c r="P979" s="600"/>
      <c r="Q979" s="600"/>
      <c r="R979" s="600"/>
      <c r="S979" s="600"/>
      <c r="T979" s="600"/>
      <c r="U979" s="600"/>
      <c r="V979" s="600"/>
      <c r="W979" s="600"/>
      <c r="X979" s="600"/>
      <c r="Y979" s="600"/>
      <c r="Z979" s="600"/>
      <c r="AA979" s="600"/>
      <c r="AB979" s="600"/>
      <c r="AC979" s="600"/>
      <c r="AD979" s="600"/>
      <c r="AE979" s="600"/>
      <c r="AF979" s="600"/>
      <c r="AG979" s="600"/>
      <c r="AH979" s="600"/>
      <c r="AI979" s="600"/>
      <c r="AJ979" s="600"/>
      <c r="AK979" s="600"/>
      <c r="AL979" s="600"/>
      <c r="AM979" s="600"/>
      <c r="AN979" s="600"/>
      <c r="AO979" s="600"/>
      <c r="AP979" s="600"/>
      <c r="AQ979" s="600"/>
      <c r="AR979" s="600"/>
      <c r="AS979" s="600"/>
      <c r="AT979" s="600"/>
      <c r="AU979" s="600"/>
      <c r="AV979" s="600"/>
      <c r="AW979" s="600"/>
      <c r="AX979" s="600"/>
      <c r="AY979" s="600"/>
      <c r="AZ979" s="600"/>
      <c r="BA979" s="600"/>
      <c r="BB979" s="600"/>
      <c r="BC979" s="600"/>
      <c r="BD979" s="600"/>
      <c r="BE979" s="600"/>
      <c r="BF979" s="600"/>
      <c r="BG979" s="600"/>
      <c r="BH979" s="600"/>
      <c r="BI979" s="600"/>
      <c r="BJ979" s="600"/>
      <c r="BK979" s="600"/>
      <c r="BL979" s="600"/>
      <c r="BM979" s="600"/>
      <c r="BN979" s="600"/>
      <c r="BO979" s="600"/>
      <c r="BP979" s="600"/>
      <c r="BQ979" s="600"/>
      <c r="BR979" s="600"/>
      <c r="BS979" s="600"/>
      <c r="BT979" s="600"/>
      <c r="BU979" s="600"/>
      <c r="BV979" s="600"/>
      <c r="BW979" s="600"/>
      <c r="BX979" s="600"/>
      <c r="BY979" s="600"/>
      <c r="BZ979" s="600"/>
      <c r="CA979" s="600"/>
      <c r="CB979" s="600"/>
      <c r="CC979" s="358"/>
    </row>
    <row r="980" spans="1:81" x14ac:dyDescent="0.55000000000000004">
      <c r="A980" s="605" t="s">
        <v>233</v>
      </c>
      <c r="B980" s="605"/>
      <c r="C980" s="605"/>
      <c r="D980" s="605"/>
      <c r="E980" s="605"/>
      <c r="F980" s="605"/>
      <c r="G980" s="605"/>
      <c r="H980" s="605"/>
      <c r="I980" s="605"/>
      <c r="J980" s="605"/>
      <c r="K980" s="605"/>
      <c r="L980" s="605"/>
      <c r="M980" s="605"/>
      <c r="N980" s="605"/>
      <c r="O980" s="605"/>
      <c r="P980" s="605"/>
      <c r="Q980" s="605"/>
      <c r="R980" s="605"/>
      <c r="S980" s="605"/>
      <c r="T980" s="605"/>
      <c r="U980" s="605"/>
      <c r="V980" s="605"/>
      <c r="W980" s="605"/>
      <c r="X980" s="605"/>
      <c r="Y980" s="605"/>
      <c r="Z980" s="605"/>
      <c r="AA980" s="605"/>
      <c r="AB980" s="605"/>
      <c r="AC980" s="605"/>
      <c r="AD980" s="605"/>
      <c r="AE980" s="605"/>
      <c r="AF980" s="605"/>
      <c r="AG980" s="605"/>
      <c r="AH980" s="605"/>
      <c r="AI980" s="605"/>
      <c r="AJ980" s="605"/>
      <c r="AK980" s="605"/>
      <c r="AL980" s="605"/>
      <c r="AM980" s="605"/>
      <c r="AN980" s="605"/>
      <c r="AO980" s="605"/>
      <c r="AP980" s="605"/>
      <c r="AQ980" s="605"/>
      <c r="AR980" s="605"/>
      <c r="AS980" s="605"/>
      <c r="AT980" s="605"/>
      <c r="AU980" s="605"/>
      <c r="AV980" s="605"/>
      <c r="AW980" s="605"/>
      <c r="AX980" s="605"/>
      <c r="AY980" s="605"/>
      <c r="AZ980" s="605"/>
      <c r="BA980" s="605"/>
      <c r="BB980" s="605"/>
      <c r="BC980" s="605"/>
      <c r="BD980" s="605"/>
      <c r="BE980" s="605"/>
      <c r="BF980" s="605"/>
      <c r="BG980" s="605"/>
      <c r="BH980" s="605"/>
      <c r="BI980" s="605"/>
      <c r="BJ980" s="605"/>
      <c r="BK980" s="605"/>
      <c r="BL980" s="605"/>
      <c r="BM980" s="605"/>
      <c r="BN980" s="605"/>
      <c r="BO980" s="605"/>
      <c r="BP980" s="605"/>
      <c r="BQ980" s="605"/>
      <c r="BR980" s="605"/>
      <c r="BS980" s="605"/>
      <c r="BT980" s="605"/>
      <c r="BU980" s="605"/>
      <c r="BV980" s="605"/>
      <c r="BW980" s="605"/>
      <c r="BX980" s="605"/>
      <c r="BY980" s="605"/>
      <c r="BZ980" s="605"/>
      <c r="CA980" s="605"/>
      <c r="CB980" s="605"/>
      <c r="CC980" s="217"/>
    </row>
    <row r="981" spans="1:81" x14ac:dyDescent="0.55000000000000004">
      <c r="A981" s="269"/>
      <c r="B981" s="600"/>
      <c r="C981" s="600"/>
      <c r="D981" s="600"/>
      <c r="E981" s="600"/>
      <c r="F981" s="600"/>
      <c r="G981" s="600"/>
      <c r="H981" s="600"/>
      <c r="I981" s="600"/>
      <c r="J981" s="600"/>
      <c r="K981" s="600"/>
      <c r="L981" s="600"/>
      <c r="M981" s="600"/>
      <c r="N981" s="600"/>
      <c r="O981" s="600"/>
      <c r="P981" s="600"/>
      <c r="Q981" s="600"/>
      <c r="R981" s="600"/>
      <c r="S981" s="600"/>
      <c r="T981" s="600"/>
      <c r="U981" s="600"/>
      <c r="V981" s="600"/>
      <c r="W981" s="600"/>
      <c r="X981" s="600"/>
      <c r="Y981" s="600"/>
      <c r="Z981" s="600"/>
      <c r="AA981" s="600"/>
      <c r="AB981" s="600"/>
      <c r="AC981" s="600"/>
      <c r="AD981" s="600"/>
      <c r="AE981" s="600"/>
      <c r="AF981" s="600"/>
      <c r="AG981" s="600"/>
      <c r="AH981" s="600"/>
      <c r="AI981" s="600"/>
      <c r="AJ981" s="600"/>
      <c r="AK981" s="600"/>
      <c r="AL981" s="600"/>
      <c r="AM981" s="600"/>
      <c r="AN981" s="600"/>
      <c r="AO981" s="600"/>
      <c r="AP981" s="600"/>
      <c r="AQ981" s="600"/>
      <c r="AR981" s="600"/>
      <c r="AS981" s="600"/>
      <c r="AT981" s="600"/>
      <c r="AU981" s="600"/>
      <c r="AV981" s="600"/>
      <c r="AW981" s="600"/>
      <c r="AX981" s="600"/>
      <c r="AY981" s="600"/>
      <c r="AZ981" s="600"/>
      <c r="BA981" s="600"/>
      <c r="BB981" s="600"/>
      <c r="BC981" s="600"/>
      <c r="BD981" s="600"/>
      <c r="BE981" s="600"/>
      <c r="BF981" s="600"/>
      <c r="BG981" s="600"/>
      <c r="BH981" s="558"/>
      <c r="BI981" s="558"/>
      <c r="BJ981" s="600"/>
      <c r="BK981" s="600"/>
      <c r="BL981" s="600"/>
      <c r="BM981" s="600"/>
      <c r="BN981" s="600"/>
      <c r="BO981" s="600"/>
      <c r="BP981" s="600"/>
      <c r="BQ981" s="600"/>
      <c r="BR981" s="600"/>
      <c r="BS981" s="600"/>
      <c r="BT981" s="600"/>
      <c r="BU981" s="600"/>
      <c r="BV981" s="600"/>
      <c r="BW981" s="600"/>
      <c r="BX981" s="600"/>
      <c r="BY981" s="600"/>
      <c r="BZ981" s="600"/>
      <c r="CA981" s="600"/>
      <c r="CB981" s="600"/>
      <c r="CC981" s="358"/>
    </row>
    <row r="982" spans="1:81" x14ac:dyDescent="0.55000000000000004">
      <c r="A982" s="427" t="s">
        <v>234</v>
      </c>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c r="AY982" s="35"/>
      <c r="AZ982" s="35"/>
      <c r="BA982" s="35"/>
      <c r="BB982" s="35"/>
      <c r="BC982" s="35"/>
      <c r="BD982" s="35"/>
      <c r="BE982" s="35"/>
      <c r="BF982" s="35"/>
      <c r="BG982" s="35"/>
      <c r="BH982" s="581"/>
      <c r="BI982" s="581"/>
      <c r="BJ982" s="35"/>
      <c r="BK982" s="35"/>
      <c r="BL982" s="35"/>
      <c r="BM982" s="35"/>
      <c r="BN982" s="35"/>
      <c r="BO982" s="35"/>
      <c r="BP982" s="35"/>
      <c r="BQ982" s="35"/>
      <c r="BR982" s="35"/>
      <c r="BS982" s="35"/>
      <c r="BT982" s="35"/>
      <c r="BU982" s="35"/>
      <c r="BV982" s="35"/>
      <c r="BW982" s="35"/>
      <c r="BX982" s="35"/>
      <c r="BY982" s="35"/>
      <c r="BZ982" s="35"/>
      <c r="CA982" s="35"/>
      <c r="CB982" s="35"/>
      <c r="CC982" s="6"/>
    </row>
    <row r="983" spans="1:81" x14ac:dyDescent="0.55000000000000004">
      <c r="A983" s="1143" t="s">
        <v>602</v>
      </c>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7"/>
      <c r="AS983" s="37"/>
      <c r="AT983" s="37"/>
      <c r="AU983" s="37"/>
      <c r="AV983" s="37"/>
      <c r="AW983" s="37"/>
      <c r="AX983" s="37"/>
      <c r="AY983" s="37"/>
      <c r="AZ983" s="37"/>
      <c r="BA983" s="37"/>
      <c r="BB983" s="37"/>
      <c r="BC983" s="37"/>
      <c r="BD983" s="37"/>
      <c r="BE983" s="37"/>
      <c r="BF983" s="37"/>
      <c r="BG983" s="37"/>
      <c r="BH983" s="582"/>
      <c r="BI983" s="582"/>
      <c r="BJ983" s="37"/>
      <c r="BK983" s="37"/>
      <c r="BL983" s="37"/>
      <c r="BM983" s="37"/>
      <c r="BN983" s="37"/>
      <c r="BO983" s="37"/>
      <c r="BP983" s="37"/>
      <c r="BQ983" s="37"/>
      <c r="BR983" s="37"/>
      <c r="BS983" s="37"/>
      <c r="BT983" s="37"/>
      <c r="BU983" s="37"/>
      <c r="BV983" s="37"/>
      <c r="BW983" s="37"/>
      <c r="BX983" s="37"/>
      <c r="BY983" s="37"/>
      <c r="BZ983" s="37"/>
      <c r="CA983" s="37"/>
      <c r="CB983" s="37"/>
      <c r="CC983" s="6"/>
    </row>
    <row r="984" spans="1:81" x14ac:dyDescent="0.55000000000000004">
      <c r="A984" s="1144" t="s">
        <v>571</v>
      </c>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7"/>
      <c r="AS984" s="37"/>
      <c r="AT984" s="37"/>
      <c r="AU984" s="37"/>
      <c r="AV984" s="37"/>
      <c r="AW984" s="37"/>
      <c r="AX984" s="37"/>
      <c r="AY984" s="37"/>
      <c r="AZ984" s="37"/>
      <c r="BA984" s="37"/>
      <c r="BB984" s="37"/>
      <c r="BC984" s="37"/>
      <c r="BD984" s="37"/>
      <c r="BE984" s="37"/>
      <c r="BF984" s="37"/>
      <c r="BG984" s="37"/>
      <c r="BH984" s="582"/>
      <c r="BI984" s="582"/>
      <c r="BJ984" s="37"/>
      <c r="BK984" s="37"/>
      <c r="BL984" s="37"/>
      <c r="BM984" s="37"/>
      <c r="BN984" s="37"/>
      <c r="BO984" s="37"/>
      <c r="BP984" s="37"/>
      <c r="BQ984" s="37"/>
      <c r="BR984" s="37"/>
      <c r="BS984" s="37"/>
      <c r="BT984" s="37"/>
      <c r="BU984" s="37"/>
      <c r="BV984" s="37"/>
      <c r="BW984" s="37"/>
      <c r="BX984" s="37"/>
      <c r="BY984" s="37"/>
      <c r="BZ984" s="37"/>
      <c r="CA984" s="37"/>
      <c r="CB984" s="37"/>
      <c r="CC984" s="117"/>
    </row>
    <row r="985" spans="1:81" x14ac:dyDescent="0.55000000000000004">
      <c r="A985" s="1145" t="s">
        <v>572</v>
      </c>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c r="AF985" s="37"/>
      <c r="AG985" s="37"/>
      <c r="AH985" s="37"/>
      <c r="AI985" s="37"/>
      <c r="AJ985" s="37"/>
      <c r="AK985" s="37"/>
      <c r="AL985" s="37"/>
      <c r="AM985" s="37"/>
      <c r="AN985" s="37"/>
      <c r="AO985" s="37"/>
      <c r="AP985" s="37"/>
      <c r="AQ985" s="37"/>
      <c r="AR985" s="37"/>
      <c r="AS985" s="37"/>
      <c r="AT985" s="37"/>
      <c r="AU985" s="37"/>
      <c r="AV985" s="37"/>
      <c r="AW985" s="37"/>
      <c r="AX985" s="37"/>
      <c r="AY985" s="37"/>
      <c r="AZ985" s="37"/>
      <c r="BA985" s="37"/>
      <c r="BB985" s="37"/>
      <c r="BC985" s="37"/>
      <c r="BD985" s="37"/>
      <c r="BE985" s="37"/>
      <c r="BF985" s="37"/>
      <c r="BG985" s="37"/>
      <c r="BH985" s="582"/>
      <c r="BI985" s="582"/>
      <c r="BJ985" s="37"/>
      <c r="BK985" s="37"/>
      <c r="BL985" s="37"/>
      <c r="BM985" s="37"/>
      <c r="BN985" s="37"/>
      <c r="BO985" s="37"/>
      <c r="BP985" s="37"/>
      <c r="BQ985" s="37"/>
      <c r="BR985" s="37"/>
      <c r="BS985" s="37"/>
      <c r="BT985" s="37"/>
      <c r="BU985" s="37"/>
      <c r="BV985" s="37"/>
      <c r="BW985" s="37"/>
      <c r="BX985" s="37"/>
      <c r="BY985" s="37"/>
      <c r="BZ985" s="37"/>
      <c r="CA985" s="37"/>
      <c r="CB985" s="37"/>
      <c r="CC985" s="117"/>
    </row>
    <row r="986" spans="1:81" x14ac:dyDescent="0.55000000000000004">
      <c r="A986" s="1146" t="s">
        <v>573</v>
      </c>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7"/>
      <c r="AS986" s="37"/>
      <c r="AT986" s="37"/>
      <c r="AU986" s="37"/>
      <c r="AV986" s="37"/>
      <c r="AW986" s="37"/>
      <c r="AX986" s="37"/>
      <c r="AY986" s="37"/>
      <c r="AZ986" s="37"/>
      <c r="BA986" s="37"/>
      <c r="BB986" s="37"/>
      <c r="BC986" s="37"/>
      <c r="BD986" s="37"/>
      <c r="BE986" s="37"/>
      <c r="BF986" s="37"/>
      <c r="BG986" s="37"/>
      <c r="BH986" s="582"/>
      <c r="BI986" s="582"/>
      <c r="BJ986" s="37"/>
      <c r="BK986" s="37"/>
      <c r="BL986" s="37"/>
      <c r="BM986" s="37"/>
      <c r="BN986" s="37"/>
      <c r="BO986" s="37"/>
      <c r="BP986" s="37"/>
      <c r="BQ986" s="37"/>
      <c r="BR986" s="37"/>
      <c r="BS986" s="37"/>
      <c r="BT986" s="37"/>
      <c r="BU986" s="37"/>
      <c r="BV986" s="37"/>
      <c r="BW986" s="37"/>
      <c r="BX986" s="37"/>
      <c r="BY986" s="37"/>
      <c r="BZ986" s="37"/>
      <c r="CA986" s="37"/>
      <c r="CB986" s="37"/>
      <c r="CC986" s="117"/>
    </row>
    <row r="987" spans="1:81" x14ac:dyDescent="0.55000000000000004">
      <c r="A987" s="1147" t="s">
        <v>574</v>
      </c>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c r="AF987" s="37"/>
      <c r="AG987" s="37"/>
      <c r="AH987" s="37"/>
      <c r="AI987" s="37"/>
      <c r="AJ987" s="37"/>
      <c r="AK987" s="37"/>
      <c r="AL987" s="37"/>
      <c r="AM987" s="37"/>
      <c r="AN987" s="37"/>
      <c r="AO987" s="37"/>
      <c r="AP987" s="37"/>
      <c r="AQ987" s="37"/>
      <c r="AR987" s="37"/>
      <c r="AS987" s="37"/>
      <c r="AT987" s="37"/>
      <c r="AU987" s="37"/>
      <c r="AV987" s="37"/>
      <c r="AW987" s="37"/>
      <c r="AX987" s="37"/>
      <c r="AY987" s="37"/>
      <c r="AZ987" s="37"/>
      <c r="BA987" s="37"/>
      <c r="BB987" s="37"/>
      <c r="BC987" s="37"/>
      <c r="BD987" s="37"/>
      <c r="BE987" s="37"/>
      <c r="BF987" s="37"/>
      <c r="BG987" s="37"/>
      <c r="BH987" s="582"/>
      <c r="BI987" s="582"/>
      <c r="BJ987" s="37"/>
      <c r="BK987" s="37"/>
      <c r="BL987" s="37"/>
      <c r="BM987" s="37"/>
      <c r="BN987" s="37"/>
      <c r="BO987" s="37"/>
      <c r="BP987" s="37"/>
      <c r="BQ987" s="37"/>
      <c r="BR987" s="37"/>
      <c r="BS987" s="37"/>
      <c r="BT987" s="37"/>
      <c r="BU987" s="37"/>
      <c r="BV987" s="37"/>
      <c r="BW987" s="37"/>
      <c r="BX987" s="37"/>
      <c r="BY987" s="37"/>
      <c r="BZ987" s="37"/>
      <c r="CA987" s="37"/>
      <c r="CB987" s="37"/>
      <c r="CC987" s="117"/>
    </row>
    <row r="988" spans="1:81" x14ac:dyDescent="0.55000000000000004">
      <c r="A988" s="178"/>
      <c r="B988" s="202"/>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c r="AF988" s="37"/>
      <c r="AG988" s="37"/>
      <c r="AH988" s="37"/>
      <c r="AI988" s="37"/>
      <c r="AJ988" s="37"/>
      <c r="AK988" s="37"/>
      <c r="AL988" s="37"/>
      <c r="AM988" s="37"/>
      <c r="AN988" s="37"/>
      <c r="AO988" s="37"/>
      <c r="AP988" s="37"/>
      <c r="AQ988" s="37"/>
      <c r="AR988" s="37"/>
      <c r="AS988" s="37"/>
      <c r="AT988" s="37"/>
      <c r="AU988" s="37"/>
      <c r="AV988" s="37"/>
      <c r="AW988" s="37"/>
      <c r="AX988" s="37"/>
      <c r="AY988" s="37"/>
      <c r="AZ988" s="37"/>
      <c r="BA988" s="37"/>
      <c r="BB988" s="37"/>
      <c r="BC988" s="37"/>
      <c r="BD988" s="37"/>
      <c r="BE988" s="37"/>
      <c r="BF988" s="37"/>
      <c r="BG988" s="37"/>
      <c r="BH988" s="582"/>
      <c r="BI988" s="582"/>
      <c r="BJ988" s="37"/>
      <c r="BK988" s="37"/>
      <c r="BL988" s="37"/>
      <c r="BM988" s="37"/>
      <c r="BN988" s="37"/>
      <c r="BO988" s="37"/>
      <c r="BP988" s="37"/>
      <c r="BQ988" s="37"/>
      <c r="BR988" s="37"/>
      <c r="BS988" s="37"/>
      <c r="BT988" s="37"/>
      <c r="BU988" s="37"/>
      <c r="BV988" s="37"/>
      <c r="BW988" s="37"/>
      <c r="BX988" s="37"/>
      <c r="BY988" s="37"/>
      <c r="BZ988" s="37"/>
      <c r="CA988" s="37"/>
      <c r="CB988" s="37"/>
      <c r="CC988" s="117"/>
    </row>
    <row r="989" spans="1:81" x14ac:dyDescent="0.55000000000000004">
      <c r="A989" s="427" t="s">
        <v>235</v>
      </c>
      <c r="B989" s="1148"/>
      <c r="C989" s="142"/>
      <c r="D989" s="142"/>
      <c r="E989" s="142"/>
      <c r="F989" s="142"/>
      <c r="G989" s="142"/>
      <c r="H989" s="142"/>
      <c r="I989" s="142"/>
      <c r="J989" s="142"/>
      <c r="K989" s="142"/>
      <c r="L989" s="142"/>
      <c r="M989" s="142"/>
      <c r="N989" s="142"/>
      <c r="O989" s="142"/>
      <c r="P989" s="142"/>
      <c r="Q989" s="142"/>
      <c r="R989" s="142"/>
      <c r="S989" s="142"/>
      <c r="T989" s="142"/>
      <c r="U989" s="142"/>
      <c r="V989" s="142"/>
      <c r="W989" s="142"/>
      <c r="X989" s="142"/>
      <c r="Y989" s="142"/>
      <c r="Z989" s="142"/>
      <c r="AA989" s="142"/>
      <c r="AB989" s="142"/>
      <c r="AC989" s="142"/>
      <c r="AD989" s="142"/>
      <c r="AE989" s="142"/>
      <c r="AF989" s="142"/>
      <c r="AG989" s="142"/>
      <c r="AH989" s="142"/>
      <c r="AI989" s="142"/>
      <c r="AJ989" s="142"/>
      <c r="AK989" s="142"/>
      <c r="AL989" s="142"/>
      <c r="AM989" s="142"/>
      <c r="AN989" s="142"/>
      <c r="AO989" s="142"/>
      <c r="AP989" s="142"/>
      <c r="AQ989" s="142"/>
      <c r="AR989" s="142"/>
      <c r="AS989" s="142"/>
      <c r="AT989" s="142"/>
      <c r="AU989" s="142"/>
      <c r="AV989" s="142"/>
      <c r="AW989" s="142"/>
      <c r="AX989" s="142"/>
      <c r="AY989" s="142"/>
      <c r="AZ989" s="142"/>
      <c r="BA989" s="142"/>
      <c r="BB989" s="142"/>
      <c r="BC989" s="142"/>
      <c r="BD989" s="142"/>
      <c r="BE989" s="142"/>
      <c r="BF989" s="142"/>
      <c r="BG989" s="142"/>
      <c r="BH989" s="142"/>
      <c r="BI989" s="142"/>
      <c r="BJ989" s="142"/>
      <c r="BK989" s="142"/>
      <c r="BL989" s="142"/>
      <c r="BM989" s="142"/>
      <c r="BN989" s="142"/>
      <c r="BO989" s="142"/>
      <c r="BP989" s="142"/>
      <c r="BQ989" s="142"/>
      <c r="BR989" s="142"/>
      <c r="BS989" s="142"/>
      <c r="BT989" s="142"/>
      <c r="BU989" s="142"/>
      <c r="BV989" s="142"/>
      <c r="BW989" s="142"/>
      <c r="BX989" s="142"/>
      <c r="BY989" s="142"/>
      <c r="BZ989" s="142"/>
      <c r="CA989" s="142"/>
      <c r="CB989" s="142"/>
      <c r="CC989" s="122"/>
    </row>
    <row r="990" spans="1:81" x14ac:dyDescent="0.55000000000000004">
      <c r="A990" s="377" t="s">
        <v>236</v>
      </c>
      <c r="B990" s="1149">
        <v>1</v>
      </c>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c r="AF990" s="37"/>
      <c r="AG990" s="37"/>
      <c r="AH990" s="37"/>
      <c r="AI990" s="37"/>
      <c r="AJ990" s="37"/>
      <c r="AK990" s="37"/>
      <c r="AL990" s="37"/>
      <c r="AM990" s="37"/>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582"/>
      <c r="BJ990" s="37"/>
      <c r="BK990" s="37"/>
      <c r="BL990" s="37"/>
      <c r="BM990" s="37"/>
      <c r="BN990" s="37"/>
      <c r="BO990" s="37"/>
      <c r="BP990" s="37"/>
      <c r="BQ990" s="37"/>
      <c r="BR990" s="37"/>
      <c r="BS990" s="37"/>
      <c r="BT990" s="37"/>
      <c r="BU990" s="37"/>
      <c r="BV990" s="37"/>
      <c r="BW990" s="37"/>
      <c r="BX990" s="37"/>
      <c r="BY990" s="37"/>
      <c r="BZ990" s="37"/>
      <c r="CA990" s="37"/>
      <c r="CB990" s="37"/>
      <c r="CC990" s="117"/>
    </row>
    <row r="991" spans="1:81" x14ac:dyDescent="0.55000000000000004">
      <c r="A991" s="377" t="s">
        <v>237</v>
      </c>
      <c r="B991" s="1149">
        <v>2</v>
      </c>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582"/>
      <c r="BJ991" s="37"/>
      <c r="BK991" s="37"/>
      <c r="BL991" s="37"/>
      <c r="BM991" s="37"/>
      <c r="BN991" s="37"/>
      <c r="BO991" s="37"/>
      <c r="BP991" s="37"/>
      <c r="BQ991" s="37"/>
      <c r="BR991" s="37"/>
      <c r="BS991" s="37"/>
      <c r="BT991" s="37"/>
      <c r="BU991" s="37"/>
      <c r="BV991" s="37"/>
      <c r="BW991" s="37"/>
      <c r="BX991" s="37"/>
      <c r="BY991" s="37"/>
      <c r="BZ991" s="37"/>
      <c r="CA991" s="37"/>
      <c r="CB991" s="37"/>
      <c r="CC991" s="117"/>
    </row>
    <row r="992" spans="1:81" x14ac:dyDescent="0.55000000000000004">
      <c r="A992" s="377" t="s">
        <v>120</v>
      </c>
      <c r="B992" s="1149">
        <v>3</v>
      </c>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582"/>
      <c r="BJ992" s="37"/>
      <c r="BK992" s="37"/>
      <c r="BL992" s="37"/>
      <c r="BM992" s="37"/>
      <c r="BN992" s="37"/>
      <c r="BO992" s="37"/>
      <c r="BP992" s="37"/>
      <c r="BQ992" s="37"/>
      <c r="BR992" s="37"/>
      <c r="BS992" s="37"/>
      <c r="BT992" s="37"/>
      <c r="BU992" s="37"/>
      <c r="BV992" s="37"/>
      <c r="BW992" s="37"/>
      <c r="BX992" s="37"/>
      <c r="BY992" s="37"/>
      <c r="BZ992" s="37"/>
      <c r="CA992" s="37"/>
      <c r="CB992" s="37"/>
      <c r="CC992" s="117"/>
    </row>
    <row r="993" spans="1:81" x14ac:dyDescent="0.55000000000000004">
      <c r="A993" s="417" t="s">
        <v>642</v>
      </c>
      <c r="B993" s="1150">
        <v>4</v>
      </c>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c r="AF993" s="37"/>
      <c r="AG993" s="37"/>
      <c r="AH993" s="37"/>
      <c r="AI993" s="37"/>
      <c r="AJ993" s="37"/>
      <c r="AK993" s="37"/>
      <c r="AL993" s="37"/>
      <c r="AM993" s="37"/>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582"/>
      <c r="BJ993" s="37"/>
      <c r="BK993" s="37"/>
      <c r="BL993" s="37"/>
      <c r="BM993" s="37"/>
      <c r="BN993" s="37"/>
      <c r="BO993" s="37"/>
      <c r="BP993" s="37"/>
      <c r="BQ993" s="37"/>
      <c r="BR993" s="37"/>
      <c r="BS993" s="37"/>
      <c r="BT993" s="37"/>
      <c r="BU993" s="37"/>
      <c r="BV993" s="37"/>
      <c r="BW993" s="37"/>
      <c r="BX993" s="37"/>
      <c r="BY993" s="37"/>
      <c r="BZ993" s="37"/>
      <c r="CA993" s="37"/>
      <c r="CB993" s="37"/>
      <c r="CC993" s="117"/>
    </row>
    <row r="994" spans="1:81" x14ac:dyDescent="0.55000000000000004">
      <c r="A994" s="37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c r="AF994" s="37"/>
      <c r="AG994" s="37"/>
      <c r="AH994" s="37"/>
      <c r="AI994" s="37"/>
      <c r="AJ994" s="37"/>
      <c r="AK994" s="37"/>
      <c r="AL994" s="37"/>
      <c r="AM994" s="37"/>
      <c r="AN994" s="37"/>
      <c r="AO994" s="37"/>
      <c r="AP994" s="37"/>
      <c r="AQ994" s="37"/>
      <c r="AR994" s="37"/>
      <c r="AS994" s="37"/>
      <c r="AT994" s="37"/>
      <c r="AU994" s="37"/>
      <c r="AV994" s="37"/>
      <c r="AW994" s="37"/>
      <c r="AX994" s="37"/>
      <c r="AY994" s="37"/>
      <c r="AZ994" s="37"/>
      <c r="BA994" s="37"/>
      <c r="BB994" s="37"/>
      <c r="BC994" s="37"/>
      <c r="BD994" s="37"/>
      <c r="BE994" s="37"/>
      <c r="BF994" s="37"/>
      <c r="BG994" s="37"/>
      <c r="BH994" s="582"/>
      <c r="BI994" s="582"/>
      <c r="BJ994" s="37"/>
      <c r="BK994" s="37"/>
      <c r="BL994" s="37"/>
      <c r="BM994" s="37"/>
      <c r="BN994" s="37"/>
      <c r="BO994" s="37"/>
      <c r="BP994" s="37"/>
      <c r="BQ994" s="37"/>
      <c r="BR994" s="37"/>
      <c r="BS994" s="37"/>
      <c r="BT994" s="37"/>
      <c r="BU994" s="37"/>
      <c r="BV994" s="37"/>
      <c r="BW994" s="37"/>
      <c r="BX994" s="37"/>
      <c r="BY994" s="37"/>
      <c r="BZ994" s="37"/>
      <c r="CA994" s="37"/>
      <c r="CB994" s="37"/>
      <c r="CC994" s="117"/>
    </row>
    <row r="995" spans="1:81" x14ac:dyDescent="0.55000000000000004">
      <c r="A995" s="1151" t="s">
        <v>402</v>
      </c>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c r="AF995" s="37"/>
      <c r="AG995" s="37"/>
      <c r="AH995" s="37"/>
      <c r="AI995" s="37"/>
      <c r="AJ995" s="37"/>
      <c r="AK995" s="37"/>
      <c r="AL995" s="37"/>
      <c r="AM995" s="37"/>
      <c r="AN995" s="37"/>
      <c r="AO995" s="37"/>
      <c r="AP995" s="37"/>
      <c r="AQ995" s="37"/>
      <c r="AR995" s="37"/>
      <c r="AS995" s="37"/>
      <c r="AT995" s="37"/>
      <c r="AU995" s="37"/>
      <c r="AV995" s="37"/>
      <c r="AW995" s="37"/>
      <c r="AX995" s="37"/>
      <c r="AY995" s="37"/>
      <c r="AZ995" s="37"/>
      <c r="BA995" s="37"/>
      <c r="BB995" s="37"/>
      <c r="BC995" s="37"/>
      <c r="BD995" s="37"/>
      <c r="BE995" s="37"/>
      <c r="BF995" s="37"/>
      <c r="BG995" s="37"/>
      <c r="BH995" s="582"/>
      <c r="BI995" s="582"/>
      <c r="BJ995" s="37"/>
      <c r="BK995" s="37"/>
      <c r="BL995" s="37"/>
      <c r="BM995" s="37"/>
      <c r="BN995" s="37"/>
      <c r="BO995" s="37"/>
      <c r="BP995" s="37"/>
      <c r="BQ995" s="37"/>
      <c r="BR995" s="37"/>
      <c r="BS995" s="37"/>
      <c r="BT995" s="37"/>
      <c r="BU995" s="37"/>
      <c r="BV995" s="37"/>
      <c r="BW995" s="37"/>
      <c r="BX995" s="37"/>
      <c r="BY995" s="37"/>
      <c r="BZ995" s="37"/>
      <c r="CA995" s="37"/>
      <c r="CB995" s="37"/>
      <c r="CC995" s="117"/>
    </row>
    <row r="996" spans="1:81" x14ac:dyDescent="0.55000000000000004">
      <c r="A996" s="1152" t="str">
        <f>MO_RIS_REV</f>
        <v>Net Revenue</v>
      </c>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c r="AF996" s="37"/>
      <c r="AG996" s="37"/>
      <c r="AH996" s="37"/>
      <c r="AI996" s="37"/>
      <c r="AJ996" s="37"/>
      <c r="AK996" s="37"/>
      <c r="AL996" s="37"/>
      <c r="AM996" s="37"/>
      <c r="AN996" s="37"/>
      <c r="AO996" s="37"/>
      <c r="AP996" s="37"/>
      <c r="AQ996" s="37"/>
      <c r="AR996" s="37"/>
      <c r="AS996" s="37"/>
      <c r="AT996" s="37"/>
      <c r="AU996" s="37"/>
      <c r="AV996" s="37"/>
      <c r="AW996" s="37"/>
      <c r="AX996" s="37"/>
      <c r="AY996" s="37"/>
      <c r="AZ996" s="37"/>
      <c r="BA996" s="37"/>
      <c r="BB996" s="37"/>
      <c r="BC996" s="37"/>
      <c r="BD996" s="37"/>
      <c r="BE996" s="37"/>
      <c r="BF996" s="37"/>
      <c r="BG996" s="37"/>
      <c r="BH996" s="582"/>
      <c r="BI996" s="582"/>
      <c r="BJ996" s="37"/>
      <c r="BK996" s="37"/>
      <c r="BL996" s="37"/>
      <c r="BM996" s="37"/>
      <c r="BN996" s="37"/>
      <c r="BO996" s="37"/>
      <c r="BP996" s="37"/>
      <c r="BQ996" s="37"/>
      <c r="BR996" s="37"/>
      <c r="BS996" s="37"/>
      <c r="BT996" s="37"/>
      <c r="BU996" s="37"/>
      <c r="BV996" s="37"/>
      <c r="BW996" s="37"/>
      <c r="BX996" s="37"/>
      <c r="BY996" s="37"/>
      <c r="BZ996" s="37"/>
      <c r="CA996" s="37"/>
      <c r="CB996" s="37"/>
      <c r="CC996" s="117"/>
    </row>
    <row r="997" spans="1:81" x14ac:dyDescent="0.55000000000000004">
      <c r="A997" s="1152" t="str">
        <f>MO_RIS_EBITDA_Adj</f>
        <v>Adjusted EBITDA (No Adjustments)</v>
      </c>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c r="AF997" s="37"/>
      <c r="AG997" s="37"/>
      <c r="AH997" s="37"/>
      <c r="AI997" s="37"/>
      <c r="AJ997" s="37"/>
      <c r="AK997" s="37"/>
      <c r="AL997" s="37"/>
      <c r="AM997" s="37"/>
      <c r="AN997" s="37"/>
      <c r="AO997" s="37"/>
      <c r="AP997" s="37"/>
      <c r="AQ997" s="37"/>
      <c r="AR997" s="37"/>
      <c r="AS997" s="37"/>
      <c r="AT997" s="37"/>
      <c r="AU997" s="37"/>
      <c r="AV997" s="37"/>
      <c r="AW997" s="37"/>
      <c r="AX997" s="37"/>
      <c r="AY997" s="37"/>
      <c r="AZ997" s="37"/>
      <c r="BA997" s="37"/>
      <c r="BB997" s="37"/>
      <c r="BC997" s="37"/>
      <c r="BD997" s="37"/>
      <c r="BE997" s="37"/>
      <c r="BF997" s="37"/>
      <c r="BG997" s="37"/>
      <c r="BH997" s="582"/>
      <c r="BI997" s="582"/>
      <c r="BJ997" s="37"/>
      <c r="BK997" s="37"/>
      <c r="BL997" s="37"/>
      <c r="BM997" s="37"/>
      <c r="BN997" s="37"/>
      <c r="BO997" s="37"/>
      <c r="BP997" s="37"/>
      <c r="BQ997" s="37"/>
      <c r="BR997" s="37"/>
      <c r="BS997" s="37"/>
      <c r="BT997" s="37"/>
      <c r="BU997" s="37"/>
      <c r="BV997" s="37"/>
      <c r="BW997" s="37"/>
      <c r="BX997" s="37"/>
      <c r="BY997" s="37"/>
      <c r="BZ997" s="37"/>
      <c r="CA997" s="37"/>
      <c r="CB997" s="37"/>
      <c r="CC997" s="117"/>
    </row>
    <row r="998" spans="1:81" x14ac:dyDescent="0.55000000000000004">
      <c r="A998" s="1152" t="str">
        <f>MO_RIS_EBIT_Adj</f>
        <v>Adjusted EBIT (No Adjustments)</v>
      </c>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c r="AF998" s="37"/>
      <c r="AG998" s="37"/>
      <c r="AH998" s="37"/>
      <c r="AI998" s="37"/>
      <c r="AJ998" s="37"/>
      <c r="AK998" s="37"/>
      <c r="AL998" s="37"/>
      <c r="AM998" s="37"/>
      <c r="AN998" s="37"/>
      <c r="AO998" s="37"/>
      <c r="AP998" s="37"/>
      <c r="AQ998" s="37"/>
      <c r="AR998" s="37"/>
      <c r="AS998" s="37"/>
      <c r="AT998" s="37"/>
      <c r="AU998" s="37"/>
      <c r="AV998" s="37"/>
      <c r="AW998" s="37"/>
      <c r="AX998" s="37"/>
      <c r="AY998" s="37"/>
      <c r="AZ998" s="37"/>
      <c r="BA998" s="37"/>
      <c r="BB998" s="37"/>
      <c r="BC998" s="37"/>
      <c r="BD998" s="37"/>
      <c r="BE998" s="37"/>
      <c r="BF998" s="37"/>
      <c r="BG998" s="37"/>
      <c r="BH998" s="582"/>
      <c r="BI998" s="582"/>
      <c r="BJ998" s="37"/>
      <c r="BK998" s="37"/>
      <c r="BL998" s="37"/>
      <c r="BM998" s="37"/>
      <c r="BN998" s="37"/>
      <c r="BO998" s="37"/>
      <c r="BP998" s="37"/>
      <c r="BQ998" s="37"/>
      <c r="BR998" s="37"/>
      <c r="BS998" s="37"/>
      <c r="BT998" s="37"/>
      <c r="BU998" s="37"/>
      <c r="BV998" s="37"/>
      <c r="BW998" s="37"/>
      <c r="BX998" s="37"/>
      <c r="BY998" s="37"/>
      <c r="BZ998" s="37"/>
      <c r="CA998" s="37"/>
      <c r="CB998" s="37"/>
      <c r="CC998" s="117"/>
    </row>
    <row r="999" spans="1:81" x14ac:dyDescent="0.55000000000000004">
      <c r="A999" s="1152" t="str">
        <f>MO_RIS_EPS_WAD_Adj</f>
        <v>Adjusted Earnings Per Share - WAD</v>
      </c>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c r="AF999" s="37"/>
      <c r="AG999" s="37"/>
      <c r="AH999" s="37"/>
      <c r="AI999" s="37"/>
      <c r="AJ999" s="37"/>
      <c r="AK999" s="37"/>
      <c r="AL999" s="37"/>
      <c r="AM999" s="37"/>
      <c r="AN999" s="37"/>
      <c r="AO999" s="37"/>
      <c r="AP999" s="37"/>
      <c r="AQ999" s="37"/>
      <c r="AR999" s="37"/>
      <c r="AS999" s="37"/>
      <c r="AT999" s="37"/>
      <c r="AU999" s="37"/>
      <c r="AV999" s="37"/>
      <c r="AW999" s="37"/>
      <c r="AX999" s="37"/>
      <c r="AY999" s="37"/>
      <c r="AZ999" s="37"/>
      <c r="BA999" s="37"/>
      <c r="BB999" s="37"/>
      <c r="BC999" s="37"/>
      <c r="BD999" s="37"/>
      <c r="BE999" s="37"/>
      <c r="BF999" s="37"/>
      <c r="BG999" s="37"/>
      <c r="BH999" s="582"/>
      <c r="BI999" s="582"/>
      <c r="BJ999" s="37"/>
      <c r="BK999" s="37"/>
      <c r="BL999" s="37"/>
      <c r="BM999" s="37"/>
      <c r="BN999" s="37"/>
      <c r="BO999" s="37"/>
      <c r="BP999" s="37"/>
      <c r="BQ999" s="37"/>
      <c r="BR999" s="37"/>
      <c r="BS999" s="37"/>
      <c r="BT999" s="37"/>
      <c r="BU999" s="37"/>
      <c r="BV999" s="37"/>
      <c r="BW999" s="37"/>
      <c r="BX999" s="37"/>
      <c r="BY999" s="37"/>
      <c r="BZ999" s="37"/>
      <c r="CA999" s="37"/>
      <c r="CB999" s="37"/>
      <c r="CC999" s="117"/>
    </row>
    <row r="1000" spans="1:81" x14ac:dyDescent="0.55000000000000004">
      <c r="A1000" s="1152" t="str">
        <f>MO_VA_EV_ToEBITDA</f>
        <v>EV/EBITDA - EoP</v>
      </c>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c r="AF1000" s="37"/>
      <c r="AG1000" s="37"/>
      <c r="AH1000" s="37"/>
      <c r="AI1000" s="37"/>
      <c r="AJ1000" s="37"/>
      <c r="AK1000" s="37"/>
      <c r="AL1000" s="37"/>
      <c r="AM1000" s="37"/>
      <c r="AN1000" s="37"/>
      <c r="AO1000" s="37"/>
      <c r="AP1000" s="37"/>
      <c r="AQ1000" s="37"/>
      <c r="AR1000" s="37"/>
      <c r="AS1000" s="37"/>
      <c r="AT1000" s="37"/>
      <c r="AU1000" s="37"/>
      <c r="AV1000" s="37"/>
      <c r="AW1000" s="37"/>
      <c r="AX1000" s="37"/>
      <c r="AY1000" s="37"/>
      <c r="AZ1000" s="37"/>
      <c r="BA1000" s="37"/>
      <c r="BB1000" s="37"/>
      <c r="BC1000" s="37"/>
      <c r="BD1000" s="37"/>
      <c r="BE1000" s="37"/>
      <c r="BF1000" s="37"/>
      <c r="BG1000" s="37"/>
      <c r="BH1000" s="582"/>
      <c r="BI1000" s="582"/>
      <c r="BJ1000" s="37"/>
      <c r="BK1000" s="37"/>
      <c r="BL1000" s="37"/>
      <c r="BM1000" s="37"/>
      <c r="BN1000" s="37"/>
      <c r="BO1000" s="37"/>
      <c r="BP1000" s="37"/>
      <c r="BQ1000" s="37"/>
      <c r="BR1000" s="37"/>
      <c r="BS1000" s="37"/>
      <c r="BT1000" s="37"/>
      <c r="BU1000" s="37"/>
      <c r="BV1000" s="37"/>
      <c r="BW1000" s="37"/>
      <c r="BX1000" s="37"/>
      <c r="BY1000" s="37"/>
      <c r="BZ1000" s="37"/>
      <c r="CA1000" s="37"/>
      <c r="CB1000" s="37"/>
      <c r="CC1000" s="117"/>
    </row>
    <row r="1001" spans="1:81" x14ac:dyDescent="0.55000000000000004">
      <c r="A1001" s="1152" t="str">
        <f>MO_VA_P_ToE</f>
        <v>P/E - EoP</v>
      </c>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c r="AF1001" s="37"/>
      <c r="AG1001" s="37"/>
      <c r="AH1001" s="37"/>
      <c r="AI1001" s="37"/>
      <c r="AJ1001" s="37"/>
      <c r="AK1001" s="37"/>
      <c r="AL1001" s="37"/>
      <c r="AM1001" s="37"/>
      <c r="AN1001" s="37"/>
      <c r="AO1001" s="37"/>
      <c r="AP1001" s="37"/>
      <c r="AQ1001" s="37"/>
      <c r="AR1001" s="37"/>
      <c r="AS1001" s="37"/>
      <c r="AT1001" s="37"/>
      <c r="AU1001" s="37"/>
      <c r="AV1001" s="37"/>
      <c r="AW1001" s="37"/>
      <c r="AX1001" s="37"/>
      <c r="AY1001" s="37"/>
      <c r="AZ1001" s="37"/>
      <c r="BA1001" s="37"/>
      <c r="BB1001" s="37"/>
      <c r="BC1001" s="37"/>
      <c r="BD1001" s="37"/>
      <c r="BE1001" s="37"/>
      <c r="BF1001" s="37"/>
      <c r="BG1001" s="37"/>
      <c r="BH1001" s="582"/>
      <c r="BI1001" s="582"/>
      <c r="BJ1001" s="37"/>
      <c r="BK1001" s="37"/>
      <c r="BL1001" s="37"/>
      <c r="BM1001" s="37"/>
      <c r="BN1001" s="37"/>
      <c r="BO1001" s="37"/>
      <c r="BP1001" s="37"/>
      <c r="BQ1001" s="37"/>
      <c r="BR1001" s="37"/>
      <c r="BS1001" s="37"/>
      <c r="BT1001" s="37"/>
      <c r="BU1001" s="37"/>
      <c r="BV1001" s="37"/>
      <c r="BW1001" s="37"/>
      <c r="BX1001" s="37"/>
      <c r="BY1001" s="37"/>
      <c r="BZ1001" s="37"/>
      <c r="CA1001" s="37"/>
      <c r="CB1001" s="37"/>
      <c r="CC1001" s="117"/>
    </row>
    <row r="1002" spans="1:81" x14ac:dyDescent="0.55000000000000004">
      <c r="A1002" s="41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c r="AF1002" s="37"/>
      <c r="AG1002" s="37"/>
      <c r="AH1002" s="37"/>
      <c r="AI1002" s="37"/>
      <c r="AJ1002" s="37"/>
      <c r="AK1002" s="37"/>
      <c r="AL1002" s="37"/>
      <c r="AM1002" s="37"/>
      <c r="AN1002" s="37"/>
      <c r="AO1002" s="37"/>
      <c r="AP1002" s="37"/>
      <c r="AQ1002" s="37"/>
      <c r="AR1002" s="37"/>
      <c r="AS1002" s="37"/>
      <c r="AT1002" s="37"/>
      <c r="AU1002" s="37"/>
      <c r="AV1002" s="37"/>
      <c r="AW1002" s="37"/>
      <c r="AX1002" s="37"/>
      <c r="AY1002" s="37"/>
      <c r="AZ1002" s="37"/>
      <c r="BA1002" s="37"/>
      <c r="BB1002" s="37"/>
      <c r="BC1002" s="37"/>
      <c r="BD1002" s="37"/>
      <c r="BE1002" s="37"/>
      <c r="BF1002" s="37"/>
      <c r="BG1002" s="37"/>
      <c r="BH1002" s="582"/>
      <c r="BI1002" s="582"/>
      <c r="BJ1002" s="37"/>
      <c r="BK1002" s="37"/>
      <c r="BL1002" s="37"/>
      <c r="BM1002" s="37"/>
      <c r="BN1002" s="37"/>
      <c r="BO1002" s="37"/>
      <c r="BP1002" s="37"/>
      <c r="BQ1002" s="37"/>
      <c r="BR1002" s="37"/>
      <c r="BS1002" s="37"/>
      <c r="BT1002" s="37"/>
      <c r="BU1002" s="37"/>
      <c r="BV1002" s="37"/>
      <c r="BW1002" s="37"/>
      <c r="BX1002" s="37"/>
      <c r="BY1002" s="37"/>
      <c r="BZ1002" s="37"/>
      <c r="CA1002" s="37"/>
      <c r="CB1002" s="37"/>
      <c r="CC1002" s="117"/>
    </row>
    <row r="1003" spans="1:81" x14ac:dyDescent="0.55000000000000004">
      <c r="A1003" s="377"/>
      <c r="B1003" s="37"/>
      <c r="C1003" s="37"/>
      <c r="D1003" s="37"/>
      <c r="E1003" s="37"/>
      <c r="F1003" s="37"/>
      <c r="G1003" s="37"/>
      <c r="H1003" s="37"/>
      <c r="I1003" s="37"/>
      <c r="J1003" s="37"/>
      <c r="K1003" s="37"/>
      <c r="L1003" s="37"/>
      <c r="M1003" s="37"/>
      <c r="N1003" s="37"/>
      <c r="O1003" s="37"/>
      <c r="P1003" s="37"/>
      <c r="Q1003" s="37"/>
      <c r="R1003" s="37"/>
      <c r="S1003" s="37"/>
      <c r="T1003" s="37"/>
      <c r="U1003" s="37"/>
      <c r="V1003" s="37"/>
      <c r="W1003" s="37"/>
      <c r="X1003" s="37"/>
      <c r="Y1003" s="37"/>
      <c r="Z1003" s="37"/>
      <c r="AA1003" s="37"/>
      <c r="AB1003" s="37"/>
      <c r="AC1003" s="37"/>
      <c r="AD1003" s="37"/>
      <c r="AE1003" s="37"/>
      <c r="AF1003" s="37"/>
      <c r="AG1003" s="37"/>
      <c r="AH1003" s="37"/>
      <c r="AI1003" s="37"/>
      <c r="AJ1003" s="37"/>
      <c r="AK1003" s="37"/>
      <c r="AL1003" s="37"/>
      <c r="AM1003" s="37"/>
      <c r="AN1003" s="37"/>
      <c r="AO1003" s="37"/>
      <c r="AP1003" s="37"/>
      <c r="AQ1003" s="37"/>
      <c r="AR1003" s="37"/>
      <c r="AS1003" s="37"/>
      <c r="AT1003" s="37"/>
      <c r="AU1003" s="37"/>
      <c r="AV1003" s="37"/>
      <c r="AW1003" s="37"/>
      <c r="AX1003" s="37"/>
      <c r="AY1003" s="37"/>
      <c r="AZ1003" s="37"/>
      <c r="BA1003" s="37"/>
      <c r="BB1003" s="37"/>
      <c r="BC1003" s="37"/>
      <c r="BD1003" s="37"/>
      <c r="BE1003" s="37"/>
      <c r="BF1003" s="37"/>
      <c r="BG1003" s="37"/>
      <c r="BH1003" s="582"/>
      <c r="BI1003" s="582"/>
      <c r="BJ1003" s="37"/>
      <c r="BK1003" s="37"/>
      <c r="BL1003" s="37"/>
      <c r="BM1003" s="37"/>
      <c r="BN1003" s="37"/>
      <c r="BO1003" s="37"/>
      <c r="BP1003" s="37"/>
      <c r="BQ1003" s="37"/>
      <c r="BR1003" s="37"/>
      <c r="BS1003" s="37"/>
      <c r="BT1003" s="37"/>
      <c r="BU1003" s="37"/>
      <c r="BV1003" s="37"/>
      <c r="BW1003" s="37"/>
      <c r="BX1003" s="37"/>
      <c r="BY1003" s="37"/>
      <c r="BZ1003" s="37"/>
      <c r="CA1003" s="37"/>
      <c r="CB1003" s="37"/>
      <c r="CC1003" s="117"/>
    </row>
    <row r="1004" spans="1:81" x14ac:dyDescent="0.55000000000000004">
      <c r="A1004" s="420" t="s">
        <v>685</v>
      </c>
      <c r="B1004" s="37"/>
      <c r="C1004" s="37"/>
      <c r="D1004" s="37"/>
      <c r="E1004" s="37"/>
      <c r="F1004" s="37"/>
      <c r="G1004" s="37"/>
      <c r="H1004" s="37"/>
      <c r="I1004" s="37"/>
      <c r="J1004" s="37"/>
      <c r="K1004" s="37"/>
      <c r="L1004" s="37"/>
      <c r="M1004" s="37"/>
      <c r="N1004" s="37"/>
      <c r="O1004" s="37"/>
      <c r="P1004" s="37"/>
      <c r="Q1004" s="37"/>
      <c r="R1004" s="37"/>
      <c r="S1004" s="37"/>
      <c r="T1004" s="37"/>
      <c r="U1004" s="37"/>
      <c r="V1004" s="37"/>
      <c r="W1004" s="37"/>
      <c r="X1004" s="37"/>
      <c r="Y1004" s="37"/>
      <c r="Z1004" s="37"/>
      <c r="AA1004" s="37"/>
      <c r="AB1004" s="37"/>
      <c r="AC1004" s="37"/>
      <c r="AD1004" s="37"/>
      <c r="AE1004" s="37"/>
      <c r="AF1004" s="37"/>
      <c r="AG1004" s="37"/>
      <c r="AH1004" s="37"/>
      <c r="AI1004" s="37"/>
      <c r="AJ1004" s="37"/>
      <c r="AK1004" s="37"/>
      <c r="AL1004" s="37"/>
      <c r="AM1004" s="37"/>
      <c r="AN1004" s="37"/>
      <c r="AO1004" s="37"/>
      <c r="AP1004" s="37"/>
      <c r="AQ1004" s="37"/>
      <c r="AR1004" s="37"/>
      <c r="AS1004" s="37"/>
      <c r="AT1004" s="37"/>
      <c r="AU1004" s="37"/>
      <c r="AV1004" s="37"/>
      <c r="AW1004" s="37"/>
      <c r="AX1004" s="37"/>
      <c r="AY1004" s="37"/>
      <c r="AZ1004" s="37"/>
      <c r="BA1004" s="37"/>
      <c r="BB1004" s="37"/>
      <c r="BC1004" s="37"/>
      <c r="BD1004" s="37"/>
      <c r="BE1004" s="37"/>
      <c r="BF1004" s="37"/>
      <c r="BG1004" s="37"/>
      <c r="BH1004" s="582"/>
      <c r="BI1004" s="582"/>
      <c r="BJ1004" s="37"/>
      <c r="BK1004" s="37"/>
      <c r="BL1004" s="37"/>
      <c r="BM1004" s="37"/>
      <c r="BN1004" s="37"/>
      <c r="BO1004" s="37"/>
      <c r="BP1004" s="37"/>
      <c r="BQ1004" s="37"/>
      <c r="BR1004" s="37"/>
      <c r="BS1004" s="37"/>
      <c r="BT1004" s="37"/>
      <c r="BU1004" s="37"/>
      <c r="BV1004" s="37"/>
      <c r="BW1004" s="37"/>
      <c r="BX1004" s="37"/>
      <c r="BY1004" s="37"/>
      <c r="BZ1004" s="37"/>
      <c r="CA1004" s="37"/>
      <c r="CB1004" s="37"/>
      <c r="CC1004" s="117"/>
    </row>
    <row r="1005" spans="1:81" x14ac:dyDescent="0.55000000000000004">
      <c r="A1005" s="377" t="s">
        <v>494</v>
      </c>
      <c r="B1005" s="37"/>
      <c r="C1005" s="37"/>
      <c r="D1005" s="37"/>
      <c r="E1005" s="37"/>
      <c r="F1005" s="37"/>
      <c r="G1005" s="37"/>
      <c r="H1005" s="37"/>
      <c r="I1005" s="37"/>
      <c r="J1005" s="37"/>
      <c r="K1005" s="37"/>
      <c r="L1005" s="37"/>
      <c r="M1005" s="37"/>
      <c r="N1005" s="37"/>
      <c r="O1005" s="37"/>
      <c r="P1005" s="37"/>
      <c r="Q1005" s="37"/>
      <c r="R1005" s="37"/>
      <c r="S1005" s="37"/>
      <c r="T1005" s="37"/>
      <c r="U1005" s="37"/>
      <c r="V1005" s="37"/>
      <c r="W1005" s="37"/>
      <c r="X1005" s="37"/>
      <c r="Y1005" s="37"/>
      <c r="Z1005" s="37"/>
      <c r="AA1005" s="37"/>
      <c r="AB1005" s="37"/>
      <c r="AC1005" s="37"/>
      <c r="AD1005" s="37"/>
      <c r="AE1005" s="37"/>
      <c r="AF1005" s="37"/>
      <c r="AG1005" s="37"/>
      <c r="AH1005" s="37"/>
      <c r="AI1005" s="37"/>
      <c r="AJ1005" s="37"/>
      <c r="AK1005" s="37"/>
      <c r="AL1005" s="37"/>
      <c r="AM1005" s="37"/>
      <c r="AN1005" s="37"/>
      <c r="AO1005" s="37"/>
      <c r="AP1005" s="37"/>
      <c r="AQ1005" s="37"/>
      <c r="AR1005" s="37"/>
      <c r="AS1005" s="37"/>
      <c r="AT1005" s="37"/>
      <c r="AU1005" s="37"/>
      <c r="AV1005" s="37"/>
      <c r="AW1005" s="37"/>
      <c r="AX1005" s="37"/>
      <c r="AY1005" s="37"/>
      <c r="AZ1005" s="37"/>
      <c r="BA1005" s="37"/>
      <c r="BB1005" s="37"/>
      <c r="BC1005" s="37"/>
      <c r="BD1005" s="37"/>
      <c r="BE1005" s="37"/>
      <c r="BF1005" s="37"/>
      <c r="BG1005" s="37"/>
      <c r="BH1005" s="582"/>
      <c r="BI1005" s="582"/>
      <c r="BJ1005" s="37"/>
      <c r="BK1005" s="37"/>
      <c r="BL1005" s="37"/>
      <c r="BM1005" s="37"/>
      <c r="BN1005" s="37"/>
      <c r="BO1005" s="37"/>
      <c r="BP1005" s="37"/>
      <c r="BQ1005" s="37"/>
      <c r="BR1005" s="37"/>
      <c r="BS1005" s="37"/>
      <c r="BT1005" s="37"/>
      <c r="BU1005" s="37"/>
      <c r="BV1005" s="37"/>
      <c r="BW1005" s="37"/>
      <c r="BX1005" s="37"/>
      <c r="BY1005" s="37"/>
      <c r="BZ1005" s="37"/>
      <c r="CA1005" s="37"/>
      <c r="CB1005" s="37"/>
      <c r="CC1005" s="117"/>
    </row>
    <row r="1006" spans="1:81" x14ac:dyDescent="0.55000000000000004">
      <c r="A1006" s="377" t="s">
        <v>686</v>
      </c>
      <c r="B1006" s="37"/>
      <c r="C1006" s="37"/>
      <c r="D1006" s="37"/>
      <c r="E1006" s="37"/>
      <c r="F1006" s="37"/>
      <c r="G1006" s="37"/>
      <c r="H1006" s="37"/>
      <c r="I1006" s="37"/>
      <c r="J1006" s="37"/>
      <c r="K1006" s="37"/>
      <c r="L1006" s="37"/>
      <c r="M1006" s="37"/>
      <c r="N1006" s="37"/>
      <c r="O1006" s="37"/>
      <c r="P1006" s="37"/>
      <c r="Q1006" s="37"/>
      <c r="R1006" s="37"/>
      <c r="S1006" s="37"/>
      <c r="T1006" s="37"/>
      <c r="U1006" s="37"/>
      <c r="V1006" s="37"/>
      <c r="W1006" s="37"/>
      <c r="X1006" s="37"/>
      <c r="Y1006" s="37"/>
      <c r="Z1006" s="37"/>
      <c r="AA1006" s="37"/>
      <c r="AB1006" s="37"/>
      <c r="AC1006" s="37"/>
      <c r="AD1006" s="37"/>
      <c r="AE1006" s="37"/>
      <c r="AF1006" s="37"/>
      <c r="AG1006" s="37"/>
      <c r="AH1006" s="37"/>
      <c r="AI1006" s="37"/>
      <c r="AJ1006" s="37"/>
      <c r="AK1006" s="37"/>
      <c r="AL1006" s="37"/>
      <c r="AM1006" s="37"/>
      <c r="AN1006" s="37"/>
      <c r="AO1006" s="37"/>
      <c r="AP1006" s="37"/>
      <c r="AQ1006" s="37"/>
      <c r="AR1006" s="37"/>
      <c r="AS1006" s="37"/>
      <c r="AT1006" s="37"/>
      <c r="AU1006" s="37"/>
      <c r="AV1006" s="37"/>
      <c r="AW1006" s="37"/>
      <c r="AX1006" s="37"/>
      <c r="AY1006" s="37"/>
      <c r="AZ1006" s="37"/>
      <c r="BA1006" s="37"/>
      <c r="BB1006" s="37"/>
      <c r="BC1006" s="37"/>
      <c r="BD1006" s="37"/>
      <c r="BE1006" s="37"/>
      <c r="BF1006" s="37"/>
      <c r="BG1006" s="37"/>
      <c r="BH1006" s="582"/>
      <c r="BI1006" s="582"/>
      <c r="BJ1006" s="37"/>
      <c r="BK1006" s="37"/>
      <c r="BL1006" s="37"/>
      <c r="BM1006" s="37"/>
      <c r="BN1006" s="37"/>
      <c r="BO1006" s="37"/>
      <c r="BP1006" s="37"/>
      <c r="BQ1006" s="37"/>
      <c r="BR1006" s="37"/>
      <c r="BS1006" s="37"/>
      <c r="BT1006" s="37"/>
      <c r="BU1006" s="37"/>
      <c r="BV1006" s="37"/>
      <c r="BW1006" s="37"/>
      <c r="BX1006" s="37"/>
      <c r="BY1006" s="37"/>
      <c r="BZ1006" s="37"/>
      <c r="CA1006" s="37"/>
      <c r="CB1006" s="37"/>
      <c r="CC1006" s="117"/>
    </row>
    <row r="1007" spans="1:81" x14ac:dyDescent="0.55000000000000004">
      <c r="A1007" s="377" t="s">
        <v>687</v>
      </c>
      <c r="B1007" s="37"/>
      <c r="C1007" s="37"/>
      <c r="D1007" s="37"/>
      <c r="E1007" s="37"/>
      <c r="F1007" s="37"/>
      <c r="G1007" s="37"/>
      <c r="H1007" s="37"/>
      <c r="I1007" s="37"/>
      <c r="J1007" s="37"/>
      <c r="K1007" s="37"/>
      <c r="L1007" s="37"/>
      <c r="M1007" s="37"/>
      <c r="N1007" s="37"/>
      <c r="O1007" s="37"/>
      <c r="P1007" s="37"/>
      <c r="Q1007" s="37"/>
      <c r="R1007" s="37"/>
      <c r="S1007" s="37"/>
      <c r="T1007" s="37"/>
      <c r="U1007" s="37"/>
      <c r="V1007" s="37"/>
      <c r="W1007" s="37"/>
      <c r="X1007" s="37"/>
      <c r="Y1007" s="37"/>
      <c r="Z1007" s="37"/>
      <c r="AA1007" s="37"/>
      <c r="AB1007" s="37"/>
      <c r="AC1007" s="37"/>
      <c r="AD1007" s="37"/>
      <c r="AE1007" s="37"/>
      <c r="AF1007" s="37"/>
      <c r="AG1007" s="37"/>
      <c r="AH1007" s="37"/>
      <c r="AI1007" s="37"/>
      <c r="AJ1007" s="37"/>
      <c r="AK1007" s="37"/>
      <c r="AL1007" s="37"/>
      <c r="AM1007" s="37"/>
      <c r="AN1007" s="37"/>
      <c r="AO1007" s="37"/>
      <c r="AP1007" s="37"/>
      <c r="AQ1007" s="37"/>
      <c r="AR1007" s="37"/>
      <c r="AS1007" s="37"/>
      <c r="AT1007" s="37"/>
      <c r="AU1007" s="37"/>
      <c r="AV1007" s="37"/>
      <c r="AW1007" s="37"/>
      <c r="AX1007" s="37"/>
      <c r="AY1007" s="37"/>
      <c r="AZ1007" s="37"/>
      <c r="BA1007" s="37"/>
      <c r="BB1007" s="37"/>
      <c r="BC1007" s="37"/>
      <c r="BD1007" s="37"/>
      <c r="BE1007" s="37"/>
      <c r="BF1007" s="37"/>
      <c r="BG1007" s="37"/>
      <c r="BH1007" s="582"/>
      <c r="BI1007" s="582"/>
      <c r="BJ1007" s="37"/>
      <c r="BK1007" s="37"/>
      <c r="BL1007" s="37"/>
      <c r="BM1007" s="37"/>
      <c r="BN1007" s="37"/>
      <c r="BO1007" s="37"/>
      <c r="BP1007" s="37"/>
      <c r="BQ1007" s="37"/>
      <c r="BR1007" s="37"/>
      <c r="BS1007" s="37"/>
      <c r="BT1007" s="37"/>
      <c r="BU1007" s="37"/>
      <c r="BV1007" s="37"/>
      <c r="BW1007" s="37"/>
      <c r="BX1007" s="37"/>
      <c r="BY1007" s="37"/>
      <c r="BZ1007" s="37"/>
      <c r="CA1007" s="37"/>
      <c r="CB1007" s="37"/>
      <c r="CC1007" s="117"/>
    </row>
    <row r="1008" spans="1:81" x14ac:dyDescent="0.55000000000000004">
      <c r="A1008" s="377" t="s">
        <v>688</v>
      </c>
      <c r="B1008" s="37"/>
      <c r="C1008" s="37"/>
      <c r="D1008" s="37"/>
      <c r="E1008" s="37"/>
      <c r="F1008" s="37"/>
      <c r="G1008" s="37"/>
      <c r="H1008" s="37"/>
      <c r="I1008" s="37"/>
      <c r="J1008" s="37"/>
      <c r="K1008" s="37"/>
      <c r="L1008" s="37"/>
      <c r="M1008" s="37"/>
      <c r="N1008" s="37"/>
      <c r="O1008" s="37"/>
      <c r="P1008" s="37"/>
      <c r="Q1008" s="37"/>
      <c r="R1008" s="37"/>
      <c r="S1008" s="37"/>
      <c r="T1008" s="37"/>
      <c r="U1008" s="37"/>
      <c r="V1008" s="37"/>
      <c r="W1008" s="37"/>
      <c r="X1008" s="37"/>
      <c r="Y1008" s="37"/>
      <c r="Z1008" s="37"/>
      <c r="AA1008" s="37"/>
      <c r="AB1008" s="37"/>
      <c r="AC1008" s="37"/>
      <c r="AD1008" s="37"/>
      <c r="AE1008" s="37"/>
      <c r="AF1008" s="37"/>
      <c r="AG1008" s="37"/>
      <c r="AH1008" s="37"/>
      <c r="AI1008" s="37"/>
      <c r="AJ1008" s="37"/>
      <c r="AK1008" s="37"/>
      <c r="AL1008" s="37"/>
      <c r="AM1008" s="37"/>
      <c r="AN1008" s="37"/>
      <c r="AO1008" s="37"/>
      <c r="AP1008" s="37"/>
      <c r="AQ1008" s="37"/>
      <c r="AR1008" s="37"/>
      <c r="AS1008" s="37"/>
      <c r="AT1008" s="37"/>
      <c r="AU1008" s="37"/>
      <c r="AV1008" s="37"/>
      <c r="AW1008" s="37"/>
      <c r="AX1008" s="37"/>
      <c r="AY1008" s="37"/>
      <c r="AZ1008" s="37"/>
      <c r="BA1008" s="37"/>
      <c r="BB1008" s="37"/>
      <c r="BC1008" s="37"/>
      <c r="BD1008" s="37"/>
      <c r="BE1008" s="37"/>
      <c r="BF1008" s="37"/>
      <c r="BG1008" s="37"/>
      <c r="BH1008" s="582"/>
      <c r="BI1008" s="582"/>
      <c r="BJ1008" s="37"/>
      <c r="BK1008" s="37"/>
      <c r="BL1008" s="37"/>
      <c r="BM1008" s="37"/>
      <c r="BN1008" s="37"/>
      <c r="BO1008" s="37"/>
      <c r="BP1008" s="37"/>
      <c r="BQ1008" s="37"/>
      <c r="BR1008" s="37"/>
      <c r="BS1008" s="37"/>
      <c r="BT1008" s="37"/>
      <c r="BU1008" s="37"/>
      <c r="BV1008" s="37"/>
      <c r="BW1008" s="37"/>
      <c r="BX1008" s="37"/>
      <c r="BY1008" s="37"/>
      <c r="BZ1008" s="37"/>
      <c r="CA1008" s="37"/>
      <c r="CB1008" s="37"/>
      <c r="CC1008" s="117"/>
    </row>
    <row r="1009" spans="1:81" x14ac:dyDescent="0.55000000000000004">
      <c r="A1009" s="377" t="s">
        <v>689</v>
      </c>
      <c r="B1009" s="37"/>
      <c r="C1009" s="37"/>
      <c r="D1009" s="37"/>
      <c r="E1009" s="37"/>
      <c r="F1009" s="37"/>
      <c r="G1009" s="37"/>
      <c r="H1009" s="37"/>
      <c r="I1009" s="37"/>
      <c r="J1009" s="37"/>
      <c r="K1009" s="37"/>
      <c r="L1009" s="37"/>
      <c r="M1009" s="37"/>
      <c r="N1009" s="37"/>
      <c r="O1009" s="37"/>
      <c r="P1009" s="37"/>
      <c r="Q1009" s="37"/>
      <c r="R1009" s="37"/>
      <c r="S1009" s="37"/>
      <c r="T1009" s="37"/>
      <c r="U1009" s="37"/>
      <c r="V1009" s="37"/>
      <c r="W1009" s="37"/>
      <c r="X1009" s="37"/>
      <c r="Y1009" s="37"/>
      <c r="Z1009" s="37"/>
      <c r="AA1009" s="37"/>
      <c r="AB1009" s="37"/>
      <c r="AC1009" s="37"/>
      <c r="AD1009" s="37"/>
      <c r="AE1009" s="37"/>
      <c r="AF1009" s="37"/>
      <c r="AG1009" s="37"/>
      <c r="AH1009" s="37"/>
      <c r="AI1009" s="37"/>
      <c r="AJ1009" s="37"/>
      <c r="AK1009" s="37"/>
      <c r="AL1009" s="37"/>
      <c r="AM1009" s="37"/>
      <c r="AN1009" s="37"/>
      <c r="AO1009" s="37"/>
      <c r="AP1009" s="37"/>
      <c r="AQ1009" s="37"/>
      <c r="AR1009" s="37"/>
      <c r="AS1009" s="37"/>
      <c r="AT1009" s="37"/>
      <c r="AU1009" s="37"/>
      <c r="AV1009" s="37"/>
      <c r="AW1009" s="37"/>
      <c r="AX1009" s="37"/>
      <c r="AY1009" s="37"/>
      <c r="AZ1009" s="37"/>
      <c r="BA1009" s="37"/>
      <c r="BB1009" s="37"/>
      <c r="BC1009" s="37"/>
      <c r="BD1009" s="37"/>
      <c r="BE1009" s="37"/>
      <c r="BF1009" s="37"/>
      <c r="BG1009" s="37"/>
      <c r="BH1009" s="582"/>
      <c r="BI1009" s="582"/>
      <c r="BJ1009" s="37"/>
      <c r="BK1009" s="37"/>
      <c r="BL1009" s="37"/>
      <c r="BM1009" s="37"/>
      <c r="BN1009" s="37"/>
      <c r="BO1009" s="37"/>
      <c r="BP1009" s="37"/>
      <c r="BQ1009" s="37"/>
      <c r="BR1009" s="37"/>
      <c r="BS1009" s="37"/>
      <c r="BT1009" s="37"/>
      <c r="BU1009" s="37"/>
      <c r="BV1009" s="37"/>
      <c r="BW1009" s="37"/>
      <c r="BX1009" s="37"/>
      <c r="BY1009" s="37"/>
      <c r="BZ1009" s="37"/>
      <c r="CA1009" s="37"/>
      <c r="CB1009" s="37"/>
      <c r="CC1009" s="117"/>
    </row>
    <row r="1010" spans="1:81" x14ac:dyDescent="0.55000000000000004">
      <c r="A1010" s="377" t="s">
        <v>690</v>
      </c>
      <c r="B1010" s="37"/>
      <c r="C1010" s="37"/>
      <c r="D1010" s="37"/>
      <c r="E1010" s="37"/>
      <c r="F1010" s="37"/>
      <c r="G1010" s="37"/>
      <c r="H1010" s="37"/>
      <c r="I1010" s="37"/>
      <c r="J1010" s="37"/>
      <c r="K1010" s="37"/>
      <c r="L1010" s="37"/>
      <c r="M1010" s="37"/>
      <c r="N1010" s="37"/>
      <c r="O1010" s="37"/>
      <c r="P1010" s="37"/>
      <c r="Q1010" s="37"/>
      <c r="R1010" s="37"/>
      <c r="S1010" s="37"/>
      <c r="T1010" s="37"/>
      <c r="U1010" s="37"/>
      <c r="V1010" s="37"/>
      <c r="W1010" s="37"/>
      <c r="X1010" s="37"/>
      <c r="Y1010" s="37"/>
      <c r="Z1010" s="37"/>
      <c r="AA1010" s="37"/>
      <c r="AB1010" s="37"/>
      <c r="AC1010" s="37"/>
      <c r="AD1010" s="37"/>
      <c r="AE1010" s="37"/>
      <c r="AF1010" s="37"/>
      <c r="AG1010" s="37"/>
      <c r="AH1010" s="37"/>
      <c r="AI1010" s="37"/>
      <c r="AJ1010" s="37"/>
      <c r="AK1010" s="37"/>
      <c r="AL1010" s="37"/>
      <c r="AM1010" s="37"/>
      <c r="AN1010" s="37"/>
      <c r="AO1010" s="37"/>
      <c r="AP1010" s="37"/>
      <c r="AQ1010" s="37"/>
      <c r="AR1010" s="37"/>
      <c r="AS1010" s="37"/>
      <c r="AT1010" s="37"/>
      <c r="AU1010" s="37"/>
      <c r="AV1010" s="37"/>
      <c r="AW1010" s="37"/>
      <c r="AX1010" s="37"/>
      <c r="AY1010" s="37"/>
      <c r="AZ1010" s="37"/>
      <c r="BA1010" s="37"/>
      <c r="BB1010" s="37"/>
      <c r="BC1010" s="37"/>
      <c r="BD1010" s="37"/>
      <c r="BE1010" s="37"/>
      <c r="BF1010" s="37"/>
      <c r="BG1010" s="37"/>
      <c r="BH1010" s="582"/>
      <c r="BI1010" s="582"/>
      <c r="BJ1010" s="37"/>
      <c r="BK1010" s="37"/>
      <c r="BL1010" s="37"/>
      <c r="BM1010" s="37"/>
      <c r="BN1010" s="37"/>
      <c r="BO1010" s="37"/>
      <c r="BP1010" s="37"/>
      <c r="BQ1010" s="37"/>
      <c r="BR1010" s="37"/>
      <c r="BS1010" s="37"/>
      <c r="BT1010" s="37"/>
      <c r="BU1010" s="37"/>
      <c r="BV1010" s="37"/>
      <c r="BW1010" s="37"/>
      <c r="BX1010" s="37"/>
      <c r="BY1010" s="37"/>
      <c r="BZ1010" s="37"/>
      <c r="CA1010" s="37"/>
      <c r="CB1010" s="37"/>
      <c r="CC1010" s="117"/>
    </row>
    <row r="1011" spans="1:81" x14ac:dyDescent="0.55000000000000004">
      <c r="A1011" s="377" t="s">
        <v>862</v>
      </c>
      <c r="B1011" s="37"/>
      <c r="C1011" s="37"/>
      <c r="D1011" s="37"/>
      <c r="E1011" s="37"/>
      <c r="F1011" s="37"/>
      <c r="G1011" s="37"/>
      <c r="H1011" s="37"/>
      <c r="I1011" s="37"/>
      <c r="J1011" s="37"/>
      <c r="K1011" s="37"/>
      <c r="L1011" s="37"/>
      <c r="M1011" s="37"/>
      <c r="N1011" s="37"/>
      <c r="O1011" s="37"/>
      <c r="P1011" s="37"/>
      <c r="Q1011" s="37"/>
      <c r="R1011" s="37"/>
      <c r="S1011" s="37"/>
      <c r="T1011" s="37"/>
      <c r="U1011" s="37"/>
      <c r="V1011" s="37"/>
      <c r="W1011" s="37"/>
      <c r="X1011" s="37"/>
      <c r="Y1011" s="37"/>
      <c r="Z1011" s="37"/>
      <c r="AA1011" s="37"/>
      <c r="AB1011" s="37"/>
      <c r="AC1011" s="37"/>
      <c r="AD1011" s="37"/>
      <c r="AE1011" s="37"/>
      <c r="AF1011" s="37"/>
      <c r="AG1011" s="37"/>
      <c r="AH1011" s="37"/>
      <c r="AI1011" s="37"/>
      <c r="AJ1011" s="37"/>
      <c r="AK1011" s="37"/>
      <c r="AL1011" s="37"/>
      <c r="AM1011" s="37"/>
      <c r="AN1011" s="37"/>
      <c r="AO1011" s="37"/>
      <c r="AP1011" s="37"/>
      <c r="AQ1011" s="37"/>
      <c r="AR1011" s="37"/>
      <c r="AS1011" s="37"/>
      <c r="AT1011" s="37"/>
      <c r="AU1011" s="37"/>
      <c r="AV1011" s="37"/>
      <c r="AW1011" s="37"/>
      <c r="AX1011" s="37"/>
      <c r="AY1011" s="37"/>
      <c r="AZ1011" s="37"/>
      <c r="BA1011" s="37"/>
      <c r="BB1011" s="37"/>
      <c r="BC1011" s="37"/>
      <c r="BD1011" s="37"/>
      <c r="BE1011" s="37"/>
      <c r="BF1011" s="37"/>
      <c r="BG1011" s="37"/>
      <c r="BH1011" s="582"/>
      <c r="BI1011" s="582"/>
      <c r="BJ1011" s="37"/>
      <c r="BK1011" s="37"/>
      <c r="BL1011" s="37"/>
      <c r="BM1011" s="37"/>
      <c r="BN1011" s="37"/>
      <c r="BO1011" s="37"/>
      <c r="BP1011" s="37"/>
      <c r="BQ1011" s="37"/>
      <c r="BR1011" s="37"/>
      <c r="BS1011" s="37"/>
      <c r="BT1011" s="37"/>
      <c r="BU1011" s="37"/>
      <c r="BV1011" s="37"/>
      <c r="BW1011" s="37"/>
      <c r="BX1011" s="37"/>
      <c r="BY1011" s="37"/>
      <c r="BZ1011" s="37"/>
      <c r="CA1011" s="37"/>
      <c r="CB1011" s="37"/>
      <c r="CC1011" s="117"/>
    </row>
    <row r="1012" spans="1:81" x14ac:dyDescent="0.55000000000000004">
      <c r="A1012" s="377" t="s">
        <v>863</v>
      </c>
      <c r="B1012" s="37"/>
      <c r="C1012" s="37"/>
      <c r="D1012" s="37"/>
      <c r="E1012" s="37"/>
      <c r="F1012" s="37"/>
      <c r="G1012" s="37"/>
      <c r="H1012" s="37"/>
      <c r="I1012" s="37"/>
      <c r="J1012" s="37"/>
      <c r="K1012" s="37"/>
      <c r="L1012" s="37"/>
      <c r="M1012" s="37"/>
      <c r="N1012" s="37"/>
      <c r="O1012" s="37"/>
      <c r="P1012" s="37"/>
      <c r="Q1012" s="37"/>
      <c r="R1012" s="37"/>
      <c r="S1012" s="37"/>
      <c r="T1012" s="37"/>
      <c r="U1012" s="37"/>
      <c r="V1012" s="37"/>
      <c r="W1012" s="37"/>
      <c r="X1012" s="37"/>
      <c r="Y1012" s="37"/>
      <c r="Z1012" s="37"/>
      <c r="AA1012" s="37"/>
      <c r="AB1012" s="37"/>
      <c r="AC1012" s="37"/>
      <c r="AD1012" s="37"/>
      <c r="AE1012" s="37"/>
      <c r="AF1012" s="37"/>
      <c r="AG1012" s="37"/>
      <c r="AH1012" s="37"/>
      <c r="AI1012" s="37"/>
      <c r="AJ1012" s="37"/>
      <c r="AK1012" s="37"/>
      <c r="AL1012" s="37"/>
      <c r="AM1012" s="37"/>
      <c r="AN1012" s="37"/>
      <c r="AO1012" s="37"/>
      <c r="AP1012" s="37"/>
      <c r="AQ1012" s="37"/>
      <c r="AR1012" s="37"/>
      <c r="AS1012" s="37"/>
      <c r="AT1012" s="37"/>
      <c r="AU1012" s="37"/>
      <c r="AV1012" s="37"/>
      <c r="AW1012" s="37"/>
      <c r="AX1012" s="37"/>
      <c r="AY1012" s="37"/>
      <c r="AZ1012" s="37"/>
      <c r="BA1012" s="37"/>
      <c r="BB1012" s="37"/>
      <c r="BC1012" s="37"/>
      <c r="BD1012" s="37"/>
      <c r="BE1012" s="37"/>
      <c r="BF1012" s="37"/>
      <c r="BG1012" s="37"/>
      <c r="BH1012" s="582"/>
      <c r="BI1012" s="582"/>
      <c r="BJ1012" s="37"/>
      <c r="BK1012" s="37"/>
      <c r="BL1012" s="37"/>
      <c r="BM1012" s="37"/>
      <c r="BN1012" s="37"/>
      <c r="BO1012" s="37"/>
      <c r="BP1012" s="37"/>
      <c r="BQ1012" s="37"/>
      <c r="BR1012" s="37"/>
      <c r="BS1012" s="37"/>
      <c r="BT1012" s="37"/>
      <c r="BU1012" s="37"/>
      <c r="BV1012" s="37"/>
      <c r="BW1012" s="37"/>
      <c r="BX1012" s="37"/>
      <c r="BY1012" s="37"/>
      <c r="BZ1012" s="37"/>
      <c r="CA1012" s="37"/>
      <c r="CB1012" s="37"/>
      <c r="CC1012" s="117"/>
    </row>
    <row r="1013" spans="1:81" x14ac:dyDescent="0.55000000000000004">
      <c r="A1013" s="377" t="s">
        <v>864</v>
      </c>
      <c r="B1013" s="37"/>
      <c r="C1013" s="37"/>
      <c r="D1013" s="37"/>
      <c r="E1013" s="37"/>
      <c r="F1013" s="37"/>
      <c r="G1013" s="37"/>
      <c r="H1013" s="37"/>
      <c r="I1013" s="37"/>
      <c r="J1013" s="37"/>
      <c r="K1013" s="37"/>
      <c r="L1013" s="37"/>
      <c r="M1013" s="37"/>
      <c r="N1013" s="37"/>
      <c r="O1013" s="37"/>
      <c r="P1013" s="37"/>
      <c r="Q1013" s="37"/>
      <c r="R1013" s="37"/>
      <c r="S1013" s="37"/>
      <c r="T1013" s="37"/>
      <c r="U1013" s="37"/>
      <c r="V1013" s="37"/>
      <c r="W1013" s="37"/>
      <c r="X1013" s="37"/>
      <c r="Y1013" s="37"/>
      <c r="Z1013" s="37"/>
      <c r="AA1013" s="37"/>
      <c r="AB1013" s="37"/>
      <c r="AC1013" s="37"/>
      <c r="AD1013" s="37"/>
      <c r="AE1013" s="37"/>
      <c r="AF1013" s="37"/>
      <c r="AG1013" s="37"/>
      <c r="AH1013" s="37"/>
      <c r="AI1013" s="37"/>
      <c r="AJ1013" s="37"/>
      <c r="AK1013" s="37"/>
      <c r="AL1013" s="37"/>
      <c r="AM1013" s="37"/>
      <c r="AN1013" s="37"/>
      <c r="AO1013" s="37"/>
      <c r="AP1013" s="37"/>
      <c r="AQ1013" s="37"/>
      <c r="AR1013" s="37"/>
      <c r="AS1013" s="37"/>
      <c r="AT1013" s="37"/>
      <c r="AU1013" s="37"/>
      <c r="AV1013" s="37"/>
      <c r="AW1013" s="37"/>
      <c r="AX1013" s="37"/>
      <c r="AY1013" s="37"/>
      <c r="AZ1013" s="37"/>
      <c r="BA1013" s="37"/>
      <c r="BB1013" s="37"/>
      <c r="BC1013" s="37"/>
      <c r="BD1013" s="37"/>
      <c r="BE1013" s="37"/>
      <c r="BF1013" s="37"/>
      <c r="BG1013" s="37"/>
      <c r="BH1013" s="582"/>
      <c r="BI1013" s="582"/>
      <c r="BJ1013" s="37"/>
      <c r="BK1013" s="37"/>
      <c r="BL1013" s="37"/>
      <c r="BM1013" s="37"/>
      <c r="BN1013" s="37"/>
      <c r="BO1013" s="37"/>
      <c r="BP1013" s="37"/>
      <c r="BQ1013" s="37"/>
      <c r="BR1013" s="37"/>
      <c r="BS1013" s="37"/>
      <c r="BT1013" s="37"/>
      <c r="BU1013" s="37"/>
      <c r="BV1013" s="37"/>
      <c r="BW1013" s="37"/>
      <c r="BX1013" s="37"/>
      <c r="BY1013" s="37"/>
      <c r="BZ1013" s="37"/>
      <c r="CA1013" s="37"/>
      <c r="CB1013" s="37"/>
      <c r="CC1013" s="117"/>
    </row>
    <row r="1014" spans="1:81" x14ac:dyDescent="0.55000000000000004">
      <c r="A1014" s="377" t="s">
        <v>865</v>
      </c>
      <c r="B1014" s="37"/>
      <c r="C1014" s="37"/>
      <c r="D1014" s="37"/>
      <c r="E1014" s="37"/>
      <c r="F1014" s="37"/>
      <c r="G1014" s="37"/>
      <c r="H1014" s="37"/>
      <c r="I1014" s="37"/>
      <c r="J1014" s="37"/>
      <c r="K1014" s="37"/>
      <c r="L1014" s="37"/>
      <c r="M1014" s="37"/>
      <c r="N1014" s="37"/>
      <c r="O1014" s="37"/>
      <c r="P1014" s="37"/>
      <c r="Q1014" s="37"/>
      <c r="R1014" s="37"/>
      <c r="S1014" s="37"/>
      <c r="T1014" s="37"/>
      <c r="U1014" s="37"/>
      <c r="V1014" s="37"/>
      <c r="W1014" s="37"/>
      <c r="X1014" s="37"/>
      <c r="Y1014" s="37"/>
      <c r="Z1014" s="37"/>
      <c r="AA1014" s="37"/>
      <c r="AB1014" s="37"/>
      <c r="AC1014" s="37"/>
      <c r="AD1014" s="37"/>
      <c r="AE1014" s="37"/>
      <c r="AF1014" s="37"/>
      <c r="AG1014" s="37"/>
      <c r="AH1014" s="37"/>
      <c r="AI1014" s="37"/>
      <c r="AJ1014" s="37"/>
      <c r="AK1014" s="37"/>
      <c r="AL1014" s="37"/>
      <c r="AM1014" s="37"/>
      <c r="AN1014" s="37"/>
      <c r="AO1014" s="37"/>
      <c r="AP1014" s="37"/>
      <c r="AQ1014" s="37"/>
      <c r="AR1014" s="37"/>
      <c r="AS1014" s="37"/>
      <c r="AT1014" s="37"/>
      <c r="AU1014" s="37"/>
      <c r="AV1014" s="37"/>
      <c r="AW1014" s="37"/>
      <c r="AX1014" s="37"/>
      <c r="AY1014" s="37"/>
      <c r="AZ1014" s="37"/>
      <c r="BA1014" s="37"/>
      <c r="BB1014" s="37"/>
      <c r="BC1014" s="37"/>
      <c r="BD1014" s="37"/>
      <c r="BE1014" s="37"/>
      <c r="BF1014" s="37"/>
      <c r="BG1014" s="37"/>
      <c r="BH1014" s="582"/>
      <c r="BI1014" s="582"/>
      <c r="BJ1014" s="37"/>
      <c r="BK1014" s="37"/>
      <c r="BL1014" s="37"/>
      <c r="BM1014" s="37"/>
      <c r="BN1014" s="37"/>
      <c r="BO1014" s="37"/>
      <c r="BP1014" s="37"/>
      <c r="BQ1014" s="37"/>
      <c r="BR1014" s="37"/>
      <c r="BS1014" s="37"/>
      <c r="BT1014" s="37"/>
      <c r="BU1014" s="37"/>
      <c r="BV1014" s="37"/>
      <c r="BW1014" s="37"/>
      <c r="BX1014" s="37"/>
      <c r="BY1014" s="37"/>
      <c r="BZ1014" s="37"/>
      <c r="CA1014" s="37"/>
      <c r="CB1014" s="37"/>
      <c r="CC1014" s="117"/>
    </row>
    <row r="1015" spans="1:81" x14ac:dyDescent="0.55000000000000004">
      <c r="A1015" s="377" t="s">
        <v>866</v>
      </c>
      <c r="B1015" s="37"/>
      <c r="C1015" s="37"/>
      <c r="D1015" s="37"/>
      <c r="E1015" s="37"/>
      <c r="F1015" s="37"/>
      <c r="G1015" s="37"/>
      <c r="H1015" s="37"/>
      <c r="I1015" s="37"/>
      <c r="J1015" s="37"/>
      <c r="K1015" s="37"/>
      <c r="L1015" s="37"/>
      <c r="M1015" s="37"/>
      <c r="N1015" s="37"/>
      <c r="O1015" s="37"/>
      <c r="P1015" s="37"/>
      <c r="Q1015" s="37"/>
      <c r="R1015" s="37"/>
      <c r="S1015" s="37"/>
      <c r="T1015" s="37"/>
      <c r="U1015" s="37"/>
      <c r="V1015" s="37"/>
      <c r="W1015" s="37"/>
      <c r="X1015" s="37"/>
      <c r="Y1015" s="37"/>
      <c r="Z1015" s="37"/>
      <c r="AA1015" s="37"/>
      <c r="AB1015" s="37"/>
      <c r="AC1015" s="37"/>
      <c r="AD1015" s="37"/>
      <c r="AE1015" s="37"/>
      <c r="AF1015" s="37"/>
      <c r="AG1015" s="37"/>
      <c r="AH1015" s="37"/>
      <c r="AI1015" s="37"/>
      <c r="AJ1015" s="37"/>
      <c r="AK1015" s="37"/>
      <c r="AL1015" s="37"/>
      <c r="AM1015" s="37"/>
      <c r="AN1015" s="37"/>
      <c r="AO1015" s="37"/>
      <c r="AP1015" s="37"/>
      <c r="AQ1015" s="37"/>
      <c r="AR1015" s="37"/>
      <c r="AS1015" s="37"/>
      <c r="AT1015" s="37"/>
      <c r="AU1015" s="37"/>
      <c r="AV1015" s="37"/>
      <c r="AW1015" s="37"/>
      <c r="AX1015" s="37"/>
      <c r="AY1015" s="37"/>
      <c r="AZ1015" s="37"/>
      <c r="BA1015" s="37"/>
      <c r="BB1015" s="37"/>
      <c r="BC1015" s="37"/>
      <c r="BD1015" s="37"/>
      <c r="BE1015" s="37"/>
      <c r="BF1015" s="37"/>
      <c r="BG1015" s="37"/>
      <c r="BH1015" s="582"/>
      <c r="BI1015" s="582"/>
      <c r="BJ1015" s="37"/>
      <c r="BK1015" s="37"/>
      <c r="BL1015" s="37"/>
      <c r="BM1015" s="37"/>
      <c r="BN1015" s="37"/>
      <c r="BO1015" s="37"/>
      <c r="BP1015" s="37"/>
      <c r="BQ1015" s="37"/>
      <c r="BR1015" s="37"/>
      <c r="BS1015" s="37"/>
      <c r="BT1015" s="37"/>
      <c r="BU1015" s="37"/>
      <c r="BV1015" s="37"/>
      <c r="BW1015" s="37"/>
      <c r="BX1015" s="37"/>
      <c r="BY1015" s="37"/>
      <c r="BZ1015" s="37"/>
      <c r="CA1015" s="37"/>
      <c r="CB1015" s="37"/>
      <c r="CC1015" s="117"/>
    </row>
    <row r="1016" spans="1:81" x14ac:dyDescent="0.55000000000000004">
      <c r="A1016" s="377" t="s">
        <v>871</v>
      </c>
      <c r="B1016" s="37"/>
      <c r="C1016" s="37"/>
      <c r="D1016" s="37"/>
      <c r="E1016" s="37"/>
      <c r="F1016" s="37"/>
      <c r="G1016" s="37"/>
      <c r="H1016" s="37"/>
      <c r="I1016" s="37"/>
      <c r="J1016" s="37"/>
      <c r="K1016" s="37"/>
      <c r="L1016" s="37"/>
      <c r="M1016" s="37"/>
      <c r="N1016" s="37"/>
      <c r="O1016" s="37"/>
      <c r="P1016" s="37"/>
      <c r="Q1016" s="37"/>
      <c r="R1016" s="37"/>
      <c r="S1016" s="37"/>
      <c r="T1016" s="37"/>
      <c r="U1016" s="37"/>
      <c r="V1016" s="37"/>
      <c r="W1016" s="37"/>
      <c r="X1016" s="37"/>
      <c r="Y1016" s="37"/>
      <c r="Z1016" s="37"/>
      <c r="AA1016" s="37"/>
      <c r="AB1016" s="37"/>
      <c r="AC1016" s="37"/>
      <c r="AD1016" s="37"/>
      <c r="AE1016" s="37"/>
      <c r="AF1016" s="37"/>
      <c r="AG1016" s="37"/>
      <c r="AH1016" s="37"/>
      <c r="AI1016" s="37"/>
      <c r="AJ1016" s="37"/>
      <c r="AK1016" s="37"/>
      <c r="AL1016" s="37"/>
      <c r="AM1016" s="37"/>
      <c r="AN1016" s="37"/>
      <c r="AO1016" s="37"/>
      <c r="AP1016" s="37"/>
      <c r="AQ1016" s="37"/>
      <c r="AR1016" s="37"/>
      <c r="AS1016" s="37"/>
      <c r="AT1016" s="37"/>
      <c r="AU1016" s="37"/>
      <c r="AV1016" s="37"/>
      <c r="AW1016" s="37"/>
      <c r="AX1016" s="37"/>
      <c r="AY1016" s="37"/>
      <c r="AZ1016" s="37"/>
      <c r="BA1016" s="37"/>
      <c r="BB1016" s="37"/>
      <c r="BC1016" s="37"/>
      <c r="BD1016" s="37"/>
      <c r="BE1016" s="37"/>
      <c r="BF1016" s="37"/>
      <c r="BG1016" s="37"/>
      <c r="BH1016" s="582"/>
      <c r="BI1016" s="582"/>
      <c r="BJ1016" s="37"/>
      <c r="BK1016" s="37"/>
      <c r="BL1016" s="37"/>
      <c r="BM1016" s="37"/>
      <c r="BN1016" s="37"/>
      <c r="BO1016" s="37"/>
      <c r="BP1016" s="37"/>
      <c r="BQ1016" s="37"/>
      <c r="BR1016" s="37"/>
      <c r="BS1016" s="37"/>
      <c r="BT1016" s="37"/>
      <c r="BU1016" s="37"/>
      <c r="BV1016" s="37"/>
      <c r="BW1016" s="37"/>
      <c r="BX1016" s="37"/>
      <c r="BY1016" s="37"/>
      <c r="BZ1016" s="37"/>
      <c r="CA1016" s="37"/>
      <c r="CB1016" s="37"/>
      <c r="CC1016" s="117"/>
    </row>
    <row r="1017" spans="1:81" x14ac:dyDescent="0.55000000000000004">
      <c r="A1017" s="377" t="s">
        <v>1052</v>
      </c>
      <c r="B1017" s="37"/>
      <c r="C1017" s="37"/>
      <c r="D1017" s="37"/>
      <c r="E1017" s="37"/>
      <c r="F1017" s="37"/>
      <c r="G1017" s="37"/>
      <c r="H1017" s="37"/>
      <c r="I1017" s="37"/>
      <c r="J1017" s="37"/>
      <c r="K1017" s="37"/>
      <c r="L1017" s="37"/>
      <c r="M1017" s="37"/>
      <c r="N1017" s="37"/>
      <c r="O1017" s="37"/>
      <c r="P1017" s="37"/>
      <c r="Q1017" s="37"/>
      <c r="R1017" s="37"/>
      <c r="S1017" s="37"/>
      <c r="T1017" s="37"/>
      <c r="U1017" s="37"/>
      <c r="V1017" s="37"/>
      <c r="W1017" s="37"/>
      <c r="X1017" s="37"/>
      <c r="Y1017" s="37"/>
      <c r="Z1017" s="37"/>
      <c r="AA1017" s="37"/>
      <c r="AB1017" s="37"/>
      <c r="AC1017" s="37"/>
      <c r="AD1017" s="37"/>
      <c r="AE1017" s="37"/>
      <c r="AF1017" s="37"/>
      <c r="AG1017" s="37"/>
      <c r="AH1017" s="37"/>
      <c r="AI1017" s="37"/>
      <c r="AJ1017" s="37"/>
      <c r="AK1017" s="37"/>
      <c r="AL1017" s="37"/>
      <c r="AM1017" s="37"/>
      <c r="AN1017" s="37"/>
      <c r="AO1017" s="37"/>
      <c r="AP1017" s="37"/>
      <c r="AQ1017" s="37"/>
      <c r="AR1017" s="37"/>
      <c r="AS1017" s="37"/>
      <c r="AT1017" s="37"/>
      <c r="AU1017" s="37"/>
      <c r="AV1017" s="37"/>
      <c r="AW1017" s="37"/>
      <c r="AX1017" s="37"/>
      <c r="AY1017" s="37"/>
      <c r="AZ1017" s="37"/>
      <c r="BA1017" s="37"/>
      <c r="BB1017" s="37"/>
      <c r="BC1017" s="37"/>
      <c r="BD1017" s="37"/>
      <c r="BE1017" s="37"/>
      <c r="BF1017" s="37"/>
      <c r="BG1017" s="37"/>
      <c r="BH1017" s="582"/>
      <c r="BI1017" s="582"/>
      <c r="BJ1017" s="37"/>
      <c r="BK1017" s="37"/>
      <c r="BL1017" s="37"/>
      <c r="BM1017" s="37"/>
      <c r="BN1017" s="37"/>
      <c r="BO1017" s="37"/>
      <c r="BP1017" s="37"/>
      <c r="BQ1017" s="37"/>
      <c r="BR1017" s="37"/>
      <c r="BS1017" s="37"/>
      <c r="BT1017" s="37"/>
      <c r="BU1017" s="37"/>
      <c r="BV1017" s="37"/>
      <c r="BW1017" s="37"/>
      <c r="BX1017" s="37"/>
      <c r="BY1017" s="37"/>
      <c r="BZ1017" s="37"/>
      <c r="CA1017" s="37"/>
      <c r="CB1017" s="37"/>
      <c r="CC1017" s="117"/>
    </row>
    <row r="1018" spans="1:81" x14ac:dyDescent="0.55000000000000004">
      <c r="A1018" s="377" t="s">
        <v>872</v>
      </c>
      <c r="B1018" s="37"/>
      <c r="C1018" s="37"/>
      <c r="D1018" s="37"/>
      <c r="E1018" s="37"/>
      <c r="F1018" s="37"/>
      <c r="G1018" s="37"/>
      <c r="H1018" s="37"/>
      <c r="I1018" s="37"/>
      <c r="J1018" s="37"/>
      <c r="K1018" s="37"/>
      <c r="L1018" s="37"/>
      <c r="M1018" s="37"/>
      <c r="N1018" s="37"/>
      <c r="O1018" s="37"/>
      <c r="P1018" s="37"/>
      <c r="Q1018" s="37"/>
      <c r="R1018" s="37"/>
      <c r="S1018" s="37"/>
      <c r="T1018" s="37"/>
      <c r="U1018" s="37"/>
      <c r="V1018" s="37"/>
      <c r="W1018" s="37"/>
      <c r="X1018" s="37"/>
      <c r="Y1018" s="37"/>
      <c r="Z1018" s="37"/>
      <c r="AA1018" s="37"/>
      <c r="AB1018" s="37"/>
      <c r="AC1018" s="37"/>
      <c r="AD1018" s="37"/>
      <c r="AE1018" s="37"/>
      <c r="AF1018" s="37"/>
      <c r="AG1018" s="37"/>
      <c r="AH1018" s="37"/>
      <c r="AI1018" s="37"/>
      <c r="AJ1018" s="37"/>
      <c r="AK1018" s="37"/>
      <c r="AL1018" s="37"/>
      <c r="AM1018" s="37"/>
      <c r="AN1018" s="37"/>
      <c r="AO1018" s="37"/>
      <c r="AP1018" s="37"/>
      <c r="AQ1018" s="37"/>
      <c r="AR1018" s="37"/>
      <c r="AS1018" s="37"/>
      <c r="AT1018" s="37"/>
      <c r="AU1018" s="37"/>
      <c r="AV1018" s="37"/>
      <c r="AW1018" s="37"/>
      <c r="AX1018" s="37"/>
      <c r="AY1018" s="37"/>
      <c r="AZ1018" s="37"/>
      <c r="BA1018" s="37"/>
      <c r="BB1018" s="37"/>
      <c r="BC1018" s="37"/>
      <c r="BD1018" s="37"/>
      <c r="BE1018" s="37"/>
      <c r="BF1018" s="37"/>
      <c r="BG1018" s="37"/>
      <c r="BH1018" s="582"/>
      <c r="BI1018" s="582"/>
      <c r="BJ1018" s="37"/>
      <c r="BK1018" s="37"/>
      <c r="BL1018" s="37"/>
      <c r="BM1018" s="37"/>
      <c r="BN1018" s="37"/>
      <c r="BO1018" s="37"/>
      <c r="BP1018" s="37"/>
      <c r="BQ1018" s="37"/>
      <c r="BR1018" s="37"/>
      <c r="BS1018" s="37"/>
      <c r="BT1018" s="37"/>
      <c r="BU1018" s="37"/>
      <c r="BV1018" s="37"/>
      <c r="BW1018" s="37"/>
      <c r="BX1018" s="37"/>
      <c r="BY1018" s="37"/>
      <c r="BZ1018" s="37"/>
      <c r="CA1018" s="37"/>
      <c r="CB1018" s="37"/>
      <c r="CC1018" s="117"/>
    </row>
    <row r="1019" spans="1:81" x14ac:dyDescent="0.55000000000000004">
      <c r="A1019" s="377" t="s">
        <v>873</v>
      </c>
      <c r="B1019" s="37"/>
      <c r="C1019" s="37"/>
      <c r="D1019" s="37"/>
      <c r="E1019" s="37"/>
      <c r="F1019" s="37"/>
      <c r="G1019" s="37"/>
      <c r="H1019" s="37"/>
      <c r="I1019" s="37"/>
      <c r="J1019" s="37"/>
      <c r="K1019" s="37"/>
      <c r="L1019" s="37"/>
      <c r="M1019" s="37"/>
      <c r="N1019" s="37"/>
      <c r="O1019" s="37"/>
      <c r="P1019" s="37"/>
      <c r="Q1019" s="37"/>
      <c r="R1019" s="37"/>
      <c r="S1019" s="37"/>
      <c r="T1019" s="37"/>
      <c r="U1019" s="37"/>
      <c r="V1019" s="37"/>
      <c r="W1019" s="37"/>
      <c r="X1019" s="37"/>
      <c r="Y1019" s="37"/>
      <c r="Z1019" s="37"/>
      <c r="AA1019" s="37"/>
      <c r="AB1019" s="37"/>
      <c r="AC1019" s="37"/>
      <c r="AD1019" s="37"/>
      <c r="AE1019" s="37"/>
      <c r="AF1019" s="37"/>
      <c r="AG1019" s="37"/>
      <c r="AH1019" s="37"/>
      <c r="AI1019" s="37"/>
      <c r="AJ1019" s="37"/>
      <c r="AK1019" s="37"/>
      <c r="AL1019" s="37"/>
      <c r="AM1019" s="37"/>
      <c r="AN1019" s="37"/>
      <c r="AO1019" s="37"/>
      <c r="AP1019" s="37"/>
      <c r="AQ1019" s="37"/>
      <c r="AR1019" s="37"/>
      <c r="AS1019" s="37"/>
      <c r="AT1019" s="37"/>
      <c r="AU1019" s="37"/>
      <c r="AV1019" s="37"/>
      <c r="AW1019" s="37"/>
      <c r="AX1019" s="37"/>
      <c r="AY1019" s="37"/>
      <c r="AZ1019" s="37"/>
      <c r="BA1019" s="37"/>
      <c r="BB1019" s="37"/>
      <c r="BC1019" s="37"/>
      <c r="BD1019" s="37"/>
      <c r="BE1019" s="37"/>
      <c r="BF1019" s="37"/>
      <c r="BG1019" s="37"/>
      <c r="BH1019" s="582"/>
      <c r="BI1019" s="582"/>
      <c r="BJ1019" s="37"/>
      <c r="BK1019" s="37"/>
      <c r="BL1019" s="37"/>
      <c r="BM1019" s="37"/>
      <c r="BN1019" s="37"/>
      <c r="BO1019" s="37"/>
      <c r="BP1019" s="37"/>
      <c r="BQ1019" s="37"/>
      <c r="BR1019" s="37"/>
      <c r="BS1019" s="37"/>
      <c r="BT1019" s="37"/>
      <c r="BU1019" s="37"/>
      <c r="BV1019" s="37"/>
      <c r="BW1019" s="37"/>
      <c r="BX1019" s="37"/>
      <c r="BY1019" s="37"/>
      <c r="BZ1019" s="37"/>
      <c r="CA1019" s="37"/>
      <c r="CB1019" s="37"/>
      <c r="CC1019" s="117"/>
    </row>
    <row r="1020" spans="1:81" x14ac:dyDescent="0.55000000000000004">
      <c r="A1020" s="377" t="s">
        <v>874</v>
      </c>
      <c r="B1020" s="37"/>
      <c r="C1020" s="37"/>
      <c r="D1020" s="37"/>
      <c r="E1020" s="37"/>
      <c r="F1020" s="37"/>
      <c r="G1020" s="37"/>
      <c r="H1020" s="37"/>
      <c r="I1020" s="37"/>
      <c r="J1020" s="37"/>
      <c r="K1020" s="37"/>
      <c r="L1020" s="37"/>
      <c r="M1020" s="37"/>
      <c r="N1020" s="37"/>
      <c r="O1020" s="37"/>
      <c r="P1020" s="37"/>
      <c r="Q1020" s="37"/>
      <c r="R1020" s="37"/>
      <c r="S1020" s="37"/>
      <c r="T1020" s="37"/>
      <c r="U1020" s="37"/>
      <c r="V1020" s="37"/>
      <c r="W1020" s="37"/>
      <c r="X1020" s="37"/>
      <c r="Y1020" s="37"/>
      <c r="Z1020" s="37"/>
      <c r="AA1020" s="37"/>
      <c r="AB1020" s="37"/>
      <c r="AC1020" s="37"/>
      <c r="AD1020" s="37"/>
      <c r="AE1020" s="37"/>
      <c r="AF1020" s="37"/>
      <c r="AG1020" s="37"/>
      <c r="AH1020" s="37"/>
      <c r="AI1020" s="37"/>
      <c r="AJ1020" s="37"/>
      <c r="AK1020" s="37"/>
      <c r="AL1020" s="37"/>
      <c r="AM1020" s="37"/>
      <c r="AN1020" s="37"/>
      <c r="AO1020" s="37"/>
      <c r="AP1020" s="37"/>
      <c r="AQ1020" s="37"/>
      <c r="AR1020" s="37"/>
      <c r="AS1020" s="37"/>
      <c r="AT1020" s="37"/>
      <c r="AU1020" s="37"/>
      <c r="AV1020" s="37"/>
      <c r="AW1020" s="37"/>
      <c r="AX1020" s="37"/>
      <c r="AY1020" s="37"/>
      <c r="AZ1020" s="37"/>
      <c r="BA1020" s="37"/>
      <c r="BB1020" s="37"/>
      <c r="BC1020" s="37"/>
      <c r="BD1020" s="37"/>
      <c r="BE1020" s="37"/>
      <c r="BF1020" s="37"/>
      <c r="BG1020" s="37"/>
      <c r="BH1020" s="582"/>
      <c r="BI1020" s="582"/>
      <c r="BJ1020" s="37"/>
      <c r="BK1020" s="37"/>
      <c r="BL1020" s="37"/>
      <c r="BM1020" s="37"/>
      <c r="BN1020" s="37"/>
      <c r="BO1020" s="37"/>
      <c r="BP1020" s="37"/>
      <c r="BQ1020" s="37"/>
      <c r="BR1020" s="37"/>
      <c r="BS1020" s="37"/>
      <c r="BT1020" s="37"/>
      <c r="BU1020" s="37"/>
      <c r="BV1020" s="37"/>
      <c r="BW1020" s="37"/>
      <c r="BX1020" s="37"/>
      <c r="BY1020" s="37"/>
      <c r="BZ1020" s="37"/>
      <c r="CA1020" s="37"/>
      <c r="CB1020" s="37"/>
      <c r="CC1020" s="117"/>
    </row>
    <row r="1021" spans="1:81" x14ac:dyDescent="0.55000000000000004">
      <c r="A1021" s="377" t="s">
        <v>375</v>
      </c>
      <c r="B1021" s="37"/>
      <c r="C1021" s="37"/>
      <c r="D1021" s="37"/>
      <c r="E1021" s="37"/>
      <c r="F1021" s="37"/>
      <c r="G1021" s="37"/>
      <c r="H1021" s="37"/>
      <c r="I1021" s="37"/>
      <c r="J1021" s="37"/>
      <c r="K1021" s="37"/>
      <c r="L1021" s="37"/>
      <c r="M1021" s="37"/>
      <c r="N1021" s="37"/>
      <c r="O1021" s="37"/>
      <c r="P1021" s="37"/>
      <c r="Q1021" s="37"/>
      <c r="R1021" s="37"/>
      <c r="S1021" s="37"/>
      <c r="T1021" s="37"/>
      <c r="U1021" s="37"/>
      <c r="V1021" s="37"/>
      <c r="W1021" s="37"/>
      <c r="X1021" s="37"/>
      <c r="Y1021" s="37"/>
      <c r="Z1021" s="37"/>
      <c r="AA1021" s="37"/>
      <c r="AB1021" s="37"/>
      <c r="AC1021" s="37"/>
      <c r="AD1021" s="37"/>
      <c r="AE1021" s="37"/>
      <c r="AF1021" s="37"/>
      <c r="AG1021" s="37"/>
      <c r="AH1021" s="37"/>
      <c r="AI1021" s="37"/>
      <c r="AJ1021" s="37"/>
      <c r="AK1021" s="37"/>
      <c r="AL1021" s="37"/>
      <c r="AM1021" s="37"/>
      <c r="AN1021" s="37"/>
      <c r="AO1021" s="37"/>
      <c r="AP1021" s="37"/>
      <c r="AQ1021" s="37"/>
      <c r="AR1021" s="37"/>
      <c r="AS1021" s="37"/>
      <c r="AT1021" s="37"/>
      <c r="AU1021" s="37"/>
      <c r="AV1021" s="37"/>
      <c r="AW1021" s="37"/>
      <c r="AX1021" s="37"/>
      <c r="AY1021" s="37"/>
      <c r="AZ1021" s="37"/>
      <c r="BA1021" s="37"/>
      <c r="BB1021" s="37"/>
      <c r="BC1021" s="37"/>
      <c r="BD1021" s="37"/>
      <c r="BE1021" s="37"/>
      <c r="BF1021" s="37"/>
      <c r="BG1021" s="37"/>
      <c r="BH1021" s="582"/>
      <c r="BI1021" s="582"/>
      <c r="BJ1021" s="37"/>
      <c r="BK1021" s="37"/>
      <c r="BL1021" s="37"/>
      <c r="BM1021" s="37"/>
      <c r="BN1021" s="37"/>
      <c r="BO1021" s="37"/>
      <c r="BP1021" s="37"/>
      <c r="BQ1021" s="37"/>
      <c r="BR1021" s="37"/>
      <c r="BS1021" s="37"/>
      <c r="BT1021" s="37"/>
      <c r="BU1021" s="37"/>
      <c r="BV1021" s="37"/>
      <c r="BW1021" s="37"/>
      <c r="BX1021" s="37"/>
      <c r="BY1021" s="37"/>
      <c r="BZ1021" s="37"/>
      <c r="CA1021" s="37"/>
      <c r="CB1021" s="37"/>
      <c r="CC1021" s="117"/>
    </row>
    <row r="1022" spans="1:81" x14ac:dyDescent="0.55000000000000004">
      <c r="A1022" s="417"/>
      <c r="B1022" s="37"/>
      <c r="C1022" s="37"/>
      <c r="D1022" s="37"/>
      <c r="E1022" s="37"/>
      <c r="F1022" s="37"/>
      <c r="G1022" s="37"/>
      <c r="H1022" s="37"/>
      <c r="I1022" s="37"/>
      <c r="J1022" s="37"/>
      <c r="K1022" s="37"/>
      <c r="L1022" s="37"/>
      <c r="M1022" s="37"/>
      <c r="N1022" s="37"/>
      <c r="O1022" s="37"/>
      <c r="P1022" s="37"/>
      <c r="Q1022" s="37"/>
      <c r="R1022" s="37"/>
      <c r="S1022" s="37"/>
      <c r="T1022" s="37"/>
      <c r="U1022" s="37"/>
      <c r="V1022" s="37"/>
      <c r="W1022" s="37"/>
      <c r="X1022" s="37"/>
      <c r="Y1022" s="37"/>
      <c r="Z1022" s="37"/>
      <c r="AA1022" s="37"/>
      <c r="AB1022" s="37"/>
      <c r="AC1022" s="37"/>
      <c r="AD1022" s="37"/>
      <c r="AE1022" s="37"/>
      <c r="AF1022" s="37"/>
      <c r="AG1022" s="37"/>
      <c r="AH1022" s="37"/>
      <c r="AI1022" s="37"/>
      <c r="AJ1022" s="37"/>
      <c r="AK1022" s="37"/>
      <c r="AL1022" s="37"/>
      <c r="AM1022" s="37"/>
      <c r="AN1022" s="37"/>
      <c r="AO1022" s="37"/>
      <c r="AP1022" s="37"/>
      <c r="AQ1022" s="37"/>
      <c r="AR1022" s="37"/>
      <c r="AS1022" s="37"/>
      <c r="AT1022" s="37"/>
      <c r="AU1022" s="37"/>
      <c r="AV1022" s="37"/>
      <c r="AW1022" s="37"/>
      <c r="AX1022" s="37"/>
      <c r="AY1022" s="37"/>
      <c r="AZ1022" s="37"/>
      <c r="BA1022" s="37"/>
      <c r="BB1022" s="37"/>
      <c r="BC1022" s="37"/>
      <c r="BD1022" s="37"/>
      <c r="BE1022" s="37"/>
      <c r="BF1022" s="37"/>
      <c r="BG1022" s="37"/>
      <c r="BH1022" s="582"/>
      <c r="BI1022" s="582"/>
      <c r="BJ1022" s="37"/>
      <c r="BK1022" s="37"/>
      <c r="BL1022" s="37"/>
      <c r="BM1022" s="37"/>
      <c r="BN1022" s="37"/>
      <c r="BO1022" s="37"/>
      <c r="BP1022" s="37"/>
      <c r="BQ1022" s="37"/>
      <c r="BR1022" s="37"/>
      <c r="BS1022" s="37"/>
      <c r="BT1022" s="37"/>
      <c r="BU1022" s="37"/>
      <c r="BV1022" s="37"/>
      <c r="BW1022" s="37"/>
      <c r="BX1022" s="37"/>
      <c r="BY1022" s="37"/>
      <c r="BZ1022" s="37"/>
      <c r="CA1022" s="37"/>
      <c r="CB1022" s="37"/>
      <c r="CC1022" s="117"/>
    </row>
    <row r="1023" spans="1:81" x14ac:dyDescent="0.55000000000000004">
      <c r="A1023" s="377"/>
      <c r="B1023" s="37"/>
      <c r="C1023" s="37"/>
      <c r="D1023" s="37"/>
      <c r="E1023" s="37"/>
      <c r="F1023" s="37"/>
      <c r="G1023" s="37"/>
      <c r="H1023" s="37"/>
      <c r="I1023" s="37"/>
      <c r="J1023" s="37"/>
      <c r="K1023" s="37"/>
      <c r="L1023" s="37"/>
      <c r="M1023" s="37"/>
      <c r="N1023" s="37"/>
      <c r="O1023" s="37"/>
      <c r="P1023" s="37"/>
      <c r="Q1023" s="37"/>
      <c r="R1023" s="37"/>
      <c r="S1023" s="37"/>
      <c r="T1023" s="37"/>
      <c r="U1023" s="37"/>
      <c r="V1023" s="37"/>
      <c r="W1023" s="37"/>
      <c r="X1023" s="37"/>
      <c r="Y1023" s="37"/>
      <c r="Z1023" s="37"/>
      <c r="AA1023" s="37"/>
      <c r="AB1023" s="37"/>
      <c r="AC1023" s="37"/>
      <c r="AD1023" s="37"/>
      <c r="AE1023" s="37"/>
      <c r="AF1023" s="37"/>
      <c r="AG1023" s="37"/>
      <c r="AH1023" s="37"/>
      <c r="AI1023" s="37"/>
      <c r="AJ1023" s="37"/>
      <c r="AK1023" s="37"/>
      <c r="AL1023" s="37"/>
      <c r="AM1023" s="37"/>
      <c r="AN1023" s="37"/>
      <c r="AO1023" s="37"/>
      <c r="AP1023" s="37"/>
      <c r="AQ1023" s="37"/>
      <c r="AR1023" s="37"/>
      <c r="AS1023" s="37"/>
      <c r="AT1023" s="37"/>
      <c r="AU1023" s="37"/>
      <c r="AV1023" s="37"/>
      <c r="AW1023" s="37"/>
      <c r="AX1023" s="37"/>
      <c r="AY1023" s="37"/>
      <c r="AZ1023" s="37"/>
      <c r="BA1023" s="37"/>
      <c r="BB1023" s="37"/>
      <c r="BC1023" s="37"/>
      <c r="BD1023" s="37"/>
      <c r="BE1023" s="37"/>
      <c r="BF1023" s="37"/>
      <c r="BG1023" s="37"/>
      <c r="BH1023" s="582"/>
      <c r="BI1023" s="582"/>
      <c r="BJ1023" s="37"/>
      <c r="BK1023" s="37"/>
      <c r="BL1023" s="37"/>
      <c r="BM1023" s="37"/>
      <c r="BN1023" s="37"/>
      <c r="BO1023" s="37"/>
      <c r="BP1023" s="37"/>
      <c r="BQ1023" s="37"/>
      <c r="BR1023" s="37"/>
      <c r="BS1023" s="37"/>
      <c r="BT1023" s="37"/>
      <c r="BU1023" s="37"/>
      <c r="BV1023" s="37"/>
      <c r="BW1023" s="37"/>
      <c r="BX1023" s="37"/>
      <c r="BY1023" s="37"/>
      <c r="BZ1023" s="37"/>
      <c r="CA1023" s="37"/>
      <c r="CB1023" s="37"/>
      <c r="CC1023" s="117"/>
    </row>
    <row r="1024" spans="1:81" s="718" customFormat="1" x14ac:dyDescent="0.55000000000000004">
      <c r="A1024" s="420" t="s">
        <v>714</v>
      </c>
      <c r="B1024" s="606"/>
      <c r="C1024" s="606"/>
      <c r="D1024" s="606"/>
      <c r="E1024" s="606"/>
      <c r="F1024" s="606"/>
      <c r="G1024" s="606"/>
      <c r="H1024" s="606"/>
      <c r="I1024" s="606"/>
      <c r="J1024" s="606"/>
      <c r="K1024" s="606"/>
      <c r="L1024" s="606"/>
      <c r="M1024" s="606"/>
      <c r="N1024" s="606"/>
      <c r="O1024" s="606"/>
      <c r="P1024" s="606"/>
      <c r="Q1024" s="606"/>
      <c r="R1024" s="606"/>
      <c r="S1024" s="606"/>
      <c r="T1024" s="606"/>
      <c r="U1024" s="606"/>
      <c r="V1024" s="606"/>
      <c r="W1024" s="606"/>
      <c r="X1024" s="606"/>
      <c r="Y1024" s="606"/>
      <c r="Z1024" s="606"/>
      <c r="AA1024" s="606"/>
      <c r="AB1024" s="606"/>
      <c r="AC1024" s="606"/>
      <c r="AD1024" s="606"/>
      <c r="AE1024" s="606"/>
      <c r="AF1024" s="606"/>
      <c r="AG1024" s="606"/>
      <c r="AH1024" s="606"/>
      <c r="AI1024" s="606"/>
      <c r="AJ1024" s="606"/>
      <c r="AK1024" s="606"/>
      <c r="AL1024" s="606"/>
      <c r="AM1024" s="606"/>
      <c r="AN1024" s="606"/>
      <c r="AO1024" s="606"/>
      <c r="AP1024" s="606"/>
      <c r="AQ1024" s="606"/>
      <c r="AR1024" s="606"/>
      <c r="AS1024" s="606"/>
      <c r="AT1024" s="606"/>
      <c r="AU1024" s="606"/>
      <c r="AV1024" s="606"/>
      <c r="AW1024" s="606"/>
      <c r="AX1024" s="606"/>
      <c r="AY1024" s="606"/>
      <c r="AZ1024" s="606"/>
      <c r="BA1024" s="606"/>
      <c r="BB1024" s="606"/>
      <c r="BC1024" s="606"/>
      <c r="BD1024" s="606"/>
      <c r="BE1024" s="606"/>
      <c r="BF1024" s="606"/>
      <c r="BG1024" s="606"/>
      <c r="BH1024" s="427"/>
      <c r="BI1024" s="427"/>
      <c r="BJ1024" s="606"/>
      <c r="BK1024" s="606"/>
      <c r="BL1024" s="606"/>
      <c r="BM1024" s="606"/>
      <c r="BN1024" s="606"/>
      <c r="BO1024" s="606"/>
      <c r="BP1024" s="606"/>
      <c r="BQ1024" s="606"/>
      <c r="BR1024" s="606"/>
      <c r="BS1024" s="606"/>
      <c r="BT1024" s="606"/>
      <c r="BU1024" s="606"/>
      <c r="BV1024" s="606"/>
      <c r="BW1024" s="606"/>
      <c r="BX1024" s="606"/>
      <c r="BY1024" s="606"/>
      <c r="BZ1024" s="606"/>
      <c r="CA1024" s="606"/>
      <c r="CB1024" s="606"/>
      <c r="CC1024" s="358"/>
    </row>
    <row r="1025" spans="1:81" s="720" customFormat="1" x14ac:dyDescent="0.55000000000000004">
      <c r="A1025" s="425" t="s">
        <v>715</v>
      </c>
      <c r="B1025" s="421"/>
      <c r="C1025" s="423"/>
      <c r="D1025" s="423"/>
      <c r="E1025" s="423"/>
      <c r="F1025" s="423"/>
      <c r="G1025" s="423"/>
      <c r="H1025" s="423"/>
      <c r="I1025" s="423"/>
      <c r="J1025" s="423"/>
      <c r="K1025" s="423"/>
      <c r="L1025" s="423"/>
      <c r="M1025" s="423"/>
      <c r="N1025" s="423"/>
      <c r="O1025" s="423"/>
      <c r="P1025" s="423"/>
      <c r="Q1025" s="423"/>
      <c r="R1025" s="423"/>
      <c r="S1025" s="423"/>
      <c r="T1025" s="423"/>
      <c r="U1025" s="423"/>
      <c r="V1025" s="423"/>
      <c r="W1025" s="423"/>
      <c r="X1025" s="423"/>
      <c r="Y1025" s="423"/>
      <c r="Z1025" s="423"/>
      <c r="AA1025" s="423"/>
      <c r="AB1025" s="795">
        <v>43699</v>
      </c>
      <c r="AC1025" s="795">
        <v>43768</v>
      </c>
      <c r="AD1025" s="795">
        <v>43859</v>
      </c>
      <c r="AE1025" s="795">
        <v>43950</v>
      </c>
      <c r="AF1025" s="795">
        <v>44042</v>
      </c>
      <c r="AG1025" s="795">
        <v>44133</v>
      </c>
      <c r="AH1025" s="795">
        <v>44223</v>
      </c>
      <c r="AI1025" s="795">
        <v>44314</v>
      </c>
      <c r="AJ1025" s="795">
        <v>44405</v>
      </c>
      <c r="AK1025" s="795">
        <v>44494</v>
      </c>
      <c r="AL1025" s="795">
        <v>44594</v>
      </c>
      <c r="AM1025" s="795">
        <v>44678</v>
      </c>
      <c r="AN1025" s="795">
        <v>44769</v>
      </c>
      <c r="AO1025" s="795">
        <v>44860</v>
      </c>
      <c r="AP1025" s="795">
        <v>44928</v>
      </c>
      <c r="AQ1025" s="795">
        <v>45042</v>
      </c>
      <c r="AR1025" s="795">
        <v>45133</v>
      </c>
      <c r="AS1025" s="795">
        <v>45224</v>
      </c>
      <c r="AT1025" s="795">
        <v>45323</v>
      </c>
      <c r="AU1025" s="795">
        <v>45406</v>
      </c>
      <c r="AV1025" s="795">
        <v>45504</v>
      </c>
      <c r="AW1025" s="795">
        <v>45595</v>
      </c>
      <c r="AX1025" s="795">
        <v>45686</v>
      </c>
      <c r="AY1025" s="795">
        <v>45777</v>
      </c>
      <c r="AZ1025" s="423"/>
      <c r="BA1025" s="423"/>
      <c r="BB1025" s="423"/>
      <c r="BC1025" s="423"/>
      <c r="BD1025" s="423"/>
      <c r="BE1025" s="423"/>
      <c r="BF1025" s="423"/>
      <c r="BG1025" s="423"/>
      <c r="BH1025" s="583"/>
      <c r="BI1025" s="583"/>
      <c r="BJ1025" s="584"/>
      <c r="BK1025" s="423"/>
      <c r="BL1025" s="423"/>
      <c r="BM1025" s="423"/>
      <c r="BN1025" s="423"/>
      <c r="BO1025" s="423"/>
      <c r="BP1025" s="423"/>
      <c r="BQ1025" s="423"/>
      <c r="BR1025" s="795">
        <v>43859</v>
      </c>
      <c r="BS1025" s="795">
        <v>44223</v>
      </c>
      <c r="BT1025" s="795">
        <v>44594</v>
      </c>
      <c r="BU1025" s="795">
        <v>44928</v>
      </c>
      <c r="BV1025" s="795">
        <v>45323</v>
      </c>
      <c r="BW1025" s="795">
        <v>45686</v>
      </c>
      <c r="BX1025" s="423"/>
      <c r="BY1025" s="423"/>
      <c r="BZ1025" s="423"/>
      <c r="CA1025" s="423"/>
      <c r="CB1025" s="423"/>
      <c r="CC1025" s="422"/>
    </row>
    <row r="1026" spans="1:81" x14ac:dyDescent="0.55000000000000004">
      <c r="A1026" s="425" t="s">
        <v>716</v>
      </c>
      <c r="B1026" s="35"/>
      <c r="C1026" s="424"/>
      <c r="D1026" s="424"/>
      <c r="E1026" s="424"/>
      <c r="F1026" s="424"/>
      <c r="G1026" s="424"/>
      <c r="H1026" s="424"/>
      <c r="I1026" s="424"/>
      <c r="J1026" s="424"/>
      <c r="K1026" s="424"/>
      <c r="L1026" s="424"/>
      <c r="M1026" s="424"/>
      <c r="N1026" s="424"/>
      <c r="O1026" s="424"/>
      <c r="P1026" s="424"/>
      <c r="Q1026" s="424"/>
      <c r="R1026" s="424"/>
      <c r="S1026" s="424"/>
      <c r="T1026" s="424"/>
      <c r="U1026" s="424"/>
      <c r="V1026" s="424"/>
      <c r="W1026" s="424"/>
      <c r="X1026" s="424"/>
      <c r="Y1026" s="424"/>
      <c r="Z1026" s="424"/>
      <c r="AA1026" s="424"/>
      <c r="AB1026" s="424" t="str">
        <f t="shared" ref="AB1026:AY1026" si="1249">AC$5</f>
        <v>Q3-2019</v>
      </c>
      <c r="AC1026" s="424" t="str">
        <f t="shared" si="1249"/>
        <v>Q4-2019</v>
      </c>
      <c r="AD1026" s="424" t="str">
        <f t="shared" si="1249"/>
        <v>Q1-2020</v>
      </c>
      <c r="AE1026" s="424" t="str">
        <f t="shared" si="1249"/>
        <v>Q2-2020</v>
      </c>
      <c r="AF1026" s="424" t="str">
        <f t="shared" si="1249"/>
        <v>Q3-2020</v>
      </c>
      <c r="AG1026" s="424" t="str">
        <f t="shared" si="1249"/>
        <v>Q4-2020</v>
      </c>
      <c r="AH1026" s="424" t="str">
        <f t="shared" si="1249"/>
        <v>Q1-2021</v>
      </c>
      <c r="AI1026" s="424" t="str">
        <f t="shared" si="1249"/>
        <v>Q2-2021</v>
      </c>
      <c r="AJ1026" s="424" t="str">
        <f t="shared" si="1249"/>
        <v>Q3-2021</v>
      </c>
      <c r="AK1026" s="424" t="str">
        <f t="shared" si="1249"/>
        <v>Q4-2021</v>
      </c>
      <c r="AL1026" s="424" t="str">
        <f t="shared" si="1249"/>
        <v>Q1-2022</v>
      </c>
      <c r="AM1026" s="424" t="str">
        <f t="shared" si="1249"/>
        <v>Q2-2022</v>
      </c>
      <c r="AN1026" s="424" t="str">
        <f t="shared" si="1249"/>
        <v>Q3-2022</v>
      </c>
      <c r="AO1026" s="424" t="str">
        <f t="shared" si="1249"/>
        <v>Q4-2022</v>
      </c>
      <c r="AP1026" s="424" t="str">
        <f t="shared" si="1249"/>
        <v>Q1-2023</v>
      </c>
      <c r="AQ1026" s="424" t="str">
        <f t="shared" si="1249"/>
        <v>Q2-2023</v>
      </c>
      <c r="AR1026" s="424" t="str">
        <f t="shared" si="1249"/>
        <v>Q3-2023</v>
      </c>
      <c r="AS1026" s="424" t="str">
        <f t="shared" si="1249"/>
        <v>Q4-2023</v>
      </c>
      <c r="AT1026" s="424" t="str">
        <f t="shared" si="1249"/>
        <v>Q1-2024</v>
      </c>
      <c r="AU1026" s="424" t="str">
        <f t="shared" si="1249"/>
        <v>Q2-2024</v>
      </c>
      <c r="AV1026" s="424" t="str">
        <f t="shared" si="1249"/>
        <v>Q3-2024</v>
      </c>
      <c r="AW1026" s="424" t="str">
        <f t="shared" si="1249"/>
        <v>Q4-2024</v>
      </c>
      <c r="AX1026" s="424" t="str">
        <f t="shared" si="1249"/>
        <v>Q1-2025</v>
      </c>
      <c r="AY1026" s="424" t="str">
        <f t="shared" si="1249"/>
        <v>Q2-2025</v>
      </c>
      <c r="AZ1026" s="424"/>
      <c r="BA1026" s="424"/>
      <c r="BB1026" s="424"/>
      <c r="BC1026" s="424"/>
      <c r="BD1026" s="424"/>
      <c r="BE1026" s="424"/>
      <c r="BF1026" s="424"/>
      <c r="BG1026" s="424"/>
      <c r="BH1026" s="585"/>
      <c r="BI1026" s="585"/>
      <c r="BJ1026" s="424"/>
      <c r="BK1026" s="424"/>
      <c r="BL1026" s="424"/>
      <c r="BM1026" s="424"/>
      <c r="BN1026" s="424"/>
      <c r="BO1026" s="424"/>
      <c r="BP1026" s="424"/>
      <c r="BQ1026" s="424"/>
      <c r="BR1026" s="424" t="str">
        <f>AE$5</f>
        <v>Q1-2020</v>
      </c>
      <c r="BS1026" s="424" t="str">
        <f>AI$5</f>
        <v>Q1-2021</v>
      </c>
      <c r="BT1026" s="424" t="str">
        <f>AM$5</f>
        <v>Q1-2022</v>
      </c>
      <c r="BU1026" s="424" t="str">
        <f>AQ$5</f>
        <v>Q1-2023</v>
      </c>
      <c r="BV1026" s="424" t="str">
        <f>AU$5</f>
        <v>Q1-2024</v>
      </c>
      <c r="BW1026" s="424" t="str">
        <f>AY$5</f>
        <v>Q1-2025</v>
      </c>
      <c r="BX1026" s="424"/>
      <c r="BY1026" s="424"/>
      <c r="BZ1026" s="424"/>
      <c r="CA1026" s="424"/>
      <c r="CB1026" s="424"/>
      <c r="CC1026" s="117"/>
    </row>
    <row r="1027" spans="1:81" x14ac:dyDescent="0.55000000000000004">
      <c r="A1027" s="428" t="s">
        <v>717</v>
      </c>
      <c r="B1027" s="759" t="s">
        <v>494</v>
      </c>
      <c r="C1027" s="37"/>
      <c r="D1027" s="37"/>
      <c r="E1027" s="37"/>
      <c r="F1027" s="37"/>
      <c r="G1027" s="37"/>
      <c r="H1027" s="37"/>
      <c r="I1027" s="37"/>
      <c r="J1027" s="37"/>
      <c r="K1027" s="37"/>
      <c r="L1027" s="37"/>
      <c r="M1027" s="37"/>
      <c r="N1027" s="37"/>
      <c r="O1027" s="37"/>
      <c r="P1027" s="37"/>
      <c r="Q1027" s="37"/>
      <c r="R1027" s="37"/>
      <c r="S1027" s="37"/>
      <c r="T1027" s="37"/>
      <c r="U1027" s="37"/>
      <c r="V1027" s="37"/>
      <c r="W1027" s="37"/>
      <c r="X1027" s="37"/>
      <c r="Y1027" s="37"/>
      <c r="Z1027" s="37"/>
      <c r="AA1027" s="37"/>
      <c r="AB1027" s="200" t="str">
        <f t="shared" ref="AB1027:BF1027" si="1250">IF(ISBLANK(AB$1026),"N/A",IF(COUNTIFS(GD_Item_FiscalPeriod,AB$1026,GD_Item_Name,$B1027,GD_Update_Date,AB$1025)=0,"NR",SUMIFS(GD_Guidance_Low,GD_Item_Name,$B1027,GD_Item_FiscalPeriod,AB$1026,GD_Update_Date,AB$1025)))</f>
        <v>NR</v>
      </c>
      <c r="AC1027" s="200" t="str">
        <f t="shared" si="1250"/>
        <v>NR</v>
      </c>
      <c r="AD1027" s="200" t="str">
        <f t="shared" si="1250"/>
        <v>NR</v>
      </c>
      <c r="AE1027" s="200" t="str">
        <f t="shared" si="1250"/>
        <v>NR</v>
      </c>
      <c r="AF1027" s="200" t="str">
        <f t="shared" si="1250"/>
        <v>NR</v>
      </c>
      <c r="AG1027" s="200" t="str">
        <f t="shared" si="1250"/>
        <v>NR</v>
      </c>
      <c r="AH1027" s="200" t="str">
        <f t="shared" si="1250"/>
        <v>NR</v>
      </c>
      <c r="AI1027" s="200" t="str">
        <f t="shared" si="1250"/>
        <v>NR</v>
      </c>
      <c r="AJ1027" s="200" t="str">
        <f t="shared" si="1250"/>
        <v>NR</v>
      </c>
      <c r="AK1027" s="200">
        <f t="shared" si="1250"/>
        <v>31500</v>
      </c>
      <c r="AL1027" s="200">
        <f t="shared" si="1250"/>
        <v>27000</v>
      </c>
      <c r="AM1027" s="200">
        <f t="shared" si="1250"/>
        <v>28000</v>
      </c>
      <c r="AN1027" s="200">
        <f t="shared" si="1250"/>
        <v>26000</v>
      </c>
      <c r="AO1027" s="200">
        <f t="shared" si="1250"/>
        <v>30000</v>
      </c>
      <c r="AP1027" s="200">
        <f t="shared" si="1250"/>
        <v>26000</v>
      </c>
      <c r="AQ1027" s="200">
        <f t="shared" si="1250"/>
        <v>29500</v>
      </c>
      <c r="AR1027" s="200">
        <f t="shared" si="1250"/>
        <v>32000</v>
      </c>
      <c r="AS1027" s="200">
        <f t="shared" si="1250"/>
        <v>36500</v>
      </c>
      <c r="AT1027" s="200">
        <f t="shared" si="1250"/>
        <v>34500</v>
      </c>
      <c r="AU1027" s="200">
        <f t="shared" si="1250"/>
        <v>36500</v>
      </c>
      <c r="AV1027" s="200">
        <f t="shared" si="1250"/>
        <v>38500</v>
      </c>
      <c r="AW1027" s="200">
        <f t="shared" si="1250"/>
        <v>45000</v>
      </c>
      <c r="AX1027" s="200">
        <f t="shared" si="1250"/>
        <v>39500</v>
      </c>
      <c r="AY1027" s="200">
        <f t="shared" si="1250"/>
        <v>42500</v>
      </c>
      <c r="AZ1027" s="200" t="str">
        <f t="shared" si="1250"/>
        <v>N/A</v>
      </c>
      <c r="BA1027" s="200" t="str">
        <f t="shared" si="1250"/>
        <v>N/A</v>
      </c>
      <c r="BB1027" s="200" t="str">
        <f t="shared" si="1250"/>
        <v>N/A</v>
      </c>
      <c r="BC1027" s="200" t="str">
        <f t="shared" si="1250"/>
        <v>N/A</v>
      </c>
      <c r="BD1027" s="200" t="str">
        <f t="shared" si="1250"/>
        <v>N/A</v>
      </c>
      <c r="BE1027" s="200" t="str">
        <f t="shared" si="1250"/>
        <v>N/A</v>
      </c>
      <c r="BF1027" s="200" t="str">
        <f t="shared" si="1250"/>
        <v>N/A</v>
      </c>
      <c r="BG1027" s="200"/>
      <c r="BH1027" s="582"/>
      <c r="BI1027" s="582"/>
      <c r="BJ1027" s="37"/>
      <c r="BK1027" s="37"/>
      <c r="BL1027" s="37"/>
      <c r="BM1027" s="37"/>
      <c r="BN1027" s="37"/>
      <c r="BO1027" s="37"/>
      <c r="BP1027" s="37"/>
      <c r="BQ1027" s="37"/>
      <c r="BR1027" s="200" t="str">
        <f t="shared" ref="BR1027:CB1027" si="1251">IF(ISBLANK(BR$1026),"N/A",IF(COUNTIFS(GD_Item_FiscalPeriod,BR$1026,GD_Item_Name,$B1027,GD_Update_Date,BR$1025)=0,"NR",SUMIFS(GD_Guidance_Low,GD_Item_Name,$B1027,GD_Item_FiscalPeriod,BR$1026,GD_Update_Date,BR$1025)))</f>
        <v>NR</v>
      </c>
      <c r="BS1027" s="200" t="str">
        <f t="shared" si="1251"/>
        <v>NR</v>
      </c>
      <c r="BT1027" s="200">
        <f t="shared" si="1251"/>
        <v>27000</v>
      </c>
      <c r="BU1027" s="200">
        <f t="shared" si="1251"/>
        <v>26000</v>
      </c>
      <c r="BV1027" s="200">
        <f t="shared" si="1251"/>
        <v>34500</v>
      </c>
      <c r="BW1027" s="200">
        <f t="shared" si="1251"/>
        <v>39500</v>
      </c>
      <c r="BX1027" s="200" t="str">
        <f t="shared" si="1251"/>
        <v>N/A</v>
      </c>
      <c r="BY1027" s="200" t="str">
        <f t="shared" si="1251"/>
        <v>N/A</v>
      </c>
      <c r="BZ1027" s="200" t="str">
        <f t="shared" si="1251"/>
        <v>N/A</v>
      </c>
      <c r="CA1027" s="200" t="str">
        <f t="shared" si="1251"/>
        <v>N/A</v>
      </c>
      <c r="CB1027" s="200" t="str">
        <f t="shared" si="1251"/>
        <v>N/A</v>
      </c>
      <c r="CC1027" s="117"/>
    </row>
    <row r="1028" spans="1:81" x14ac:dyDescent="0.55000000000000004">
      <c r="A1028" s="428" t="s">
        <v>718</v>
      </c>
      <c r="B1028" s="759" t="s">
        <v>494</v>
      </c>
      <c r="C1028" s="37"/>
      <c r="D1028" s="37"/>
      <c r="E1028" s="37"/>
      <c r="F1028" s="37"/>
      <c r="G1028" s="37"/>
      <c r="H1028" s="37"/>
      <c r="I1028" s="37"/>
      <c r="J1028" s="37"/>
      <c r="K1028" s="37"/>
      <c r="L1028" s="37"/>
      <c r="M1028" s="37"/>
      <c r="N1028" s="37"/>
      <c r="O1028" s="37"/>
      <c r="P1028" s="37"/>
      <c r="Q1028" s="37"/>
      <c r="R1028" s="37"/>
      <c r="S1028" s="37"/>
      <c r="T1028" s="37"/>
      <c r="U1028" s="37"/>
      <c r="V1028" s="37"/>
      <c r="W1028" s="37"/>
      <c r="X1028" s="37"/>
      <c r="Y1028" s="37"/>
      <c r="Z1028" s="37"/>
      <c r="AA1028" s="37"/>
      <c r="AB1028" s="200" t="str">
        <f t="shared" ref="AB1028:BF1028" si="1252">IF(ISBLANK(AB$1026),"N/A",IF(COUNTIFS(GD_Item_FiscalPeriod,AB$1026,GD_Item_Name,$B1028,GD_Update_Date,AB$1025)=0,"NR",SUMIFS(GD_Guidance_High,GD_Item_Name,$B1028,GD_Item_FiscalPeriod,AB$1026,GD_Update_Date,AB$1025)))</f>
        <v>NR</v>
      </c>
      <c r="AC1028" s="200" t="str">
        <f t="shared" si="1252"/>
        <v>NR</v>
      </c>
      <c r="AD1028" s="200" t="str">
        <f t="shared" si="1252"/>
        <v>NR</v>
      </c>
      <c r="AE1028" s="200" t="str">
        <f t="shared" si="1252"/>
        <v>NR</v>
      </c>
      <c r="AF1028" s="200" t="str">
        <f t="shared" si="1252"/>
        <v>NR</v>
      </c>
      <c r="AG1028" s="200" t="str">
        <f t="shared" si="1252"/>
        <v>NR</v>
      </c>
      <c r="AH1028" s="200" t="str">
        <f t="shared" si="1252"/>
        <v>NR</v>
      </c>
      <c r="AI1028" s="200" t="str">
        <f t="shared" si="1252"/>
        <v>NR</v>
      </c>
      <c r="AJ1028" s="200" t="str">
        <f t="shared" si="1252"/>
        <v>NR</v>
      </c>
      <c r="AK1028" s="200">
        <f t="shared" si="1252"/>
        <v>34000</v>
      </c>
      <c r="AL1028" s="200">
        <f t="shared" si="1252"/>
        <v>29000</v>
      </c>
      <c r="AM1028" s="200">
        <f t="shared" si="1252"/>
        <v>30000</v>
      </c>
      <c r="AN1028" s="200">
        <f t="shared" si="1252"/>
        <v>28500</v>
      </c>
      <c r="AO1028" s="200">
        <f t="shared" si="1252"/>
        <v>32500</v>
      </c>
      <c r="AP1028" s="200">
        <f t="shared" si="1252"/>
        <v>28500</v>
      </c>
      <c r="AQ1028" s="200">
        <f t="shared" si="1252"/>
        <v>32000</v>
      </c>
      <c r="AR1028" s="200">
        <f t="shared" si="1252"/>
        <v>34500</v>
      </c>
      <c r="AS1028" s="200">
        <f t="shared" si="1252"/>
        <v>40000</v>
      </c>
      <c r="AT1028" s="200">
        <f t="shared" si="1252"/>
        <v>37000</v>
      </c>
      <c r="AU1028" s="200">
        <f t="shared" si="1252"/>
        <v>39000</v>
      </c>
      <c r="AV1028" s="200">
        <f t="shared" si="1252"/>
        <v>41000</v>
      </c>
      <c r="AW1028" s="200">
        <f t="shared" si="1252"/>
        <v>48000</v>
      </c>
      <c r="AX1028" s="200">
        <f t="shared" si="1252"/>
        <v>41800</v>
      </c>
      <c r="AY1028" s="200">
        <f t="shared" si="1252"/>
        <v>45500</v>
      </c>
      <c r="AZ1028" s="200" t="str">
        <f t="shared" si="1252"/>
        <v>N/A</v>
      </c>
      <c r="BA1028" s="200" t="str">
        <f t="shared" si="1252"/>
        <v>N/A</v>
      </c>
      <c r="BB1028" s="200" t="str">
        <f t="shared" si="1252"/>
        <v>N/A</v>
      </c>
      <c r="BC1028" s="200" t="str">
        <f t="shared" si="1252"/>
        <v>N/A</v>
      </c>
      <c r="BD1028" s="200" t="str">
        <f t="shared" si="1252"/>
        <v>N/A</v>
      </c>
      <c r="BE1028" s="200" t="str">
        <f t="shared" si="1252"/>
        <v>N/A</v>
      </c>
      <c r="BF1028" s="200" t="str">
        <f t="shared" si="1252"/>
        <v>N/A</v>
      </c>
      <c r="BG1028" s="200"/>
      <c r="BH1028" s="582"/>
      <c r="BI1028" s="582"/>
      <c r="BJ1028" s="37"/>
      <c r="BK1028" s="37"/>
      <c r="BL1028" s="37"/>
      <c r="BM1028" s="37"/>
      <c r="BN1028" s="37"/>
      <c r="BO1028" s="37"/>
      <c r="BP1028" s="37"/>
      <c r="BQ1028" s="37"/>
      <c r="BR1028" s="200" t="str">
        <f t="shared" ref="BR1028:CB1028" si="1253">IF(ISBLANK(BR$1026),"N/A",IF(COUNTIFS(GD_Item_FiscalPeriod,BR$1026,GD_Item_Name,$B1028,GD_Update_Date,BR$1025)=0,"NR",SUMIFS(GD_Guidance_High,GD_Item_Name,$B1028,GD_Item_FiscalPeriod,BR$1026,GD_Update_Date,BR$1025)))</f>
        <v>NR</v>
      </c>
      <c r="BS1028" s="200" t="str">
        <f t="shared" si="1253"/>
        <v>NR</v>
      </c>
      <c r="BT1028" s="200">
        <f t="shared" si="1253"/>
        <v>29000</v>
      </c>
      <c r="BU1028" s="200">
        <f t="shared" si="1253"/>
        <v>28500</v>
      </c>
      <c r="BV1028" s="200">
        <f t="shared" si="1253"/>
        <v>37000</v>
      </c>
      <c r="BW1028" s="200">
        <f t="shared" si="1253"/>
        <v>41800</v>
      </c>
      <c r="BX1028" s="200" t="str">
        <f t="shared" si="1253"/>
        <v>N/A</v>
      </c>
      <c r="BY1028" s="200" t="str">
        <f t="shared" si="1253"/>
        <v>N/A</v>
      </c>
      <c r="BZ1028" s="200" t="str">
        <f t="shared" si="1253"/>
        <v>N/A</v>
      </c>
      <c r="CA1028" s="200" t="str">
        <f t="shared" si="1253"/>
        <v>N/A</v>
      </c>
      <c r="CB1028" s="200" t="str">
        <f t="shared" si="1253"/>
        <v>N/A</v>
      </c>
      <c r="CC1028" s="117"/>
    </row>
    <row r="1029" spans="1:81" x14ac:dyDescent="0.55000000000000004">
      <c r="A1029" s="428" t="s">
        <v>719</v>
      </c>
      <c r="B1029" s="759" t="s">
        <v>494</v>
      </c>
      <c r="C1029" s="37"/>
      <c r="D1029" s="37"/>
      <c r="E1029" s="37"/>
      <c r="F1029" s="37"/>
      <c r="G1029" s="37"/>
      <c r="H1029" s="37"/>
      <c r="I1029" s="37"/>
      <c r="J1029" s="37"/>
      <c r="K1029" s="37"/>
      <c r="L1029" s="37"/>
      <c r="M1029" s="37"/>
      <c r="N1029" s="37"/>
      <c r="O1029" s="37"/>
      <c r="P1029" s="37"/>
      <c r="Q1029" s="37"/>
      <c r="R1029" s="37"/>
      <c r="S1029" s="37"/>
      <c r="T1029" s="37"/>
      <c r="U1029" s="37"/>
      <c r="V1029" s="37"/>
      <c r="W1029" s="37"/>
      <c r="X1029" s="37"/>
      <c r="Y1029" s="37"/>
      <c r="Z1029" s="37"/>
      <c r="AA1029" s="37"/>
      <c r="AB1029" s="200" t="str">
        <f t="shared" ref="AB1029:BF1029" si="1254">IF(ISBLANK(AB$1026),"N/A",IF(COUNTIFS(GD_Item_FiscalPeriod,AB$1026,GD_Item_Name,$B1029,GD_Update_Date,AB$1025)=0,"NR",SUMIFS(GD_Guidance_Mid,GD_Item_Name,$B1029,GD_Item_FiscalPeriod,AB$1026,GD_Update_Date,AB$1025)))</f>
        <v>NR</v>
      </c>
      <c r="AC1029" s="200" t="str">
        <f t="shared" si="1254"/>
        <v>NR</v>
      </c>
      <c r="AD1029" s="200" t="str">
        <f t="shared" si="1254"/>
        <v>NR</v>
      </c>
      <c r="AE1029" s="200" t="str">
        <f t="shared" si="1254"/>
        <v>NR</v>
      </c>
      <c r="AF1029" s="200" t="str">
        <f t="shared" si="1254"/>
        <v>NR</v>
      </c>
      <c r="AG1029" s="200" t="str">
        <f t="shared" si="1254"/>
        <v>NR</v>
      </c>
      <c r="AH1029" s="200" t="str">
        <f t="shared" si="1254"/>
        <v>NR</v>
      </c>
      <c r="AI1029" s="200" t="str">
        <f t="shared" si="1254"/>
        <v>NR</v>
      </c>
      <c r="AJ1029" s="200" t="str">
        <f t="shared" si="1254"/>
        <v>NR</v>
      </c>
      <c r="AK1029" s="200">
        <f t="shared" si="1254"/>
        <v>32750</v>
      </c>
      <c r="AL1029" s="200">
        <f t="shared" si="1254"/>
        <v>28000</v>
      </c>
      <c r="AM1029" s="200">
        <f t="shared" si="1254"/>
        <v>29000</v>
      </c>
      <c r="AN1029" s="200">
        <f t="shared" si="1254"/>
        <v>27250</v>
      </c>
      <c r="AO1029" s="200">
        <f t="shared" si="1254"/>
        <v>31250</v>
      </c>
      <c r="AP1029" s="200">
        <f t="shared" si="1254"/>
        <v>27250</v>
      </c>
      <c r="AQ1029" s="200">
        <f t="shared" si="1254"/>
        <v>30750</v>
      </c>
      <c r="AR1029" s="200">
        <f t="shared" si="1254"/>
        <v>33250</v>
      </c>
      <c r="AS1029" s="200">
        <f t="shared" si="1254"/>
        <v>38250</v>
      </c>
      <c r="AT1029" s="200">
        <f t="shared" si="1254"/>
        <v>35750</v>
      </c>
      <c r="AU1029" s="200">
        <f t="shared" si="1254"/>
        <v>37750</v>
      </c>
      <c r="AV1029" s="200">
        <f t="shared" si="1254"/>
        <v>39750</v>
      </c>
      <c r="AW1029" s="200">
        <f t="shared" si="1254"/>
        <v>46500</v>
      </c>
      <c r="AX1029" s="200">
        <f t="shared" si="1254"/>
        <v>40650</v>
      </c>
      <c r="AY1029" s="200">
        <f t="shared" si="1254"/>
        <v>44000</v>
      </c>
      <c r="AZ1029" s="200" t="str">
        <f t="shared" si="1254"/>
        <v>N/A</v>
      </c>
      <c r="BA1029" s="200" t="str">
        <f t="shared" si="1254"/>
        <v>N/A</v>
      </c>
      <c r="BB1029" s="200" t="str">
        <f t="shared" si="1254"/>
        <v>N/A</v>
      </c>
      <c r="BC1029" s="200" t="str">
        <f t="shared" si="1254"/>
        <v>N/A</v>
      </c>
      <c r="BD1029" s="200" t="str">
        <f t="shared" si="1254"/>
        <v>N/A</v>
      </c>
      <c r="BE1029" s="200" t="str">
        <f t="shared" si="1254"/>
        <v>N/A</v>
      </c>
      <c r="BF1029" s="200" t="str">
        <f t="shared" si="1254"/>
        <v>N/A</v>
      </c>
      <c r="BG1029" s="200"/>
      <c r="BH1029" s="582"/>
      <c r="BI1029" s="582"/>
      <c r="BJ1029" s="37"/>
      <c r="BK1029" s="37"/>
      <c r="BL1029" s="37"/>
      <c r="BM1029" s="37"/>
      <c r="BN1029" s="37"/>
      <c r="BO1029" s="37"/>
      <c r="BP1029" s="37"/>
      <c r="BQ1029" s="37"/>
      <c r="BR1029" s="200" t="str">
        <f t="shared" ref="BR1029:CB1029" si="1255">IF(ISBLANK(BR$1026),"N/A",IF(COUNTIFS(GD_Item_FiscalPeriod,BR$1026,GD_Item_Name,$B1029,GD_Update_Date,BR$1025)=0,"NR",SUMIFS(GD_Guidance_Mid,GD_Item_Name,$B1029,GD_Item_FiscalPeriod,BR$1026,GD_Update_Date,BR$1025)))</f>
        <v>NR</v>
      </c>
      <c r="BS1029" s="200" t="str">
        <f t="shared" si="1255"/>
        <v>NR</v>
      </c>
      <c r="BT1029" s="200">
        <f t="shared" si="1255"/>
        <v>28000</v>
      </c>
      <c r="BU1029" s="200">
        <f t="shared" si="1255"/>
        <v>27250</v>
      </c>
      <c r="BV1029" s="200">
        <f t="shared" si="1255"/>
        <v>35750</v>
      </c>
      <c r="BW1029" s="200">
        <f t="shared" si="1255"/>
        <v>40650</v>
      </c>
      <c r="BX1029" s="200" t="str">
        <f t="shared" si="1255"/>
        <v>N/A</v>
      </c>
      <c r="BY1029" s="200" t="str">
        <f t="shared" si="1255"/>
        <v>N/A</v>
      </c>
      <c r="BZ1029" s="200" t="str">
        <f t="shared" si="1255"/>
        <v>N/A</v>
      </c>
      <c r="CA1029" s="200" t="str">
        <f t="shared" si="1255"/>
        <v>N/A</v>
      </c>
      <c r="CB1029" s="200" t="str">
        <f t="shared" si="1255"/>
        <v>N/A</v>
      </c>
      <c r="CC1029" s="117"/>
    </row>
    <row r="1030" spans="1:81" s="709" customFormat="1" x14ac:dyDescent="0.55000000000000004">
      <c r="A1030" s="429" t="s">
        <v>720</v>
      </c>
      <c r="B1030" s="761" t="s">
        <v>370</v>
      </c>
      <c r="C1030" s="55"/>
      <c r="D1030" s="55"/>
      <c r="E1030" s="55"/>
      <c r="F1030" s="55"/>
      <c r="G1030" s="55"/>
      <c r="H1030" s="55"/>
      <c r="I1030" s="55"/>
      <c r="J1030" s="55"/>
      <c r="K1030" s="55"/>
      <c r="L1030" s="55"/>
      <c r="M1030" s="55"/>
      <c r="N1030" s="55"/>
      <c r="O1030" s="55"/>
      <c r="P1030" s="55"/>
      <c r="Q1030" s="55"/>
      <c r="R1030" s="55"/>
      <c r="S1030" s="55"/>
      <c r="T1030" s="55"/>
      <c r="U1030" s="55"/>
      <c r="V1030" s="55"/>
      <c r="W1030" s="55"/>
      <c r="X1030" s="55"/>
      <c r="Y1030" s="55"/>
      <c r="Z1030" s="55"/>
      <c r="AA1030" s="55"/>
      <c r="AB1030" s="61">
        <f t="shared" ref="AB1030:BF1030" si="1256">IF(ISBLANK(AB$1026),"N/A",IF(COUNTIFS(GD_Item_FiscalPeriod,AB$1026,GD_Item_Name,$B1030,GD_Update_Date,AB$1025)=0,"NR",SUMIFS(GD_Guidance_Low,GD_Item_Name,$B1030,GD_Item_FiscalPeriod,AB$1026,GD_Update_Date,AB$1025)))</f>
        <v>0.2</v>
      </c>
      <c r="AC1030" s="61">
        <f t="shared" si="1256"/>
        <v>0.25</v>
      </c>
      <c r="AD1030" s="61">
        <f t="shared" si="1256"/>
        <v>0.19</v>
      </c>
      <c r="AE1030" s="61" t="str">
        <f t="shared" si="1256"/>
        <v>NR</v>
      </c>
      <c r="AF1030" s="61" t="str">
        <f t="shared" si="1256"/>
        <v>NR</v>
      </c>
      <c r="AG1030" s="61" t="str">
        <f t="shared" si="1256"/>
        <v>NR</v>
      </c>
      <c r="AH1030" s="61" t="str">
        <f t="shared" si="1256"/>
        <v>NR</v>
      </c>
      <c r="AI1030" s="61" t="str">
        <f t="shared" si="1256"/>
        <v>NR</v>
      </c>
      <c r="AJ1030" s="61" t="str">
        <f t="shared" si="1256"/>
        <v>NR</v>
      </c>
      <c r="AK1030" s="61" t="str">
        <f t="shared" si="1256"/>
        <v>NR</v>
      </c>
      <c r="AL1030" s="61">
        <f t="shared" si="1256"/>
        <v>0.03</v>
      </c>
      <c r="AM1030" s="61" t="str">
        <f t="shared" si="1256"/>
        <v>NR</v>
      </c>
      <c r="AN1030" s="61" t="str">
        <f t="shared" si="1256"/>
        <v>NR</v>
      </c>
      <c r="AO1030" s="61" t="str">
        <f t="shared" si="1256"/>
        <v>NR</v>
      </c>
      <c r="AP1030" s="61" t="str">
        <f t="shared" si="1256"/>
        <v>NR</v>
      </c>
      <c r="AQ1030" s="61" t="str">
        <f t="shared" si="1256"/>
        <v>NR</v>
      </c>
      <c r="AR1030" s="61" t="str">
        <f t="shared" si="1256"/>
        <v>NR</v>
      </c>
      <c r="AS1030" s="61" t="str">
        <f t="shared" si="1256"/>
        <v>NR</v>
      </c>
      <c r="AT1030" s="61" t="str">
        <f t="shared" si="1256"/>
        <v>NR</v>
      </c>
      <c r="AU1030" s="61" t="str">
        <f t="shared" si="1256"/>
        <v>NR</v>
      </c>
      <c r="AV1030" s="61" t="str">
        <f t="shared" si="1256"/>
        <v>NR</v>
      </c>
      <c r="AW1030" s="61" t="str">
        <f t="shared" si="1256"/>
        <v>NR</v>
      </c>
      <c r="AX1030" s="61" t="str">
        <f t="shared" si="1256"/>
        <v>NR</v>
      </c>
      <c r="AY1030" s="61" t="str">
        <f t="shared" si="1256"/>
        <v>NR</v>
      </c>
      <c r="AZ1030" s="61" t="str">
        <f t="shared" si="1256"/>
        <v>N/A</v>
      </c>
      <c r="BA1030" s="61" t="str">
        <f t="shared" si="1256"/>
        <v>N/A</v>
      </c>
      <c r="BB1030" s="61" t="str">
        <f t="shared" si="1256"/>
        <v>N/A</v>
      </c>
      <c r="BC1030" s="61" t="str">
        <f t="shared" si="1256"/>
        <v>N/A</v>
      </c>
      <c r="BD1030" s="61" t="str">
        <f t="shared" si="1256"/>
        <v>N/A</v>
      </c>
      <c r="BE1030" s="61" t="str">
        <f t="shared" si="1256"/>
        <v>N/A</v>
      </c>
      <c r="BF1030" s="61" t="str">
        <f t="shared" si="1256"/>
        <v>N/A</v>
      </c>
      <c r="BG1030" s="61"/>
      <c r="BH1030" s="557"/>
      <c r="BI1030" s="557"/>
      <c r="BJ1030" s="55"/>
      <c r="BK1030" s="55"/>
      <c r="BL1030" s="55"/>
      <c r="BM1030" s="55"/>
      <c r="BN1030" s="55"/>
      <c r="BO1030" s="55"/>
      <c r="BP1030" s="55"/>
      <c r="BQ1030" s="55"/>
      <c r="BR1030" s="61">
        <f t="shared" ref="BR1030:CB1030" si="1257">IF(ISBLANK(BR$1026),"N/A",IF(COUNTIFS(GD_Item_FiscalPeriod,BR$1026,GD_Item_Name,$B1030,GD_Update_Date,BR$1025)=0,"NR",SUMIFS(GD_Guidance_Low,GD_Item_Name,$B1030,GD_Item_FiscalPeriod,BR$1026,GD_Update_Date,BR$1025)))</f>
        <v>0.19</v>
      </c>
      <c r="BS1030" s="61" t="str">
        <f t="shared" si="1257"/>
        <v>NR</v>
      </c>
      <c r="BT1030" s="61">
        <f t="shared" si="1257"/>
        <v>0.03</v>
      </c>
      <c r="BU1030" s="61" t="str">
        <f t="shared" si="1257"/>
        <v>NR</v>
      </c>
      <c r="BV1030" s="61" t="str">
        <f t="shared" si="1257"/>
        <v>NR</v>
      </c>
      <c r="BW1030" s="61" t="str">
        <f t="shared" si="1257"/>
        <v>NR</v>
      </c>
      <c r="BX1030" s="61" t="str">
        <f t="shared" si="1257"/>
        <v>N/A</v>
      </c>
      <c r="BY1030" s="61" t="str">
        <f t="shared" si="1257"/>
        <v>N/A</v>
      </c>
      <c r="BZ1030" s="61" t="str">
        <f t="shared" si="1257"/>
        <v>N/A</v>
      </c>
      <c r="CA1030" s="61" t="str">
        <f t="shared" si="1257"/>
        <v>N/A</v>
      </c>
      <c r="CB1030" s="61" t="str">
        <f t="shared" si="1257"/>
        <v>N/A</v>
      </c>
      <c r="CC1030" s="24"/>
    </row>
    <row r="1031" spans="1:81" s="709" customFormat="1" x14ac:dyDescent="0.55000000000000004">
      <c r="A1031" s="429" t="s">
        <v>721</v>
      </c>
      <c r="B1031" s="761" t="s">
        <v>370</v>
      </c>
      <c r="C1031" s="55"/>
      <c r="D1031" s="55"/>
      <c r="E1031" s="55"/>
      <c r="F1031" s="55"/>
      <c r="G1031" s="55"/>
      <c r="H1031" s="55"/>
      <c r="I1031" s="55"/>
      <c r="J1031" s="55"/>
      <c r="K1031" s="55"/>
      <c r="L1031" s="55"/>
      <c r="M1031" s="55"/>
      <c r="N1031" s="55"/>
      <c r="O1031" s="55"/>
      <c r="P1031" s="55"/>
      <c r="Q1031" s="55"/>
      <c r="R1031" s="55"/>
      <c r="S1031" s="55"/>
      <c r="T1031" s="55"/>
      <c r="U1031" s="55"/>
      <c r="V1031" s="55"/>
      <c r="W1031" s="55"/>
      <c r="X1031" s="55"/>
      <c r="Y1031" s="55"/>
      <c r="Z1031" s="55"/>
      <c r="AA1031" s="55"/>
      <c r="AB1031" s="61">
        <f t="shared" ref="AB1031:BF1031" si="1258">IF(ISBLANK(AB$1026),"N/A",IF(COUNTIFS(GD_Item_FiscalPeriod,AB$1026,GD_Item_Name,$B1031,GD_Update_Date,AB$1025)=0,"NR",SUMIFS(GD_Guidance_High,GD_Item_Name,$B1031,GD_Item_FiscalPeriod,AB$1026,GD_Update_Date,AB$1025)))</f>
        <v>0.2</v>
      </c>
      <c r="AC1031" s="61">
        <f t="shared" si="1258"/>
        <v>0.28000000000000003</v>
      </c>
      <c r="AD1031" s="61">
        <f t="shared" si="1258"/>
        <v>0.23</v>
      </c>
      <c r="AE1031" s="61" t="str">
        <f t="shared" si="1258"/>
        <v>NR</v>
      </c>
      <c r="AF1031" s="61" t="str">
        <f t="shared" si="1258"/>
        <v>NR</v>
      </c>
      <c r="AG1031" s="61" t="str">
        <f t="shared" si="1258"/>
        <v>NR</v>
      </c>
      <c r="AH1031" s="61" t="str">
        <f t="shared" si="1258"/>
        <v>NR</v>
      </c>
      <c r="AI1031" s="61" t="str">
        <f t="shared" si="1258"/>
        <v>NR</v>
      </c>
      <c r="AJ1031" s="61" t="str">
        <f t="shared" si="1258"/>
        <v>NR</v>
      </c>
      <c r="AK1031" s="61" t="str">
        <f t="shared" si="1258"/>
        <v>NR</v>
      </c>
      <c r="AL1031" s="61">
        <f t="shared" si="1258"/>
        <v>0.11</v>
      </c>
      <c r="AM1031" s="61" t="str">
        <f t="shared" si="1258"/>
        <v>NR</v>
      </c>
      <c r="AN1031" s="61" t="str">
        <f t="shared" si="1258"/>
        <v>NR</v>
      </c>
      <c r="AO1031" s="61" t="str">
        <f t="shared" si="1258"/>
        <v>NR</v>
      </c>
      <c r="AP1031" s="61" t="str">
        <f t="shared" si="1258"/>
        <v>NR</v>
      </c>
      <c r="AQ1031" s="61" t="str">
        <f t="shared" si="1258"/>
        <v>NR</v>
      </c>
      <c r="AR1031" s="61" t="str">
        <f t="shared" si="1258"/>
        <v>NR</v>
      </c>
      <c r="AS1031" s="61" t="str">
        <f t="shared" si="1258"/>
        <v>NR</v>
      </c>
      <c r="AT1031" s="61" t="str">
        <f t="shared" si="1258"/>
        <v>NR</v>
      </c>
      <c r="AU1031" s="61" t="str">
        <f t="shared" si="1258"/>
        <v>NR</v>
      </c>
      <c r="AV1031" s="61" t="str">
        <f t="shared" si="1258"/>
        <v>NR</v>
      </c>
      <c r="AW1031" s="61" t="str">
        <f t="shared" si="1258"/>
        <v>NR</v>
      </c>
      <c r="AX1031" s="61" t="str">
        <f t="shared" si="1258"/>
        <v>NR</v>
      </c>
      <c r="AY1031" s="61" t="str">
        <f t="shared" si="1258"/>
        <v>NR</v>
      </c>
      <c r="AZ1031" s="61" t="str">
        <f t="shared" si="1258"/>
        <v>N/A</v>
      </c>
      <c r="BA1031" s="61" t="str">
        <f t="shared" si="1258"/>
        <v>N/A</v>
      </c>
      <c r="BB1031" s="61" t="str">
        <f t="shared" si="1258"/>
        <v>N/A</v>
      </c>
      <c r="BC1031" s="61" t="str">
        <f t="shared" si="1258"/>
        <v>N/A</v>
      </c>
      <c r="BD1031" s="61" t="str">
        <f t="shared" si="1258"/>
        <v>N/A</v>
      </c>
      <c r="BE1031" s="61" t="str">
        <f t="shared" si="1258"/>
        <v>N/A</v>
      </c>
      <c r="BF1031" s="61" t="str">
        <f t="shared" si="1258"/>
        <v>N/A</v>
      </c>
      <c r="BG1031" s="61"/>
      <c r="BH1031" s="557"/>
      <c r="BI1031" s="557"/>
      <c r="BJ1031" s="55"/>
      <c r="BK1031" s="55"/>
      <c r="BL1031" s="55"/>
      <c r="BM1031" s="55"/>
      <c r="BN1031" s="55"/>
      <c r="BO1031" s="55"/>
      <c r="BP1031" s="55"/>
      <c r="BQ1031" s="55"/>
      <c r="BR1031" s="61">
        <f t="shared" ref="BR1031:CB1031" si="1259">IF(ISBLANK(BR$1026),"N/A",IF(COUNTIFS(GD_Item_FiscalPeriod,BR$1026,GD_Item_Name,$B1031,GD_Update_Date,BR$1025)=0,"NR",SUMIFS(GD_Guidance_High,GD_Item_Name,$B1031,GD_Item_FiscalPeriod,BR$1026,GD_Update_Date,BR$1025)))</f>
        <v>0.23</v>
      </c>
      <c r="BS1031" s="61" t="str">
        <f t="shared" si="1259"/>
        <v>NR</v>
      </c>
      <c r="BT1031" s="61">
        <f t="shared" si="1259"/>
        <v>0.11</v>
      </c>
      <c r="BU1031" s="61" t="str">
        <f t="shared" si="1259"/>
        <v>NR</v>
      </c>
      <c r="BV1031" s="61" t="str">
        <f t="shared" si="1259"/>
        <v>NR</v>
      </c>
      <c r="BW1031" s="61" t="str">
        <f t="shared" si="1259"/>
        <v>NR</v>
      </c>
      <c r="BX1031" s="61" t="str">
        <f t="shared" si="1259"/>
        <v>N/A</v>
      </c>
      <c r="BY1031" s="61" t="str">
        <f t="shared" si="1259"/>
        <v>N/A</v>
      </c>
      <c r="BZ1031" s="61" t="str">
        <f t="shared" si="1259"/>
        <v>N/A</v>
      </c>
      <c r="CA1031" s="61" t="str">
        <f t="shared" si="1259"/>
        <v>N/A</v>
      </c>
      <c r="CB1031" s="61" t="str">
        <f t="shared" si="1259"/>
        <v>N/A</v>
      </c>
      <c r="CC1031" s="24"/>
    </row>
    <row r="1032" spans="1:81" s="709" customFormat="1" x14ac:dyDescent="0.55000000000000004">
      <c r="A1032" s="429" t="s">
        <v>722</v>
      </c>
      <c r="B1032" s="761" t="s">
        <v>370</v>
      </c>
      <c r="C1032" s="55"/>
      <c r="D1032" s="55"/>
      <c r="E1032" s="55"/>
      <c r="F1032" s="55"/>
      <c r="G1032" s="55"/>
      <c r="H1032" s="55"/>
      <c r="I1032" s="55"/>
      <c r="J1032" s="55"/>
      <c r="K1032" s="55"/>
      <c r="L1032" s="55"/>
      <c r="M1032" s="55"/>
      <c r="N1032" s="55"/>
      <c r="O1032" s="55"/>
      <c r="P1032" s="55"/>
      <c r="Q1032" s="55"/>
      <c r="R1032" s="55"/>
      <c r="S1032" s="55"/>
      <c r="T1032" s="55"/>
      <c r="U1032" s="55"/>
      <c r="V1032" s="55"/>
      <c r="W1032" s="55"/>
      <c r="X1032" s="55"/>
      <c r="Y1032" s="55"/>
      <c r="Z1032" s="55"/>
      <c r="AA1032" s="55"/>
      <c r="AB1032" s="61">
        <f t="shared" ref="AB1032:BF1032" si="1260">IF(ISBLANK(AB$1026),"N/A",IF(COUNTIFS(GD_Item_FiscalPeriod,AB$1026,GD_Item_Name,$B1032,GD_Update_Date,AB$1025)=0,"NR",SUMIFS(GD_Guidance_Mid,GD_Item_Name,$B1032,GD_Item_FiscalPeriod,AB$1026,GD_Update_Date,AB$1025)))</f>
        <v>0.2</v>
      </c>
      <c r="AC1032" s="61">
        <f t="shared" si="1260"/>
        <v>0.26500000000000001</v>
      </c>
      <c r="AD1032" s="61">
        <f t="shared" si="1260"/>
        <v>0.21000000000000002</v>
      </c>
      <c r="AE1032" s="61" t="str">
        <f t="shared" si="1260"/>
        <v>NR</v>
      </c>
      <c r="AF1032" s="61" t="str">
        <f t="shared" si="1260"/>
        <v>NR</v>
      </c>
      <c r="AG1032" s="61" t="str">
        <f t="shared" si="1260"/>
        <v>NR</v>
      </c>
      <c r="AH1032" s="61" t="str">
        <f t="shared" si="1260"/>
        <v>NR</v>
      </c>
      <c r="AI1032" s="61" t="str">
        <f t="shared" si="1260"/>
        <v>NR</v>
      </c>
      <c r="AJ1032" s="61" t="str">
        <f t="shared" si="1260"/>
        <v>NR</v>
      </c>
      <c r="AK1032" s="61" t="str">
        <f t="shared" si="1260"/>
        <v>NR</v>
      </c>
      <c r="AL1032" s="61">
        <f t="shared" si="1260"/>
        <v>7.0000000000000007E-2</v>
      </c>
      <c r="AM1032" s="61" t="str">
        <f t="shared" si="1260"/>
        <v>NR</v>
      </c>
      <c r="AN1032" s="61" t="str">
        <f t="shared" si="1260"/>
        <v>NR</v>
      </c>
      <c r="AO1032" s="61" t="str">
        <f t="shared" si="1260"/>
        <v>NR</v>
      </c>
      <c r="AP1032" s="61" t="str">
        <f t="shared" si="1260"/>
        <v>NR</v>
      </c>
      <c r="AQ1032" s="61" t="str">
        <f t="shared" si="1260"/>
        <v>NR</v>
      </c>
      <c r="AR1032" s="61" t="str">
        <f t="shared" si="1260"/>
        <v>NR</v>
      </c>
      <c r="AS1032" s="61" t="str">
        <f t="shared" si="1260"/>
        <v>NR</v>
      </c>
      <c r="AT1032" s="61" t="str">
        <f t="shared" si="1260"/>
        <v>NR</v>
      </c>
      <c r="AU1032" s="61" t="str">
        <f t="shared" si="1260"/>
        <v>NR</v>
      </c>
      <c r="AV1032" s="61" t="str">
        <f t="shared" si="1260"/>
        <v>NR</v>
      </c>
      <c r="AW1032" s="61" t="str">
        <f t="shared" si="1260"/>
        <v>NR</v>
      </c>
      <c r="AX1032" s="61" t="str">
        <f t="shared" si="1260"/>
        <v>NR</v>
      </c>
      <c r="AY1032" s="61" t="str">
        <f t="shared" si="1260"/>
        <v>NR</v>
      </c>
      <c r="AZ1032" s="61" t="str">
        <f t="shared" si="1260"/>
        <v>N/A</v>
      </c>
      <c r="BA1032" s="61" t="str">
        <f t="shared" si="1260"/>
        <v>N/A</v>
      </c>
      <c r="BB1032" s="61" t="str">
        <f t="shared" si="1260"/>
        <v>N/A</v>
      </c>
      <c r="BC1032" s="61" t="str">
        <f t="shared" si="1260"/>
        <v>N/A</v>
      </c>
      <c r="BD1032" s="61" t="str">
        <f t="shared" si="1260"/>
        <v>N/A</v>
      </c>
      <c r="BE1032" s="61" t="str">
        <f t="shared" si="1260"/>
        <v>N/A</v>
      </c>
      <c r="BF1032" s="61" t="str">
        <f t="shared" si="1260"/>
        <v>N/A</v>
      </c>
      <c r="BG1032" s="61"/>
      <c r="BH1032" s="557"/>
      <c r="BI1032" s="557"/>
      <c r="BJ1032" s="55"/>
      <c r="BK1032" s="55"/>
      <c r="BL1032" s="55"/>
      <c r="BM1032" s="55"/>
      <c r="BN1032" s="55"/>
      <c r="BO1032" s="55"/>
      <c r="BP1032" s="55"/>
      <c r="BQ1032" s="55"/>
      <c r="BR1032" s="61">
        <f t="shared" ref="BR1032:CB1032" si="1261">IF(ISBLANK(BR$1026),"N/A",IF(COUNTIFS(GD_Item_FiscalPeriod,BR$1026,GD_Item_Name,$B1032,GD_Update_Date,BR$1025)=0,"NR",SUMIFS(GD_Guidance_Mid,GD_Item_Name,$B1032,GD_Item_FiscalPeriod,BR$1026,GD_Update_Date,BR$1025)))</f>
        <v>0.21000000000000002</v>
      </c>
      <c r="BS1032" s="61" t="str">
        <f t="shared" si="1261"/>
        <v>NR</v>
      </c>
      <c r="BT1032" s="61">
        <f t="shared" si="1261"/>
        <v>7.0000000000000007E-2</v>
      </c>
      <c r="BU1032" s="61" t="str">
        <f t="shared" si="1261"/>
        <v>NR</v>
      </c>
      <c r="BV1032" s="61" t="str">
        <f t="shared" si="1261"/>
        <v>NR</v>
      </c>
      <c r="BW1032" s="61" t="str">
        <f t="shared" si="1261"/>
        <v>NR</v>
      </c>
      <c r="BX1032" s="61" t="str">
        <f t="shared" si="1261"/>
        <v>N/A</v>
      </c>
      <c r="BY1032" s="61" t="str">
        <f t="shared" si="1261"/>
        <v>N/A</v>
      </c>
      <c r="BZ1032" s="61" t="str">
        <f t="shared" si="1261"/>
        <v>N/A</v>
      </c>
      <c r="CA1032" s="61" t="str">
        <f t="shared" si="1261"/>
        <v>N/A</v>
      </c>
      <c r="CB1032" s="61" t="str">
        <f t="shared" si="1261"/>
        <v>N/A</v>
      </c>
      <c r="CC1032" s="24"/>
    </row>
    <row r="1033" spans="1:81" x14ac:dyDescent="0.55000000000000004">
      <c r="A1033" s="428" t="s">
        <v>723</v>
      </c>
      <c r="B1033" s="759" t="s">
        <v>730</v>
      </c>
      <c r="C1033" s="37"/>
      <c r="D1033" s="37"/>
      <c r="E1033" s="37"/>
      <c r="F1033" s="37"/>
      <c r="G1033" s="37"/>
      <c r="H1033" s="37"/>
      <c r="I1033" s="37"/>
      <c r="J1033" s="37"/>
      <c r="K1033" s="37"/>
      <c r="L1033" s="37"/>
      <c r="M1033" s="37"/>
      <c r="N1033" s="37"/>
      <c r="O1033" s="37"/>
      <c r="P1033" s="37"/>
      <c r="Q1033" s="37"/>
      <c r="R1033" s="37"/>
      <c r="S1033" s="37"/>
      <c r="T1033" s="37"/>
      <c r="U1033" s="37"/>
      <c r="V1033" s="37"/>
      <c r="W1033" s="37"/>
      <c r="X1033" s="37"/>
      <c r="Y1033" s="37"/>
      <c r="Z1033" s="37"/>
      <c r="AA1033" s="37"/>
      <c r="AB1033" s="200" t="str">
        <f t="shared" ref="AB1033:BF1033" si="1262">IF(ISBLANK(AB$1026),"N/A",IF(COUNTIFS(GD_Item_FiscalPeriod,AB$1026,GD_Item_Name,$B1033,GD_Update_Date,AB$1025)=0,"NR",SUMIFS(GD_Guidance_Low,GD_Item_Name,$B1033,GD_Item_FiscalPeriod,AB$1026,GD_Update_Date,AB$1025)))</f>
        <v>NR</v>
      </c>
      <c r="AC1033" s="200" t="str">
        <f t="shared" si="1262"/>
        <v>NR</v>
      </c>
      <c r="AD1033" s="200" t="str">
        <f t="shared" si="1262"/>
        <v>NR</v>
      </c>
      <c r="AE1033" s="200" t="str">
        <f t="shared" si="1262"/>
        <v>NR</v>
      </c>
      <c r="AF1033" s="200" t="str">
        <f t="shared" si="1262"/>
        <v>NR</v>
      </c>
      <c r="AG1033" s="200" t="str">
        <f t="shared" si="1262"/>
        <v>NR</v>
      </c>
      <c r="AH1033" s="200" t="str">
        <f t="shared" si="1262"/>
        <v>NR</v>
      </c>
      <c r="AI1033" s="200" t="str">
        <f t="shared" si="1262"/>
        <v>NR</v>
      </c>
      <c r="AJ1033" s="200" t="str">
        <f t="shared" si="1262"/>
        <v>NR</v>
      </c>
      <c r="AK1033" s="200" t="str">
        <f t="shared" si="1262"/>
        <v>NR</v>
      </c>
      <c r="AL1033" s="200" t="str">
        <f t="shared" si="1262"/>
        <v>NR</v>
      </c>
      <c r="AM1033" s="200" t="str">
        <f t="shared" si="1262"/>
        <v>NR</v>
      </c>
      <c r="AN1033" s="200" t="str">
        <f t="shared" si="1262"/>
        <v>NR</v>
      </c>
      <c r="AO1033" s="200" t="str">
        <f t="shared" si="1262"/>
        <v>NR</v>
      </c>
      <c r="AP1033" s="200" t="str">
        <f t="shared" si="1262"/>
        <v>NR</v>
      </c>
      <c r="AQ1033" s="200" t="str">
        <f t="shared" si="1262"/>
        <v>NR</v>
      </c>
      <c r="AR1033" s="200" t="str">
        <f t="shared" si="1262"/>
        <v>NR</v>
      </c>
      <c r="AS1033" s="200" t="str">
        <f t="shared" si="1262"/>
        <v>NR</v>
      </c>
      <c r="AT1033" s="200" t="str">
        <f t="shared" si="1262"/>
        <v>NR</v>
      </c>
      <c r="AU1033" s="200" t="str">
        <f t="shared" si="1262"/>
        <v>NR</v>
      </c>
      <c r="AV1033" s="200" t="str">
        <f t="shared" si="1262"/>
        <v>NR</v>
      </c>
      <c r="AW1033" s="200" t="str">
        <f t="shared" si="1262"/>
        <v>NR</v>
      </c>
      <c r="AX1033" s="200" t="str">
        <f t="shared" si="1262"/>
        <v>NR</v>
      </c>
      <c r="AY1033" s="200" t="str">
        <f t="shared" si="1262"/>
        <v>NR</v>
      </c>
      <c r="AZ1033" s="200" t="str">
        <f t="shared" si="1262"/>
        <v>N/A</v>
      </c>
      <c r="BA1033" s="200" t="str">
        <f t="shared" si="1262"/>
        <v>N/A</v>
      </c>
      <c r="BB1033" s="200" t="str">
        <f t="shared" si="1262"/>
        <v>N/A</v>
      </c>
      <c r="BC1033" s="200" t="str">
        <f t="shared" si="1262"/>
        <v>N/A</v>
      </c>
      <c r="BD1033" s="200" t="str">
        <f t="shared" si="1262"/>
        <v>N/A</v>
      </c>
      <c r="BE1033" s="200" t="str">
        <f t="shared" si="1262"/>
        <v>N/A</v>
      </c>
      <c r="BF1033" s="200" t="str">
        <f t="shared" si="1262"/>
        <v>N/A</v>
      </c>
      <c r="BG1033" s="200"/>
      <c r="BH1033" s="582"/>
      <c r="BI1033" s="582"/>
      <c r="BJ1033" s="37"/>
      <c r="BK1033" s="37"/>
      <c r="BL1033" s="37"/>
      <c r="BM1033" s="37"/>
      <c r="BN1033" s="37"/>
      <c r="BO1033" s="37"/>
      <c r="BP1033" s="37"/>
      <c r="BQ1033" s="37"/>
      <c r="BR1033" s="200" t="str">
        <f t="shared" ref="BR1033:CB1033" si="1263">IF(ISBLANK(BR$1026),"N/A",IF(COUNTIFS(GD_Item_FiscalPeriod,BR$1026,GD_Item_Name,$B1033,GD_Update_Date,BR$1025)=0,"NR",SUMIFS(GD_Guidance_Low,GD_Item_Name,$B1033,GD_Item_FiscalPeriod,BR$1026,GD_Update_Date,BR$1025)))</f>
        <v>NR</v>
      </c>
      <c r="BS1033" s="200" t="str">
        <f t="shared" si="1263"/>
        <v>NR</v>
      </c>
      <c r="BT1033" s="200" t="str">
        <f t="shared" si="1263"/>
        <v>NR</v>
      </c>
      <c r="BU1033" s="200" t="str">
        <f t="shared" si="1263"/>
        <v>NR</v>
      </c>
      <c r="BV1033" s="200" t="str">
        <f t="shared" si="1263"/>
        <v>NR</v>
      </c>
      <c r="BW1033" s="200" t="str">
        <f t="shared" si="1263"/>
        <v>NR</v>
      </c>
      <c r="BX1033" s="200" t="str">
        <f t="shared" si="1263"/>
        <v>N/A</v>
      </c>
      <c r="BY1033" s="200" t="str">
        <f t="shared" si="1263"/>
        <v>N/A</v>
      </c>
      <c r="BZ1033" s="200" t="str">
        <f t="shared" si="1263"/>
        <v>N/A</v>
      </c>
      <c r="CA1033" s="200" t="str">
        <f t="shared" si="1263"/>
        <v>N/A</v>
      </c>
      <c r="CB1033" s="200" t="str">
        <f t="shared" si="1263"/>
        <v>N/A</v>
      </c>
      <c r="CC1033" s="117"/>
    </row>
    <row r="1034" spans="1:81" x14ac:dyDescent="0.55000000000000004">
      <c r="A1034" s="428" t="s">
        <v>724</v>
      </c>
      <c r="B1034" s="759" t="s">
        <v>730</v>
      </c>
      <c r="C1034" s="37"/>
      <c r="D1034" s="37"/>
      <c r="E1034" s="37"/>
      <c r="F1034" s="37"/>
      <c r="G1034" s="37"/>
      <c r="H1034" s="37"/>
      <c r="I1034" s="37"/>
      <c r="J1034" s="37"/>
      <c r="K1034" s="37"/>
      <c r="L1034" s="37"/>
      <c r="M1034" s="37"/>
      <c r="N1034" s="37"/>
      <c r="O1034" s="37"/>
      <c r="P1034" s="37"/>
      <c r="Q1034" s="37"/>
      <c r="R1034" s="37"/>
      <c r="S1034" s="37"/>
      <c r="T1034" s="37"/>
      <c r="U1034" s="37"/>
      <c r="V1034" s="37"/>
      <c r="W1034" s="37"/>
      <c r="X1034" s="37"/>
      <c r="Y1034" s="37"/>
      <c r="Z1034" s="37"/>
      <c r="AA1034" s="37"/>
      <c r="AB1034" s="200" t="str">
        <f t="shared" ref="AB1034:BF1034" si="1264">IF(ISBLANK(AB$1026),"N/A",IF(COUNTIFS(GD_Item_FiscalPeriod,AB$1026,GD_Item_Name,$B1034,GD_Update_Date,AB$1025)=0,"NR",SUMIFS(GD_Guidance_High,GD_Item_Name,$B1034,GD_Item_FiscalPeriod,AB$1026,GD_Update_Date,AB$1025)))</f>
        <v>NR</v>
      </c>
      <c r="AC1034" s="200" t="str">
        <f t="shared" si="1264"/>
        <v>NR</v>
      </c>
      <c r="AD1034" s="200" t="str">
        <f t="shared" si="1264"/>
        <v>NR</v>
      </c>
      <c r="AE1034" s="200" t="str">
        <f t="shared" si="1264"/>
        <v>NR</v>
      </c>
      <c r="AF1034" s="200" t="str">
        <f t="shared" si="1264"/>
        <v>NR</v>
      </c>
      <c r="AG1034" s="200" t="str">
        <f t="shared" si="1264"/>
        <v>NR</v>
      </c>
      <c r="AH1034" s="200" t="str">
        <f t="shared" si="1264"/>
        <v>NR</v>
      </c>
      <c r="AI1034" s="200" t="str">
        <f t="shared" si="1264"/>
        <v>NR</v>
      </c>
      <c r="AJ1034" s="200" t="str">
        <f t="shared" si="1264"/>
        <v>NR</v>
      </c>
      <c r="AK1034" s="200" t="str">
        <f t="shared" si="1264"/>
        <v>NR</v>
      </c>
      <c r="AL1034" s="200" t="str">
        <f t="shared" si="1264"/>
        <v>NR</v>
      </c>
      <c r="AM1034" s="200" t="str">
        <f t="shared" si="1264"/>
        <v>NR</v>
      </c>
      <c r="AN1034" s="200" t="str">
        <f t="shared" si="1264"/>
        <v>NR</v>
      </c>
      <c r="AO1034" s="200" t="str">
        <f t="shared" si="1264"/>
        <v>NR</v>
      </c>
      <c r="AP1034" s="200" t="str">
        <f t="shared" si="1264"/>
        <v>NR</v>
      </c>
      <c r="AQ1034" s="200" t="str">
        <f t="shared" si="1264"/>
        <v>NR</v>
      </c>
      <c r="AR1034" s="200" t="str">
        <f t="shared" si="1264"/>
        <v>NR</v>
      </c>
      <c r="AS1034" s="200" t="str">
        <f t="shared" si="1264"/>
        <v>NR</v>
      </c>
      <c r="AT1034" s="200" t="str">
        <f t="shared" si="1264"/>
        <v>NR</v>
      </c>
      <c r="AU1034" s="200" t="str">
        <f t="shared" si="1264"/>
        <v>NR</v>
      </c>
      <c r="AV1034" s="200" t="str">
        <f t="shared" si="1264"/>
        <v>NR</v>
      </c>
      <c r="AW1034" s="200" t="str">
        <f t="shared" si="1264"/>
        <v>NR</v>
      </c>
      <c r="AX1034" s="200" t="str">
        <f t="shared" si="1264"/>
        <v>NR</v>
      </c>
      <c r="AY1034" s="200" t="str">
        <f t="shared" si="1264"/>
        <v>NR</v>
      </c>
      <c r="AZ1034" s="200" t="str">
        <f t="shared" si="1264"/>
        <v>N/A</v>
      </c>
      <c r="BA1034" s="200" t="str">
        <f t="shared" si="1264"/>
        <v>N/A</v>
      </c>
      <c r="BB1034" s="200" t="str">
        <f t="shared" si="1264"/>
        <v>N/A</v>
      </c>
      <c r="BC1034" s="200" t="str">
        <f t="shared" si="1264"/>
        <v>N/A</v>
      </c>
      <c r="BD1034" s="200" t="str">
        <f t="shared" si="1264"/>
        <v>N/A</v>
      </c>
      <c r="BE1034" s="200" t="str">
        <f t="shared" si="1264"/>
        <v>N/A</v>
      </c>
      <c r="BF1034" s="200" t="str">
        <f t="shared" si="1264"/>
        <v>N/A</v>
      </c>
      <c r="BG1034" s="200"/>
      <c r="BH1034" s="582"/>
      <c r="BI1034" s="582"/>
      <c r="BJ1034" s="37"/>
      <c r="BK1034" s="37"/>
      <c r="BL1034" s="37"/>
      <c r="BM1034" s="37"/>
      <c r="BN1034" s="37"/>
      <c r="BO1034" s="37"/>
      <c r="BP1034" s="37"/>
      <c r="BQ1034" s="37"/>
      <c r="BR1034" s="200" t="str">
        <f t="shared" ref="BR1034:CB1034" si="1265">IF(ISBLANK(BR$1026),"N/A",IF(COUNTIFS(GD_Item_FiscalPeriod,BR$1026,GD_Item_Name,$B1034,GD_Update_Date,BR$1025)=0,"NR",SUMIFS(GD_Guidance_High,GD_Item_Name,$B1034,GD_Item_FiscalPeriod,BR$1026,GD_Update_Date,BR$1025)))</f>
        <v>NR</v>
      </c>
      <c r="BS1034" s="200" t="str">
        <f t="shared" si="1265"/>
        <v>NR</v>
      </c>
      <c r="BT1034" s="200" t="str">
        <f t="shared" si="1265"/>
        <v>NR</v>
      </c>
      <c r="BU1034" s="200" t="str">
        <f t="shared" si="1265"/>
        <v>NR</v>
      </c>
      <c r="BV1034" s="200" t="str">
        <f t="shared" si="1265"/>
        <v>NR</v>
      </c>
      <c r="BW1034" s="200" t="str">
        <f t="shared" si="1265"/>
        <v>NR</v>
      </c>
      <c r="BX1034" s="200" t="str">
        <f t="shared" si="1265"/>
        <v>N/A</v>
      </c>
      <c r="BY1034" s="200" t="str">
        <f t="shared" si="1265"/>
        <v>N/A</v>
      </c>
      <c r="BZ1034" s="200" t="str">
        <f t="shared" si="1265"/>
        <v>N/A</v>
      </c>
      <c r="CA1034" s="200" t="str">
        <f t="shared" si="1265"/>
        <v>N/A</v>
      </c>
      <c r="CB1034" s="200" t="str">
        <f t="shared" si="1265"/>
        <v>N/A</v>
      </c>
      <c r="CC1034" s="117"/>
    </row>
    <row r="1035" spans="1:81" x14ac:dyDescent="0.55000000000000004">
      <c r="A1035" s="428" t="s">
        <v>725</v>
      </c>
      <c r="B1035" s="759" t="s">
        <v>730</v>
      </c>
      <c r="C1035" s="37"/>
      <c r="D1035" s="37"/>
      <c r="E1035" s="37"/>
      <c r="F1035" s="37"/>
      <c r="G1035" s="37"/>
      <c r="H1035" s="37"/>
      <c r="I1035" s="37"/>
      <c r="J1035" s="37"/>
      <c r="K1035" s="37"/>
      <c r="L1035" s="37"/>
      <c r="M1035" s="37"/>
      <c r="N1035" s="37"/>
      <c r="O1035" s="37"/>
      <c r="P1035" s="37"/>
      <c r="Q1035" s="37"/>
      <c r="R1035" s="37"/>
      <c r="S1035" s="37"/>
      <c r="T1035" s="37"/>
      <c r="U1035" s="37"/>
      <c r="V1035" s="37"/>
      <c r="W1035" s="37"/>
      <c r="X1035" s="37"/>
      <c r="Y1035" s="37"/>
      <c r="Z1035" s="37"/>
      <c r="AA1035" s="37"/>
      <c r="AB1035" s="200" t="str">
        <f t="shared" ref="AB1035:BF1035" si="1266">IF(ISBLANK(AB$1026),"N/A",IF(COUNTIFS(GD_Item_FiscalPeriod,AB$1026,GD_Item_Name,$B1035,GD_Update_Date,AB$1025)=0,"NR",SUMIFS(GD_Guidance_Mid,GD_Item_Name,$B1035,GD_Item_FiscalPeriod,AB$1026,GD_Update_Date,AB$1025)))</f>
        <v>NR</v>
      </c>
      <c r="AC1035" s="200" t="str">
        <f t="shared" si="1266"/>
        <v>NR</v>
      </c>
      <c r="AD1035" s="200" t="str">
        <f t="shared" si="1266"/>
        <v>NR</v>
      </c>
      <c r="AE1035" s="200" t="str">
        <f t="shared" si="1266"/>
        <v>NR</v>
      </c>
      <c r="AF1035" s="200" t="str">
        <f t="shared" si="1266"/>
        <v>NR</v>
      </c>
      <c r="AG1035" s="200" t="str">
        <f t="shared" si="1266"/>
        <v>NR</v>
      </c>
      <c r="AH1035" s="200" t="str">
        <f t="shared" si="1266"/>
        <v>NR</v>
      </c>
      <c r="AI1035" s="200" t="str">
        <f t="shared" si="1266"/>
        <v>NR</v>
      </c>
      <c r="AJ1035" s="200" t="str">
        <f t="shared" si="1266"/>
        <v>NR</v>
      </c>
      <c r="AK1035" s="200" t="str">
        <f t="shared" si="1266"/>
        <v>NR</v>
      </c>
      <c r="AL1035" s="200" t="str">
        <f t="shared" si="1266"/>
        <v>NR</v>
      </c>
      <c r="AM1035" s="200" t="str">
        <f t="shared" si="1266"/>
        <v>NR</v>
      </c>
      <c r="AN1035" s="200" t="str">
        <f t="shared" si="1266"/>
        <v>NR</v>
      </c>
      <c r="AO1035" s="200" t="str">
        <f t="shared" si="1266"/>
        <v>NR</v>
      </c>
      <c r="AP1035" s="200" t="str">
        <f t="shared" si="1266"/>
        <v>NR</v>
      </c>
      <c r="AQ1035" s="200" t="str">
        <f t="shared" si="1266"/>
        <v>NR</v>
      </c>
      <c r="AR1035" s="200" t="str">
        <f t="shared" si="1266"/>
        <v>NR</v>
      </c>
      <c r="AS1035" s="200" t="str">
        <f t="shared" si="1266"/>
        <v>NR</v>
      </c>
      <c r="AT1035" s="200" t="str">
        <f t="shared" si="1266"/>
        <v>NR</v>
      </c>
      <c r="AU1035" s="200" t="str">
        <f t="shared" si="1266"/>
        <v>NR</v>
      </c>
      <c r="AV1035" s="200" t="str">
        <f t="shared" si="1266"/>
        <v>NR</v>
      </c>
      <c r="AW1035" s="200" t="str">
        <f t="shared" si="1266"/>
        <v>NR</v>
      </c>
      <c r="AX1035" s="200" t="str">
        <f t="shared" si="1266"/>
        <v>NR</v>
      </c>
      <c r="AY1035" s="200" t="str">
        <f t="shared" si="1266"/>
        <v>NR</v>
      </c>
      <c r="AZ1035" s="200" t="str">
        <f t="shared" si="1266"/>
        <v>N/A</v>
      </c>
      <c r="BA1035" s="200" t="str">
        <f t="shared" si="1266"/>
        <v>N/A</v>
      </c>
      <c r="BB1035" s="200" t="str">
        <f t="shared" si="1266"/>
        <v>N/A</v>
      </c>
      <c r="BC1035" s="200" t="str">
        <f t="shared" si="1266"/>
        <v>N/A</v>
      </c>
      <c r="BD1035" s="200" t="str">
        <f t="shared" si="1266"/>
        <v>N/A</v>
      </c>
      <c r="BE1035" s="200" t="str">
        <f t="shared" si="1266"/>
        <v>N/A</v>
      </c>
      <c r="BF1035" s="200" t="str">
        <f t="shared" si="1266"/>
        <v>N/A</v>
      </c>
      <c r="BG1035" s="200"/>
      <c r="BH1035" s="582"/>
      <c r="BI1035" s="582"/>
      <c r="BJ1035" s="37"/>
      <c r="BK1035" s="37"/>
      <c r="BL1035" s="37"/>
      <c r="BM1035" s="37"/>
      <c r="BN1035" s="37"/>
      <c r="BO1035" s="37"/>
      <c r="BP1035" s="37"/>
      <c r="BQ1035" s="37"/>
      <c r="BR1035" s="200" t="str">
        <f t="shared" ref="BR1035:CB1035" si="1267">IF(ISBLANK(BR$1026),"N/A",IF(COUNTIFS(GD_Item_FiscalPeriod,BR$1026,GD_Item_Name,$B1035,GD_Update_Date,BR$1025)=0,"NR",SUMIFS(GD_Guidance_Mid,GD_Item_Name,$B1035,GD_Item_FiscalPeriod,BR$1026,GD_Update_Date,BR$1025)))</f>
        <v>NR</v>
      </c>
      <c r="BS1035" s="200" t="str">
        <f t="shared" si="1267"/>
        <v>NR</v>
      </c>
      <c r="BT1035" s="200" t="str">
        <f t="shared" si="1267"/>
        <v>NR</v>
      </c>
      <c r="BU1035" s="200" t="str">
        <f t="shared" si="1267"/>
        <v>NR</v>
      </c>
      <c r="BV1035" s="200" t="str">
        <f t="shared" si="1267"/>
        <v>NR</v>
      </c>
      <c r="BW1035" s="200" t="str">
        <f t="shared" si="1267"/>
        <v>NR</v>
      </c>
      <c r="BX1035" s="200" t="str">
        <f t="shared" si="1267"/>
        <v>N/A</v>
      </c>
      <c r="BY1035" s="200" t="str">
        <f t="shared" si="1267"/>
        <v>N/A</v>
      </c>
      <c r="BZ1035" s="200" t="str">
        <f t="shared" si="1267"/>
        <v>N/A</v>
      </c>
      <c r="CA1035" s="200" t="str">
        <f t="shared" si="1267"/>
        <v>N/A</v>
      </c>
      <c r="CB1035" s="200" t="str">
        <f t="shared" si="1267"/>
        <v>N/A</v>
      </c>
      <c r="CC1035" s="117"/>
    </row>
    <row r="1036" spans="1:81" x14ac:dyDescent="0.55000000000000004">
      <c r="A1036" s="428" t="s">
        <v>728</v>
      </c>
      <c r="B1036" s="759" t="s">
        <v>375</v>
      </c>
      <c r="C1036" s="37"/>
      <c r="D1036" s="37"/>
      <c r="E1036" s="37"/>
      <c r="F1036" s="37"/>
      <c r="G1036" s="37"/>
      <c r="H1036" s="37"/>
      <c r="I1036" s="37"/>
      <c r="J1036" s="37"/>
      <c r="K1036" s="37"/>
      <c r="L1036" s="37"/>
      <c r="M1036" s="37"/>
      <c r="N1036" s="37"/>
      <c r="O1036" s="37"/>
      <c r="P1036" s="37"/>
      <c r="Q1036" s="37"/>
      <c r="R1036" s="37"/>
      <c r="S1036" s="37"/>
      <c r="T1036" s="37"/>
      <c r="U1036" s="37"/>
      <c r="V1036" s="37"/>
      <c r="W1036" s="37"/>
      <c r="X1036" s="37"/>
      <c r="Y1036" s="37"/>
      <c r="Z1036" s="37"/>
      <c r="AA1036" s="37"/>
      <c r="AB1036" s="200" t="str">
        <f t="shared" ref="AB1036:BF1036" si="1268">IF(ISBLANK(AB$1026),"N/A",IF(COUNTIFS(GD_Item_FiscalPeriod,AB$1026,GD_Item_Name,$B1036,GD_Update_Date,AB$1025)=0,"NR",SUMIFS(GD_Guidance_Low,GD_Item_Name,$B1036,GD_Item_FiscalPeriod,AB$1026,GD_Update_Date,AB$1025)))</f>
        <v>NR</v>
      </c>
      <c r="AC1036" s="200" t="str">
        <f t="shared" si="1268"/>
        <v>NR</v>
      </c>
      <c r="AD1036" s="200" t="str">
        <f t="shared" si="1268"/>
        <v>NR</v>
      </c>
      <c r="AE1036" s="200" t="str">
        <f t="shared" si="1268"/>
        <v>NR</v>
      </c>
      <c r="AF1036" s="200" t="str">
        <f t="shared" si="1268"/>
        <v>NR</v>
      </c>
      <c r="AG1036" s="200" t="str">
        <f t="shared" si="1268"/>
        <v>NR</v>
      </c>
      <c r="AH1036" s="200" t="str">
        <f t="shared" si="1268"/>
        <v>NR</v>
      </c>
      <c r="AI1036" s="200" t="str">
        <f t="shared" si="1268"/>
        <v>NR</v>
      </c>
      <c r="AJ1036" s="200" t="str">
        <f t="shared" si="1268"/>
        <v>NR</v>
      </c>
      <c r="AK1036" s="200" t="str">
        <f t="shared" si="1268"/>
        <v>NR</v>
      </c>
      <c r="AL1036" s="200" t="str">
        <f t="shared" si="1268"/>
        <v>NR</v>
      </c>
      <c r="AM1036" s="200" t="str">
        <f t="shared" si="1268"/>
        <v>NR</v>
      </c>
      <c r="AN1036" s="200" t="str">
        <f t="shared" si="1268"/>
        <v>NR</v>
      </c>
      <c r="AO1036" s="200" t="str">
        <f t="shared" si="1268"/>
        <v>NR</v>
      </c>
      <c r="AP1036" s="200" t="str">
        <f t="shared" si="1268"/>
        <v>NR</v>
      </c>
      <c r="AQ1036" s="200" t="str">
        <f t="shared" si="1268"/>
        <v>NR</v>
      </c>
      <c r="AR1036" s="200" t="str">
        <f t="shared" si="1268"/>
        <v>NR</v>
      </c>
      <c r="AS1036" s="200" t="str">
        <f t="shared" si="1268"/>
        <v>NR</v>
      </c>
      <c r="AT1036" s="200" t="str">
        <f t="shared" si="1268"/>
        <v>NR</v>
      </c>
      <c r="AU1036" s="200" t="str">
        <f t="shared" si="1268"/>
        <v>NR</v>
      </c>
      <c r="AV1036" s="200" t="str">
        <f t="shared" si="1268"/>
        <v>NR</v>
      </c>
      <c r="AW1036" s="200" t="str">
        <f t="shared" si="1268"/>
        <v>NR</v>
      </c>
      <c r="AX1036" s="200" t="str">
        <f t="shared" si="1268"/>
        <v>NR</v>
      </c>
      <c r="AY1036" s="200" t="str">
        <f t="shared" si="1268"/>
        <v>NR</v>
      </c>
      <c r="AZ1036" s="200" t="str">
        <f t="shared" si="1268"/>
        <v>N/A</v>
      </c>
      <c r="BA1036" s="200" t="str">
        <f t="shared" si="1268"/>
        <v>N/A</v>
      </c>
      <c r="BB1036" s="200" t="str">
        <f t="shared" si="1268"/>
        <v>N/A</v>
      </c>
      <c r="BC1036" s="200" t="str">
        <f t="shared" si="1268"/>
        <v>N/A</v>
      </c>
      <c r="BD1036" s="200" t="str">
        <f t="shared" si="1268"/>
        <v>N/A</v>
      </c>
      <c r="BE1036" s="200" t="str">
        <f t="shared" si="1268"/>
        <v>N/A</v>
      </c>
      <c r="BF1036" s="200" t="str">
        <f t="shared" si="1268"/>
        <v>N/A</v>
      </c>
      <c r="BG1036" s="200"/>
      <c r="BH1036" s="582"/>
      <c r="BI1036" s="582"/>
      <c r="BJ1036" s="37"/>
      <c r="BK1036" s="37"/>
      <c r="BL1036" s="37"/>
      <c r="BM1036" s="37"/>
      <c r="BN1036" s="37"/>
      <c r="BO1036" s="37"/>
      <c r="BP1036" s="37"/>
      <c r="BQ1036" s="37"/>
      <c r="BR1036" s="200" t="str">
        <f t="shared" ref="BR1036:CB1036" si="1269">IF(ISBLANK(BR$1026),"N/A",IF(COUNTIFS(GD_Item_FiscalPeriod,BR$1026,GD_Item_Name,$B1036,GD_Update_Date,BR$1025)=0,"NR",SUMIFS(GD_Guidance_Low,GD_Item_Name,$B1036,GD_Item_FiscalPeriod,BR$1026,GD_Update_Date,BR$1025)))</f>
        <v>NR</v>
      </c>
      <c r="BS1036" s="200" t="str">
        <f t="shared" si="1269"/>
        <v>NR</v>
      </c>
      <c r="BT1036" s="200" t="str">
        <f t="shared" si="1269"/>
        <v>NR</v>
      </c>
      <c r="BU1036" s="200" t="str">
        <f t="shared" si="1269"/>
        <v>NR</v>
      </c>
      <c r="BV1036" s="200" t="str">
        <f t="shared" si="1269"/>
        <v>NR</v>
      </c>
      <c r="BW1036" s="200" t="str">
        <f t="shared" si="1269"/>
        <v>NR</v>
      </c>
      <c r="BX1036" s="200" t="str">
        <f t="shared" si="1269"/>
        <v>N/A</v>
      </c>
      <c r="BY1036" s="200" t="str">
        <f t="shared" si="1269"/>
        <v>N/A</v>
      </c>
      <c r="BZ1036" s="200" t="str">
        <f t="shared" si="1269"/>
        <v>N/A</v>
      </c>
      <c r="CA1036" s="200" t="str">
        <f t="shared" si="1269"/>
        <v>N/A</v>
      </c>
      <c r="CB1036" s="200" t="str">
        <f t="shared" si="1269"/>
        <v>N/A</v>
      </c>
      <c r="CC1036" s="117"/>
    </row>
    <row r="1037" spans="1:81" x14ac:dyDescent="0.55000000000000004">
      <c r="A1037" s="428" t="s">
        <v>726</v>
      </c>
      <c r="B1037" s="759" t="s">
        <v>375</v>
      </c>
      <c r="C1037" s="37"/>
      <c r="D1037" s="37"/>
      <c r="E1037" s="37"/>
      <c r="F1037" s="37"/>
      <c r="G1037" s="37"/>
      <c r="H1037" s="37"/>
      <c r="I1037" s="37"/>
      <c r="J1037" s="37"/>
      <c r="K1037" s="37"/>
      <c r="L1037" s="37"/>
      <c r="M1037" s="37"/>
      <c r="N1037" s="37"/>
      <c r="O1037" s="37"/>
      <c r="P1037" s="37"/>
      <c r="Q1037" s="37"/>
      <c r="R1037" s="37"/>
      <c r="S1037" s="37"/>
      <c r="T1037" s="37"/>
      <c r="U1037" s="37"/>
      <c r="V1037" s="37"/>
      <c r="W1037" s="37"/>
      <c r="X1037" s="37"/>
      <c r="Y1037" s="37"/>
      <c r="Z1037" s="37"/>
      <c r="AA1037" s="37"/>
      <c r="AB1037" s="200" t="str">
        <f t="shared" ref="AB1037:BF1037" si="1270">IF(ISBLANK(AB$1026),"N/A",IF(COUNTIFS(GD_Item_FiscalPeriod,AB$1026,GD_Item_Name,$B1037,GD_Update_Date,AB$1025)=0,"NR",SUMIFS(GD_Guidance_High,GD_Item_Name,$B1037,GD_Item_FiscalPeriod,AB$1026,GD_Update_Date,AB$1025)))</f>
        <v>NR</v>
      </c>
      <c r="AC1037" s="200" t="str">
        <f t="shared" si="1270"/>
        <v>NR</v>
      </c>
      <c r="AD1037" s="200" t="str">
        <f t="shared" si="1270"/>
        <v>NR</v>
      </c>
      <c r="AE1037" s="200" t="str">
        <f t="shared" si="1270"/>
        <v>NR</v>
      </c>
      <c r="AF1037" s="200" t="str">
        <f t="shared" si="1270"/>
        <v>NR</v>
      </c>
      <c r="AG1037" s="200" t="str">
        <f t="shared" si="1270"/>
        <v>NR</v>
      </c>
      <c r="AH1037" s="200" t="str">
        <f t="shared" si="1270"/>
        <v>NR</v>
      </c>
      <c r="AI1037" s="200" t="str">
        <f t="shared" si="1270"/>
        <v>NR</v>
      </c>
      <c r="AJ1037" s="200" t="str">
        <f t="shared" si="1270"/>
        <v>NR</v>
      </c>
      <c r="AK1037" s="200" t="str">
        <f t="shared" si="1270"/>
        <v>NR</v>
      </c>
      <c r="AL1037" s="200" t="str">
        <f t="shared" si="1270"/>
        <v>NR</v>
      </c>
      <c r="AM1037" s="200" t="str">
        <f t="shared" si="1270"/>
        <v>NR</v>
      </c>
      <c r="AN1037" s="200" t="str">
        <f t="shared" si="1270"/>
        <v>NR</v>
      </c>
      <c r="AO1037" s="200" t="str">
        <f t="shared" si="1270"/>
        <v>NR</v>
      </c>
      <c r="AP1037" s="200" t="str">
        <f t="shared" si="1270"/>
        <v>NR</v>
      </c>
      <c r="AQ1037" s="200" t="str">
        <f t="shared" si="1270"/>
        <v>NR</v>
      </c>
      <c r="AR1037" s="200" t="str">
        <f t="shared" si="1270"/>
        <v>NR</v>
      </c>
      <c r="AS1037" s="200" t="str">
        <f t="shared" si="1270"/>
        <v>NR</v>
      </c>
      <c r="AT1037" s="200" t="str">
        <f t="shared" si="1270"/>
        <v>NR</v>
      </c>
      <c r="AU1037" s="200" t="str">
        <f t="shared" si="1270"/>
        <v>NR</v>
      </c>
      <c r="AV1037" s="200" t="str">
        <f t="shared" si="1270"/>
        <v>NR</v>
      </c>
      <c r="AW1037" s="200" t="str">
        <f t="shared" si="1270"/>
        <v>NR</v>
      </c>
      <c r="AX1037" s="200" t="str">
        <f t="shared" si="1270"/>
        <v>NR</v>
      </c>
      <c r="AY1037" s="200" t="str">
        <f t="shared" si="1270"/>
        <v>NR</v>
      </c>
      <c r="AZ1037" s="200" t="str">
        <f t="shared" si="1270"/>
        <v>N/A</v>
      </c>
      <c r="BA1037" s="200" t="str">
        <f t="shared" si="1270"/>
        <v>N/A</v>
      </c>
      <c r="BB1037" s="200" t="str">
        <f t="shared" si="1270"/>
        <v>N/A</v>
      </c>
      <c r="BC1037" s="200" t="str">
        <f t="shared" si="1270"/>
        <v>N/A</v>
      </c>
      <c r="BD1037" s="200" t="str">
        <f t="shared" si="1270"/>
        <v>N/A</v>
      </c>
      <c r="BE1037" s="200" t="str">
        <f t="shared" si="1270"/>
        <v>N/A</v>
      </c>
      <c r="BF1037" s="200" t="str">
        <f t="shared" si="1270"/>
        <v>N/A</v>
      </c>
      <c r="BG1037" s="200"/>
      <c r="BH1037" s="582"/>
      <c r="BI1037" s="582"/>
      <c r="BJ1037" s="37"/>
      <c r="BK1037" s="37"/>
      <c r="BL1037" s="37"/>
      <c r="BM1037" s="37"/>
      <c r="BN1037" s="37"/>
      <c r="BO1037" s="37"/>
      <c r="BP1037" s="37"/>
      <c r="BQ1037" s="37"/>
      <c r="BR1037" s="200" t="str">
        <f t="shared" ref="BR1037:CB1037" si="1271">IF(ISBLANK(BR$1026),"N/A",IF(COUNTIFS(GD_Item_FiscalPeriod,BR$1026,GD_Item_Name,$B1037,GD_Update_Date,BR$1025)=0,"NR",SUMIFS(GD_Guidance_High,GD_Item_Name,$B1037,GD_Item_FiscalPeriod,BR$1026,GD_Update_Date,BR$1025)))</f>
        <v>NR</v>
      </c>
      <c r="BS1037" s="200" t="str">
        <f t="shared" si="1271"/>
        <v>NR</v>
      </c>
      <c r="BT1037" s="200" t="str">
        <f t="shared" si="1271"/>
        <v>NR</v>
      </c>
      <c r="BU1037" s="200" t="str">
        <f t="shared" si="1271"/>
        <v>NR</v>
      </c>
      <c r="BV1037" s="200" t="str">
        <f t="shared" si="1271"/>
        <v>NR</v>
      </c>
      <c r="BW1037" s="200" t="str">
        <f t="shared" si="1271"/>
        <v>NR</v>
      </c>
      <c r="BX1037" s="200" t="str">
        <f t="shared" si="1271"/>
        <v>N/A</v>
      </c>
      <c r="BY1037" s="200" t="str">
        <f t="shared" si="1271"/>
        <v>N/A</v>
      </c>
      <c r="BZ1037" s="200" t="str">
        <f t="shared" si="1271"/>
        <v>N/A</v>
      </c>
      <c r="CA1037" s="200" t="str">
        <f t="shared" si="1271"/>
        <v>N/A</v>
      </c>
      <c r="CB1037" s="200" t="str">
        <f t="shared" si="1271"/>
        <v>N/A</v>
      </c>
      <c r="CC1037" s="117"/>
    </row>
    <row r="1038" spans="1:81" x14ac:dyDescent="0.55000000000000004">
      <c r="A1038" s="428" t="s">
        <v>727</v>
      </c>
      <c r="B1038" s="759" t="s">
        <v>375</v>
      </c>
      <c r="C1038" s="37"/>
      <c r="D1038" s="37"/>
      <c r="E1038" s="37"/>
      <c r="F1038" s="37"/>
      <c r="G1038" s="37"/>
      <c r="H1038" s="37"/>
      <c r="I1038" s="37"/>
      <c r="J1038" s="37"/>
      <c r="K1038" s="37"/>
      <c r="L1038" s="37"/>
      <c r="M1038" s="37"/>
      <c r="N1038" s="37"/>
      <c r="O1038" s="37"/>
      <c r="P1038" s="37"/>
      <c r="Q1038" s="37"/>
      <c r="R1038" s="37"/>
      <c r="S1038" s="37"/>
      <c r="T1038" s="37"/>
      <c r="U1038" s="37"/>
      <c r="V1038" s="37"/>
      <c r="W1038" s="37"/>
      <c r="X1038" s="37"/>
      <c r="Y1038" s="37"/>
      <c r="Z1038" s="37"/>
      <c r="AA1038" s="37"/>
      <c r="AB1038" s="200" t="str">
        <f t="shared" ref="AB1038:BF1038" si="1272">IF(ISBLANK(AB$1026),"N/A",IF(COUNTIFS(GD_Item_FiscalPeriod,AB$1026,GD_Item_Name,$B1038,GD_Update_Date,AB$1025)=0,"NR",SUMIFS(GD_Guidance_Mid,GD_Item_Name,$B1038,GD_Item_FiscalPeriod,AB$1026,GD_Update_Date,AB$1025)))</f>
        <v>NR</v>
      </c>
      <c r="AC1038" s="200" t="str">
        <f t="shared" si="1272"/>
        <v>NR</v>
      </c>
      <c r="AD1038" s="200" t="str">
        <f t="shared" si="1272"/>
        <v>NR</v>
      </c>
      <c r="AE1038" s="200" t="str">
        <f t="shared" si="1272"/>
        <v>NR</v>
      </c>
      <c r="AF1038" s="200" t="str">
        <f t="shared" si="1272"/>
        <v>NR</v>
      </c>
      <c r="AG1038" s="200" t="str">
        <f t="shared" si="1272"/>
        <v>NR</v>
      </c>
      <c r="AH1038" s="200" t="str">
        <f t="shared" si="1272"/>
        <v>NR</v>
      </c>
      <c r="AI1038" s="200" t="str">
        <f t="shared" si="1272"/>
        <v>NR</v>
      </c>
      <c r="AJ1038" s="200" t="str">
        <f t="shared" si="1272"/>
        <v>NR</v>
      </c>
      <c r="AK1038" s="200" t="str">
        <f t="shared" si="1272"/>
        <v>NR</v>
      </c>
      <c r="AL1038" s="200" t="str">
        <f t="shared" si="1272"/>
        <v>NR</v>
      </c>
      <c r="AM1038" s="200" t="str">
        <f t="shared" si="1272"/>
        <v>NR</v>
      </c>
      <c r="AN1038" s="200" t="str">
        <f t="shared" si="1272"/>
        <v>NR</v>
      </c>
      <c r="AO1038" s="200" t="str">
        <f t="shared" si="1272"/>
        <v>NR</v>
      </c>
      <c r="AP1038" s="200" t="str">
        <f t="shared" si="1272"/>
        <v>NR</v>
      </c>
      <c r="AQ1038" s="200" t="str">
        <f t="shared" si="1272"/>
        <v>NR</v>
      </c>
      <c r="AR1038" s="200" t="str">
        <f t="shared" si="1272"/>
        <v>NR</v>
      </c>
      <c r="AS1038" s="200" t="str">
        <f t="shared" si="1272"/>
        <v>NR</v>
      </c>
      <c r="AT1038" s="200" t="str">
        <f t="shared" si="1272"/>
        <v>NR</v>
      </c>
      <c r="AU1038" s="200" t="str">
        <f t="shared" si="1272"/>
        <v>NR</v>
      </c>
      <c r="AV1038" s="200" t="str">
        <f t="shared" si="1272"/>
        <v>NR</v>
      </c>
      <c r="AW1038" s="200" t="str">
        <f t="shared" si="1272"/>
        <v>NR</v>
      </c>
      <c r="AX1038" s="200" t="str">
        <f t="shared" si="1272"/>
        <v>NR</v>
      </c>
      <c r="AY1038" s="200" t="str">
        <f t="shared" si="1272"/>
        <v>NR</v>
      </c>
      <c r="AZ1038" s="200" t="str">
        <f t="shared" si="1272"/>
        <v>N/A</v>
      </c>
      <c r="BA1038" s="200" t="str">
        <f t="shared" si="1272"/>
        <v>N/A</v>
      </c>
      <c r="BB1038" s="200" t="str">
        <f t="shared" si="1272"/>
        <v>N/A</v>
      </c>
      <c r="BC1038" s="200" t="str">
        <f t="shared" si="1272"/>
        <v>N/A</v>
      </c>
      <c r="BD1038" s="200" t="str">
        <f t="shared" si="1272"/>
        <v>N/A</v>
      </c>
      <c r="BE1038" s="200" t="str">
        <f t="shared" si="1272"/>
        <v>N/A</v>
      </c>
      <c r="BF1038" s="200" t="str">
        <f t="shared" si="1272"/>
        <v>N/A</v>
      </c>
      <c r="BG1038" s="200"/>
      <c r="BH1038" s="582"/>
      <c r="BI1038" s="582"/>
      <c r="BJ1038" s="37"/>
      <c r="BK1038" s="37"/>
      <c r="BL1038" s="37"/>
      <c r="BM1038" s="37"/>
      <c r="BN1038" s="37"/>
      <c r="BO1038" s="37"/>
      <c r="BP1038" s="37"/>
      <c r="BQ1038" s="37"/>
      <c r="BR1038" s="200" t="str">
        <f t="shared" ref="BR1038:CB1038" si="1273">IF(ISBLANK(BR$1026),"N/A",IF(COUNTIFS(GD_Item_FiscalPeriod,BR$1026,GD_Item_Name,$B1038,GD_Update_Date,BR$1025)=0,"NR",SUMIFS(GD_Guidance_Mid,GD_Item_Name,$B1038,GD_Item_FiscalPeriod,BR$1026,GD_Update_Date,BR$1025)))</f>
        <v>NR</v>
      </c>
      <c r="BS1038" s="200" t="str">
        <f t="shared" si="1273"/>
        <v>NR</v>
      </c>
      <c r="BT1038" s="200" t="str">
        <f t="shared" si="1273"/>
        <v>NR</v>
      </c>
      <c r="BU1038" s="200" t="str">
        <f t="shared" si="1273"/>
        <v>NR</v>
      </c>
      <c r="BV1038" s="200" t="str">
        <f t="shared" si="1273"/>
        <v>NR</v>
      </c>
      <c r="BW1038" s="200" t="str">
        <f t="shared" si="1273"/>
        <v>NR</v>
      </c>
      <c r="BX1038" s="200" t="str">
        <f t="shared" si="1273"/>
        <v>N/A</v>
      </c>
      <c r="BY1038" s="200" t="str">
        <f t="shared" si="1273"/>
        <v>N/A</v>
      </c>
      <c r="BZ1038" s="200" t="str">
        <f t="shared" si="1273"/>
        <v>N/A</v>
      </c>
      <c r="CA1038" s="200" t="str">
        <f t="shared" si="1273"/>
        <v>N/A</v>
      </c>
      <c r="CB1038" s="200" t="str">
        <f t="shared" si="1273"/>
        <v>N/A</v>
      </c>
      <c r="CC1038" s="117"/>
    </row>
    <row r="1039" spans="1:81" x14ac:dyDescent="0.55000000000000004">
      <c r="A1039" s="417"/>
      <c r="B1039" s="82"/>
      <c r="C1039" s="82"/>
      <c r="D1039" s="82"/>
      <c r="E1039" s="82"/>
      <c r="F1039" s="82"/>
      <c r="G1039" s="82"/>
      <c r="H1039" s="82"/>
      <c r="I1039" s="82"/>
      <c r="J1039" s="82"/>
      <c r="K1039" s="82"/>
      <c r="L1039" s="82"/>
      <c r="M1039" s="82"/>
      <c r="N1039" s="82"/>
      <c r="O1039" s="82"/>
      <c r="P1039" s="82"/>
      <c r="Q1039" s="82"/>
      <c r="R1039" s="82"/>
      <c r="S1039" s="82"/>
      <c r="T1039" s="82"/>
      <c r="U1039" s="82"/>
      <c r="V1039" s="82"/>
      <c r="W1039" s="82"/>
      <c r="X1039" s="82"/>
      <c r="Y1039" s="82"/>
      <c r="Z1039" s="82"/>
      <c r="AA1039" s="82"/>
      <c r="AB1039" s="82"/>
      <c r="AC1039" s="82"/>
      <c r="AD1039" s="82"/>
      <c r="AE1039" s="82"/>
      <c r="AF1039" s="82"/>
      <c r="AG1039" s="82"/>
      <c r="AH1039" s="82"/>
      <c r="AI1039" s="82"/>
      <c r="AJ1039" s="82"/>
      <c r="AK1039" s="82"/>
      <c r="AL1039" s="82"/>
      <c r="AM1039" s="82"/>
      <c r="AN1039" s="82"/>
      <c r="AO1039" s="82"/>
      <c r="AP1039" s="82"/>
      <c r="AQ1039" s="82"/>
      <c r="AR1039" s="82"/>
      <c r="AS1039" s="82"/>
      <c r="AT1039" s="82"/>
      <c r="AU1039" s="82"/>
      <c r="AV1039" s="82"/>
      <c r="AW1039" s="82"/>
      <c r="AX1039" s="82"/>
      <c r="AY1039" s="82"/>
      <c r="AZ1039" s="82"/>
      <c r="BA1039" s="82"/>
      <c r="BB1039" s="82"/>
      <c r="BC1039" s="82"/>
      <c r="BD1039" s="82"/>
      <c r="BE1039" s="82"/>
      <c r="BF1039" s="82"/>
      <c r="BG1039" s="82"/>
      <c r="BH1039" s="418"/>
      <c r="BI1039" s="418"/>
      <c r="BJ1039" s="82"/>
      <c r="BK1039" s="82"/>
      <c r="BL1039" s="82"/>
      <c r="BM1039" s="82"/>
      <c r="BN1039" s="82"/>
      <c r="BO1039" s="82"/>
      <c r="BP1039" s="82"/>
      <c r="BQ1039" s="82"/>
      <c r="BR1039" s="82"/>
      <c r="BS1039" s="82"/>
      <c r="BT1039" s="82"/>
      <c r="BU1039" s="82"/>
      <c r="BV1039" s="82"/>
      <c r="BW1039" s="82"/>
      <c r="BX1039" s="82"/>
      <c r="BY1039" s="82"/>
      <c r="BZ1039" s="82"/>
      <c r="CA1039" s="82"/>
      <c r="CB1039" s="82"/>
      <c r="CC1039" s="117"/>
    </row>
    <row r="1040" spans="1:81" x14ac:dyDescent="0.55000000000000004">
      <c r="A1040" s="377"/>
      <c r="B1040" s="37"/>
      <c r="C1040" s="37"/>
      <c r="D1040" s="37"/>
      <c r="E1040" s="37"/>
      <c r="F1040" s="37"/>
      <c r="G1040" s="37"/>
      <c r="H1040" s="37"/>
      <c r="I1040" s="37"/>
      <c r="J1040" s="37"/>
      <c r="K1040" s="37"/>
      <c r="L1040" s="37"/>
      <c r="M1040" s="37"/>
      <c r="N1040" s="37"/>
      <c r="O1040" s="37"/>
      <c r="P1040" s="37"/>
      <c r="Q1040" s="37"/>
      <c r="R1040" s="37"/>
      <c r="S1040" s="37"/>
      <c r="T1040" s="37"/>
      <c r="U1040" s="37"/>
      <c r="V1040" s="37"/>
      <c r="W1040" s="37"/>
      <c r="X1040" s="37"/>
      <c r="Y1040" s="37"/>
      <c r="Z1040" s="37"/>
      <c r="AA1040" s="37"/>
      <c r="AB1040" s="37"/>
      <c r="AC1040" s="37"/>
      <c r="AD1040" s="37"/>
      <c r="AE1040" s="37"/>
      <c r="AF1040" s="37"/>
      <c r="AG1040" s="37"/>
      <c r="AH1040" s="37"/>
      <c r="AI1040" s="37"/>
      <c r="AJ1040" s="37"/>
      <c r="AK1040" s="37"/>
      <c r="AL1040" s="37"/>
      <c r="AM1040" s="37"/>
      <c r="AN1040" s="37"/>
      <c r="AO1040" s="37"/>
      <c r="AP1040" s="37"/>
      <c r="AQ1040" s="37"/>
      <c r="AR1040" s="37"/>
      <c r="AS1040" s="37"/>
      <c r="AT1040" s="37"/>
      <c r="AU1040" s="37"/>
      <c r="AV1040" s="37"/>
      <c r="AW1040" s="37"/>
      <c r="AX1040" s="37"/>
      <c r="AY1040" s="37"/>
      <c r="AZ1040" s="37"/>
      <c r="BA1040" s="37"/>
      <c r="BB1040" s="37"/>
      <c r="BC1040" s="37"/>
      <c r="BD1040" s="37"/>
      <c r="BE1040" s="37"/>
      <c r="BF1040" s="37"/>
      <c r="BG1040" s="37"/>
      <c r="BH1040" s="582"/>
      <c r="BI1040" s="582"/>
      <c r="BJ1040" s="37"/>
      <c r="BK1040" s="37"/>
      <c r="BL1040" s="37"/>
      <c r="BM1040" s="37"/>
      <c r="BN1040" s="37"/>
      <c r="BO1040" s="37"/>
      <c r="BP1040" s="37"/>
      <c r="BQ1040" s="37"/>
      <c r="BR1040" s="37"/>
      <c r="BS1040" s="37"/>
      <c r="BT1040" s="37"/>
      <c r="BU1040" s="37"/>
      <c r="BV1040" s="37"/>
      <c r="BW1040" s="37"/>
      <c r="BX1040" s="37"/>
      <c r="BY1040" s="37"/>
      <c r="BZ1040" s="37"/>
      <c r="CA1040" s="37"/>
      <c r="CB1040" s="37"/>
      <c r="CC1040" s="117"/>
    </row>
    <row r="1041" spans="1:81" x14ac:dyDescent="0.55000000000000004">
      <c r="A1041" s="426" t="s">
        <v>731</v>
      </c>
      <c r="B1041" s="33"/>
      <c r="C1041" s="33"/>
      <c r="D1041" s="33"/>
      <c r="E1041" s="33"/>
      <c r="F1041" s="33"/>
      <c r="G1041" s="33"/>
      <c r="H1041" s="33"/>
      <c r="I1041" s="33"/>
      <c r="J1041" s="33"/>
      <c r="K1041" s="33"/>
      <c r="L1041" s="33"/>
      <c r="M1041" s="33"/>
      <c r="N1041" s="33"/>
      <c r="O1041" s="33"/>
      <c r="P1041" s="33"/>
      <c r="Q1041" s="33"/>
      <c r="R1041" s="33"/>
      <c r="S1041" s="33"/>
      <c r="T1041" s="33"/>
      <c r="U1041" s="33"/>
      <c r="V1041" s="33"/>
      <c r="W1041" s="33"/>
      <c r="X1041" s="33"/>
      <c r="Y1041" s="33"/>
      <c r="Z1041" s="33"/>
      <c r="AA1041" s="33"/>
      <c r="AB1041" s="33"/>
      <c r="AC1041" s="33"/>
      <c r="AD1041" s="33"/>
      <c r="AE1041" s="33"/>
      <c r="AF1041" s="33"/>
      <c r="AG1041" s="33"/>
      <c r="AH1041" s="33"/>
      <c r="AI1041" s="33"/>
      <c r="AJ1041" s="33"/>
      <c r="AK1041" s="33"/>
      <c r="AL1041" s="33"/>
      <c r="AM1041" s="33"/>
      <c r="AN1041" s="33"/>
      <c r="AO1041" s="33"/>
      <c r="AP1041" s="33"/>
      <c r="AQ1041" s="33"/>
      <c r="AR1041" s="33"/>
      <c r="AS1041" s="33"/>
      <c r="AT1041" s="33"/>
      <c r="AU1041" s="33"/>
      <c r="AV1041" s="33"/>
      <c r="AW1041" s="33"/>
      <c r="AX1041" s="33"/>
      <c r="AY1041" s="33"/>
      <c r="AZ1041" s="33"/>
      <c r="BA1041" s="33"/>
      <c r="BB1041" s="33"/>
      <c r="BC1041" s="33"/>
      <c r="BD1041" s="33"/>
      <c r="BE1041" s="33"/>
      <c r="BF1041" s="33"/>
      <c r="BG1041" s="33"/>
      <c r="BH1041" s="419"/>
      <c r="BI1041" s="419"/>
      <c r="BJ1041" s="33"/>
      <c r="BK1041" s="33"/>
      <c r="BL1041" s="33"/>
      <c r="BM1041" s="33"/>
      <c r="BN1041" s="33"/>
      <c r="BO1041" s="33"/>
      <c r="BP1041" s="33"/>
      <c r="BQ1041" s="33"/>
      <c r="BR1041" s="33"/>
      <c r="BS1041" s="33"/>
      <c r="BT1041" s="33"/>
      <c r="BU1041" s="33"/>
      <c r="BV1041" s="33"/>
      <c r="BW1041" s="33"/>
      <c r="BX1041" s="33"/>
      <c r="BY1041" s="33"/>
      <c r="BZ1041" s="33"/>
      <c r="CA1041" s="33"/>
      <c r="CB1041" s="33"/>
      <c r="CC1041" s="117"/>
    </row>
    <row r="1042" spans="1:81" s="720" customFormat="1" x14ac:dyDescent="0.55000000000000004">
      <c r="A1042" s="425" t="s">
        <v>715</v>
      </c>
      <c r="B1042" s="421"/>
      <c r="C1042" s="423"/>
      <c r="D1042" s="423"/>
      <c r="E1042" s="423"/>
      <c r="F1042" s="423"/>
      <c r="G1042" s="423"/>
      <c r="H1042" s="423"/>
      <c r="I1042" s="423"/>
      <c r="J1042" s="423"/>
      <c r="K1042" s="423"/>
      <c r="L1042" s="423"/>
      <c r="M1042" s="423"/>
      <c r="N1042" s="423"/>
      <c r="O1042" s="423"/>
      <c r="P1042" s="423"/>
      <c r="Q1042" s="423"/>
      <c r="R1042" s="423"/>
      <c r="S1042" s="423"/>
      <c r="T1042" s="423"/>
      <c r="U1042" s="423"/>
      <c r="V1042" s="423"/>
      <c r="W1042" s="423"/>
      <c r="X1042" s="423"/>
      <c r="Y1042" s="423"/>
      <c r="Z1042" s="423"/>
      <c r="AA1042" s="423"/>
      <c r="AB1042" s="423">
        <f t="shared" ref="AB1042:AY1042" si="1274">AB1025</f>
        <v>43699</v>
      </c>
      <c r="AC1042" s="423">
        <f t="shared" si="1274"/>
        <v>43768</v>
      </c>
      <c r="AD1042" s="423">
        <f t="shared" si="1274"/>
        <v>43859</v>
      </c>
      <c r="AE1042" s="423">
        <f t="shared" si="1274"/>
        <v>43950</v>
      </c>
      <c r="AF1042" s="423">
        <f t="shared" si="1274"/>
        <v>44042</v>
      </c>
      <c r="AG1042" s="423">
        <f t="shared" si="1274"/>
        <v>44133</v>
      </c>
      <c r="AH1042" s="423">
        <f t="shared" si="1274"/>
        <v>44223</v>
      </c>
      <c r="AI1042" s="423">
        <f t="shared" si="1274"/>
        <v>44314</v>
      </c>
      <c r="AJ1042" s="423">
        <f t="shared" si="1274"/>
        <v>44405</v>
      </c>
      <c r="AK1042" s="423">
        <f t="shared" si="1274"/>
        <v>44494</v>
      </c>
      <c r="AL1042" s="423">
        <f t="shared" si="1274"/>
        <v>44594</v>
      </c>
      <c r="AM1042" s="423">
        <f t="shared" si="1274"/>
        <v>44678</v>
      </c>
      <c r="AN1042" s="423">
        <f t="shared" si="1274"/>
        <v>44769</v>
      </c>
      <c r="AO1042" s="423">
        <f t="shared" si="1274"/>
        <v>44860</v>
      </c>
      <c r="AP1042" s="423">
        <f t="shared" si="1274"/>
        <v>44928</v>
      </c>
      <c r="AQ1042" s="423">
        <f t="shared" si="1274"/>
        <v>45042</v>
      </c>
      <c r="AR1042" s="423">
        <f t="shared" si="1274"/>
        <v>45133</v>
      </c>
      <c r="AS1042" s="423">
        <f t="shared" si="1274"/>
        <v>45224</v>
      </c>
      <c r="AT1042" s="423">
        <f t="shared" si="1274"/>
        <v>45323</v>
      </c>
      <c r="AU1042" s="423">
        <f t="shared" si="1274"/>
        <v>45406</v>
      </c>
      <c r="AV1042" s="423">
        <f t="shared" si="1274"/>
        <v>45504</v>
      </c>
      <c r="AW1042" s="423">
        <f t="shared" si="1274"/>
        <v>45595</v>
      </c>
      <c r="AX1042" s="423">
        <f t="shared" si="1274"/>
        <v>45686</v>
      </c>
      <c r="AY1042" s="423">
        <f t="shared" si="1274"/>
        <v>45777</v>
      </c>
      <c r="AZ1042" s="423"/>
      <c r="BA1042" s="423"/>
      <c r="BB1042" s="423"/>
      <c r="BC1042" s="423"/>
      <c r="BD1042" s="423"/>
      <c r="BE1042" s="423"/>
      <c r="BF1042" s="423"/>
      <c r="BG1042" s="423"/>
      <c r="BH1042" s="583"/>
      <c r="BI1042" s="583"/>
      <c r="BJ1042" s="584"/>
      <c r="BK1042" s="423"/>
      <c r="BL1042" s="423"/>
      <c r="BM1042" s="423"/>
      <c r="BN1042" s="423"/>
      <c r="BO1042" s="423"/>
      <c r="BP1042" s="423"/>
      <c r="BQ1042" s="423"/>
      <c r="BR1042" s="423">
        <f t="shared" ref="BR1042:BW1042" si="1275">BR1025</f>
        <v>43859</v>
      </c>
      <c r="BS1042" s="423">
        <f t="shared" si="1275"/>
        <v>44223</v>
      </c>
      <c r="BT1042" s="423">
        <f t="shared" si="1275"/>
        <v>44594</v>
      </c>
      <c r="BU1042" s="423">
        <f t="shared" si="1275"/>
        <v>44928</v>
      </c>
      <c r="BV1042" s="423">
        <f t="shared" si="1275"/>
        <v>45323</v>
      </c>
      <c r="BW1042" s="423">
        <f t="shared" si="1275"/>
        <v>45686</v>
      </c>
      <c r="BX1042" s="423"/>
      <c r="BY1042" s="423"/>
      <c r="BZ1042" s="423"/>
      <c r="CA1042" s="423"/>
      <c r="CB1042" s="423"/>
      <c r="CC1042" s="422"/>
    </row>
    <row r="1043" spans="1:81" s="720" customFormat="1" x14ac:dyDescent="0.55000000000000004">
      <c r="A1043" s="425" t="s">
        <v>729</v>
      </c>
      <c r="B1043" s="421"/>
      <c r="C1043" s="423"/>
      <c r="D1043" s="423"/>
      <c r="E1043" s="423"/>
      <c r="F1043" s="423"/>
      <c r="G1043" s="423"/>
      <c r="H1043" s="423"/>
      <c r="I1043" s="423"/>
      <c r="J1043" s="423"/>
      <c r="K1043" s="423"/>
      <c r="L1043" s="423"/>
      <c r="M1043" s="423"/>
      <c r="N1043" s="423"/>
      <c r="O1043" s="423"/>
      <c r="P1043" s="423"/>
      <c r="Q1043" s="423"/>
      <c r="R1043" s="423"/>
      <c r="S1043" s="423"/>
      <c r="T1043" s="423"/>
      <c r="U1043" s="423"/>
      <c r="V1043" s="423"/>
      <c r="W1043" s="423"/>
      <c r="X1043" s="423"/>
      <c r="Y1043" s="423"/>
      <c r="Z1043" s="423"/>
      <c r="AA1043" s="423"/>
      <c r="AB1043" s="423" t="str">
        <f>IF(AB1044=AC1044,"",AB1044)</f>
        <v/>
      </c>
      <c r="AC1043" s="423" t="str">
        <f>IF(AC1044=AD1044,"",AC1044)</f>
        <v>FY2019</v>
      </c>
      <c r="AD1043" s="423" t="str">
        <f>IF(AD1044=BR1044,"",AD1044)</f>
        <v/>
      </c>
      <c r="AE1043" s="423" t="str">
        <f>IF(AE1044=AF1044,"",AE1044)</f>
        <v/>
      </c>
      <c r="AF1043" s="423" t="str">
        <f>IF(AF1044=AG1044,"",AF1044)</f>
        <v/>
      </c>
      <c r="AG1043" s="423" t="str">
        <f>IF(AG1044=AH1044,"",AG1044)</f>
        <v>FY2020</v>
      </c>
      <c r="AH1043" s="423" t="str">
        <f>IF(AH1044=BS1044,"",AH1044)</f>
        <v/>
      </c>
      <c r="AI1043" s="423" t="str">
        <f>IF(AI1044=AJ1044,"",AI1044)</f>
        <v/>
      </c>
      <c r="AJ1043" s="423" t="str">
        <f>IF(AJ1044=AK1044,"",AJ1044)</f>
        <v/>
      </c>
      <c r="AK1043" s="423" t="str">
        <f>IF(AK1044=AL1044,"",AK1044)</f>
        <v>FY2021</v>
      </c>
      <c r="AL1043" s="423" t="str">
        <f>IF(AL1044=BT1044,"",AL1044)</f>
        <v/>
      </c>
      <c r="AM1043" s="423" t="str">
        <f>IF(AM1044=AN1044,"",AM1044)</f>
        <v/>
      </c>
      <c r="AN1043" s="423" t="str">
        <f>IF(AN1044=AO1044,"",AN1044)</f>
        <v/>
      </c>
      <c r="AO1043" s="423" t="str">
        <f>IF(AO1044=AP1044,"",AO1044)</f>
        <v>FY2022</v>
      </c>
      <c r="AP1043" s="423" t="str">
        <f>IF(AP1044=BU1044,"",AP1044)</f>
        <v/>
      </c>
      <c r="AQ1043" s="423" t="str">
        <f>IF(AQ1044=AR1044,"",AQ1044)</f>
        <v/>
      </c>
      <c r="AR1043" s="423" t="str">
        <f>IF(AR1044=AS1044,"",AR1044)</f>
        <v/>
      </c>
      <c r="AS1043" s="423" t="str">
        <f>IF(AS1044=AT1044,"",AS1044)</f>
        <v>FY2023</v>
      </c>
      <c r="AT1043" s="423" t="str">
        <f>IF(AT1044=BV1044,"",AT1044)</f>
        <v/>
      </c>
      <c r="AU1043" s="423" t="str">
        <f>IF(AU1044=AV1044,"",AU1044)</f>
        <v/>
      </c>
      <c r="AV1043" s="423" t="str">
        <f>IF(AV1044=AW1044,"",AV1044)</f>
        <v/>
      </c>
      <c r="AW1043" s="423" t="str">
        <f>IF(AW1044=AX1044,"",AW1044)</f>
        <v>FY2024</v>
      </c>
      <c r="AX1043" s="423" t="str">
        <f>IF(AX1044=BW1044,"",AX1044)</f>
        <v/>
      </c>
      <c r="AY1043" s="423" t="str">
        <f>IF(AY1044=AZ1044,"",AY1044)</f>
        <v>FY2025</v>
      </c>
      <c r="AZ1043" s="423"/>
      <c r="BA1043" s="423"/>
      <c r="BB1043" s="423"/>
      <c r="BC1043" s="423"/>
      <c r="BD1043" s="423"/>
      <c r="BE1043" s="423"/>
      <c r="BF1043" s="423"/>
      <c r="BG1043" s="423"/>
      <c r="BH1043" s="583"/>
      <c r="BI1043" s="583"/>
      <c r="BJ1043" s="584"/>
      <c r="BK1043" s="423"/>
      <c r="BL1043" s="423"/>
      <c r="BM1043" s="423"/>
      <c r="BN1043" s="423"/>
      <c r="BO1043" s="423"/>
      <c r="BP1043" s="423"/>
      <c r="BQ1043" s="423"/>
      <c r="BR1043" s="423" t="str">
        <f>IF(BR1044=AE1044,"",BR1044)</f>
        <v/>
      </c>
      <c r="BS1043" s="423" t="str">
        <f>IF(BS1044=AI1044,"",BS1044)</f>
        <v/>
      </c>
      <c r="BT1043" s="423" t="str">
        <f>IF(BT1044=AM1044,"",BT1044)</f>
        <v/>
      </c>
      <c r="BU1043" s="423" t="str">
        <f>IF(BU1044=AQ1044,"",BU1044)</f>
        <v/>
      </c>
      <c r="BV1043" s="423" t="str">
        <f>IF(BV1044=AU1044,"",BV1044)</f>
        <v/>
      </c>
      <c r="BW1043" s="423" t="str">
        <f>IF(BW1044=AY1044,"",BW1044)</f>
        <v/>
      </c>
      <c r="BX1043" s="423"/>
      <c r="BY1043" s="423"/>
      <c r="BZ1043" s="423"/>
      <c r="CA1043" s="423"/>
      <c r="CB1043" s="423"/>
      <c r="CC1043" s="422"/>
    </row>
    <row r="1044" spans="1:81" x14ac:dyDescent="0.55000000000000004">
      <c r="A1044" s="425" t="s">
        <v>716</v>
      </c>
      <c r="B1044" s="35"/>
      <c r="C1044" s="424"/>
      <c r="D1044" s="424"/>
      <c r="E1044" s="424"/>
      <c r="F1044" s="424"/>
      <c r="G1044" s="424"/>
      <c r="H1044" s="424"/>
      <c r="I1044" s="424"/>
      <c r="J1044" s="424"/>
      <c r="K1044" s="424"/>
      <c r="L1044" s="424"/>
      <c r="M1044" s="424"/>
      <c r="N1044" s="424"/>
      <c r="O1044" s="424"/>
      <c r="P1044" s="424"/>
      <c r="Q1044" s="424"/>
      <c r="R1044" s="424"/>
      <c r="S1044" s="424"/>
      <c r="T1044" s="424"/>
      <c r="U1044" s="424"/>
      <c r="V1044" s="424"/>
      <c r="W1044" s="424"/>
      <c r="X1044" s="424"/>
      <c r="Y1044" s="424"/>
      <c r="Z1044" s="424"/>
      <c r="AA1044" s="424"/>
      <c r="AB1044" s="424" t="str">
        <f>BR$5</f>
        <v>FY2019</v>
      </c>
      <c r="AC1044" s="424" t="str">
        <f>BR$5</f>
        <v>FY2019</v>
      </c>
      <c r="AD1044" s="424" t="str">
        <f>BS$5</f>
        <v>FY2020</v>
      </c>
      <c r="AE1044" s="424" t="str">
        <f>BS$5</f>
        <v>FY2020</v>
      </c>
      <c r="AF1044" s="424" t="str">
        <f>BS$5</f>
        <v>FY2020</v>
      </c>
      <c r="AG1044" s="424" t="str">
        <f>BS$5</f>
        <v>FY2020</v>
      </c>
      <c r="AH1044" s="424" t="str">
        <f>BT$5</f>
        <v>FY2021</v>
      </c>
      <c r="AI1044" s="424" t="str">
        <f>BT$5</f>
        <v>FY2021</v>
      </c>
      <c r="AJ1044" s="424" t="str">
        <f>BT$5</f>
        <v>FY2021</v>
      </c>
      <c r="AK1044" s="424" t="str">
        <f>BT$5</f>
        <v>FY2021</v>
      </c>
      <c r="AL1044" s="424" t="str">
        <f>BU$5</f>
        <v>FY2022</v>
      </c>
      <c r="AM1044" s="424" t="str">
        <f>BU$5</f>
        <v>FY2022</v>
      </c>
      <c r="AN1044" s="424" t="str">
        <f>BU$5</f>
        <v>FY2022</v>
      </c>
      <c r="AO1044" s="424" t="str">
        <f>BU$5</f>
        <v>FY2022</v>
      </c>
      <c r="AP1044" s="424" t="str">
        <f>BV$5</f>
        <v>FY2023</v>
      </c>
      <c r="AQ1044" s="424" t="str">
        <f>BV$5</f>
        <v>FY2023</v>
      </c>
      <c r="AR1044" s="424" t="str">
        <f>BV$5</f>
        <v>FY2023</v>
      </c>
      <c r="AS1044" s="424" t="str">
        <f>BV$5</f>
        <v>FY2023</v>
      </c>
      <c r="AT1044" s="424" t="str">
        <f>BW$5</f>
        <v>FY2024</v>
      </c>
      <c r="AU1044" s="424" t="str">
        <f>BW$5</f>
        <v>FY2024</v>
      </c>
      <c r="AV1044" s="424" t="str">
        <f>BW$5</f>
        <v>FY2024</v>
      </c>
      <c r="AW1044" s="424" t="str">
        <f>BW$5</f>
        <v>FY2024</v>
      </c>
      <c r="AX1044" s="424" t="str">
        <f>BX$5</f>
        <v>FY2025</v>
      </c>
      <c r="AY1044" s="424" t="str">
        <f>BX$5</f>
        <v>FY2025</v>
      </c>
      <c r="AZ1044" s="424"/>
      <c r="BA1044" s="424"/>
      <c r="BB1044" s="424"/>
      <c r="BC1044" s="424"/>
      <c r="BD1044" s="424"/>
      <c r="BE1044" s="424"/>
      <c r="BF1044" s="424"/>
      <c r="BG1044" s="424"/>
      <c r="BH1044" s="585"/>
      <c r="BI1044" s="585"/>
      <c r="BJ1044" s="424"/>
      <c r="BK1044" s="424"/>
      <c r="BL1044" s="424"/>
      <c r="BM1044" s="424"/>
      <c r="BN1044" s="424"/>
      <c r="BO1044" s="424"/>
      <c r="BP1044" s="424"/>
      <c r="BQ1044" s="424"/>
      <c r="BR1044" s="424" t="str">
        <f t="shared" ref="BR1044:BW1044" si="1276">BS$5</f>
        <v>FY2020</v>
      </c>
      <c r="BS1044" s="424" t="str">
        <f t="shared" si="1276"/>
        <v>FY2021</v>
      </c>
      <c r="BT1044" s="424" t="str">
        <f t="shared" si="1276"/>
        <v>FY2022</v>
      </c>
      <c r="BU1044" s="424" t="str">
        <f t="shared" si="1276"/>
        <v>FY2023</v>
      </c>
      <c r="BV1044" s="424" t="str">
        <f t="shared" si="1276"/>
        <v>FY2024</v>
      </c>
      <c r="BW1044" s="424" t="str">
        <f t="shared" si="1276"/>
        <v>FY2025</v>
      </c>
      <c r="BX1044" s="424"/>
      <c r="BY1044" s="424"/>
      <c r="BZ1044" s="424"/>
      <c r="CA1044" s="424"/>
      <c r="CB1044" s="424"/>
      <c r="CC1044" s="117"/>
    </row>
    <row r="1045" spans="1:81" s="706" customFormat="1" x14ac:dyDescent="0.55000000000000004">
      <c r="A1045" s="428" t="s">
        <v>717</v>
      </c>
      <c r="B1045" s="759" t="s">
        <v>494</v>
      </c>
      <c r="C1045" s="37"/>
      <c r="D1045" s="37"/>
      <c r="E1045" s="37"/>
      <c r="F1045" s="37"/>
      <c r="G1045" s="37"/>
      <c r="H1045" s="37"/>
      <c r="I1045" s="37"/>
      <c r="J1045" s="37"/>
      <c r="K1045" s="37"/>
      <c r="L1045" s="37"/>
      <c r="M1045" s="37"/>
      <c r="N1045" s="37"/>
      <c r="O1045" s="37"/>
      <c r="P1045" s="37"/>
      <c r="Q1045" s="37"/>
      <c r="R1045" s="37"/>
      <c r="S1045" s="37"/>
      <c r="T1045" s="37"/>
      <c r="U1045" s="37"/>
      <c r="V1045" s="37"/>
      <c r="W1045" s="37"/>
      <c r="X1045" s="37"/>
      <c r="Y1045" s="37"/>
      <c r="Z1045" s="37"/>
      <c r="AA1045" s="37"/>
      <c r="AB1045" s="200" t="str">
        <f t="shared" ref="AB1045:BF1045" si="1277">IF(ISBLANK(AB$1044),"N/A",IF(COUNTIFS(GD_Item_FiscalPeriod,AB$1044,GD_Item_Name,$B1045,GD_Update_Date,AB$1042)=0,"NR",SUMIFS(GD_Guidance_Low,GD_Item_Name,$B1045,GD_Item_FiscalPeriod,AB$1044,GD_Update_Date,AB$1042)))</f>
        <v>NR</v>
      </c>
      <c r="AC1045" s="200" t="str">
        <f t="shared" si="1277"/>
        <v>NR</v>
      </c>
      <c r="AD1045" s="200" t="str">
        <f t="shared" si="1277"/>
        <v>NR</v>
      </c>
      <c r="AE1045" s="200" t="str">
        <f t="shared" si="1277"/>
        <v>NR</v>
      </c>
      <c r="AF1045" s="200" t="str">
        <f t="shared" si="1277"/>
        <v>NR</v>
      </c>
      <c r="AG1045" s="200" t="str">
        <f t="shared" si="1277"/>
        <v>NR</v>
      </c>
      <c r="AH1045" s="200" t="str">
        <f t="shared" si="1277"/>
        <v>NR</v>
      </c>
      <c r="AI1045" s="200" t="str">
        <f t="shared" si="1277"/>
        <v>NR</v>
      </c>
      <c r="AJ1045" s="200" t="str">
        <f t="shared" si="1277"/>
        <v>NR</v>
      </c>
      <c r="AK1045" s="200" t="str">
        <f t="shared" si="1277"/>
        <v>NR</v>
      </c>
      <c r="AL1045" s="200" t="str">
        <f t="shared" si="1277"/>
        <v>NR</v>
      </c>
      <c r="AM1045" s="200" t="str">
        <f t="shared" si="1277"/>
        <v>NR</v>
      </c>
      <c r="AN1045" s="200" t="str">
        <f t="shared" si="1277"/>
        <v>NR</v>
      </c>
      <c r="AO1045" s="200" t="str">
        <f t="shared" si="1277"/>
        <v>NR</v>
      </c>
      <c r="AP1045" s="200" t="str">
        <f t="shared" si="1277"/>
        <v>NR</v>
      </c>
      <c r="AQ1045" s="200" t="str">
        <f t="shared" si="1277"/>
        <v>NR</v>
      </c>
      <c r="AR1045" s="200" t="str">
        <f t="shared" si="1277"/>
        <v>NR</v>
      </c>
      <c r="AS1045" s="200" t="str">
        <f t="shared" si="1277"/>
        <v>NR</v>
      </c>
      <c r="AT1045" s="200" t="str">
        <f t="shared" si="1277"/>
        <v>NR</v>
      </c>
      <c r="AU1045" s="200" t="str">
        <f t="shared" si="1277"/>
        <v>NR</v>
      </c>
      <c r="AV1045" s="200" t="str">
        <f t="shared" si="1277"/>
        <v>NR</v>
      </c>
      <c r="AW1045" s="200" t="str">
        <f t="shared" si="1277"/>
        <v>NR</v>
      </c>
      <c r="AX1045" s="200" t="str">
        <f t="shared" si="1277"/>
        <v>NR</v>
      </c>
      <c r="AY1045" s="200" t="str">
        <f t="shared" si="1277"/>
        <v>NR</v>
      </c>
      <c r="AZ1045" s="200" t="str">
        <f t="shared" si="1277"/>
        <v>N/A</v>
      </c>
      <c r="BA1045" s="200" t="str">
        <f t="shared" si="1277"/>
        <v>N/A</v>
      </c>
      <c r="BB1045" s="200" t="str">
        <f t="shared" si="1277"/>
        <v>N/A</v>
      </c>
      <c r="BC1045" s="200" t="str">
        <f t="shared" si="1277"/>
        <v>N/A</v>
      </c>
      <c r="BD1045" s="200" t="str">
        <f t="shared" si="1277"/>
        <v>N/A</v>
      </c>
      <c r="BE1045" s="200" t="str">
        <f t="shared" si="1277"/>
        <v>N/A</v>
      </c>
      <c r="BF1045" s="200" t="str">
        <f t="shared" si="1277"/>
        <v>N/A</v>
      </c>
      <c r="BG1045" s="200"/>
      <c r="BH1045" s="582"/>
      <c r="BI1045" s="582"/>
      <c r="BJ1045" s="37"/>
      <c r="BK1045" s="37"/>
      <c r="BL1045" s="37"/>
      <c r="BM1045" s="37"/>
      <c r="BN1045" s="37"/>
      <c r="BO1045" s="37"/>
      <c r="BP1045" s="37"/>
      <c r="BQ1045" s="37"/>
      <c r="BR1045" s="200" t="str">
        <f t="shared" ref="BR1045:CB1045" si="1278">IF(ISBLANK(BR$1044),"N/A",IF(COUNTIFS(GD_Item_FiscalPeriod,BR$1044,GD_Item_Name,$B1045,GD_Update_Date,BR$1042)=0,"NR",SUMIFS(GD_Guidance_Low,GD_Item_Name,$B1045,GD_Item_FiscalPeriod,BR$1044,GD_Update_Date,BR$1042)))</f>
        <v>NR</v>
      </c>
      <c r="BS1045" s="200" t="str">
        <f t="shared" si="1278"/>
        <v>NR</v>
      </c>
      <c r="BT1045" s="200" t="str">
        <f t="shared" si="1278"/>
        <v>NR</v>
      </c>
      <c r="BU1045" s="200" t="str">
        <f t="shared" si="1278"/>
        <v>NR</v>
      </c>
      <c r="BV1045" s="200" t="str">
        <f t="shared" si="1278"/>
        <v>NR</v>
      </c>
      <c r="BW1045" s="200" t="str">
        <f t="shared" si="1278"/>
        <v>NR</v>
      </c>
      <c r="BX1045" s="200" t="str">
        <f t="shared" si="1278"/>
        <v>N/A</v>
      </c>
      <c r="BY1045" s="200" t="str">
        <f t="shared" si="1278"/>
        <v>N/A</v>
      </c>
      <c r="BZ1045" s="200" t="str">
        <f t="shared" si="1278"/>
        <v>N/A</v>
      </c>
      <c r="CA1045" s="200" t="str">
        <f t="shared" si="1278"/>
        <v>N/A</v>
      </c>
      <c r="CB1045" s="200" t="str">
        <f t="shared" si="1278"/>
        <v>N/A</v>
      </c>
      <c r="CC1045" s="117"/>
    </row>
    <row r="1046" spans="1:81" s="706" customFormat="1" x14ac:dyDescent="0.55000000000000004">
      <c r="A1046" s="428" t="s">
        <v>718</v>
      </c>
      <c r="B1046" s="759" t="s">
        <v>494</v>
      </c>
      <c r="C1046" s="37"/>
      <c r="D1046" s="37"/>
      <c r="E1046" s="37"/>
      <c r="F1046" s="37"/>
      <c r="G1046" s="37"/>
      <c r="H1046" s="37"/>
      <c r="I1046" s="37"/>
      <c r="J1046" s="37"/>
      <c r="K1046" s="37"/>
      <c r="L1046" s="37"/>
      <c r="M1046" s="37"/>
      <c r="N1046" s="37"/>
      <c r="O1046" s="37"/>
      <c r="P1046" s="37"/>
      <c r="Q1046" s="37"/>
      <c r="R1046" s="37"/>
      <c r="S1046" s="37"/>
      <c r="T1046" s="37"/>
      <c r="U1046" s="37"/>
      <c r="V1046" s="37"/>
      <c r="W1046" s="37"/>
      <c r="X1046" s="37"/>
      <c r="Y1046" s="37"/>
      <c r="Z1046" s="37"/>
      <c r="AA1046" s="37"/>
      <c r="AB1046" s="200" t="str">
        <f t="shared" ref="AB1046:BF1046" si="1279">IF(ISBLANK(AB$1044),"N/A",IF(COUNTIFS(GD_Item_FiscalPeriod,AB$1044,GD_Item_Name,$B1046,GD_Update_Date,AB$1042)=0,"NR",SUMIFS(GD_Guidance_High,GD_Item_Name,$B1046,GD_Item_FiscalPeriod,AB$1044,GD_Update_Date,AB$1042)))</f>
        <v>NR</v>
      </c>
      <c r="AC1046" s="200" t="str">
        <f t="shared" si="1279"/>
        <v>NR</v>
      </c>
      <c r="AD1046" s="200" t="str">
        <f t="shared" si="1279"/>
        <v>NR</v>
      </c>
      <c r="AE1046" s="200" t="str">
        <f t="shared" si="1279"/>
        <v>NR</v>
      </c>
      <c r="AF1046" s="200" t="str">
        <f t="shared" si="1279"/>
        <v>NR</v>
      </c>
      <c r="AG1046" s="200" t="str">
        <f t="shared" si="1279"/>
        <v>NR</v>
      </c>
      <c r="AH1046" s="200" t="str">
        <f t="shared" si="1279"/>
        <v>NR</v>
      </c>
      <c r="AI1046" s="200" t="str">
        <f t="shared" si="1279"/>
        <v>NR</v>
      </c>
      <c r="AJ1046" s="200" t="str">
        <f t="shared" si="1279"/>
        <v>NR</v>
      </c>
      <c r="AK1046" s="200" t="str">
        <f t="shared" si="1279"/>
        <v>NR</v>
      </c>
      <c r="AL1046" s="200" t="str">
        <f t="shared" si="1279"/>
        <v>NR</v>
      </c>
      <c r="AM1046" s="200" t="str">
        <f t="shared" si="1279"/>
        <v>NR</v>
      </c>
      <c r="AN1046" s="200" t="str">
        <f t="shared" si="1279"/>
        <v>NR</v>
      </c>
      <c r="AO1046" s="200" t="str">
        <f t="shared" si="1279"/>
        <v>NR</v>
      </c>
      <c r="AP1046" s="200" t="str">
        <f t="shared" si="1279"/>
        <v>NR</v>
      </c>
      <c r="AQ1046" s="200" t="str">
        <f t="shared" si="1279"/>
        <v>NR</v>
      </c>
      <c r="AR1046" s="200" t="str">
        <f t="shared" si="1279"/>
        <v>NR</v>
      </c>
      <c r="AS1046" s="200" t="str">
        <f t="shared" si="1279"/>
        <v>NR</v>
      </c>
      <c r="AT1046" s="200" t="str">
        <f t="shared" si="1279"/>
        <v>NR</v>
      </c>
      <c r="AU1046" s="200" t="str">
        <f t="shared" si="1279"/>
        <v>NR</v>
      </c>
      <c r="AV1046" s="200" t="str">
        <f t="shared" si="1279"/>
        <v>NR</v>
      </c>
      <c r="AW1046" s="200" t="str">
        <f t="shared" si="1279"/>
        <v>NR</v>
      </c>
      <c r="AX1046" s="200" t="str">
        <f t="shared" si="1279"/>
        <v>NR</v>
      </c>
      <c r="AY1046" s="200" t="str">
        <f t="shared" si="1279"/>
        <v>NR</v>
      </c>
      <c r="AZ1046" s="200" t="str">
        <f t="shared" si="1279"/>
        <v>N/A</v>
      </c>
      <c r="BA1046" s="200" t="str">
        <f t="shared" si="1279"/>
        <v>N/A</v>
      </c>
      <c r="BB1046" s="200" t="str">
        <f t="shared" si="1279"/>
        <v>N/A</v>
      </c>
      <c r="BC1046" s="200" t="str">
        <f t="shared" si="1279"/>
        <v>N/A</v>
      </c>
      <c r="BD1046" s="200" t="str">
        <f t="shared" si="1279"/>
        <v>N/A</v>
      </c>
      <c r="BE1046" s="200" t="str">
        <f t="shared" si="1279"/>
        <v>N/A</v>
      </c>
      <c r="BF1046" s="200" t="str">
        <f t="shared" si="1279"/>
        <v>N/A</v>
      </c>
      <c r="BG1046" s="200"/>
      <c r="BH1046" s="582"/>
      <c r="BI1046" s="582"/>
      <c r="BJ1046" s="37"/>
      <c r="BK1046" s="37"/>
      <c r="BL1046" s="37"/>
      <c r="BM1046" s="37"/>
      <c r="BN1046" s="37"/>
      <c r="BO1046" s="37"/>
      <c r="BP1046" s="37"/>
      <c r="BQ1046" s="37"/>
      <c r="BR1046" s="200" t="str">
        <f t="shared" ref="BR1046:CB1046" si="1280">IF(ISBLANK(BR$1044),"N/A",IF(COUNTIFS(GD_Item_FiscalPeriod,BR$1044,GD_Item_Name,$B1046,GD_Update_Date,BR$1042)=0,"NR",SUMIFS(GD_Guidance_High,GD_Item_Name,$B1046,GD_Item_FiscalPeriod,BR$1044,GD_Update_Date,BR$1042)))</f>
        <v>NR</v>
      </c>
      <c r="BS1046" s="200" t="str">
        <f t="shared" si="1280"/>
        <v>NR</v>
      </c>
      <c r="BT1046" s="200" t="str">
        <f t="shared" si="1280"/>
        <v>NR</v>
      </c>
      <c r="BU1046" s="200" t="str">
        <f t="shared" si="1280"/>
        <v>NR</v>
      </c>
      <c r="BV1046" s="200" t="str">
        <f t="shared" si="1280"/>
        <v>NR</v>
      </c>
      <c r="BW1046" s="200" t="str">
        <f t="shared" si="1280"/>
        <v>NR</v>
      </c>
      <c r="BX1046" s="200" t="str">
        <f t="shared" si="1280"/>
        <v>N/A</v>
      </c>
      <c r="BY1046" s="200" t="str">
        <f t="shared" si="1280"/>
        <v>N/A</v>
      </c>
      <c r="BZ1046" s="200" t="str">
        <f t="shared" si="1280"/>
        <v>N/A</v>
      </c>
      <c r="CA1046" s="200" t="str">
        <f t="shared" si="1280"/>
        <v>N/A</v>
      </c>
      <c r="CB1046" s="200" t="str">
        <f t="shared" si="1280"/>
        <v>N/A</v>
      </c>
      <c r="CC1046" s="117"/>
    </row>
    <row r="1047" spans="1:81" s="706" customFormat="1" x14ac:dyDescent="0.55000000000000004">
      <c r="A1047" s="428" t="s">
        <v>719</v>
      </c>
      <c r="B1047" s="759" t="s">
        <v>494</v>
      </c>
      <c r="C1047" s="37"/>
      <c r="D1047" s="37"/>
      <c r="E1047" s="37"/>
      <c r="F1047" s="37"/>
      <c r="G1047" s="37"/>
      <c r="H1047" s="37"/>
      <c r="I1047" s="37"/>
      <c r="J1047" s="37"/>
      <c r="K1047" s="37"/>
      <c r="L1047" s="37"/>
      <c r="M1047" s="37"/>
      <c r="N1047" s="37"/>
      <c r="O1047" s="37"/>
      <c r="P1047" s="37"/>
      <c r="Q1047" s="37"/>
      <c r="R1047" s="37"/>
      <c r="S1047" s="37"/>
      <c r="T1047" s="37"/>
      <c r="U1047" s="37"/>
      <c r="V1047" s="37"/>
      <c r="W1047" s="37"/>
      <c r="X1047" s="37"/>
      <c r="Y1047" s="37"/>
      <c r="Z1047" s="37"/>
      <c r="AA1047" s="37"/>
      <c r="AB1047" s="200" t="str">
        <f t="shared" ref="AB1047:BF1047" si="1281">IF(ISBLANK(AB$1044),"N/A",IF(COUNTIFS(GD_Item_FiscalPeriod,AB$1044,GD_Item_Name,$B1047,GD_Update_Date,AB$1042)=0,"NR",SUMIFS(GD_Guidance_Mid,GD_Item_Name,$B1047,GD_Item_FiscalPeriod,AB$1044,GD_Update_Date,AB$1042)))</f>
        <v>NR</v>
      </c>
      <c r="AC1047" s="200" t="str">
        <f t="shared" si="1281"/>
        <v>NR</v>
      </c>
      <c r="AD1047" s="200" t="str">
        <f t="shared" si="1281"/>
        <v>NR</v>
      </c>
      <c r="AE1047" s="200" t="str">
        <f t="shared" si="1281"/>
        <v>NR</v>
      </c>
      <c r="AF1047" s="200" t="str">
        <f t="shared" si="1281"/>
        <v>NR</v>
      </c>
      <c r="AG1047" s="200" t="str">
        <f t="shared" si="1281"/>
        <v>NR</v>
      </c>
      <c r="AH1047" s="200" t="str">
        <f t="shared" si="1281"/>
        <v>NR</v>
      </c>
      <c r="AI1047" s="200" t="str">
        <f t="shared" si="1281"/>
        <v>NR</v>
      </c>
      <c r="AJ1047" s="200" t="str">
        <f t="shared" si="1281"/>
        <v>NR</v>
      </c>
      <c r="AK1047" s="200" t="str">
        <f t="shared" si="1281"/>
        <v>NR</v>
      </c>
      <c r="AL1047" s="200" t="str">
        <f t="shared" si="1281"/>
        <v>NR</v>
      </c>
      <c r="AM1047" s="200" t="str">
        <f t="shared" si="1281"/>
        <v>NR</v>
      </c>
      <c r="AN1047" s="200" t="str">
        <f t="shared" si="1281"/>
        <v>NR</v>
      </c>
      <c r="AO1047" s="200" t="str">
        <f t="shared" si="1281"/>
        <v>NR</v>
      </c>
      <c r="AP1047" s="200" t="str">
        <f t="shared" si="1281"/>
        <v>NR</v>
      </c>
      <c r="AQ1047" s="200" t="str">
        <f t="shared" si="1281"/>
        <v>NR</v>
      </c>
      <c r="AR1047" s="200" t="str">
        <f t="shared" si="1281"/>
        <v>NR</v>
      </c>
      <c r="AS1047" s="200" t="str">
        <f t="shared" si="1281"/>
        <v>NR</v>
      </c>
      <c r="AT1047" s="200" t="str">
        <f t="shared" si="1281"/>
        <v>NR</v>
      </c>
      <c r="AU1047" s="200" t="str">
        <f t="shared" si="1281"/>
        <v>NR</v>
      </c>
      <c r="AV1047" s="200" t="str">
        <f t="shared" si="1281"/>
        <v>NR</v>
      </c>
      <c r="AW1047" s="200" t="str">
        <f t="shared" si="1281"/>
        <v>NR</v>
      </c>
      <c r="AX1047" s="200" t="str">
        <f t="shared" si="1281"/>
        <v>NR</v>
      </c>
      <c r="AY1047" s="200" t="str">
        <f t="shared" si="1281"/>
        <v>NR</v>
      </c>
      <c r="AZ1047" s="200" t="str">
        <f t="shared" si="1281"/>
        <v>N/A</v>
      </c>
      <c r="BA1047" s="200" t="str">
        <f t="shared" si="1281"/>
        <v>N/A</v>
      </c>
      <c r="BB1047" s="200" t="str">
        <f t="shared" si="1281"/>
        <v>N/A</v>
      </c>
      <c r="BC1047" s="200" t="str">
        <f t="shared" si="1281"/>
        <v>N/A</v>
      </c>
      <c r="BD1047" s="200" t="str">
        <f t="shared" si="1281"/>
        <v>N/A</v>
      </c>
      <c r="BE1047" s="200" t="str">
        <f t="shared" si="1281"/>
        <v>N/A</v>
      </c>
      <c r="BF1047" s="200" t="str">
        <f t="shared" si="1281"/>
        <v>N/A</v>
      </c>
      <c r="BG1047" s="200"/>
      <c r="BH1047" s="582"/>
      <c r="BI1047" s="582"/>
      <c r="BJ1047" s="37"/>
      <c r="BK1047" s="37"/>
      <c r="BL1047" s="37"/>
      <c r="BM1047" s="37"/>
      <c r="BN1047" s="37"/>
      <c r="BO1047" s="37"/>
      <c r="BP1047" s="37"/>
      <c r="BQ1047" s="37"/>
      <c r="BR1047" s="200" t="str">
        <f t="shared" ref="BR1047:CB1047" si="1282">IF(ISBLANK(BR$1044),"N/A",IF(COUNTIFS(GD_Item_FiscalPeriod,BR$1044,GD_Item_Name,$B1047,GD_Update_Date,BR$1042)=0,"NR",SUMIFS(GD_Guidance_Mid,GD_Item_Name,$B1047,GD_Item_FiscalPeriod,BR$1044,GD_Update_Date,BR$1042)))</f>
        <v>NR</v>
      </c>
      <c r="BS1047" s="200" t="str">
        <f t="shared" si="1282"/>
        <v>NR</v>
      </c>
      <c r="BT1047" s="200" t="str">
        <f t="shared" si="1282"/>
        <v>NR</v>
      </c>
      <c r="BU1047" s="200" t="str">
        <f t="shared" si="1282"/>
        <v>NR</v>
      </c>
      <c r="BV1047" s="200" t="str">
        <f t="shared" si="1282"/>
        <v>NR</v>
      </c>
      <c r="BW1047" s="200" t="str">
        <f t="shared" si="1282"/>
        <v>NR</v>
      </c>
      <c r="BX1047" s="200" t="str">
        <f t="shared" si="1282"/>
        <v>N/A</v>
      </c>
      <c r="BY1047" s="200" t="str">
        <f t="shared" si="1282"/>
        <v>N/A</v>
      </c>
      <c r="BZ1047" s="200" t="str">
        <f t="shared" si="1282"/>
        <v>N/A</v>
      </c>
      <c r="CA1047" s="200" t="str">
        <f t="shared" si="1282"/>
        <v>N/A</v>
      </c>
      <c r="CB1047" s="200" t="str">
        <f t="shared" si="1282"/>
        <v>N/A</v>
      </c>
      <c r="CC1047" s="117"/>
    </row>
    <row r="1048" spans="1:81" s="721" customFormat="1" x14ac:dyDescent="0.55000000000000004">
      <c r="A1048" s="432" t="s">
        <v>720</v>
      </c>
      <c r="B1048" s="796" t="s">
        <v>370</v>
      </c>
      <c r="C1048" s="431"/>
      <c r="D1048" s="431"/>
      <c r="E1048" s="431"/>
      <c r="F1048" s="431"/>
      <c r="G1048" s="431"/>
      <c r="H1048" s="431"/>
      <c r="I1048" s="431"/>
      <c r="J1048" s="431"/>
      <c r="K1048" s="431"/>
      <c r="L1048" s="431"/>
      <c r="M1048" s="431"/>
      <c r="N1048" s="431"/>
      <c r="O1048" s="431"/>
      <c r="P1048" s="431"/>
      <c r="Q1048" s="431"/>
      <c r="R1048" s="431"/>
      <c r="S1048" s="431"/>
      <c r="T1048" s="431"/>
      <c r="U1048" s="431"/>
      <c r="V1048" s="431"/>
      <c r="W1048" s="431"/>
      <c r="X1048" s="431"/>
      <c r="Y1048" s="431"/>
      <c r="Z1048" s="431"/>
      <c r="AA1048" s="431"/>
      <c r="AB1048" s="431">
        <f t="shared" ref="AB1048:BF1048" si="1283">IF(ISBLANK(AB$1044),"N/A",IF(COUNTIFS(GD_Item_FiscalPeriod,AB$1044,GD_Item_Name,$B1048,GD_Update_Date,AB$1042)=0,"NR",SUMIFS(GD_Guidance_Low,GD_Item_Name,$B1048,GD_Item_FiscalPeriod,AB$1044,GD_Update_Date,AB$1042)))</f>
        <v>0.2</v>
      </c>
      <c r="AC1048" s="431" t="str">
        <f t="shared" si="1283"/>
        <v>NR</v>
      </c>
      <c r="AD1048" s="431" t="str">
        <f t="shared" si="1283"/>
        <v>NR</v>
      </c>
      <c r="AE1048" s="431" t="str">
        <f t="shared" si="1283"/>
        <v>NR</v>
      </c>
      <c r="AF1048" s="431" t="str">
        <f t="shared" si="1283"/>
        <v>NR</v>
      </c>
      <c r="AG1048" s="431" t="str">
        <f t="shared" si="1283"/>
        <v>NR</v>
      </c>
      <c r="AH1048" s="431" t="str">
        <f t="shared" si="1283"/>
        <v>NR</v>
      </c>
      <c r="AI1048" s="431" t="str">
        <f t="shared" si="1283"/>
        <v>NR</v>
      </c>
      <c r="AJ1048" s="431" t="str">
        <f t="shared" si="1283"/>
        <v>NR</v>
      </c>
      <c r="AK1048" s="431" t="str">
        <f t="shared" si="1283"/>
        <v>NR</v>
      </c>
      <c r="AL1048" s="431" t="str">
        <f t="shared" si="1283"/>
        <v>NR</v>
      </c>
      <c r="AM1048" s="431" t="str">
        <f t="shared" si="1283"/>
        <v>NR</v>
      </c>
      <c r="AN1048" s="431" t="str">
        <f t="shared" si="1283"/>
        <v>NR</v>
      </c>
      <c r="AO1048" s="431" t="str">
        <f t="shared" si="1283"/>
        <v>NR</v>
      </c>
      <c r="AP1048" s="431" t="str">
        <f t="shared" si="1283"/>
        <v>NR</v>
      </c>
      <c r="AQ1048" s="431" t="str">
        <f t="shared" si="1283"/>
        <v>NR</v>
      </c>
      <c r="AR1048" s="431" t="str">
        <f t="shared" si="1283"/>
        <v>NR</v>
      </c>
      <c r="AS1048" s="431" t="str">
        <f t="shared" si="1283"/>
        <v>NR</v>
      </c>
      <c r="AT1048" s="431" t="str">
        <f t="shared" si="1283"/>
        <v>NR</v>
      </c>
      <c r="AU1048" s="431" t="str">
        <f t="shared" si="1283"/>
        <v>NR</v>
      </c>
      <c r="AV1048" s="431" t="str">
        <f t="shared" si="1283"/>
        <v>NR</v>
      </c>
      <c r="AW1048" s="431" t="str">
        <f t="shared" si="1283"/>
        <v>NR</v>
      </c>
      <c r="AX1048" s="431" t="str">
        <f t="shared" si="1283"/>
        <v>NR</v>
      </c>
      <c r="AY1048" s="431" t="str">
        <f t="shared" si="1283"/>
        <v>NR</v>
      </c>
      <c r="AZ1048" s="431" t="str">
        <f t="shared" si="1283"/>
        <v>N/A</v>
      </c>
      <c r="BA1048" s="431" t="str">
        <f t="shared" si="1283"/>
        <v>N/A</v>
      </c>
      <c r="BB1048" s="431" t="str">
        <f t="shared" si="1283"/>
        <v>N/A</v>
      </c>
      <c r="BC1048" s="431" t="str">
        <f t="shared" si="1283"/>
        <v>N/A</v>
      </c>
      <c r="BD1048" s="431" t="str">
        <f t="shared" si="1283"/>
        <v>N/A</v>
      </c>
      <c r="BE1048" s="431" t="str">
        <f t="shared" si="1283"/>
        <v>N/A</v>
      </c>
      <c r="BF1048" s="431" t="str">
        <f t="shared" si="1283"/>
        <v>N/A</v>
      </c>
      <c r="BG1048" s="431"/>
      <c r="BH1048" s="586"/>
      <c r="BI1048" s="586"/>
      <c r="BJ1048" s="431"/>
      <c r="BK1048" s="431"/>
      <c r="BL1048" s="431"/>
      <c r="BM1048" s="431"/>
      <c r="BN1048" s="431"/>
      <c r="BO1048" s="431"/>
      <c r="BP1048" s="431"/>
      <c r="BQ1048" s="431"/>
      <c r="BR1048" s="431" t="str">
        <f t="shared" ref="BR1048:CB1048" si="1284">IF(ISBLANK(BR$1044),"N/A",IF(COUNTIFS(GD_Item_FiscalPeriod,BR$1044,GD_Item_Name,$B1048,GD_Update_Date,BR$1042)=0,"NR",SUMIFS(GD_Guidance_Low,GD_Item_Name,$B1048,GD_Item_FiscalPeriod,BR$1044,GD_Update_Date,BR$1042)))</f>
        <v>NR</v>
      </c>
      <c r="BS1048" s="431" t="str">
        <f t="shared" si="1284"/>
        <v>NR</v>
      </c>
      <c r="BT1048" s="431" t="str">
        <f t="shared" si="1284"/>
        <v>NR</v>
      </c>
      <c r="BU1048" s="431" t="str">
        <f t="shared" si="1284"/>
        <v>NR</v>
      </c>
      <c r="BV1048" s="431" t="str">
        <f t="shared" si="1284"/>
        <v>NR</v>
      </c>
      <c r="BW1048" s="431" t="str">
        <f t="shared" si="1284"/>
        <v>NR</v>
      </c>
      <c r="BX1048" s="431" t="str">
        <f t="shared" si="1284"/>
        <v>N/A</v>
      </c>
      <c r="BY1048" s="431" t="str">
        <f t="shared" si="1284"/>
        <v>N/A</v>
      </c>
      <c r="BZ1048" s="431" t="str">
        <f t="shared" si="1284"/>
        <v>N/A</v>
      </c>
      <c r="CA1048" s="431" t="str">
        <f t="shared" si="1284"/>
        <v>N/A</v>
      </c>
      <c r="CB1048" s="431" t="str">
        <f t="shared" si="1284"/>
        <v>N/A</v>
      </c>
      <c r="CC1048" s="430"/>
    </row>
    <row r="1049" spans="1:81" s="721" customFormat="1" x14ac:dyDescent="0.55000000000000004">
      <c r="A1049" s="432" t="s">
        <v>721</v>
      </c>
      <c r="B1049" s="796" t="s">
        <v>370</v>
      </c>
      <c r="C1049" s="431"/>
      <c r="D1049" s="431"/>
      <c r="E1049" s="431"/>
      <c r="F1049" s="431"/>
      <c r="G1049" s="431"/>
      <c r="H1049" s="431"/>
      <c r="I1049" s="431"/>
      <c r="J1049" s="431"/>
      <c r="K1049" s="431"/>
      <c r="L1049" s="431"/>
      <c r="M1049" s="431"/>
      <c r="N1049" s="431"/>
      <c r="O1049" s="431"/>
      <c r="P1049" s="431"/>
      <c r="Q1049" s="431"/>
      <c r="R1049" s="431"/>
      <c r="S1049" s="431"/>
      <c r="T1049" s="431"/>
      <c r="U1049" s="431"/>
      <c r="V1049" s="431"/>
      <c r="W1049" s="431"/>
      <c r="X1049" s="431"/>
      <c r="Y1049" s="431"/>
      <c r="Z1049" s="431"/>
      <c r="AA1049" s="431"/>
      <c r="AB1049" s="431">
        <f t="shared" ref="AB1049:BF1049" si="1285">IF(ISBLANK(AB$1044),"N/A",IF(COUNTIFS(GD_Item_FiscalPeriod,AB$1044,GD_Item_Name,$B1049,GD_Update_Date,AB$1042)=0,"NR",SUMIFS(GD_Guidance_High,GD_Item_Name,$B1049,GD_Item_FiscalPeriod,AB$1044,GD_Update_Date,AB$1042)))</f>
        <v>0.2</v>
      </c>
      <c r="AC1049" s="431" t="str">
        <f t="shared" si="1285"/>
        <v>NR</v>
      </c>
      <c r="AD1049" s="431" t="str">
        <f t="shared" si="1285"/>
        <v>NR</v>
      </c>
      <c r="AE1049" s="431" t="str">
        <f t="shared" si="1285"/>
        <v>NR</v>
      </c>
      <c r="AF1049" s="431" t="str">
        <f t="shared" si="1285"/>
        <v>NR</v>
      </c>
      <c r="AG1049" s="431" t="str">
        <f t="shared" si="1285"/>
        <v>NR</v>
      </c>
      <c r="AH1049" s="431" t="str">
        <f t="shared" si="1285"/>
        <v>NR</v>
      </c>
      <c r="AI1049" s="431" t="str">
        <f t="shared" si="1285"/>
        <v>NR</v>
      </c>
      <c r="AJ1049" s="431" t="str">
        <f t="shared" si="1285"/>
        <v>NR</v>
      </c>
      <c r="AK1049" s="431" t="str">
        <f t="shared" si="1285"/>
        <v>NR</v>
      </c>
      <c r="AL1049" s="431" t="str">
        <f t="shared" si="1285"/>
        <v>NR</v>
      </c>
      <c r="AM1049" s="431" t="str">
        <f t="shared" si="1285"/>
        <v>NR</v>
      </c>
      <c r="AN1049" s="431" t="str">
        <f t="shared" si="1285"/>
        <v>NR</v>
      </c>
      <c r="AO1049" s="431" t="str">
        <f t="shared" si="1285"/>
        <v>NR</v>
      </c>
      <c r="AP1049" s="431" t="str">
        <f t="shared" si="1285"/>
        <v>NR</v>
      </c>
      <c r="AQ1049" s="431" t="str">
        <f t="shared" si="1285"/>
        <v>NR</v>
      </c>
      <c r="AR1049" s="431" t="str">
        <f t="shared" si="1285"/>
        <v>NR</v>
      </c>
      <c r="AS1049" s="431" t="str">
        <f t="shared" si="1285"/>
        <v>NR</v>
      </c>
      <c r="AT1049" s="431" t="str">
        <f t="shared" si="1285"/>
        <v>NR</v>
      </c>
      <c r="AU1049" s="431" t="str">
        <f t="shared" si="1285"/>
        <v>NR</v>
      </c>
      <c r="AV1049" s="431" t="str">
        <f t="shared" si="1285"/>
        <v>NR</v>
      </c>
      <c r="AW1049" s="431" t="str">
        <f t="shared" si="1285"/>
        <v>NR</v>
      </c>
      <c r="AX1049" s="431" t="str">
        <f t="shared" si="1285"/>
        <v>NR</v>
      </c>
      <c r="AY1049" s="431" t="str">
        <f t="shared" si="1285"/>
        <v>NR</v>
      </c>
      <c r="AZ1049" s="431" t="str">
        <f t="shared" si="1285"/>
        <v>N/A</v>
      </c>
      <c r="BA1049" s="431" t="str">
        <f t="shared" si="1285"/>
        <v>N/A</v>
      </c>
      <c r="BB1049" s="431" t="str">
        <f t="shared" si="1285"/>
        <v>N/A</v>
      </c>
      <c r="BC1049" s="431" t="str">
        <f t="shared" si="1285"/>
        <v>N/A</v>
      </c>
      <c r="BD1049" s="431" t="str">
        <f t="shared" si="1285"/>
        <v>N/A</v>
      </c>
      <c r="BE1049" s="431" t="str">
        <f t="shared" si="1285"/>
        <v>N/A</v>
      </c>
      <c r="BF1049" s="431" t="str">
        <f t="shared" si="1285"/>
        <v>N/A</v>
      </c>
      <c r="BG1049" s="431"/>
      <c r="BH1049" s="586"/>
      <c r="BI1049" s="586"/>
      <c r="BJ1049" s="431"/>
      <c r="BK1049" s="431"/>
      <c r="BL1049" s="431"/>
      <c r="BM1049" s="431"/>
      <c r="BN1049" s="431"/>
      <c r="BO1049" s="431"/>
      <c r="BP1049" s="431"/>
      <c r="BQ1049" s="431"/>
      <c r="BR1049" s="431" t="str">
        <f t="shared" ref="BR1049:CB1049" si="1286">IF(ISBLANK(BR$1044),"N/A",IF(COUNTIFS(GD_Item_FiscalPeriod,BR$1044,GD_Item_Name,$B1049,GD_Update_Date,BR$1042)=0,"NR",SUMIFS(GD_Guidance_High,GD_Item_Name,$B1049,GD_Item_FiscalPeriod,BR$1044,GD_Update_Date,BR$1042)))</f>
        <v>NR</v>
      </c>
      <c r="BS1049" s="431" t="str">
        <f t="shared" si="1286"/>
        <v>NR</v>
      </c>
      <c r="BT1049" s="431" t="str">
        <f t="shared" si="1286"/>
        <v>NR</v>
      </c>
      <c r="BU1049" s="431" t="str">
        <f t="shared" si="1286"/>
        <v>NR</v>
      </c>
      <c r="BV1049" s="431" t="str">
        <f t="shared" si="1286"/>
        <v>NR</v>
      </c>
      <c r="BW1049" s="431" t="str">
        <f t="shared" si="1286"/>
        <v>NR</v>
      </c>
      <c r="BX1049" s="431" t="str">
        <f t="shared" si="1286"/>
        <v>N/A</v>
      </c>
      <c r="BY1049" s="431" t="str">
        <f t="shared" si="1286"/>
        <v>N/A</v>
      </c>
      <c r="BZ1049" s="431" t="str">
        <f t="shared" si="1286"/>
        <v>N/A</v>
      </c>
      <c r="CA1049" s="431" t="str">
        <f t="shared" si="1286"/>
        <v>N/A</v>
      </c>
      <c r="CB1049" s="431" t="str">
        <f t="shared" si="1286"/>
        <v>N/A</v>
      </c>
      <c r="CC1049" s="430"/>
    </row>
    <row r="1050" spans="1:81" s="721" customFormat="1" x14ac:dyDescent="0.55000000000000004">
      <c r="A1050" s="432" t="s">
        <v>722</v>
      </c>
      <c r="B1050" s="796" t="s">
        <v>370</v>
      </c>
      <c r="C1050" s="431"/>
      <c r="D1050" s="431"/>
      <c r="E1050" s="431"/>
      <c r="F1050" s="431"/>
      <c r="G1050" s="431"/>
      <c r="H1050" s="431"/>
      <c r="I1050" s="431"/>
      <c r="J1050" s="431"/>
      <c r="K1050" s="431"/>
      <c r="L1050" s="431"/>
      <c r="M1050" s="431"/>
      <c r="N1050" s="431"/>
      <c r="O1050" s="431"/>
      <c r="P1050" s="431"/>
      <c r="Q1050" s="431"/>
      <c r="R1050" s="431"/>
      <c r="S1050" s="431"/>
      <c r="T1050" s="431"/>
      <c r="U1050" s="431"/>
      <c r="V1050" s="431"/>
      <c r="W1050" s="431"/>
      <c r="X1050" s="431"/>
      <c r="Y1050" s="431"/>
      <c r="Z1050" s="431"/>
      <c r="AA1050" s="431"/>
      <c r="AB1050" s="431">
        <f t="shared" ref="AB1050:BF1050" si="1287">IF(ISBLANK(AB$1044),"N/A",IF(COUNTIFS(GD_Item_FiscalPeriod,AB$1044,GD_Item_Name,$B1050,GD_Update_Date,AB$1042)=0,"NR",SUMIFS(GD_Guidance_Mid,GD_Item_Name,$B1050,GD_Item_FiscalPeriod,AB$1044,GD_Update_Date,AB$1042)))</f>
        <v>0.2</v>
      </c>
      <c r="AC1050" s="431" t="str">
        <f t="shared" si="1287"/>
        <v>NR</v>
      </c>
      <c r="AD1050" s="431" t="str">
        <f t="shared" si="1287"/>
        <v>NR</v>
      </c>
      <c r="AE1050" s="431" t="str">
        <f t="shared" si="1287"/>
        <v>NR</v>
      </c>
      <c r="AF1050" s="431" t="str">
        <f t="shared" si="1287"/>
        <v>NR</v>
      </c>
      <c r="AG1050" s="431" t="str">
        <f t="shared" si="1287"/>
        <v>NR</v>
      </c>
      <c r="AH1050" s="431" t="str">
        <f t="shared" si="1287"/>
        <v>NR</v>
      </c>
      <c r="AI1050" s="431" t="str">
        <f t="shared" si="1287"/>
        <v>NR</v>
      </c>
      <c r="AJ1050" s="431" t="str">
        <f t="shared" si="1287"/>
        <v>NR</v>
      </c>
      <c r="AK1050" s="431" t="str">
        <f t="shared" si="1287"/>
        <v>NR</v>
      </c>
      <c r="AL1050" s="431" t="str">
        <f t="shared" si="1287"/>
        <v>NR</v>
      </c>
      <c r="AM1050" s="431" t="str">
        <f t="shared" si="1287"/>
        <v>NR</v>
      </c>
      <c r="AN1050" s="431" t="str">
        <f t="shared" si="1287"/>
        <v>NR</v>
      </c>
      <c r="AO1050" s="431" t="str">
        <f t="shared" si="1287"/>
        <v>NR</v>
      </c>
      <c r="AP1050" s="431" t="str">
        <f t="shared" si="1287"/>
        <v>NR</v>
      </c>
      <c r="AQ1050" s="431" t="str">
        <f t="shared" si="1287"/>
        <v>NR</v>
      </c>
      <c r="AR1050" s="431" t="str">
        <f t="shared" si="1287"/>
        <v>NR</v>
      </c>
      <c r="AS1050" s="431" t="str">
        <f t="shared" si="1287"/>
        <v>NR</v>
      </c>
      <c r="AT1050" s="431" t="str">
        <f t="shared" si="1287"/>
        <v>NR</v>
      </c>
      <c r="AU1050" s="431" t="str">
        <f t="shared" si="1287"/>
        <v>NR</v>
      </c>
      <c r="AV1050" s="431" t="str">
        <f t="shared" si="1287"/>
        <v>NR</v>
      </c>
      <c r="AW1050" s="431" t="str">
        <f t="shared" si="1287"/>
        <v>NR</v>
      </c>
      <c r="AX1050" s="431" t="str">
        <f t="shared" si="1287"/>
        <v>NR</v>
      </c>
      <c r="AY1050" s="431" t="str">
        <f t="shared" si="1287"/>
        <v>NR</v>
      </c>
      <c r="AZ1050" s="431" t="str">
        <f t="shared" si="1287"/>
        <v>N/A</v>
      </c>
      <c r="BA1050" s="431" t="str">
        <f t="shared" si="1287"/>
        <v>N/A</v>
      </c>
      <c r="BB1050" s="431" t="str">
        <f t="shared" si="1287"/>
        <v>N/A</v>
      </c>
      <c r="BC1050" s="431" t="str">
        <f t="shared" si="1287"/>
        <v>N/A</v>
      </c>
      <c r="BD1050" s="431" t="str">
        <f t="shared" si="1287"/>
        <v>N/A</v>
      </c>
      <c r="BE1050" s="431" t="str">
        <f t="shared" si="1287"/>
        <v>N/A</v>
      </c>
      <c r="BF1050" s="431" t="str">
        <f t="shared" si="1287"/>
        <v>N/A</v>
      </c>
      <c r="BG1050" s="431"/>
      <c r="BH1050" s="586"/>
      <c r="BI1050" s="586"/>
      <c r="BJ1050" s="431"/>
      <c r="BK1050" s="431"/>
      <c r="BL1050" s="431"/>
      <c r="BM1050" s="431"/>
      <c r="BN1050" s="431"/>
      <c r="BO1050" s="431"/>
      <c r="BP1050" s="431"/>
      <c r="BQ1050" s="431"/>
      <c r="BR1050" s="431" t="str">
        <f t="shared" ref="BR1050:CB1050" si="1288">IF(ISBLANK(BR$1044),"N/A",IF(COUNTIFS(GD_Item_FiscalPeriod,BR$1044,GD_Item_Name,$B1050,GD_Update_Date,BR$1042)=0,"NR",SUMIFS(GD_Guidance_Mid,GD_Item_Name,$B1050,GD_Item_FiscalPeriod,BR$1044,GD_Update_Date,BR$1042)))</f>
        <v>NR</v>
      </c>
      <c r="BS1050" s="431" t="str">
        <f t="shared" si="1288"/>
        <v>NR</v>
      </c>
      <c r="BT1050" s="431" t="str">
        <f t="shared" si="1288"/>
        <v>NR</v>
      </c>
      <c r="BU1050" s="431" t="str">
        <f t="shared" si="1288"/>
        <v>NR</v>
      </c>
      <c r="BV1050" s="431" t="str">
        <f t="shared" si="1288"/>
        <v>NR</v>
      </c>
      <c r="BW1050" s="431" t="str">
        <f t="shared" si="1288"/>
        <v>NR</v>
      </c>
      <c r="BX1050" s="431" t="str">
        <f t="shared" si="1288"/>
        <v>N/A</v>
      </c>
      <c r="BY1050" s="431" t="str">
        <f t="shared" si="1288"/>
        <v>N/A</v>
      </c>
      <c r="BZ1050" s="431" t="str">
        <f t="shared" si="1288"/>
        <v>N/A</v>
      </c>
      <c r="CA1050" s="431" t="str">
        <f t="shared" si="1288"/>
        <v>N/A</v>
      </c>
      <c r="CB1050" s="431" t="str">
        <f t="shared" si="1288"/>
        <v>N/A</v>
      </c>
      <c r="CC1050" s="430"/>
    </row>
    <row r="1051" spans="1:81" x14ac:dyDescent="0.55000000000000004">
      <c r="A1051" s="377" t="s">
        <v>723</v>
      </c>
      <c r="B1051" s="759" t="s">
        <v>730</v>
      </c>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A1051" s="200"/>
      <c r="AB1051" s="200" t="str">
        <f t="shared" ref="AB1051:BF1051" si="1289">IF(ISBLANK(AB$1044),"N/A",IF(COUNTIFS(GD_Item_FiscalPeriod,AB$1044,GD_Item_Name,$B1051,GD_Update_Date,AB$1042)=0,"NR",SUMIFS(GD_Guidance_Low,GD_Item_Name,$B1051,GD_Item_FiscalPeriod,AB$1044,GD_Update_Date,AB$1042)))</f>
        <v>NR</v>
      </c>
      <c r="AC1051" s="200">
        <f t="shared" si="1289"/>
        <v>46000</v>
      </c>
      <c r="AD1051" s="200">
        <f t="shared" si="1289"/>
        <v>54000</v>
      </c>
      <c r="AE1051" s="200">
        <f t="shared" si="1289"/>
        <v>52000</v>
      </c>
      <c r="AF1051" s="200">
        <f t="shared" si="1289"/>
        <v>52000</v>
      </c>
      <c r="AG1051" s="200">
        <f t="shared" si="1289"/>
        <v>53000</v>
      </c>
      <c r="AH1051" s="200">
        <f t="shared" si="1289"/>
        <v>68000</v>
      </c>
      <c r="AI1051" s="200">
        <f t="shared" si="1289"/>
        <v>70000</v>
      </c>
      <c r="AJ1051" s="200">
        <f t="shared" si="1289"/>
        <v>70000</v>
      </c>
      <c r="AK1051" s="200">
        <f t="shared" si="1289"/>
        <v>70000</v>
      </c>
      <c r="AL1051" s="200">
        <f t="shared" si="1289"/>
        <v>90000</v>
      </c>
      <c r="AM1051" s="200">
        <f t="shared" si="1289"/>
        <v>87000</v>
      </c>
      <c r="AN1051" s="200">
        <f t="shared" si="1289"/>
        <v>85000</v>
      </c>
      <c r="AO1051" s="200">
        <f t="shared" si="1289"/>
        <v>85000</v>
      </c>
      <c r="AP1051" s="200">
        <f t="shared" si="1289"/>
        <v>89000</v>
      </c>
      <c r="AQ1051" s="200">
        <f t="shared" si="1289"/>
        <v>86000</v>
      </c>
      <c r="AR1051" s="200">
        <f t="shared" si="1289"/>
        <v>88000</v>
      </c>
      <c r="AS1051" s="200">
        <f t="shared" si="1289"/>
        <v>87000</v>
      </c>
      <c r="AT1051" s="200">
        <f t="shared" si="1289"/>
        <v>94000</v>
      </c>
      <c r="AU1051" s="200">
        <f t="shared" si="1289"/>
        <v>96000</v>
      </c>
      <c r="AV1051" s="200">
        <f t="shared" si="1289"/>
        <v>96000</v>
      </c>
      <c r="AW1051" s="200">
        <f t="shared" si="1289"/>
        <v>96000</v>
      </c>
      <c r="AX1051" s="200">
        <f t="shared" si="1289"/>
        <v>114000</v>
      </c>
      <c r="AY1051" s="200">
        <f t="shared" si="1289"/>
        <v>113000</v>
      </c>
      <c r="AZ1051" s="200" t="str">
        <f t="shared" si="1289"/>
        <v>N/A</v>
      </c>
      <c r="BA1051" s="200" t="str">
        <f t="shared" si="1289"/>
        <v>N/A</v>
      </c>
      <c r="BB1051" s="200" t="str">
        <f t="shared" si="1289"/>
        <v>N/A</v>
      </c>
      <c r="BC1051" s="200" t="str">
        <f t="shared" si="1289"/>
        <v>N/A</v>
      </c>
      <c r="BD1051" s="200" t="str">
        <f t="shared" si="1289"/>
        <v>N/A</v>
      </c>
      <c r="BE1051" s="200" t="str">
        <f t="shared" si="1289"/>
        <v>N/A</v>
      </c>
      <c r="BF1051" s="200" t="str">
        <f t="shared" si="1289"/>
        <v>N/A</v>
      </c>
      <c r="BG1051" s="200"/>
      <c r="BH1051" s="587"/>
      <c r="BI1051" s="587"/>
      <c r="BJ1051" s="200"/>
      <c r="BK1051" s="200"/>
      <c r="BL1051" s="200"/>
      <c r="BM1051" s="200"/>
      <c r="BN1051" s="200"/>
      <c r="BO1051" s="200"/>
      <c r="BP1051" s="200"/>
      <c r="BQ1051" s="200"/>
      <c r="BR1051" s="200">
        <f t="shared" ref="BR1051:CB1051" si="1290">IF(ISBLANK(BR$1044),"N/A",IF(COUNTIFS(GD_Item_FiscalPeriod,BR$1044,GD_Item_Name,$B1051,GD_Update_Date,BR$1042)=0,"NR",SUMIFS(GD_Guidance_Low,GD_Item_Name,$B1051,GD_Item_FiscalPeriod,BR$1044,GD_Update_Date,BR$1042)))</f>
        <v>54000</v>
      </c>
      <c r="BS1051" s="200">
        <f t="shared" si="1290"/>
        <v>68000</v>
      </c>
      <c r="BT1051" s="200">
        <f t="shared" si="1290"/>
        <v>90000</v>
      </c>
      <c r="BU1051" s="200">
        <f t="shared" si="1290"/>
        <v>89000</v>
      </c>
      <c r="BV1051" s="200">
        <f t="shared" si="1290"/>
        <v>94000</v>
      </c>
      <c r="BW1051" s="200">
        <f t="shared" si="1290"/>
        <v>114000</v>
      </c>
      <c r="BX1051" s="200" t="str">
        <f t="shared" si="1290"/>
        <v>N/A</v>
      </c>
      <c r="BY1051" s="200" t="str">
        <f t="shared" si="1290"/>
        <v>N/A</v>
      </c>
      <c r="BZ1051" s="200" t="str">
        <f t="shared" si="1290"/>
        <v>N/A</v>
      </c>
      <c r="CA1051" s="200" t="str">
        <f t="shared" si="1290"/>
        <v>N/A</v>
      </c>
      <c r="CB1051" s="200" t="str">
        <f t="shared" si="1290"/>
        <v>N/A</v>
      </c>
      <c r="CC1051" s="117"/>
    </row>
    <row r="1052" spans="1:81" x14ac:dyDescent="0.55000000000000004">
      <c r="A1052" s="377" t="s">
        <v>724</v>
      </c>
      <c r="B1052" s="759" t="s">
        <v>730</v>
      </c>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A1052" s="200"/>
      <c r="AB1052" s="200" t="str">
        <f t="shared" ref="AB1052:BF1052" si="1291">IF(ISBLANK(AB$1044),"N/A",IF(COUNTIFS(GD_Item_FiscalPeriod,AB$1044,GD_Item_Name,$B1052,GD_Update_Date,AB$1042)=0,"NR",SUMIFS(GD_Guidance_High,GD_Item_Name,$B1052,GD_Item_FiscalPeriod,AB$1044,GD_Update_Date,AB$1042)))</f>
        <v>NR</v>
      </c>
      <c r="AC1052" s="200">
        <f t="shared" si="1291"/>
        <v>48000</v>
      </c>
      <c r="AD1052" s="200">
        <f t="shared" si="1291"/>
        <v>59000</v>
      </c>
      <c r="AE1052" s="200">
        <f t="shared" si="1291"/>
        <v>56000</v>
      </c>
      <c r="AF1052" s="200">
        <f t="shared" si="1291"/>
        <v>55000</v>
      </c>
      <c r="AG1052" s="200">
        <f t="shared" si="1291"/>
        <v>54000</v>
      </c>
      <c r="AH1052" s="200">
        <f t="shared" si="1291"/>
        <v>73000</v>
      </c>
      <c r="AI1052" s="200">
        <f t="shared" si="1291"/>
        <v>73000</v>
      </c>
      <c r="AJ1052" s="200">
        <f t="shared" si="1291"/>
        <v>73000</v>
      </c>
      <c r="AK1052" s="200">
        <f t="shared" si="1291"/>
        <v>71000</v>
      </c>
      <c r="AL1052" s="200">
        <f t="shared" si="1291"/>
        <v>95000</v>
      </c>
      <c r="AM1052" s="200">
        <f t="shared" si="1291"/>
        <v>92000</v>
      </c>
      <c r="AN1052" s="200">
        <f t="shared" si="1291"/>
        <v>88000</v>
      </c>
      <c r="AO1052" s="200">
        <f t="shared" si="1291"/>
        <v>87000</v>
      </c>
      <c r="AP1052" s="200">
        <f t="shared" si="1291"/>
        <v>95000</v>
      </c>
      <c r="AQ1052" s="200">
        <f t="shared" si="1291"/>
        <v>90000</v>
      </c>
      <c r="AR1052" s="200">
        <f t="shared" si="1291"/>
        <v>91000</v>
      </c>
      <c r="AS1052" s="200">
        <f t="shared" si="1291"/>
        <v>89000</v>
      </c>
      <c r="AT1052" s="200">
        <f t="shared" si="1291"/>
        <v>99000</v>
      </c>
      <c r="AU1052" s="200">
        <f t="shared" si="1291"/>
        <v>99000</v>
      </c>
      <c r="AV1052" s="200">
        <f t="shared" si="1291"/>
        <v>99000</v>
      </c>
      <c r="AW1052" s="200">
        <f t="shared" si="1291"/>
        <v>98000</v>
      </c>
      <c r="AX1052" s="200">
        <f t="shared" si="1291"/>
        <v>119000</v>
      </c>
      <c r="AY1052" s="200">
        <f t="shared" si="1291"/>
        <v>118000</v>
      </c>
      <c r="AZ1052" s="200" t="str">
        <f t="shared" si="1291"/>
        <v>N/A</v>
      </c>
      <c r="BA1052" s="200" t="str">
        <f t="shared" si="1291"/>
        <v>N/A</v>
      </c>
      <c r="BB1052" s="200" t="str">
        <f t="shared" si="1291"/>
        <v>N/A</v>
      </c>
      <c r="BC1052" s="200" t="str">
        <f t="shared" si="1291"/>
        <v>N/A</v>
      </c>
      <c r="BD1052" s="200" t="str">
        <f t="shared" si="1291"/>
        <v>N/A</v>
      </c>
      <c r="BE1052" s="200" t="str">
        <f t="shared" si="1291"/>
        <v>N/A</v>
      </c>
      <c r="BF1052" s="200" t="str">
        <f t="shared" si="1291"/>
        <v>N/A</v>
      </c>
      <c r="BG1052" s="200"/>
      <c r="BH1052" s="587"/>
      <c r="BI1052" s="587"/>
      <c r="BJ1052" s="200"/>
      <c r="BK1052" s="200"/>
      <c r="BL1052" s="200"/>
      <c r="BM1052" s="200"/>
      <c r="BN1052" s="200"/>
      <c r="BO1052" s="200"/>
      <c r="BP1052" s="200"/>
      <c r="BQ1052" s="200"/>
      <c r="BR1052" s="200">
        <f t="shared" ref="BR1052:CB1052" si="1292">IF(ISBLANK(BR$1044),"N/A",IF(COUNTIFS(GD_Item_FiscalPeriod,BR$1044,GD_Item_Name,$B1052,GD_Update_Date,BR$1042)=0,"NR",SUMIFS(GD_Guidance_High,GD_Item_Name,$B1052,GD_Item_FiscalPeriod,BR$1044,GD_Update_Date,BR$1042)))</f>
        <v>59000</v>
      </c>
      <c r="BS1052" s="200">
        <f t="shared" si="1292"/>
        <v>73000</v>
      </c>
      <c r="BT1052" s="200">
        <f t="shared" si="1292"/>
        <v>95000</v>
      </c>
      <c r="BU1052" s="200">
        <f t="shared" si="1292"/>
        <v>95000</v>
      </c>
      <c r="BV1052" s="200">
        <f t="shared" si="1292"/>
        <v>99000</v>
      </c>
      <c r="BW1052" s="200">
        <f t="shared" si="1292"/>
        <v>119000</v>
      </c>
      <c r="BX1052" s="200" t="str">
        <f t="shared" si="1292"/>
        <v>N/A</v>
      </c>
      <c r="BY1052" s="200" t="str">
        <f t="shared" si="1292"/>
        <v>N/A</v>
      </c>
      <c r="BZ1052" s="200" t="str">
        <f t="shared" si="1292"/>
        <v>N/A</v>
      </c>
      <c r="CA1052" s="200" t="str">
        <f t="shared" si="1292"/>
        <v>N/A</v>
      </c>
      <c r="CB1052" s="200" t="str">
        <f t="shared" si="1292"/>
        <v>N/A</v>
      </c>
      <c r="CC1052" s="117"/>
    </row>
    <row r="1053" spans="1:81" x14ac:dyDescent="0.55000000000000004">
      <c r="A1053" s="377" t="s">
        <v>725</v>
      </c>
      <c r="B1053" s="759" t="s">
        <v>730</v>
      </c>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A1053" s="200"/>
      <c r="AB1053" s="200" t="str">
        <f t="shared" ref="AB1053:BF1053" si="1293">IF(ISBLANK(AB$1044),"N/A",IF(COUNTIFS(GD_Item_FiscalPeriod,AB$1044,GD_Item_Name,$B1053,GD_Update_Date,AB$1042)=0,"NR",SUMIFS(GD_Guidance_Mid,GD_Item_Name,$B1053,GD_Item_FiscalPeriod,AB$1044,GD_Update_Date,AB$1042)))</f>
        <v>NR</v>
      </c>
      <c r="AC1053" s="200">
        <f t="shared" si="1293"/>
        <v>47000</v>
      </c>
      <c r="AD1053" s="200">
        <f t="shared" si="1293"/>
        <v>56500</v>
      </c>
      <c r="AE1053" s="200">
        <f t="shared" si="1293"/>
        <v>54000</v>
      </c>
      <c r="AF1053" s="200">
        <f t="shared" si="1293"/>
        <v>53500</v>
      </c>
      <c r="AG1053" s="200">
        <f t="shared" si="1293"/>
        <v>53500</v>
      </c>
      <c r="AH1053" s="200">
        <f t="shared" si="1293"/>
        <v>70500</v>
      </c>
      <c r="AI1053" s="200">
        <f t="shared" si="1293"/>
        <v>71500</v>
      </c>
      <c r="AJ1053" s="200">
        <f t="shared" si="1293"/>
        <v>71500</v>
      </c>
      <c r="AK1053" s="200">
        <f t="shared" si="1293"/>
        <v>70500</v>
      </c>
      <c r="AL1053" s="200">
        <f t="shared" si="1293"/>
        <v>92500</v>
      </c>
      <c r="AM1053" s="200">
        <f t="shared" si="1293"/>
        <v>89500</v>
      </c>
      <c r="AN1053" s="200">
        <f t="shared" si="1293"/>
        <v>86500</v>
      </c>
      <c r="AO1053" s="200">
        <f t="shared" si="1293"/>
        <v>86000</v>
      </c>
      <c r="AP1053" s="200">
        <f t="shared" si="1293"/>
        <v>92000</v>
      </c>
      <c r="AQ1053" s="200">
        <f t="shared" si="1293"/>
        <v>88000</v>
      </c>
      <c r="AR1053" s="200">
        <f t="shared" si="1293"/>
        <v>89500</v>
      </c>
      <c r="AS1053" s="200">
        <f t="shared" si="1293"/>
        <v>88000</v>
      </c>
      <c r="AT1053" s="200">
        <f t="shared" si="1293"/>
        <v>96500</v>
      </c>
      <c r="AU1053" s="200">
        <f t="shared" si="1293"/>
        <v>97500</v>
      </c>
      <c r="AV1053" s="200">
        <f t="shared" si="1293"/>
        <v>97500</v>
      </c>
      <c r="AW1053" s="200">
        <f t="shared" si="1293"/>
        <v>97000</v>
      </c>
      <c r="AX1053" s="200">
        <f t="shared" si="1293"/>
        <v>116500</v>
      </c>
      <c r="AY1053" s="200">
        <f t="shared" si="1293"/>
        <v>115500</v>
      </c>
      <c r="AZ1053" s="200" t="str">
        <f t="shared" si="1293"/>
        <v>N/A</v>
      </c>
      <c r="BA1053" s="200" t="str">
        <f t="shared" si="1293"/>
        <v>N/A</v>
      </c>
      <c r="BB1053" s="200" t="str">
        <f t="shared" si="1293"/>
        <v>N/A</v>
      </c>
      <c r="BC1053" s="200" t="str">
        <f t="shared" si="1293"/>
        <v>N/A</v>
      </c>
      <c r="BD1053" s="200" t="str">
        <f t="shared" si="1293"/>
        <v>N/A</v>
      </c>
      <c r="BE1053" s="200" t="str">
        <f t="shared" si="1293"/>
        <v>N/A</v>
      </c>
      <c r="BF1053" s="200" t="str">
        <f t="shared" si="1293"/>
        <v>N/A</v>
      </c>
      <c r="BG1053" s="200"/>
      <c r="BH1053" s="587"/>
      <c r="BI1053" s="587"/>
      <c r="BJ1053" s="200"/>
      <c r="BK1053" s="200"/>
      <c r="BL1053" s="200"/>
      <c r="BM1053" s="200"/>
      <c r="BN1053" s="200"/>
      <c r="BO1053" s="200"/>
      <c r="BP1053" s="200"/>
      <c r="BQ1053" s="200"/>
      <c r="BR1053" s="200">
        <f t="shared" ref="BR1053:CB1053" si="1294">IF(ISBLANK(BR$1044),"N/A",IF(COUNTIFS(GD_Item_FiscalPeriod,BR$1044,GD_Item_Name,$B1053,GD_Update_Date,BR$1042)=0,"NR",SUMIFS(GD_Guidance_Mid,GD_Item_Name,$B1053,GD_Item_FiscalPeriod,BR$1044,GD_Update_Date,BR$1042)))</f>
        <v>56500</v>
      </c>
      <c r="BS1053" s="200">
        <f t="shared" si="1294"/>
        <v>70500</v>
      </c>
      <c r="BT1053" s="200">
        <f t="shared" si="1294"/>
        <v>92500</v>
      </c>
      <c r="BU1053" s="200">
        <f t="shared" si="1294"/>
        <v>92000</v>
      </c>
      <c r="BV1053" s="200">
        <f t="shared" si="1294"/>
        <v>96500</v>
      </c>
      <c r="BW1053" s="200">
        <f t="shared" si="1294"/>
        <v>116500</v>
      </c>
      <c r="BX1053" s="200" t="str">
        <f t="shared" si="1294"/>
        <v>N/A</v>
      </c>
      <c r="BY1053" s="200" t="str">
        <f t="shared" si="1294"/>
        <v>N/A</v>
      </c>
      <c r="BZ1053" s="200" t="str">
        <f t="shared" si="1294"/>
        <v>N/A</v>
      </c>
      <c r="CA1053" s="200" t="str">
        <f t="shared" si="1294"/>
        <v>N/A</v>
      </c>
      <c r="CB1053" s="200" t="str">
        <f t="shared" si="1294"/>
        <v>N/A</v>
      </c>
      <c r="CC1053" s="117"/>
    </row>
    <row r="1054" spans="1:81" x14ac:dyDescent="0.55000000000000004">
      <c r="A1054" s="377" t="s">
        <v>728</v>
      </c>
      <c r="B1054" s="759" t="s">
        <v>375</v>
      </c>
      <c r="C1054" s="37"/>
      <c r="D1054" s="37"/>
      <c r="E1054" s="37"/>
      <c r="F1054" s="37"/>
      <c r="G1054" s="37"/>
      <c r="H1054" s="37"/>
      <c r="I1054" s="37"/>
      <c r="J1054" s="37"/>
      <c r="K1054" s="37"/>
      <c r="L1054" s="37"/>
      <c r="M1054" s="37"/>
      <c r="N1054" s="37"/>
      <c r="O1054" s="37"/>
      <c r="P1054" s="37"/>
      <c r="Q1054" s="37"/>
      <c r="R1054" s="37"/>
      <c r="S1054" s="37"/>
      <c r="T1054" s="37"/>
      <c r="U1054" s="37"/>
      <c r="V1054" s="37"/>
      <c r="W1054" s="37"/>
      <c r="X1054" s="37"/>
      <c r="Y1054" s="37"/>
      <c r="Z1054" s="37"/>
      <c r="AA1054" s="37"/>
      <c r="AB1054" s="37">
        <f t="shared" ref="AB1054:BF1054" si="1295">IF(ISBLANK(AB$1044),"N/A",IF(COUNTIFS(GD_Item_FiscalPeriod,AB$1044,GD_Item_Name,$B1054,GD_Update_Date,AB$1042)=0,"NR",SUMIFS(GD_Guidance_Low,GD_Item_Name,$B1054,GD_Item_FiscalPeriod,AB$1044,GD_Update_Date,AB$1042)))</f>
        <v>-16000</v>
      </c>
      <c r="AC1054" s="37">
        <f t="shared" si="1295"/>
        <v>-16000</v>
      </c>
      <c r="AD1054" s="37">
        <f t="shared" si="1295"/>
        <v>-19000</v>
      </c>
      <c r="AE1054" s="37">
        <f t="shared" si="1295"/>
        <v>-14000</v>
      </c>
      <c r="AF1054" s="37">
        <f t="shared" si="1295"/>
        <v>-16000</v>
      </c>
      <c r="AG1054" s="37">
        <f t="shared" si="1295"/>
        <v>-16000</v>
      </c>
      <c r="AH1054" s="37">
        <f t="shared" si="1295"/>
        <v>-21000</v>
      </c>
      <c r="AI1054" s="37">
        <f t="shared" si="1295"/>
        <v>-19000</v>
      </c>
      <c r="AJ1054" s="37">
        <f t="shared" si="1295"/>
        <v>-19000</v>
      </c>
      <c r="AK1054" s="37">
        <f t="shared" si="1295"/>
        <v>-19000</v>
      </c>
      <c r="AL1054" s="37">
        <f t="shared" si="1295"/>
        <v>-29000</v>
      </c>
      <c r="AM1054" s="37">
        <f t="shared" si="1295"/>
        <v>-29000</v>
      </c>
      <c r="AN1054" s="37">
        <f t="shared" si="1295"/>
        <v>-30000</v>
      </c>
      <c r="AO1054" s="37">
        <f t="shared" si="1295"/>
        <v>-32000</v>
      </c>
      <c r="AP1054" s="37">
        <f t="shared" si="1295"/>
        <v>-33000</v>
      </c>
      <c r="AQ1054" s="200">
        <f t="shared" si="1295"/>
        <v>-33000</v>
      </c>
      <c r="AR1054" s="37">
        <f t="shared" si="1295"/>
        <v>-27000</v>
      </c>
      <c r="AS1054" s="37">
        <f t="shared" si="1295"/>
        <v>-27000</v>
      </c>
      <c r="AT1054" s="37">
        <f t="shared" si="1295"/>
        <v>-30000</v>
      </c>
      <c r="AU1054" s="200">
        <f t="shared" si="1295"/>
        <v>-35000</v>
      </c>
      <c r="AV1054" s="37">
        <f t="shared" si="1295"/>
        <v>-37000</v>
      </c>
      <c r="AW1054" s="37">
        <f t="shared" si="1295"/>
        <v>-40000</v>
      </c>
      <c r="AX1054" s="37">
        <f t="shared" si="1295"/>
        <v>-60000</v>
      </c>
      <c r="AY1054" s="200">
        <f t="shared" si="1295"/>
        <v>-64000</v>
      </c>
      <c r="AZ1054" s="200" t="str">
        <f t="shared" si="1295"/>
        <v>N/A</v>
      </c>
      <c r="BA1054" s="200" t="str">
        <f t="shared" si="1295"/>
        <v>N/A</v>
      </c>
      <c r="BB1054" s="200" t="str">
        <f t="shared" si="1295"/>
        <v>N/A</v>
      </c>
      <c r="BC1054" s="200" t="str">
        <f t="shared" si="1295"/>
        <v>N/A</v>
      </c>
      <c r="BD1054" s="200" t="str">
        <f t="shared" si="1295"/>
        <v>N/A</v>
      </c>
      <c r="BE1054" s="200" t="str">
        <f t="shared" si="1295"/>
        <v>N/A</v>
      </c>
      <c r="BF1054" s="200" t="str">
        <f t="shared" si="1295"/>
        <v>N/A</v>
      </c>
      <c r="BG1054" s="200"/>
      <c r="BH1054" s="582"/>
      <c r="BI1054" s="582"/>
      <c r="BJ1054" s="37"/>
      <c r="BK1054" s="37"/>
      <c r="BL1054" s="37"/>
      <c r="BM1054" s="37"/>
      <c r="BN1054" s="37"/>
      <c r="BO1054" s="37"/>
      <c r="BP1054" s="37"/>
      <c r="BQ1054" s="37"/>
      <c r="BR1054" s="37">
        <f t="shared" ref="BR1054:CB1054" si="1296">IF(ISBLANK(BR$1044),"N/A",IF(COUNTIFS(GD_Item_FiscalPeriod,BR$1044,GD_Item_Name,$B1054,GD_Update_Date,BR$1042)=0,"NR",SUMIFS(GD_Guidance_Low,GD_Item_Name,$B1054,GD_Item_FiscalPeriod,BR$1044,GD_Update_Date,BR$1042)))</f>
        <v>-19000</v>
      </c>
      <c r="BS1054" s="37">
        <f t="shared" si="1296"/>
        <v>-21000</v>
      </c>
      <c r="BT1054" s="37">
        <f t="shared" si="1296"/>
        <v>-29000</v>
      </c>
      <c r="BU1054" s="37">
        <f t="shared" si="1296"/>
        <v>-33000</v>
      </c>
      <c r="BV1054" s="37">
        <f t="shared" si="1296"/>
        <v>-30000</v>
      </c>
      <c r="BW1054" s="37">
        <f t="shared" si="1296"/>
        <v>-60000</v>
      </c>
      <c r="BX1054" s="200" t="str">
        <f t="shared" si="1296"/>
        <v>N/A</v>
      </c>
      <c r="BY1054" s="200" t="str">
        <f t="shared" si="1296"/>
        <v>N/A</v>
      </c>
      <c r="BZ1054" s="200" t="str">
        <f t="shared" si="1296"/>
        <v>N/A</v>
      </c>
      <c r="CA1054" s="200" t="str">
        <f t="shared" si="1296"/>
        <v>N/A</v>
      </c>
      <c r="CB1054" s="200" t="str">
        <f t="shared" si="1296"/>
        <v>N/A</v>
      </c>
      <c r="CC1054" s="117"/>
    </row>
    <row r="1055" spans="1:81" x14ac:dyDescent="0.55000000000000004">
      <c r="A1055" s="377" t="s">
        <v>726</v>
      </c>
      <c r="B1055" s="759" t="s">
        <v>375</v>
      </c>
      <c r="C1055" s="37"/>
      <c r="D1055" s="37"/>
      <c r="E1055" s="37"/>
      <c r="F1055" s="37"/>
      <c r="G1055" s="37"/>
      <c r="H1055" s="37"/>
      <c r="I1055" s="37"/>
      <c r="J1055" s="37"/>
      <c r="K1055" s="37"/>
      <c r="L1055" s="37"/>
      <c r="M1055" s="37"/>
      <c r="N1055" s="37"/>
      <c r="O1055" s="37"/>
      <c r="P1055" s="37"/>
      <c r="Q1055" s="37"/>
      <c r="R1055" s="37"/>
      <c r="S1055" s="37"/>
      <c r="T1055" s="37"/>
      <c r="U1055" s="37"/>
      <c r="V1055" s="37"/>
      <c r="W1055" s="37"/>
      <c r="X1055" s="37"/>
      <c r="Y1055" s="37"/>
      <c r="Z1055" s="37"/>
      <c r="AA1055" s="37"/>
      <c r="AB1055" s="37">
        <f t="shared" ref="AB1055:BF1055" si="1297">IF(ISBLANK(AB$1044),"N/A",IF(COUNTIFS(GD_Item_FiscalPeriod,AB$1044,GD_Item_Name,$B1055,GD_Update_Date,AB$1042)=0,"NR",SUMIFS(GD_Guidance_High,GD_Item_Name,$B1055,GD_Item_FiscalPeriod,AB$1044,GD_Update_Date,AB$1042)))</f>
        <v>-18000</v>
      </c>
      <c r="AC1055" s="37">
        <f t="shared" si="1297"/>
        <v>-16000</v>
      </c>
      <c r="AD1055" s="37">
        <f t="shared" si="1297"/>
        <v>-17000</v>
      </c>
      <c r="AE1055" s="37">
        <f t="shared" si="1297"/>
        <v>-16000</v>
      </c>
      <c r="AF1055" s="37">
        <f t="shared" si="1297"/>
        <v>-16000</v>
      </c>
      <c r="AG1055" s="37">
        <f t="shared" si="1297"/>
        <v>-16000</v>
      </c>
      <c r="AH1055" s="37">
        <f t="shared" si="1297"/>
        <v>-23000</v>
      </c>
      <c r="AI1055" s="37">
        <f t="shared" si="1297"/>
        <v>-21000</v>
      </c>
      <c r="AJ1055" s="37">
        <f t="shared" si="1297"/>
        <v>-21000</v>
      </c>
      <c r="AK1055" s="37">
        <f t="shared" si="1297"/>
        <v>-19000</v>
      </c>
      <c r="AL1055" s="37">
        <f t="shared" si="1297"/>
        <v>-34000</v>
      </c>
      <c r="AM1055" s="37">
        <f t="shared" si="1297"/>
        <v>-34000</v>
      </c>
      <c r="AN1055" s="37">
        <f t="shared" si="1297"/>
        <v>-34000</v>
      </c>
      <c r="AO1055" s="37">
        <f t="shared" si="1297"/>
        <v>-33000</v>
      </c>
      <c r="AP1055" s="37">
        <f t="shared" si="1297"/>
        <v>-30000</v>
      </c>
      <c r="AQ1055" s="200">
        <f t="shared" si="1297"/>
        <v>-30000</v>
      </c>
      <c r="AR1055" s="37">
        <f t="shared" si="1297"/>
        <v>-30000</v>
      </c>
      <c r="AS1055" s="37">
        <f t="shared" si="1297"/>
        <v>-29000</v>
      </c>
      <c r="AT1055" s="37">
        <f t="shared" si="1297"/>
        <v>-37000</v>
      </c>
      <c r="AU1055" s="200">
        <f t="shared" si="1297"/>
        <v>-40000</v>
      </c>
      <c r="AV1055" s="37">
        <f t="shared" si="1297"/>
        <v>-40000</v>
      </c>
      <c r="AW1055" s="37">
        <f t="shared" si="1297"/>
        <v>-38000</v>
      </c>
      <c r="AX1055" s="37">
        <f t="shared" si="1297"/>
        <v>-65000</v>
      </c>
      <c r="AY1055" s="200">
        <f t="shared" si="1297"/>
        <v>-72000</v>
      </c>
      <c r="AZ1055" s="200" t="str">
        <f t="shared" si="1297"/>
        <v>N/A</v>
      </c>
      <c r="BA1055" s="200" t="str">
        <f t="shared" si="1297"/>
        <v>N/A</v>
      </c>
      <c r="BB1055" s="200" t="str">
        <f t="shared" si="1297"/>
        <v>N/A</v>
      </c>
      <c r="BC1055" s="200" t="str">
        <f t="shared" si="1297"/>
        <v>N/A</v>
      </c>
      <c r="BD1055" s="200" t="str">
        <f t="shared" si="1297"/>
        <v>N/A</v>
      </c>
      <c r="BE1055" s="200" t="str">
        <f t="shared" si="1297"/>
        <v>N/A</v>
      </c>
      <c r="BF1055" s="200" t="str">
        <f t="shared" si="1297"/>
        <v>N/A</v>
      </c>
      <c r="BG1055" s="200"/>
      <c r="BH1055" s="582"/>
      <c r="BI1055" s="582"/>
      <c r="BJ1055" s="37"/>
      <c r="BK1055" s="37"/>
      <c r="BL1055" s="37"/>
      <c r="BM1055" s="37"/>
      <c r="BN1055" s="37"/>
      <c r="BO1055" s="37"/>
      <c r="BP1055" s="37"/>
      <c r="BQ1055" s="37"/>
      <c r="BR1055" s="37">
        <f t="shared" ref="BR1055:CB1055" si="1298">IF(ISBLANK(BR$1044),"N/A",IF(COUNTIFS(GD_Item_FiscalPeriod,BR$1044,GD_Item_Name,$B1055,GD_Update_Date,BR$1042)=0,"NR",SUMIFS(GD_Guidance_High,GD_Item_Name,$B1055,GD_Item_FiscalPeriod,BR$1044,GD_Update_Date,BR$1042)))</f>
        <v>-17000</v>
      </c>
      <c r="BS1055" s="37">
        <f t="shared" si="1298"/>
        <v>-23000</v>
      </c>
      <c r="BT1055" s="37">
        <f t="shared" si="1298"/>
        <v>-34000</v>
      </c>
      <c r="BU1055" s="37">
        <f t="shared" si="1298"/>
        <v>-30000</v>
      </c>
      <c r="BV1055" s="37">
        <f t="shared" si="1298"/>
        <v>-37000</v>
      </c>
      <c r="BW1055" s="37">
        <f t="shared" si="1298"/>
        <v>-65000</v>
      </c>
      <c r="BX1055" s="200" t="str">
        <f t="shared" si="1298"/>
        <v>N/A</v>
      </c>
      <c r="BY1055" s="200" t="str">
        <f t="shared" si="1298"/>
        <v>N/A</v>
      </c>
      <c r="BZ1055" s="200" t="str">
        <f t="shared" si="1298"/>
        <v>N/A</v>
      </c>
      <c r="CA1055" s="200" t="str">
        <f t="shared" si="1298"/>
        <v>N/A</v>
      </c>
      <c r="CB1055" s="200" t="str">
        <f t="shared" si="1298"/>
        <v>N/A</v>
      </c>
      <c r="CC1055" s="117"/>
    </row>
    <row r="1056" spans="1:81" x14ac:dyDescent="0.55000000000000004">
      <c r="A1056" s="377" t="s">
        <v>727</v>
      </c>
      <c r="B1056" s="759" t="s">
        <v>375</v>
      </c>
      <c r="C1056" s="37"/>
      <c r="D1056" s="37"/>
      <c r="E1056" s="37"/>
      <c r="F1056" s="37"/>
      <c r="G1056" s="37"/>
      <c r="H1056" s="37"/>
      <c r="I1056" s="37"/>
      <c r="J1056" s="37"/>
      <c r="K1056" s="37"/>
      <c r="L1056" s="37"/>
      <c r="M1056" s="37"/>
      <c r="N1056" s="37"/>
      <c r="O1056" s="37"/>
      <c r="P1056" s="37"/>
      <c r="Q1056" s="37"/>
      <c r="R1056" s="37"/>
      <c r="S1056" s="37"/>
      <c r="T1056" s="37"/>
      <c r="U1056" s="37"/>
      <c r="V1056" s="37"/>
      <c r="W1056" s="37"/>
      <c r="X1056" s="37"/>
      <c r="Y1056" s="37"/>
      <c r="Z1056" s="37"/>
      <c r="AA1056" s="37"/>
      <c r="AB1056" s="37">
        <f t="shared" ref="AB1056:BF1056" si="1299">IF(ISBLANK(AB$1044),"N/A",IF(COUNTIFS(GD_Item_FiscalPeriod,AB$1044,GD_Item_Name,$B1056,GD_Update_Date,AB$1042)=0,"NR",SUMIFS(GD_Guidance_Mid,GD_Item_Name,$B1056,GD_Item_FiscalPeriod,AB$1044,GD_Update_Date,AB$1042)))</f>
        <v>-17000</v>
      </c>
      <c r="AC1056" s="37">
        <f t="shared" si="1299"/>
        <v>-16000</v>
      </c>
      <c r="AD1056" s="37">
        <f t="shared" si="1299"/>
        <v>-18000</v>
      </c>
      <c r="AE1056" s="37">
        <f t="shared" si="1299"/>
        <v>-15000</v>
      </c>
      <c r="AF1056" s="37">
        <f t="shared" si="1299"/>
        <v>-16000</v>
      </c>
      <c r="AG1056" s="37">
        <f t="shared" si="1299"/>
        <v>-16000</v>
      </c>
      <c r="AH1056" s="37">
        <f t="shared" si="1299"/>
        <v>-22000</v>
      </c>
      <c r="AI1056" s="37">
        <f t="shared" si="1299"/>
        <v>-20000</v>
      </c>
      <c r="AJ1056" s="37">
        <f t="shared" si="1299"/>
        <v>-20000</v>
      </c>
      <c r="AK1056" s="37">
        <f t="shared" si="1299"/>
        <v>-19000</v>
      </c>
      <c r="AL1056" s="37">
        <f t="shared" si="1299"/>
        <v>-31500</v>
      </c>
      <c r="AM1056" s="37">
        <f t="shared" si="1299"/>
        <v>-31500</v>
      </c>
      <c r="AN1056" s="37">
        <f t="shared" si="1299"/>
        <v>-32000</v>
      </c>
      <c r="AO1056" s="37">
        <f t="shared" si="1299"/>
        <v>-32500</v>
      </c>
      <c r="AP1056" s="37">
        <f t="shared" si="1299"/>
        <v>-31500</v>
      </c>
      <c r="AQ1056" s="200">
        <f t="shared" si="1299"/>
        <v>-31500</v>
      </c>
      <c r="AR1056" s="37">
        <f t="shared" si="1299"/>
        <v>-28500</v>
      </c>
      <c r="AS1056" s="37">
        <f t="shared" si="1299"/>
        <v>-28000</v>
      </c>
      <c r="AT1056" s="37">
        <f t="shared" si="1299"/>
        <v>-33500</v>
      </c>
      <c r="AU1056" s="200">
        <f t="shared" si="1299"/>
        <v>-37500</v>
      </c>
      <c r="AV1056" s="37">
        <f t="shared" si="1299"/>
        <v>-38500</v>
      </c>
      <c r="AW1056" s="37">
        <f t="shared" si="1299"/>
        <v>-39000</v>
      </c>
      <c r="AX1056" s="37">
        <f t="shared" si="1299"/>
        <v>-62500</v>
      </c>
      <c r="AY1056" s="200">
        <f t="shared" si="1299"/>
        <v>-68000</v>
      </c>
      <c r="AZ1056" s="200" t="str">
        <f t="shared" si="1299"/>
        <v>N/A</v>
      </c>
      <c r="BA1056" s="200" t="str">
        <f t="shared" si="1299"/>
        <v>N/A</v>
      </c>
      <c r="BB1056" s="200" t="str">
        <f t="shared" si="1299"/>
        <v>N/A</v>
      </c>
      <c r="BC1056" s="200" t="str">
        <f t="shared" si="1299"/>
        <v>N/A</v>
      </c>
      <c r="BD1056" s="200" t="str">
        <f t="shared" si="1299"/>
        <v>N/A</v>
      </c>
      <c r="BE1056" s="200" t="str">
        <f t="shared" si="1299"/>
        <v>N/A</v>
      </c>
      <c r="BF1056" s="200" t="str">
        <f t="shared" si="1299"/>
        <v>N/A</v>
      </c>
      <c r="BG1056" s="200"/>
      <c r="BH1056" s="582"/>
      <c r="BI1056" s="582"/>
      <c r="BJ1056" s="37"/>
      <c r="BK1056" s="37"/>
      <c r="BL1056" s="37"/>
      <c r="BM1056" s="37"/>
      <c r="BN1056" s="37"/>
      <c r="BO1056" s="37"/>
      <c r="BP1056" s="37"/>
      <c r="BQ1056" s="37"/>
      <c r="BR1056" s="37">
        <f t="shared" ref="BR1056:CB1056" si="1300">IF(ISBLANK(BR$1044),"N/A",IF(COUNTIFS(GD_Item_FiscalPeriod,BR$1044,GD_Item_Name,$B1056,GD_Update_Date,BR$1042)=0,"NR",SUMIFS(GD_Guidance_Mid,GD_Item_Name,$B1056,GD_Item_FiscalPeriod,BR$1044,GD_Update_Date,BR$1042)))</f>
        <v>-18000</v>
      </c>
      <c r="BS1056" s="37">
        <f t="shared" si="1300"/>
        <v>-22000</v>
      </c>
      <c r="BT1056" s="37">
        <f t="shared" si="1300"/>
        <v>-31500</v>
      </c>
      <c r="BU1056" s="37">
        <f t="shared" si="1300"/>
        <v>-31500</v>
      </c>
      <c r="BV1056" s="37">
        <f t="shared" si="1300"/>
        <v>-33500</v>
      </c>
      <c r="BW1056" s="37">
        <f t="shared" si="1300"/>
        <v>-62500</v>
      </c>
      <c r="BX1056" s="200" t="str">
        <f t="shared" si="1300"/>
        <v>N/A</v>
      </c>
      <c r="BY1056" s="200" t="str">
        <f t="shared" si="1300"/>
        <v>N/A</v>
      </c>
      <c r="BZ1056" s="200" t="str">
        <f t="shared" si="1300"/>
        <v>N/A</v>
      </c>
      <c r="CA1056" s="200" t="str">
        <f t="shared" si="1300"/>
        <v>N/A</v>
      </c>
      <c r="CB1056" s="200" t="str">
        <f t="shared" si="1300"/>
        <v>N/A</v>
      </c>
      <c r="CC1056" s="117"/>
    </row>
    <row r="1057" spans="1:81" x14ac:dyDescent="0.55000000000000004">
      <c r="A1057" s="417"/>
      <c r="B1057" s="82"/>
      <c r="C1057" s="82"/>
      <c r="D1057" s="82"/>
      <c r="E1057" s="82"/>
      <c r="F1057" s="82"/>
      <c r="G1057" s="82"/>
      <c r="H1057" s="82"/>
      <c r="I1057" s="82"/>
      <c r="J1057" s="82"/>
      <c r="K1057" s="82"/>
      <c r="L1057" s="82"/>
      <c r="M1057" s="82"/>
      <c r="N1057" s="82"/>
      <c r="O1057" s="82"/>
      <c r="P1057" s="82"/>
      <c r="Q1057" s="82"/>
      <c r="R1057" s="82"/>
      <c r="S1057" s="82"/>
      <c r="T1057" s="82"/>
      <c r="U1057" s="82"/>
      <c r="V1057" s="82"/>
      <c r="W1057" s="82"/>
      <c r="X1057" s="82"/>
      <c r="Y1057" s="82"/>
      <c r="Z1057" s="82"/>
      <c r="AA1057" s="82"/>
      <c r="AB1057" s="82"/>
      <c r="AC1057" s="82"/>
      <c r="AD1057" s="82"/>
      <c r="AE1057" s="82"/>
      <c r="AF1057" s="82"/>
      <c r="AG1057" s="82"/>
      <c r="AH1057" s="82"/>
      <c r="AI1057" s="82"/>
      <c r="AJ1057" s="82"/>
      <c r="AK1057" s="82"/>
      <c r="AL1057" s="82"/>
      <c r="AM1057" s="82"/>
      <c r="AN1057" s="82"/>
      <c r="AO1057" s="82"/>
      <c r="AP1057" s="82"/>
      <c r="AQ1057" s="82"/>
      <c r="AR1057" s="82"/>
      <c r="AS1057" s="82"/>
      <c r="AT1057" s="82"/>
      <c r="AU1057" s="82"/>
      <c r="AV1057" s="82"/>
      <c r="AW1057" s="82"/>
      <c r="AX1057" s="82"/>
      <c r="AY1057" s="82"/>
      <c r="AZ1057" s="82"/>
      <c r="BA1057" s="82"/>
      <c r="BB1057" s="82"/>
      <c r="BC1057" s="82"/>
      <c r="BD1057" s="82"/>
      <c r="BE1057" s="82"/>
      <c r="BF1057" s="82"/>
      <c r="BG1057" s="82"/>
      <c r="BH1057" s="418"/>
      <c r="BI1057" s="418"/>
      <c r="BJ1057" s="82"/>
      <c r="BK1057" s="82"/>
      <c r="BL1057" s="82"/>
      <c r="BM1057" s="82"/>
      <c r="BN1057" s="82"/>
      <c r="BO1057" s="82"/>
      <c r="BP1057" s="82"/>
      <c r="BQ1057" s="82"/>
      <c r="BR1057" s="82"/>
      <c r="BS1057" s="82"/>
      <c r="BT1057" s="82"/>
      <c r="BU1057" s="82"/>
      <c r="BV1057" s="82"/>
      <c r="BW1057" s="82"/>
      <c r="BX1057" s="82"/>
      <c r="BY1057" s="82"/>
      <c r="BZ1057" s="82"/>
      <c r="CA1057" s="82"/>
      <c r="CB1057" s="82"/>
      <c r="CC1057" s="117"/>
    </row>
    <row r="1058" spans="1:81" x14ac:dyDescent="0.55000000000000004">
      <c r="A1058" s="377"/>
      <c r="B1058" s="37"/>
      <c r="C1058" s="37"/>
      <c r="D1058" s="37"/>
      <c r="E1058" s="37"/>
      <c r="F1058" s="37"/>
      <c r="G1058" s="37"/>
      <c r="H1058" s="37"/>
      <c r="I1058" s="37"/>
      <c r="J1058" s="37"/>
      <c r="K1058" s="37"/>
      <c r="L1058" s="37"/>
      <c r="M1058" s="37"/>
      <c r="N1058" s="37"/>
      <c r="O1058" s="37"/>
      <c r="P1058" s="37"/>
      <c r="Q1058" s="37"/>
      <c r="R1058" s="37"/>
      <c r="S1058" s="37"/>
      <c r="T1058" s="37"/>
      <c r="U1058" s="37"/>
      <c r="V1058" s="37"/>
      <c r="W1058" s="37"/>
      <c r="X1058" s="37"/>
      <c r="Y1058" s="37"/>
      <c r="Z1058" s="37"/>
      <c r="AA1058" s="37"/>
      <c r="AB1058" s="37"/>
      <c r="AC1058" s="37"/>
      <c r="AD1058" s="37"/>
      <c r="AE1058" s="37"/>
      <c r="AF1058" s="37"/>
      <c r="AG1058" s="37"/>
      <c r="AH1058" s="37"/>
      <c r="AI1058" s="37"/>
      <c r="AJ1058" s="37"/>
      <c r="AK1058" s="37"/>
      <c r="AL1058" s="37"/>
      <c r="AM1058" s="37"/>
      <c r="AN1058" s="37"/>
      <c r="AO1058" s="37"/>
      <c r="AP1058" s="37"/>
      <c r="AQ1058" s="37"/>
      <c r="AR1058" s="37"/>
      <c r="AS1058" s="37"/>
      <c r="AT1058" s="37"/>
      <c r="AU1058" s="37"/>
      <c r="AV1058" s="37"/>
      <c r="AW1058" s="37"/>
      <c r="AX1058" s="37"/>
      <c r="AY1058" s="37"/>
      <c r="AZ1058" s="37"/>
      <c r="BA1058" s="37"/>
      <c r="BB1058" s="37"/>
      <c r="BC1058" s="37"/>
      <c r="BD1058" s="37"/>
      <c r="BE1058" s="37"/>
      <c r="BF1058" s="37"/>
      <c r="BG1058" s="37"/>
      <c r="BH1058" s="582"/>
      <c r="BI1058" s="582"/>
      <c r="BJ1058" s="37"/>
      <c r="BK1058" s="37"/>
      <c r="BL1058" s="37"/>
      <c r="BM1058" s="37"/>
      <c r="BN1058" s="37"/>
      <c r="BO1058" s="37"/>
      <c r="BP1058" s="37"/>
      <c r="BQ1058" s="37"/>
      <c r="BR1058" s="37"/>
      <c r="BS1058" s="37"/>
      <c r="BT1058" s="37"/>
      <c r="BU1058" s="37"/>
      <c r="BV1058" s="37"/>
      <c r="BW1058" s="37"/>
      <c r="BX1058" s="37"/>
      <c r="BY1058" s="37"/>
      <c r="BZ1058" s="37"/>
      <c r="CA1058" s="37"/>
      <c r="CB1058" s="37"/>
      <c r="CC1058" s="117"/>
    </row>
    <row r="1059" spans="1:81" x14ac:dyDescent="0.55000000000000004">
      <c r="A1059" s="606" t="s">
        <v>238</v>
      </c>
      <c r="B1059" s="606"/>
      <c r="C1059" s="606"/>
      <c r="D1059" s="606"/>
      <c r="E1059" s="606"/>
      <c r="F1059" s="606"/>
      <c r="G1059" s="606"/>
      <c r="H1059" s="606"/>
      <c r="I1059" s="606"/>
      <c r="J1059" s="606"/>
      <c r="K1059" s="606"/>
      <c r="L1059" s="606"/>
      <c r="M1059" s="606"/>
      <c r="N1059" s="606"/>
      <c r="O1059" s="606"/>
      <c r="P1059" s="606"/>
      <c r="Q1059" s="606"/>
      <c r="R1059" s="606"/>
      <c r="S1059" s="606"/>
      <c r="T1059" s="606"/>
      <c r="U1059" s="606"/>
      <c r="V1059" s="606"/>
      <c r="W1059" s="606"/>
      <c r="X1059" s="606"/>
      <c r="Y1059" s="606"/>
      <c r="Z1059" s="606"/>
      <c r="AA1059" s="606"/>
      <c r="AB1059" s="606"/>
      <c r="AC1059" s="606"/>
      <c r="AD1059" s="606"/>
      <c r="AE1059" s="606"/>
      <c r="AF1059" s="606"/>
      <c r="AG1059" s="606"/>
      <c r="AH1059" s="606"/>
      <c r="AI1059" s="606"/>
      <c r="AJ1059" s="606"/>
      <c r="AK1059" s="606"/>
      <c r="AL1059" s="606"/>
      <c r="AM1059" s="606"/>
      <c r="AN1059" s="606"/>
      <c r="AO1059" s="606"/>
      <c r="AP1059" s="606"/>
      <c r="AQ1059" s="606"/>
      <c r="AR1059" s="606"/>
      <c r="AS1059" s="606"/>
      <c r="AT1059" s="606"/>
      <c r="AU1059" s="606"/>
      <c r="AV1059" s="606"/>
      <c r="AW1059" s="606"/>
      <c r="AX1059" s="606"/>
      <c r="AY1059" s="606"/>
      <c r="AZ1059" s="606" t="str">
        <f t="shared" ref="AZ1059:BF1059" si="1301">AZ5</f>
        <v>Q2-2025</v>
      </c>
      <c r="BA1059" s="606" t="str">
        <f t="shared" si="1301"/>
        <v>Q3-2025</v>
      </c>
      <c r="BB1059" s="606" t="str">
        <f t="shared" si="1301"/>
        <v>Q4-2025</v>
      </c>
      <c r="BC1059" s="606" t="str">
        <f t="shared" si="1301"/>
        <v>Q1-2026</v>
      </c>
      <c r="BD1059" s="606" t="str">
        <f t="shared" si="1301"/>
        <v>Q2-2026</v>
      </c>
      <c r="BE1059" s="606" t="str">
        <f t="shared" si="1301"/>
        <v>Q3-2026</v>
      </c>
      <c r="BF1059" s="606" t="str">
        <f t="shared" si="1301"/>
        <v>Q4-2026</v>
      </c>
      <c r="BG1059" s="606"/>
      <c r="BH1059" s="606"/>
      <c r="BI1059" s="606"/>
      <c r="BJ1059" s="606"/>
      <c r="BK1059" s="606"/>
      <c r="BL1059" s="606"/>
      <c r="BM1059" s="606"/>
      <c r="BN1059" s="606"/>
      <c r="BO1059" s="606"/>
      <c r="BP1059" s="606"/>
      <c r="BQ1059" s="606"/>
      <c r="BR1059" s="606"/>
      <c r="BS1059" s="606"/>
      <c r="BT1059" s="606"/>
      <c r="BU1059" s="606"/>
      <c r="BV1059" s="606"/>
      <c r="BW1059" s="606"/>
      <c r="BX1059" s="606" t="str">
        <f>BX5</f>
        <v>FY2025</v>
      </c>
      <c r="BY1059" s="606" t="str">
        <f>BY5</f>
        <v>FY2026</v>
      </c>
      <c r="BZ1059" s="606" t="str">
        <f>BZ5</f>
        <v>FY2027</v>
      </c>
      <c r="CA1059" s="606" t="str">
        <f>CA5</f>
        <v>FY2028</v>
      </c>
      <c r="CB1059" s="606" t="str">
        <f>CB5</f>
        <v>FY2029</v>
      </c>
      <c r="CC1059" s="174"/>
    </row>
    <row r="1060" spans="1:81" x14ac:dyDescent="0.55000000000000004">
      <c r="A1060" s="601" t="s">
        <v>239</v>
      </c>
      <c r="B1060" s="601"/>
      <c r="C1060" s="601"/>
      <c r="D1060" s="601"/>
      <c r="E1060" s="601"/>
      <c r="F1060" s="601"/>
      <c r="G1060" s="601"/>
      <c r="H1060" s="601"/>
      <c r="I1060" s="601"/>
      <c r="J1060" s="601"/>
      <c r="K1060" s="601"/>
      <c r="L1060" s="601"/>
      <c r="M1060" s="601"/>
      <c r="N1060" s="601"/>
      <c r="O1060" s="601"/>
      <c r="P1060" s="601"/>
      <c r="Q1060" s="601"/>
      <c r="R1060" s="601"/>
      <c r="S1060" s="601"/>
      <c r="T1060" s="601"/>
      <c r="U1060" s="601"/>
      <c r="V1060" s="601"/>
      <c r="W1060" s="601"/>
      <c r="X1060" s="601"/>
      <c r="Y1060" s="601"/>
      <c r="Z1060" s="601"/>
      <c r="AA1060" s="601"/>
      <c r="AB1060" s="601"/>
      <c r="AC1060" s="601"/>
      <c r="AD1060" s="601"/>
      <c r="AE1060" s="601"/>
      <c r="AF1060" s="601"/>
      <c r="AG1060" s="601"/>
      <c r="AH1060" s="601"/>
      <c r="AI1060" s="601"/>
      <c r="AJ1060" s="601"/>
      <c r="AK1060" s="601"/>
      <c r="AL1060" s="601"/>
      <c r="AM1060" s="601"/>
      <c r="AN1060" s="601"/>
      <c r="AO1060" s="601"/>
      <c r="AP1060" s="601"/>
      <c r="AQ1060" s="601"/>
      <c r="AR1060" s="601"/>
      <c r="AS1060" s="601"/>
      <c r="AT1060" s="601"/>
      <c r="AU1060" s="601"/>
      <c r="AV1060" s="601"/>
      <c r="AW1060" s="601"/>
      <c r="AX1060" s="601"/>
      <c r="AY1060" s="601"/>
      <c r="AZ1060" s="601" t="str">
        <f t="shared" ref="AZ1060:BF1060" ca="1" si="1302">IF(MO.DataSourceIndex=3,IF(LEFT(INDIRECT(ADDRESS(ROW()-1,COLUMN())),2)="FY","ANNUAL",IF(LEFT(INDIRECT(ADDRESS(ROW()-1,COLUMN())),1)="Q","QUARTERLY","")),IF(LEFT(INDIRECT(ADDRESS(ROW()-1,COLUMN())),2)="FY","FY",IF(LEFT(INDIRECT(ADDRESS(ROW()-1,COLUMN())),1)="Q","FQ","FH")))</f>
        <v>FQ</v>
      </c>
      <c r="BA1060" s="601" t="str">
        <f t="shared" ca="1" si="1302"/>
        <v>FQ</v>
      </c>
      <c r="BB1060" s="601" t="str">
        <f t="shared" ca="1" si="1302"/>
        <v>FQ</v>
      </c>
      <c r="BC1060" s="601" t="str">
        <f t="shared" ca="1" si="1302"/>
        <v>FQ</v>
      </c>
      <c r="BD1060" s="601" t="str">
        <f t="shared" ca="1" si="1302"/>
        <v>FQ</v>
      </c>
      <c r="BE1060" s="601" t="str">
        <f t="shared" ca="1" si="1302"/>
        <v>FQ</v>
      </c>
      <c r="BF1060" s="601" t="str">
        <f t="shared" ca="1" si="1302"/>
        <v>FQ</v>
      </c>
      <c r="BG1060" s="601"/>
      <c r="BH1060" s="601"/>
      <c r="BI1060" s="601"/>
      <c r="BJ1060" s="601"/>
      <c r="BK1060" s="601"/>
      <c r="BL1060" s="601"/>
      <c r="BM1060" s="601"/>
      <c r="BN1060" s="601"/>
      <c r="BO1060" s="601"/>
      <c r="BP1060" s="601"/>
      <c r="BQ1060" s="601"/>
      <c r="BR1060" s="601"/>
      <c r="BS1060" s="601"/>
      <c r="BT1060" s="601"/>
      <c r="BU1060" s="601"/>
      <c r="BV1060" s="601"/>
      <c r="BW1060" s="601"/>
      <c r="BX1060" s="601" t="str">
        <f ca="1">IF(MO.DataSourceIndex=3,IF(LEFT(INDIRECT(ADDRESS(ROW()-1,COLUMN())),2)="FY","ANNUAL",IF(LEFT(INDIRECT(ADDRESS(ROW()-1,COLUMN())),1)="Q","QUARTERLY","")),IF(LEFT(INDIRECT(ADDRESS(ROW()-1,COLUMN())),2)="FY","FY",IF(LEFT(INDIRECT(ADDRESS(ROW()-1,COLUMN())),1)="Q","FQ","FH")))</f>
        <v>FY</v>
      </c>
      <c r="BY1060" s="601" t="str">
        <f ca="1">IF(MO.DataSourceIndex=3,IF(LEFT(INDIRECT(ADDRESS(ROW()-1,COLUMN())),2)="FY","ANNUAL",IF(LEFT(INDIRECT(ADDRESS(ROW()-1,COLUMN())),1)="Q","QUARTERLY","")),IF(LEFT(INDIRECT(ADDRESS(ROW()-1,COLUMN())),2)="FY","FY",IF(LEFT(INDIRECT(ADDRESS(ROW()-1,COLUMN())),1)="Q","FQ","FH")))</f>
        <v>FY</v>
      </c>
      <c r="BZ1060" s="601" t="str">
        <f ca="1">IF(MO.DataSourceIndex=3,IF(LEFT(INDIRECT(ADDRESS(ROW()-1,COLUMN())),2)="FY","ANNUAL",IF(LEFT(INDIRECT(ADDRESS(ROW()-1,COLUMN())),1)="Q","QUARTERLY","")),IF(LEFT(INDIRECT(ADDRESS(ROW()-1,COLUMN())),2)="FY","FY",IF(LEFT(INDIRECT(ADDRESS(ROW()-1,COLUMN())),1)="Q","FQ","FH")))</f>
        <v>FY</v>
      </c>
      <c r="CA1060" s="601" t="str">
        <f ca="1">IF(MO.DataSourceIndex=3,IF(LEFT(INDIRECT(ADDRESS(ROW()-1,COLUMN())),2)="FY","ANNUAL",IF(LEFT(INDIRECT(ADDRESS(ROW()-1,COLUMN())),1)="Q","QUARTERLY","")),IF(LEFT(INDIRECT(ADDRESS(ROW()-1,COLUMN())),2)="FY","FY",IF(LEFT(INDIRECT(ADDRESS(ROW()-1,COLUMN())),1)="Q","FQ","FH")))</f>
        <v>FY</v>
      </c>
      <c r="CB1060" s="601" t="str">
        <f ca="1">IF(MO.DataSourceIndex=3,IF(LEFT(INDIRECT(ADDRESS(ROW()-1,COLUMN())),2)="FY","ANNUAL",IF(LEFT(INDIRECT(ADDRESS(ROW()-1,COLUMN())),1)="Q","QUARTERLY","")),IF(LEFT(INDIRECT(ADDRESS(ROW()-1,COLUMN())),2)="FY","FY",IF(LEFT(INDIRECT(ADDRESS(ROW()-1,COLUMN())),1)="Q","FQ","FH")))</f>
        <v>FY</v>
      </c>
      <c r="CC1060" s="174"/>
    </row>
    <row r="1061" spans="1:81" x14ac:dyDescent="0.55000000000000004">
      <c r="A1061" s="601" t="s">
        <v>240</v>
      </c>
      <c r="B1061" s="601"/>
      <c r="C1061" s="601"/>
      <c r="D1061" s="601"/>
      <c r="E1061" s="601"/>
      <c r="F1061" s="601"/>
      <c r="G1061" s="601"/>
      <c r="H1061" s="601"/>
      <c r="I1061" s="601"/>
      <c r="J1061" s="601"/>
      <c r="K1061" s="601"/>
      <c r="L1061" s="601"/>
      <c r="M1061" s="601"/>
      <c r="N1061" s="601"/>
      <c r="O1061" s="601"/>
      <c r="P1061" s="601"/>
      <c r="Q1061" s="601"/>
      <c r="R1061" s="601"/>
      <c r="S1061" s="601"/>
      <c r="T1061" s="601"/>
      <c r="U1061" s="601"/>
      <c r="V1061" s="601"/>
      <c r="W1061" s="601"/>
      <c r="X1061" s="601"/>
      <c r="Y1061" s="601"/>
      <c r="Z1061" s="601"/>
      <c r="AA1061" s="601"/>
      <c r="AB1061" s="601"/>
      <c r="AC1061" s="601"/>
      <c r="AD1061" s="601"/>
      <c r="AE1061" s="601"/>
      <c r="AF1061" s="601"/>
      <c r="AG1061" s="601"/>
      <c r="AH1061" s="601"/>
      <c r="AI1061" s="601"/>
      <c r="AJ1061" s="601"/>
      <c r="AK1061" s="601"/>
      <c r="AL1061" s="601"/>
      <c r="AM1061" s="601"/>
      <c r="AN1061" s="601"/>
      <c r="AO1061" s="601"/>
      <c r="AP1061" s="601"/>
      <c r="AQ1061" s="601"/>
      <c r="AR1061" s="601"/>
      <c r="AS1061" s="601"/>
      <c r="AT1061" s="601"/>
      <c r="AU1061" s="601"/>
      <c r="AV1061" s="601"/>
      <c r="AW1061" s="601"/>
      <c r="AX1061" s="601"/>
      <c r="AY1061" s="601"/>
      <c r="AZ1061" s="601">
        <f t="shared" ref="AZ1061:BF1061" ca="1" si="1303">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BA1061" s="601">
        <f t="shared" ca="1" si="1303"/>
        <v>2</v>
      </c>
      <c r="BB1061" s="601">
        <f t="shared" ca="1" si="1303"/>
        <v>3</v>
      </c>
      <c r="BC1061" s="601">
        <f t="shared" ca="1" si="1303"/>
        <v>4</v>
      </c>
      <c r="BD1061" s="601">
        <f t="shared" ca="1" si="1303"/>
        <v>5</v>
      </c>
      <c r="BE1061" s="601">
        <f t="shared" ca="1" si="1303"/>
        <v>6</v>
      </c>
      <c r="BF1061" s="601">
        <f t="shared" ca="1" si="1303"/>
        <v>7</v>
      </c>
      <c r="BG1061" s="601"/>
      <c r="BH1061" s="601"/>
      <c r="BI1061" s="601"/>
      <c r="BJ1061" s="601"/>
      <c r="BK1061" s="601"/>
      <c r="BL1061" s="601"/>
      <c r="BM1061" s="601"/>
      <c r="BN1061" s="601"/>
      <c r="BO1061" s="601"/>
      <c r="BP1061" s="601"/>
      <c r="BQ1061" s="601"/>
      <c r="BR1061" s="601"/>
      <c r="BS1061" s="601"/>
      <c r="BT1061" s="601"/>
      <c r="BU1061" s="601"/>
      <c r="BV1061" s="601"/>
      <c r="BW1061" s="601"/>
      <c r="BX1061" s="601">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BY1061" s="601">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2</v>
      </c>
      <c r="BZ1061" s="601">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3</v>
      </c>
      <c r="CA1061" s="601">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4</v>
      </c>
      <c r="CB1061" s="601">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5</v>
      </c>
      <c r="CC1061" s="174"/>
    </row>
    <row r="1062" spans="1:81" x14ac:dyDescent="0.55000000000000004">
      <c r="A1062" s="429" t="str">
        <f>$A$321</f>
        <v>Consensus Estimates - Gross Margin, %</v>
      </c>
      <c r="B1062" s="55"/>
      <c r="C1062" s="557"/>
      <c r="D1062" s="55"/>
      <c r="E1062" s="55"/>
      <c r="F1062" s="55"/>
      <c r="G1062" s="55"/>
      <c r="H1062" s="55"/>
      <c r="I1062" s="55"/>
      <c r="J1062" s="55"/>
      <c r="K1062" s="55"/>
      <c r="L1062" s="55"/>
      <c r="M1062" s="55"/>
      <c r="N1062" s="55"/>
      <c r="O1062" s="55"/>
      <c r="P1062" s="55"/>
      <c r="Q1062" s="55"/>
      <c r="R1062" s="55"/>
      <c r="S1062" s="55"/>
      <c r="T1062" s="55"/>
      <c r="U1062" s="55"/>
      <c r="V1062" s="55"/>
      <c r="W1062" s="55"/>
      <c r="X1062" s="55"/>
      <c r="Y1062" s="55"/>
      <c r="Z1062" s="55"/>
      <c r="AA1062" s="55"/>
      <c r="AB1062" s="55"/>
      <c r="AC1062" s="55"/>
      <c r="AD1062" s="55"/>
      <c r="AE1062" s="55"/>
      <c r="AF1062" s="55"/>
      <c r="AG1062" s="55"/>
      <c r="AH1062" s="55"/>
      <c r="AI1062" s="55"/>
      <c r="AJ1062" s="55"/>
      <c r="AK1062" s="55"/>
      <c r="AL1062" s="55"/>
      <c r="AM1062" s="55"/>
      <c r="AN1062" s="55"/>
      <c r="AO1062" s="55"/>
      <c r="AP1062" s="55"/>
      <c r="AQ1062" s="55"/>
      <c r="AR1062" s="55"/>
      <c r="AS1062" s="55"/>
      <c r="AT1062" s="55"/>
      <c r="AU1062" s="55"/>
      <c r="AV1062" s="55"/>
      <c r="AW1062" s="55"/>
      <c r="AX1062" s="55"/>
      <c r="AY1062" s="55"/>
      <c r="AZ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A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B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C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D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E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F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G1062" s="55"/>
      <c r="BH1062" s="557"/>
      <c r="BI1062" s="557"/>
      <c r="BJ1062" s="557"/>
      <c r="BK1062" s="557"/>
      <c r="BL1062" s="55"/>
      <c r="BM1062" s="55"/>
      <c r="BN1062" s="55"/>
      <c r="BO1062" s="55"/>
      <c r="BP1062" s="55"/>
      <c r="BQ1062" s="55"/>
      <c r="BR1062" s="55"/>
      <c r="BS1062" s="55"/>
      <c r="BT1062" s="55"/>
      <c r="BU1062" s="55"/>
      <c r="BV1062" s="55"/>
      <c r="BW1062" s="55"/>
      <c r="BX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Y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Z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CA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CB1062" s="5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CC1062" s="175"/>
    </row>
    <row r="1063" spans="1:81" x14ac:dyDescent="0.55000000000000004">
      <c r="A1063" s="377" t="str">
        <f>$A$379</f>
        <v>Consensus Estimates - Net Revenue</v>
      </c>
      <c r="B1063" s="600"/>
      <c r="C1063" s="558"/>
      <c r="D1063" s="600"/>
      <c r="E1063" s="600"/>
      <c r="F1063" s="600"/>
      <c r="G1063" s="600"/>
      <c r="H1063" s="600"/>
      <c r="I1063" s="600"/>
      <c r="J1063" s="600"/>
      <c r="K1063" s="600"/>
      <c r="L1063" s="600"/>
      <c r="M1063" s="600"/>
      <c r="N1063" s="600"/>
      <c r="O1063" s="600"/>
      <c r="P1063" s="600"/>
      <c r="Q1063" s="600"/>
      <c r="R1063" s="600"/>
      <c r="S1063" s="600"/>
      <c r="T1063" s="600"/>
      <c r="U1063" s="600"/>
      <c r="V1063" s="600"/>
      <c r="W1063" s="600"/>
      <c r="X1063" s="600"/>
      <c r="Y1063" s="600"/>
      <c r="Z1063" s="600"/>
      <c r="AA1063" s="600"/>
      <c r="AB1063" s="600"/>
      <c r="AC1063" s="600"/>
      <c r="AD1063" s="600"/>
      <c r="AE1063" s="600"/>
      <c r="AF1063" s="600"/>
      <c r="AG1063" s="600"/>
      <c r="AH1063" s="600"/>
      <c r="AI1063" s="600"/>
      <c r="AJ1063" s="600"/>
      <c r="AK1063" s="600"/>
      <c r="AL1063" s="600"/>
      <c r="AM1063" s="600"/>
      <c r="AN1063" s="600"/>
      <c r="AO1063" s="600"/>
      <c r="AP1063" s="600"/>
      <c r="AQ1063" s="600"/>
      <c r="AR1063" s="600"/>
      <c r="AS1063" s="600"/>
      <c r="AT1063" s="600"/>
      <c r="AU1063" s="600"/>
      <c r="AV1063" s="600"/>
      <c r="AW1063" s="600"/>
      <c r="AX1063" s="600"/>
      <c r="AY1063" s="600"/>
      <c r="AZ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A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B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C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D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E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F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G1063" s="600"/>
      <c r="BH1063" s="558"/>
      <c r="BI1063" s="558"/>
      <c r="BJ1063" s="558"/>
      <c r="BK1063" s="558"/>
      <c r="BL1063" s="600"/>
      <c r="BM1063" s="600"/>
      <c r="BN1063" s="600"/>
      <c r="BO1063" s="600"/>
      <c r="BP1063" s="600"/>
      <c r="BQ1063" s="600"/>
      <c r="BR1063" s="600"/>
      <c r="BS1063" s="600"/>
      <c r="BT1063" s="600"/>
      <c r="BU1063" s="600"/>
      <c r="BV1063" s="600"/>
      <c r="BW1063" s="600"/>
      <c r="BX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Y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Z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CA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CB1063" s="600"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CC1063" s="176"/>
    </row>
    <row r="1064" spans="1:81" x14ac:dyDescent="0.55000000000000004">
      <c r="A1064" s="377" t="str">
        <f>$A$397</f>
        <v xml:space="preserve">Consensus Estimates - Adjusted EBITDA </v>
      </c>
      <c r="B1064" s="600"/>
      <c r="C1064" s="558"/>
      <c r="D1064" s="600"/>
      <c r="E1064" s="600"/>
      <c r="F1064" s="600"/>
      <c r="G1064" s="600"/>
      <c r="H1064" s="600"/>
      <c r="I1064" s="600"/>
      <c r="J1064" s="600"/>
      <c r="K1064" s="600"/>
      <c r="L1064" s="600"/>
      <c r="M1064" s="600"/>
      <c r="N1064" s="600"/>
      <c r="O1064" s="600"/>
      <c r="P1064" s="600"/>
      <c r="Q1064" s="600"/>
      <c r="R1064" s="600"/>
      <c r="S1064" s="600"/>
      <c r="T1064" s="600"/>
      <c r="U1064" s="600"/>
      <c r="V1064" s="600"/>
      <c r="W1064" s="600"/>
      <c r="X1064" s="600"/>
      <c r="Y1064" s="600"/>
      <c r="Z1064" s="600"/>
      <c r="AA1064" s="600"/>
      <c r="AB1064" s="600"/>
      <c r="AC1064" s="600"/>
      <c r="AD1064" s="600"/>
      <c r="AE1064" s="600"/>
      <c r="AF1064" s="600"/>
      <c r="AG1064" s="600"/>
      <c r="AH1064" s="600"/>
      <c r="AI1064" s="600"/>
      <c r="AJ1064" s="600"/>
      <c r="AK1064" s="600"/>
      <c r="AL1064" s="600"/>
      <c r="AM1064" s="600"/>
      <c r="AN1064" s="600"/>
      <c r="AO1064" s="600"/>
      <c r="AP1064" s="600"/>
      <c r="AQ1064" s="600"/>
      <c r="AR1064" s="600"/>
      <c r="AS1064" s="600"/>
      <c r="AT1064" s="600"/>
      <c r="AU1064" s="600"/>
      <c r="AV1064" s="600"/>
      <c r="AW1064" s="600"/>
      <c r="AX1064" s="600"/>
      <c r="AY1064" s="600"/>
      <c r="AZ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A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B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C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D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E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F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G1064" s="600"/>
      <c r="BH1064" s="558"/>
      <c r="BI1064" s="558"/>
      <c r="BJ1064" s="558"/>
      <c r="BK1064" s="558"/>
      <c r="BL1064" s="600"/>
      <c r="BM1064" s="600"/>
      <c r="BN1064" s="600"/>
      <c r="BO1064" s="600"/>
      <c r="BP1064" s="600"/>
      <c r="BQ1064" s="600"/>
      <c r="BR1064" s="600"/>
      <c r="BS1064" s="600"/>
      <c r="BT1064" s="600"/>
      <c r="BU1064" s="600"/>
      <c r="BV1064" s="600"/>
      <c r="BW1064" s="600"/>
      <c r="BX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Y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Z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CA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CB1064" s="600"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CC1064" s="176"/>
    </row>
    <row r="1065" spans="1:81" x14ac:dyDescent="0.55000000000000004">
      <c r="A1065" s="377" t="str">
        <f>$A$390</f>
        <v>Consensus Estimates - Adjusted EBIT</v>
      </c>
      <c r="B1065" s="600"/>
      <c r="C1065" s="558"/>
      <c r="D1065" s="600"/>
      <c r="E1065" s="600"/>
      <c r="F1065" s="600"/>
      <c r="G1065" s="600"/>
      <c r="H1065" s="600"/>
      <c r="I1065" s="600"/>
      <c r="J1065" s="600"/>
      <c r="K1065" s="600"/>
      <c r="L1065" s="600"/>
      <c r="M1065" s="600"/>
      <c r="N1065" s="600"/>
      <c r="O1065" s="600"/>
      <c r="P1065" s="600"/>
      <c r="Q1065" s="600"/>
      <c r="R1065" s="600"/>
      <c r="S1065" s="600"/>
      <c r="T1065" s="600"/>
      <c r="U1065" s="600"/>
      <c r="V1065" s="600"/>
      <c r="W1065" s="600"/>
      <c r="X1065" s="600"/>
      <c r="Y1065" s="600"/>
      <c r="Z1065" s="600"/>
      <c r="AA1065" s="600"/>
      <c r="AB1065" s="600"/>
      <c r="AC1065" s="600"/>
      <c r="AD1065" s="600"/>
      <c r="AE1065" s="600"/>
      <c r="AF1065" s="600"/>
      <c r="AG1065" s="600"/>
      <c r="AH1065" s="600"/>
      <c r="AI1065" s="600"/>
      <c r="AJ1065" s="600"/>
      <c r="AK1065" s="600"/>
      <c r="AL1065" s="600"/>
      <c r="AM1065" s="600"/>
      <c r="AN1065" s="600"/>
      <c r="AO1065" s="600"/>
      <c r="AP1065" s="600"/>
      <c r="AQ1065" s="600"/>
      <c r="AR1065" s="600"/>
      <c r="AS1065" s="600"/>
      <c r="AT1065" s="600"/>
      <c r="AU1065" s="600"/>
      <c r="AV1065" s="600"/>
      <c r="AW1065" s="600"/>
      <c r="AX1065" s="600"/>
      <c r="AY1065" s="600"/>
      <c r="AZ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A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B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C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D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E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F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G1065" s="600"/>
      <c r="BH1065" s="558"/>
      <c r="BI1065" s="558"/>
      <c r="BJ1065" s="558"/>
      <c r="BK1065" s="558"/>
      <c r="BL1065" s="600"/>
      <c r="BM1065" s="600"/>
      <c r="BN1065" s="600"/>
      <c r="BO1065" s="600"/>
      <c r="BP1065" s="600"/>
      <c r="BQ1065" s="600"/>
      <c r="BR1065" s="600"/>
      <c r="BS1065" s="600"/>
      <c r="BT1065" s="600"/>
      <c r="BU1065" s="600"/>
      <c r="BV1065" s="600"/>
      <c r="BW1065" s="600"/>
      <c r="BX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Y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Z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CA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CB1065" s="600"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CC1065" s="176"/>
    </row>
    <row r="1066" spans="1:81" x14ac:dyDescent="0.55000000000000004">
      <c r="A1066" s="1153" t="str">
        <f>$A$423</f>
        <v>Consensus Estimates - Adjusted Earnings Per Share - WAD</v>
      </c>
      <c r="B1066" s="78"/>
      <c r="C1066" s="559"/>
      <c r="D1066" s="78"/>
      <c r="E1066" s="78"/>
      <c r="F1066" s="78"/>
      <c r="G1066" s="78"/>
      <c r="H1066" s="78"/>
      <c r="I1066" s="78"/>
      <c r="J1066" s="78"/>
      <c r="K1066" s="78"/>
      <c r="L1066" s="78"/>
      <c r="M1066" s="78"/>
      <c r="N1066" s="78"/>
      <c r="O1066" s="78"/>
      <c r="P1066" s="78"/>
      <c r="Q1066" s="78"/>
      <c r="R1066" s="78"/>
      <c r="S1066" s="78"/>
      <c r="T1066" s="78"/>
      <c r="U1066" s="78"/>
      <c r="V1066" s="78"/>
      <c r="W1066" s="78"/>
      <c r="X1066" s="78"/>
      <c r="Y1066" s="78"/>
      <c r="Z1066" s="78"/>
      <c r="AA1066" s="78"/>
      <c r="AB1066" s="78"/>
      <c r="AC1066" s="78"/>
      <c r="AD1066" s="78"/>
      <c r="AE1066" s="78"/>
      <c r="AF1066" s="78"/>
      <c r="AG1066" s="78"/>
      <c r="AH1066" s="78"/>
      <c r="AI1066" s="78"/>
      <c r="AJ1066" s="78"/>
      <c r="AK1066" s="78"/>
      <c r="AL1066" s="78"/>
      <c r="AM1066" s="78"/>
      <c r="AN1066" s="78"/>
      <c r="AO1066" s="78"/>
      <c r="AP1066" s="78"/>
      <c r="AQ1066" s="78"/>
      <c r="AR1066" s="78"/>
      <c r="AS1066" s="78"/>
      <c r="AT1066" s="78"/>
      <c r="AU1066" s="78"/>
      <c r="AV1066" s="78"/>
      <c r="AW1066" s="78"/>
      <c r="AX1066" s="78"/>
      <c r="AY1066" s="78"/>
      <c r="AZ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A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B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C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D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E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F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G1066" s="78"/>
      <c r="BH1066" s="559"/>
      <c r="BI1066" s="559"/>
      <c r="BJ1066" s="559"/>
      <c r="BK1066" s="559"/>
      <c r="BL1066" s="78"/>
      <c r="BM1066" s="78"/>
      <c r="BN1066" s="78"/>
      <c r="BO1066" s="78"/>
      <c r="BP1066" s="78"/>
      <c r="BQ1066" s="78"/>
      <c r="BR1066" s="78"/>
      <c r="BS1066" s="78"/>
      <c r="BT1066" s="78"/>
      <c r="BU1066" s="78"/>
      <c r="BV1066" s="78"/>
      <c r="BW1066" s="78"/>
      <c r="BX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Y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Z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CA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CB1066" s="78"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CC1066" s="177"/>
    </row>
    <row r="1067" spans="1:81" x14ac:dyDescent="0.55000000000000004">
      <c r="A1067" s="1153" t="str">
        <f>$A$664</f>
        <v>Consensus Estimates - Cash Flow Per Diluted Share</v>
      </c>
      <c r="B1067" s="78"/>
      <c r="C1067" s="559"/>
      <c r="D1067" s="78"/>
      <c r="E1067" s="78"/>
      <c r="F1067" s="78"/>
      <c r="G1067" s="78"/>
      <c r="H1067" s="78"/>
      <c r="I1067" s="78"/>
      <c r="J1067" s="78"/>
      <c r="K1067" s="78"/>
      <c r="L1067" s="78"/>
      <c r="M1067" s="78"/>
      <c r="N1067" s="78"/>
      <c r="O1067" s="78"/>
      <c r="P1067" s="78"/>
      <c r="Q1067" s="78"/>
      <c r="R1067" s="78"/>
      <c r="S1067" s="78"/>
      <c r="T1067" s="78"/>
      <c r="U1067" s="78"/>
      <c r="V1067" s="78"/>
      <c r="W1067" s="78"/>
      <c r="X1067" s="78"/>
      <c r="Y1067" s="78"/>
      <c r="Z1067" s="78"/>
      <c r="AA1067" s="78"/>
      <c r="AB1067" s="78"/>
      <c r="AC1067" s="78"/>
      <c r="AD1067" s="78"/>
      <c r="AE1067" s="78"/>
      <c r="AF1067" s="78"/>
      <c r="AG1067" s="78"/>
      <c r="AH1067" s="78"/>
      <c r="AI1067" s="78"/>
      <c r="AJ1067" s="78"/>
      <c r="AK1067" s="78"/>
      <c r="AL1067" s="78"/>
      <c r="AM1067" s="78"/>
      <c r="AN1067" s="78"/>
      <c r="AO1067" s="78"/>
      <c r="AP1067" s="78"/>
      <c r="AQ1067" s="78"/>
      <c r="AR1067" s="78"/>
      <c r="AS1067" s="78"/>
      <c r="AT1067" s="78"/>
      <c r="AU1067" s="78"/>
      <c r="AV1067" s="78"/>
      <c r="AW1067" s="78"/>
      <c r="AX1067" s="78"/>
      <c r="AY1067" s="78"/>
      <c r="AZ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A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B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C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D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E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F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G1067" s="78"/>
      <c r="BH1067" s="559"/>
      <c r="BI1067" s="559"/>
      <c r="BJ1067" s="559"/>
      <c r="BK1067" s="559"/>
      <c r="BL1067" s="78"/>
      <c r="BM1067" s="78"/>
      <c r="BN1067" s="78"/>
      <c r="BO1067" s="78"/>
      <c r="BP1067" s="78"/>
      <c r="BQ1067" s="78"/>
      <c r="BR1067" s="78"/>
      <c r="BS1067" s="78"/>
      <c r="BT1067" s="78"/>
      <c r="BU1067" s="78"/>
      <c r="BV1067" s="78"/>
      <c r="BW1067" s="78"/>
      <c r="BX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Y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Z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CA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CB1067" s="78"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CC1067" s="177"/>
    </row>
    <row r="1068" spans="1:81" x14ac:dyDescent="0.55000000000000004">
      <c r="A1068" s="377" t="str">
        <f>A666</f>
        <v>Consensus Estimates - Capex</v>
      </c>
      <c r="B1068" s="600"/>
      <c r="C1068" s="558"/>
      <c r="D1068" s="600"/>
      <c r="E1068" s="600"/>
      <c r="F1068" s="600"/>
      <c r="G1068" s="600"/>
      <c r="H1068" s="600"/>
      <c r="I1068" s="600"/>
      <c r="J1068" s="600"/>
      <c r="K1068" s="600"/>
      <c r="L1068" s="600"/>
      <c r="M1068" s="600"/>
      <c r="N1068" s="600"/>
      <c r="O1068" s="600"/>
      <c r="P1068" s="600"/>
      <c r="Q1068" s="600"/>
      <c r="R1068" s="600"/>
      <c r="S1068" s="600"/>
      <c r="T1068" s="600"/>
      <c r="U1068" s="600"/>
      <c r="V1068" s="600"/>
      <c r="W1068" s="600"/>
      <c r="X1068" s="600"/>
      <c r="Y1068" s="600"/>
      <c r="Z1068" s="600"/>
      <c r="AA1068" s="600"/>
      <c r="AB1068" s="600"/>
      <c r="AC1068" s="600"/>
      <c r="AD1068" s="600"/>
      <c r="AE1068" s="600"/>
      <c r="AF1068" s="600"/>
      <c r="AG1068" s="600"/>
      <c r="AH1068" s="600"/>
      <c r="AI1068" s="600"/>
      <c r="AJ1068" s="600"/>
      <c r="AK1068" s="600"/>
      <c r="AL1068" s="600"/>
      <c r="AM1068" s="600"/>
      <c r="AN1068" s="600"/>
      <c r="AO1068" s="600"/>
      <c r="AP1068" s="600"/>
      <c r="AQ1068" s="600"/>
      <c r="AR1068" s="600"/>
      <c r="AS1068" s="600"/>
      <c r="AT1068" s="600"/>
      <c r="AU1068" s="600"/>
      <c r="AV1068" s="600"/>
      <c r="AW1068" s="600"/>
      <c r="AX1068" s="600"/>
      <c r="AY1068" s="600"/>
      <c r="AZ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A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B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C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D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E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F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G1068" s="600"/>
      <c r="BH1068" s="558"/>
      <c r="BI1068" s="558"/>
      <c r="BJ1068" s="558"/>
      <c r="BK1068" s="558"/>
      <c r="BL1068" s="600"/>
      <c r="BM1068" s="600"/>
      <c r="BN1068" s="600"/>
      <c r="BO1068" s="600"/>
      <c r="BP1068" s="600"/>
      <c r="BQ1068" s="600"/>
      <c r="BR1068" s="600"/>
      <c r="BS1068" s="600"/>
      <c r="BT1068" s="600"/>
      <c r="BU1068" s="600"/>
      <c r="BV1068" s="600"/>
      <c r="BW1068" s="600"/>
      <c r="BX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Y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Z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CA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CB1068" s="600"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CC1068" s="176"/>
    </row>
    <row r="1069" spans="1:81" x14ac:dyDescent="0.55000000000000004">
      <c r="A1069" s="417"/>
      <c r="B1069" s="603"/>
      <c r="C1069" s="182"/>
      <c r="D1069" s="603"/>
      <c r="E1069" s="603"/>
      <c r="F1069" s="603"/>
      <c r="G1069" s="603"/>
      <c r="H1069" s="603"/>
      <c r="I1069" s="603"/>
      <c r="J1069" s="603"/>
      <c r="K1069" s="603"/>
      <c r="L1069" s="603"/>
      <c r="M1069" s="603"/>
      <c r="N1069" s="603"/>
      <c r="O1069" s="603"/>
      <c r="P1069" s="603"/>
      <c r="Q1069" s="603"/>
      <c r="R1069" s="603"/>
      <c r="S1069" s="603"/>
      <c r="T1069" s="603"/>
      <c r="U1069" s="603"/>
      <c r="V1069" s="603"/>
      <c r="W1069" s="603"/>
      <c r="X1069" s="603"/>
      <c r="Y1069" s="603"/>
      <c r="Z1069" s="603"/>
      <c r="AA1069" s="603"/>
      <c r="AB1069" s="603"/>
      <c r="AC1069" s="603"/>
      <c r="AD1069" s="603"/>
      <c r="AE1069" s="603"/>
      <c r="AF1069" s="603"/>
      <c r="AG1069" s="603"/>
      <c r="AH1069" s="603"/>
      <c r="AI1069" s="603"/>
      <c r="AJ1069" s="603"/>
      <c r="AK1069" s="603"/>
      <c r="AL1069" s="603"/>
      <c r="AM1069" s="603"/>
      <c r="AN1069" s="603"/>
      <c r="AO1069" s="603"/>
      <c r="AP1069" s="603"/>
      <c r="AQ1069" s="603"/>
      <c r="AR1069" s="603"/>
      <c r="AS1069" s="603"/>
      <c r="AT1069" s="603"/>
      <c r="AU1069" s="603"/>
      <c r="AV1069" s="603"/>
      <c r="AW1069" s="603"/>
      <c r="AX1069" s="603"/>
      <c r="AY1069" s="603"/>
      <c r="AZ1069" s="603"/>
      <c r="BA1069" s="603"/>
      <c r="BB1069" s="603"/>
      <c r="BC1069" s="603"/>
      <c r="BD1069" s="603"/>
      <c r="BE1069" s="603"/>
      <c r="BF1069" s="603"/>
      <c r="BG1069" s="603"/>
      <c r="BH1069" s="182"/>
      <c r="BI1069" s="182"/>
      <c r="BJ1069" s="182"/>
      <c r="BK1069" s="182"/>
      <c r="BL1069" s="603"/>
      <c r="BM1069" s="603"/>
      <c r="BN1069" s="603"/>
      <c r="BO1069" s="603"/>
      <c r="BP1069" s="603"/>
      <c r="BQ1069" s="603"/>
      <c r="BR1069" s="603"/>
      <c r="BS1069" s="603"/>
      <c r="BT1069" s="603"/>
      <c r="BU1069" s="603"/>
      <c r="BV1069" s="603"/>
      <c r="BW1069" s="603"/>
      <c r="BX1069" s="603"/>
      <c r="BY1069" s="603"/>
      <c r="BZ1069" s="603"/>
      <c r="CA1069" s="603"/>
      <c r="CB1069" s="603"/>
      <c r="CC1069" s="176"/>
    </row>
    <row r="1070" spans="1:81" x14ac:dyDescent="0.55000000000000004">
      <c r="A1070" s="178"/>
      <c r="B1070" s="167"/>
      <c r="C1070" s="179"/>
      <c r="D1070" s="167"/>
      <c r="E1070" s="167"/>
      <c r="F1070" s="167"/>
      <c r="G1070" s="167"/>
      <c r="H1070" s="167"/>
      <c r="I1070" s="167"/>
      <c r="J1070" s="167"/>
      <c r="K1070" s="167"/>
      <c r="L1070" s="167"/>
      <c r="M1070" s="167"/>
      <c r="N1070" s="167"/>
      <c r="O1070" s="167"/>
      <c r="P1070" s="167"/>
      <c r="Q1070" s="167"/>
      <c r="R1070" s="167"/>
      <c r="S1070" s="167"/>
      <c r="T1070" s="167"/>
      <c r="U1070" s="167"/>
      <c r="V1070" s="167"/>
      <c r="W1070" s="167"/>
      <c r="X1070" s="167"/>
      <c r="Y1070" s="167"/>
      <c r="Z1070" s="167"/>
      <c r="AA1070" s="167"/>
      <c r="AB1070" s="167"/>
      <c r="AC1070" s="167"/>
      <c r="AD1070" s="167"/>
      <c r="AE1070" s="167"/>
      <c r="AF1070" s="167"/>
      <c r="AG1070" s="167"/>
      <c r="AH1070" s="167"/>
      <c r="AI1070" s="167"/>
      <c r="AJ1070" s="167"/>
      <c r="AK1070" s="167"/>
      <c r="AL1070" s="167"/>
      <c r="AM1070" s="167"/>
      <c r="AN1070" s="167"/>
      <c r="AO1070" s="167"/>
      <c r="AP1070" s="167"/>
      <c r="AQ1070" s="167"/>
      <c r="AR1070" s="167"/>
      <c r="AS1070" s="167"/>
      <c r="AT1070" s="167"/>
      <c r="AU1070" s="167"/>
      <c r="AV1070" s="167"/>
      <c r="AW1070" s="167"/>
      <c r="AX1070" s="167"/>
      <c r="AY1070" s="167"/>
      <c r="AZ1070" s="167"/>
      <c r="BA1070" s="167"/>
      <c r="BB1070" s="167"/>
      <c r="BC1070" s="167"/>
      <c r="BD1070" s="167"/>
      <c r="BE1070" s="167"/>
      <c r="BF1070" s="167"/>
      <c r="BG1070" s="167"/>
      <c r="BH1070" s="179"/>
      <c r="BI1070" s="179"/>
      <c r="BJ1070" s="179"/>
      <c r="BK1070" s="179"/>
      <c r="BL1070" s="167"/>
      <c r="BM1070" s="167"/>
      <c r="BN1070" s="167"/>
      <c r="BO1070" s="167"/>
      <c r="BP1070" s="167"/>
      <c r="BQ1070" s="167"/>
      <c r="BR1070" s="167"/>
      <c r="BS1070" s="167"/>
      <c r="BT1070" s="167"/>
      <c r="BU1070" s="167"/>
      <c r="BV1070" s="167"/>
      <c r="BW1070" s="167"/>
      <c r="BX1070" s="167"/>
      <c r="BY1070" s="167"/>
      <c r="BZ1070" s="167"/>
      <c r="CA1070" s="167"/>
      <c r="CB1070" s="167"/>
      <c r="CC1070" s="358"/>
    </row>
    <row r="1071" spans="1:81" x14ac:dyDescent="0.55000000000000004">
      <c r="A1071" s="1154" t="s">
        <v>241</v>
      </c>
      <c r="B1071" s="602"/>
      <c r="C1071" s="133"/>
      <c r="D1071" s="602"/>
      <c r="E1071" s="602"/>
      <c r="F1071" s="602"/>
      <c r="G1071" s="602"/>
      <c r="H1071" s="602"/>
      <c r="I1071" s="602"/>
      <c r="J1071" s="602"/>
      <c r="K1071" s="602"/>
      <c r="L1071" s="602"/>
      <c r="M1071" s="602"/>
      <c r="N1071" s="602"/>
      <c r="O1071" s="602"/>
      <c r="P1071" s="602"/>
      <c r="Q1071" s="602"/>
      <c r="R1071" s="602"/>
      <c r="S1071" s="602"/>
      <c r="T1071" s="602"/>
      <c r="U1071" s="602"/>
      <c r="V1071" s="602"/>
      <c r="W1071" s="602"/>
      <c r="X1071" s="602"/>
      <c r="Y1071" s="602"/>
      <c r="Z1071" s="602"/>
      <c r="AA1071" s="602"/>
      <c r="AB1071" s="602"/>
      <c r="AC1071" s="602"/>
      <c r="AD1071" s="602"/>
      <c r="AE1071" s="602"/>
      <c r="AF1071" s="602"/>
      <c r="AG1071" s="602"/>
      <c r="AH1071" s="602"/>
      <c r="AI1071" s="602"/>
      <c r="AJ1071" s="602"/>
      <c r="AK1071" s="602"/>
      <c r="AL1071" s="602"/>
      <c r="AM1071" s="602"/>
      <c r="AN1071" s="602"/>
      <c r="AO1071" s="602"/>
      <c r="AP1071" s="602"/>
      <c r="AQ1071" s="602"/>
      <c r="AR1071" s="602"/>
      <c r="AS1071" s="602"/>
      <c r="AT1071" s="602"/>
      <c r="AU1071" s="602"/>
      <c r="AV1071" s="602"/>
      <c r="AW1071" s="602"/>
      <c r="AX1071" s="602"/>
      <c r="AY1071" s="602"/>
      <c r="AZ1071" s="602"/>
      <c r="BA1071" s="602"/>
      <c r="BB1071" s="602"/>
      <c r="BC1071" s="602"/>
      <c r="BD1071" s="602"/>
      <c r="BE1071" s="602"/>
      <c r="BF1071" s="602"/>
      <c r="BG1071" s="602"/>
      <c r="BH1071" s="133"/>
      <c r="BI1071" s="133"/>
      <c r="BJ1071" s="133"/>
      <c r="BK1071" s="133"/>
      <c r="BL1071" s="602"/>
      <c r="BM1071" s="602"/>
      <c r="BN1071" s="602"/>
      <c r="BO1071" s="602"/>
      <c r="BP1071" s="602"/>
      <c r="BQ1071" s="602"/>
      <c r="BR1071" s="602"/>
      <c r="BS1071" s="602"/>
      <c r="BT1071" s="602"/>
      <c r="BU1071" s="602"/>
      <c r="BV1071" s="602"/>
      <c r="BW1071" s="602"/>
      <c r="BX1071" s="602"/>
      <c r="BY1071" s="602"/>
      <c r="BZ1071" s="602"/>
      <c r="CA1071" s="602"/>
      <c r="CB1071" s="602"/>
      <c r="CC1071" s="176"/>
    </row>
    <row r="1072" spans="1:81" x14ac:dyDescent="0.55000000000000004">
      <c r="A1072" s="1155" t="s">
        <v>242</v>
      </c>
      <c r="B1072" s="600"/>
      <c r="C1072" s="588">
        <f t="shared" ref="C1072:AH1072" si="1304">INDEX(MO_Common_QEndDate,0,COLUMN())-INDEX(MO_Common_FPDays,0,COLUMN())+1</f>
        <v>41275</v>
      </c>
      <c r="D1072" s="359">
        <f t="shared" si="1304"/>
        <v>41365</v>
      </c>
      <c r="E1072" s="359">
        <f t="shared" si="1304"/>
        <v>41456</v>
      </c>
      <c r="F1072" s="359">
        <f t="shared" si="1304"/>
        <v>41548</v>
      </c>
      <c r="G1072" s="359">
        <f t="shared" si="1304"/>
        <v>41640</v>
      </c>
      <c r="H1072" s="359">
        <f t="shared" si="1304"/>
        <v>41730</v>
      </c>
      <c r="I1072" s="359">
        <f t="shared" si="1304"/>
        <v>41821</v>
      </c>
      <c r="J1072" s="359">
        <f t="shared" si="1304"/>
        <v>41913</v>
      </c>
      <c r="K1072" s="359">
        <f t="shared" si="1304"/>
        <v>42005</v>
      </c>
      <c r="L1072" s="359">
        <f t="shared" si="1304"/>
        <v>42095</v>
      </c>
      <c r="M1072" s="359">
        <f t="shared" si="1304"/>
        <v>42186</v>
      </c>
      <c r="N1072" s="359">
        <f t="shared" si="1304"/>
        <v>42278</v>
      </c>
      <c r="O1072" s="359">
        <f t="shared" si="1304"/>
        <v>42370</v>
      </c>
      <c r="P1072" s="359">
        <f t="shared" si="1304"/>
        <v>42461</v>
      </c>
      <c r="Q1072" s="359">
        <f t="shared" si="1304"/>
        <v>42552</v>
      </c>
      <c r="R1072" s="359">
        <f t="shared" si="1304"/>
        <v>42644</v>
      </c>
      <c r="S1072" s="359">
        <f t="shared" si="1304"/>
        <v>42736</v>
      </c>
      <c r="T1072" s="359">
        <f t="shared" si="1304"/>
        <v>42826</v>
      </c>
      <c r="U1072" s="359">
        <f t="shared" si="1304"/>
        <v>42917</v>
      </c>
      <c r="V1072" s="359">
        <f t="shared" si="1304"/>
        <v>43009</v>
      </c>
      <c r="W1072" s="359">
        <f t="shared" si="1304"/>
        <v>43101</v>
      </c>
      <c r="X1072" s="359">
        <f t="shared" si="1304"/>
        <v>43191</v>
      </c>
      <c r="Y1072" s="359">
        <f t="shared" si="1304"/>
        <v>43282</v>
      </c>
      <c r="Z1072" s="359">
        <f t="shared" si="1304"/>
        <v>43374</v>
      </c>
      <c r="AA1072" s="359">
        <f t="shared" si="1304"/>
        <v>43466</v>
      </c>
      <c r="AB1072" s="359">
        <f t="shared" si="1304"/>
        <v>43556</v>
      </c>
      <c r="AC1072" s="359">
        <f t="shared" si="1304"/>
        <v>43647</v>
      </c>
      <c r="AD1072" s="359">
        <f t="shared" si="1304"/>
        <v>43739</v>
      </c>
      <c r="AE1072" s="359">
        <f t="shared" si="1304"/>
        <v>43831</v>
      </c>
      <c r="AF1072" s="359">
        <f t="shared" si="1304"/>
        <v>43922</v>
      </c>
      <c r="AG1072" s="359">
        <f t="shared" si="1304"/>
        <v>44013</v>
      </c>
      <c r="AH1072" s="359">
        <f t="shared" si="1304"/>
        <v>44105</v>
      </c>
      <c r="AI1072" s="359">
        <f t="shared" ref="AI1072:BF1072" si="1305">INDEX(MO_Common_QEndDate,0,COLUMN())-INDEX(MO_Common_FPDays,0,COLUMN())+1</f>
        <v>44197</v>
      </c>
      <c r="AJ1072" s="359">
        <f t="shared" si="1305"/>
        <v>44287</v>
      </c>
      <c r="AK1072" s="359">
        <f t="shared" si="1305"/>
        <v>44378</v>
      </c>
      <c r="AL1072" s="359">
        <f t="shared" si="1305"/>
        <v>44470</v>
      </c>
      <c r="AM1072" s="359">
        <f t="shared" si="1305"/>
        <v>44562</v>
      </c>
      <c r="AN1072" s="359">
        <f t="shared" si="1305"/>
        <v>44652</v>
      </c>
      <c r="AO1072" s="359">
        <f t="shared" si="1305"/>
        <v>44743</v>
      </c>
      <c r="AP1072" s="359">
        <f t="shared" si="1305"/>
        <v>44835</v>
      </c>
      <c r="AQ1072" s="359">
        <f t="shared" si="1305"/>
        <v>44927</v>
      </c>
      <c r="AR1072" s="359">
        <f t="shared" si="1305"/>
        <v>45017</v>
      </c>
      <c r="AS1072" s="359">
        <f t="shared" si="1305"/>
        <v>45108</v>
      </c>
      <c r="AT1072" s="359">
        <f t="shared" si="1305"/>
        <v>45200</v>
      </c>
      <c r="AU1072" s="359">
        <f t="shared" si="1305"/>
        <v>45292</v>
      </c>
      <c r="AV1072" s="359">
        <f t="shared" si="1305"/>
        <v>45383</v>
      </c>
      <c r="AW1072" s="359">
        <f t="shared" si="1305"/>
        <v>45474</v>
      </c>
      <c r="AX1072" s="359">
        <f t="shared" si="1305"/>
        <v>45566</v>
      </c>
      <c r="AY1072" s="359">
        <f t="shared" si="1305"/>
        <v>45658</v>
      </c>
      <c r="AZ1072" s="359">
        <f t="shared" si="1305"/>
        <v>45748</v>
      </c>
      <c r="BA1072" s="359">
        <f t="shared" si="1305"/>
        <v>45839</v>
      </c>
      <c r="BB1072" s="359">
        <f t="shared" si="1305"/>
        <v>45931</v>
      </c>
      <c r="BC1072" s="359">
        <f t="shared" si="1305"/>
        <v>46023</v>
      </c>
      <c r="BD1072" s="359">
        <f t="shared" si="1305"/>
        <v>46113</v>
      </c>
      <c r="BE1072" s="359">
        <f t="shared" si="1305"/>
        <v>46204</v>
      </c>
      <c r="BF1072" s="359">
        <f t="shared" si="1305"/>
        <v>46296</v>
      </c>
      <c r="BG1072" s="359"/>
      <c r="BH1072" s="588">
        <f t="shared" ref="BH1072:CB1072" si="1306">INDEX(MO_Common_QEndDate,0,COLUMN())-INDEX(MO_Common_FPDays,0,COLUMN())+1</f>
        <v>39814</v>
      </c>
      <c r="BI1072" s="588">
        <f t="shared" si="1306"/>
        <v>40179</v>
      </c>
      <c r="BJ1072" s="588">
        <f t="shared" si="1306"/>
        <v>40544</v>
      </c>
      <c r="BK1072" s="588">
        <f t="shared" si="1306"/>
        <v>40909</v>
      </c>
      <c r="BL1072" s="359">
        <f t="shared" si="1306"/>
        <v>41275</v>
      </c>
      <c r="BM1072" s="359">
        <f t="shared" si="1306"/>
        <v>41640</v>
      </c>
      <c r="BN1072" s="359">
        <f t="shared" si="1306"/>
        <v>42005</v>
      </c>
      <c r="BO1072" s="359">
        <f t="shared" si="1306"/>
        <v>42370</v>
      </c>
      <c r="BP1072" s="359">
        <f t="shared" si="1306"/>
        <v>42736</v>
      </c>
      <c r="BQ1072" s="359">
        <f t="shared" si="1306"/>
        <v>43101</v>
      </c>
      <c r="BR1072" s="359">
        <f t="shared" si="1306"/>
        <v>43466</v>
      </c>
      <c r="BS1072" s="359">
        <f t="shared" si="1306"/>
        <v>43831</v>
      </c>
      <c r="BT1072" s="359">
        <f t="shared" si="1306"/>
        <v>44197</v>
      </c>
      <c r="BU1072" s="359">
        <f t="shared" si="1306"/>
        <v>44562</v>
      </c>
      <c r="BV1072" s="359">
        <f t="shared" si="1306"/>
        <v>44927</v>
      </c>
      <c r="BW1072" s="359">
        <f t="shared" si="1306"/>
        <v>45292</v>
      </c>
      <c r="BX1072" s="359">
        <f t="shared" si="1306"/>
        <v>45658</v>
      </c>
      <c r="BY1072" s="359">
        <f t="shared" si="1306"/>
        <v>46023</v>
      </c>
      <c r="BZ1072" s="359">
        <f t="shared" si="1306"/>
        <v>46388</v>
      </c>
      <c r="CA1072" s="359">
        <f t="shared" si="1306"/>
        <v>46753</v>
      </c>
      <c r="CB1072" s="359">
        <f t="shared" si="1306"/>
        <v>47119</v>
      </c>
      <c r="CC1072" s="176"/>
    </row>
    <row r="1073" spans="1:81" x14ac:dyDescent="0.55000000000000004">
      <c r="A1073" s="1155" t="s">
        <v>345</v>
      </c>
      <c r="B1073" s="600"/>
      <c r="C1073" s="588" t="b">
        <f>TRUE</f>
        <v>1</v>
      </c>
      <c r="D1073" s="359" t="b">
        <f>TRUE</f>
        <v>1</v>
      </c>
      <c r="E1073" s="359" t="b">
        <f>TRUE</f>
        <v>1</v>
      </c>
      <c r="F1073" s="359" t="b">
        <f>TRUE</f>
        <v>1</v>
      </c>
      <c r="G1073" s="359" t="b">
        <f>TRUE</f>
        <v>1</v>
      </c>
      <c r="H1073" s="359" t="b">
        <f>TRUE</f>
        <v>1</v>
      </c>
      <c r="I1073" s="359" t="b">
        <f>TRUE</f>
        <v>1</v>
      </c>
      <c r="J1073" s="359" t="b">
        <f>TRUE</f>
        <v>1</v>
      </c>
      <c r="K1073" s="359" t="b">
        <f>TRUE</f>
        <v>1</v>
      </c>
      <c r="L1073" s="359" t="b">
        <f>TRUE</f>
        <v>1</v>
      </c>
      <c r="M1073" s="359" t="b">
        <f>TRUE</f>
        <v>1</v>
      </c>
      <c r="N1073" s="359" t="b">
        <f>TRUE</f>
        <v>1</v>
      </c>
      <c r="O1073" s="359" t="b">
        <f>TRUE</f>
        <v>1</v>
      </c>
      <c r="P1073" s="359" t="b">
        <f>TRUE</f>
        <v>1</v>
      </c>
      <c r="Q1073" s="359" t="b">
        <f>TRUE</f>
        <v>1</v>
      </c>
      <c r="R1073" s="359" t="b">
        <f>TRUE</f>
        <v>1</v>
      </c>
      <c r="S1073" s="359" t="b">
        <f>TRUE</f>
        <v>1</v>
      </c>
      <c r="T1073" s="359" t="b">
        <f>TRUE</f>
        <v>1</v>
      </c>
      <c r="U1073" s="359" t="b">
        <f>TRUE</f>
        <v>1</v>
      </c>
      <c r="V1073" s="359" t="b">
        <f>TRUE</f>
        <v>1</v>
      </c>
      <c r="W1073" s="359" t="b">
        <f>TRUE</f>
        <v>1</v>
      </c>
      <c r="X1073" s="359" t="b">
        <f>TRUE</f>
        <v>1</v>
      </c>
      <c r="Y1073" s="359" t="b">
        <f>TRUE</f>
        <v>1</v>
      </c>
      <c r="Z1073" s="359" t="b">
        <f>TRUE</f>
        <v>1</v>
      </c>
      <c r="AA1073" s="359" t="b">
        <f>TRUE</f>
        <v>1</v>
      </c>
      <c r="AB1073" s="359" t="b">
        <f>TRUE</f>
        <v>1</v>
      </c>
      <c r="AC1073" s="359" t="b">
        <f>TRUE</f>
        <v>1</v>
      </c>
      <c r="AD1073" s="359" t="b">
        <f>TRUE</f>
        <v>1</v>
      </c>
      <c r="AE1073" s="359" t="b">
        <f>TRUE</f>
        <v>1</v>
      </c>
      <c r="AF1073" s="359" t="b">
        <f>TRUE</f>
        <v>1</v>
      </c>
      <c r="AG1073" s="359" t="b">
        <f>TRUE</f>
        <v>1</v>
      </c>
      <c r="AH1073" s="359" t="b">
        <f>TRUE</f>
        <v>1</v>
      </c>
      <c r="AI1073" s="359" t="b">
        <f>TRUE</f>
        <v>1</v>
      </c>
      <c r="AJ1073" s="359" t="b">
        <f>TRUE</f>
        <v>1</v>
      </c>
      <c r="AK1073" s="359" t="b">
        <f>TRUE</f>
        <v>1</v>
      </c>
      <c r="AL1073" s="359" t="b">
        <f>TRUE</f>
        <v>1</v>
      </c>
      <c r="AM1073" s="359" t="b">
        <f>TRUE</f>
        <v>1</v>
      </c>
      <c r="AN1073" s="359" t="b">
        <f>TRUE</f>
        <v>1</v>
      </c>
      <c r="AO1073" s="359" t="b">
        <f>TRUE</f>
        <v>1</v>
      </c>
      <c r="AP1073" s="359" t="b">
        <f>TRUE</f>
        <v>1</v>
      </c>
      <c r="AQ1073" s="359" t="b">
        <f>TRUE</f>
        <v>1</v>
      </c>
      <c r="AR1073" s="359" t="b">
        <f>TRUE</f>
        <v>1</v>
      </c>
      <c r="AS1073" s="359" t="b">
        <f>TRUE</f>
        <v>1</v>
      </c>
      <c r="AT1073" s="359" t="b">
        <f>TRUE</f>
        <v>1</v>
      </c>
      <c r="AU1073" s="359" t="b">
        <f>TRUE</f>
        <v>1</v>
      </c>
      <c r="AV1073" s="359" t="b">
        <f>TRUE</f>
        <v>1</v>
      </c>
      <c r="AW1073" s="359" t="b">
        <f>TRUE</f>
        <v>1</v>
      </c>
      <c r="AX1073" s="359" t="b">
        <f>TRUE</f>
        <v>1</v>
      </c>
      <c r="AY1073" s="359" t="b">
        <f>TRUE</f>
        <v>1</v>
      </c>
      <c r="AZ1073" s="359" t="b">
        <f>FALSE</f>
        <v>0</v>
      </c>
      <c r="BA1073" s="359" t="b">
        <f>FALSE</f>
        <v>0</v>
      </c>
      <c r="BB1073" s="359" t="b">
        <f>FALSE</f>
        <v>0</v>
      </c>
      <c r="BC1073" s="359" t="b">
        <f>FALSE</f>
        <v>0</v>
      </c>
      <c r="BD1073" s="359" t="b">
        <f>FALSE</f>
        <v>0</v>
      </c>
      <c r="BE1073" s="359" t="b">
        <f>FALSE</f>
        <v>0</v>
      </c>
      <c r="BF1073" s="359" t="b">
        <f>FALSE</f>
        <v>0</v>
      </c>
      <c r="BG1073" s="359"/>
      <c r="BH1073" s="588" t="b">
        <f>TRUE</f>
        <v>1</v>
      </c>
      <c r="BI1073" s="588" t="b">
        <f>TRUE</f>
        <v>1</v>
      </c>
      <c r="BJ1073" s="588" t="b">
        <f>TRUE</f>
        <v>1</v>
      </c>
      <c r="BK1073" s="588" t="b">
        <f>TRUE</f>
        <v>1</v>
      </c>
      <c r="BL1073" s="359" t="b">
        <f>TRUE</f>
        <v>1</v>
      </c>
      <c r="BM1073" s="359" t="b">
        <f>TRUE</f>
        <v>1</v>
      </c>
      <c r="BN1073" s="359" t="b">
        <f>TRUE</f>
        <v>1</v>
      </c>
      <c r="BO1073" s="359" t="b">
        <f>TRUE</f>
        <v>1</v>
      </c>
      <c r="BP1073" s="359" t="b">
        <f>TRUE</f>
        <v>1</v>
      </c>
      <c r="BQ1073" s="359" t="b">
        <f>TRUE</f>
        <v>1</v>
      </c>
      <c r="BR1073" s="359" t="b">
        <f>TRUE</f>
        <v>1</v>
      </c>
      <c r="BS1073" s="359" t="b">
        <f>TRUE</f>
        <v>1</v>
      </c>
      <c r="BT1073" s="359" t="b">
        <f>TRUE</f>
        <v>1</v>
      </c>
      <c r="BU1073" s="359" t="b">
        <f>TRUE</f>
        <v>1</v>
      </c>
      <c r="BV1073" s="359" t="b">
        <f>TRUE</f>
        <v>1</v>
      </c>
      <c r="BW1073" s="359" t="b">
        <f>TRUE</f>
        <v>1</v>
      </c>
      <c r="BX1073" s="359" t="b">
        <f>FALSE</f>
        <v>0</v>
      </c>
      <c r="BY1073" s="359" t="b">
        <f>FALSE</f>
        <v>0</v>
      </c>
      <c r="BZ1073" s="359" t="b">
        <f>FALSE</f>
        <v>0</v>
      </c>
      <c r="CA1073" s="359" t="b">
        <f>FALSE</f>
        <v>0</v>
      </c>
      <c r="CB1073" s="359" t="b">
        <f>FALSE</f>
        <v>0</v>
      </c>
      <c r="CC1073" s="176"/>
    </row>
    <row r="1074" spans="1:81" x14ac:dyDescent="0.55000000000000004">
      <c r="A1074" s="1156" t="str">
        <f ca="1">"Stock High: "&amp;IF(OR(MO.RealTimeStockPriceToggle=FALSE,VLOOKUP(MO.DataSourceName,MO_SPT_StockHigh_Sources,COLUMN()+2,FALSE)="N/A"),"Real-Time Off Source",MO.DataSourceName)</f>
        <v>Stock High: Real-Time Off Source</v>
      </c>
      <c r="B1074" s="134"/>
      <c r="C1074" s="589">
        <f t="shared" ref="C1074:AH1074" ca="1" si="1307">IF(OR(MO.RealTimeStockPriceToggle=FALSE,VLOOKUP(MO.DataSourceName,MO_SPT_StockHigh_Sources,COLUMN(),FALSE)="N/A"),VLOOKUP("Real-Time Off Source",MO_SPT_StockHigh_Sources,COLUMN(),FALSE),VLOOKUP(MO.DataSourceName,MO_SPT_StockHigh_Sources,COLUMN(),FALSE))</f>
        <v>32.51</v>
      </c>
      <c r="D1074" s="134">
        <f t="shared" ca="1" si="1307"/>
        <v>29.07</v>
      </c>
      <c r="E1074" s="134">
        <f t="shared" ca="1" si="1307"/>
        <v>51.6</v>
      </c>
      <c r="F1074" s="134">
        <f t="shared" ca="1" si="1307"/>
        <v>58.58</v>
      </c>
      <c r="G1074" s="134">
        <f t="shared" ca="1" si="1307"/>
        <v>72.59</v>
      </c>
      <c r="H1074" s="134">
        <f t="shared" ca="1" si="1307"/>
        <v>68</v>
      </c>
      <c r="I1074" s="134">
        <f t="shared" ca="1" si="1307"/>
        <v>79.709999999999994</v>
      </c>
      <c r="J1074" s="134">
        <f t="shared" ca="1" si="1307"/>
        <v>82.17</v>
      </c>
      <c r="K1074" s="134">
        <f t="shared" ca="1" si="1307"/>
        <v>86.07</v>
      </c>
      <c r="L1074" s="134">
        <f t="shared" ca="1" si="1307"/>
        <v>89.4</v>
      </c>
      <c r="M1074" s="134">
        <f t="shared" ca="1" si="1307"/>
        <v>99.24</v>
      </c>
      <c r="N1074" s="134">
        <f t="shared" ca="1" si="1307"/>
        <v>110.65</v>
      </c>
      <c r="O1074" s="134">
        <f t="shared" ca="1" si="1307"/>
        <v>117.59</v>
      </c>
      <c r="P1074" s="134">
        <f t="shared" ca="1" si="1307"/>
        <v>121.08</v>
      </c>
      <c r="Q1074" s="134">
        <f t="shared" ca="1" si="1307"/>
        <v>131.97999999999999</v>
      </c>
      <c r="R1074" s="134">
        <f t="shared" ca="1" si="1307"/>
        <v>133.5</v>
      </c>
      <c r="S1074" s="134">
        <f t="shared" ca="1" si="1307"/>
        <v>142.94999999999999</v>
      </c>
      <c r="T1074" s="134">
        <f t="shared" ca="1" si="1307"/>
        <v>156.5</v>
      </c>
      <c r="U1074" s="134">
        <f t="shared" ca="1" si="1307"/>
        <v>175.49</v>
      </c>
      <c r="V1074" s="134">
        <f t="shared" ca="1" si="1307"/>
        <v>184.25</v>
      </c>
      <c r="W1074" s="134">
        <f t="shared" ca="1" si="1307"/>
        <v>193.09</v>
      </c>
      <c r="X1074" s="134">
        <f t="shared" ca="1" si="1307"/>
        <v>202</v>
      </c>
      <c r="Y1074" s="134">
        <f t="shared" ca="1" si="1307"/>
        <v>217.5</v>
      </c>
      <c r="Z1074" s="134">
        <f t="shared" ca="1" si="1307"/>
        <v>162.44</v>
      </c>
      <c r="AA1074" s="134">
        <f t="shared" ca="1" si="1307"/>
        <v>173.37</v>
      </c>
      <c r="AB1074" s="134">
        <f t="shared" ca="1" si="1307"/>
        <v>195.47</v>
      </c>
      <c r="AC1074" s="134">
        <f t="shared" ca="1" si="1307"/>
        <v>204.87</v>
      </c>
      <c r="AD1074" s="134">
        <f t="shared" ca="1" si="1307"/>
        <v>208.1</v>
      </c>
      <c r="AE1074" s="134">
        <f t="shared" ca="1" si="1307"/>
        <v>223.23</v>
      </c>
      <c r="AF1074" s="134">
        <f t="shared" ca="1" si="1307"/>
        <v>242.24</v>
      </c>
      <c r="AG1074" s="134">
        <f t="shared" ca="1" si="1307"/>
        <v>303.91000000000003</v>
      </c>
      <c r="AH1074" s="134">
        <f t="shared" ca="1" si="1307"/>
        <v>294.68</v>
      </c>
      <c r="AI1074" s="134">
        <f t="shared" ref="AI1074:BF1074" ca="1" si="1308">IF(OR(MO.RealTimeStockPriceToggle=FALSE,VLOOKUP(MO.DataSourceName,MO_SPT_StockHigh_Sources,COLUMN(),FALSE)="N/A"),VLOOKUP("Real-Time Off Source",MO_SPT_StockHigh_Sources,COLUMN(),FALSE),VLOOKUP(MO.DataSourceName,MO_SPT_StockHigh_Sources,COLUMN(),FALSE))</f>
        <v>294.52999999999997</v>
      </c>
      <c r="AJ1074" s="134">
        <f t="shared" ca="1" si="1308"/>
        <v>355.64</v>
      </c>
      <c r="AK1074" s="134">
        <f t="shared" ca="1" si="1308"/>
        <v>382.18</v>
      </c>
      <c r="AL1074" s="134">
        <f t="shared" ca="1" si="1308"/>
        <v>347.56</v>
      </c>
      <c r="AM1074" s="134">
        <f t="shared" ca="1" si="1308"/>
        <v>338.54</v>
      </c>
      <c r="AN1074" s="134">
        <f t="shared" ca="1" si="1308"/>
        <v>233.89</v>
      </c>
      <c r="AO1074" s="134">
        <f t="shared" ca="1" si="1308"/>
        <v>183.17</v>
      </c>
      <c r="AP1074" s="134">
        <f t="shared" ca="1" si="1308"/>
        <v>140.28</v>
      </c>
      <c r="AQ1074" s="134">
        <f t="shared" ca="1" si="1308"/>
        <v>211.94</v>
      </c>
      <c r="AR1074" s="134">
        <f t="shared" ca="1" si="1308"/>
        <v>288.73</v>
      </c>
      <c r="AS1074" s="134">
        <f t="shared" ca="1" si="1308"/>
        <v>325.48</v>
      </c>
      <c r="AT1074" s="134">
        <f t="shared" ca="1" si="1308"/>
        <v>358.32</v>
      </c>
      <c r="AU1074" s="134">
        <f t="shared" ca="1" si="1308"/>
        <v>512.19000000000005</v>
      </c>
      <c r="AV1074" s="134">
        <f t="shared" ca="1" si="1308"/>
        <v>527.34</v>
      </c>
      <c r="AW1074" s="134">
        <f t="shared" ca="1" si="1308"/>
        <v>572.44000000000005</v>
      </c>
      <c r="AX1074" s="134">
        <f t="shared" ca="1" si="1308"/>
        <v>632.67999999999995</v>
      </c>
      <c r="AY1074" s="134">
        <f t="shared" ca="1" si="1308"/>
        <v>736.67</v>
      </c>
      <c r="AZ1074" s="134">
        <f t="shared" ca="1" si="1308"/>
        <v>0</v>
      </c>
      <c r="BA1074" s="134">
        <f t="shared" ca="1" si="1308"/>
        <v>0</v>
      </c>
      <c r="BB1074" s="134">
        <f t="shared" ca="1" si="1308"/>
        <v>0</v>
      </c>
      <c r="BC1074" s="134">
        <f t="shared" ca="1" si="1308"/>
        <v>0</v>
      </c>
      <c r="BD1074" s="134">
        <f t="shared" ca="1" si="1308"/>
        <v>0</v>
      </c>
      <c r="BE1074" s="134">
        <f t="shared" ca="1" si="1308"/>
        <v>0</v>
      </c>
      <c r="BF1074" s="134">
        <f t="shared" ca="1" si="1308"/>
        <v>0</v>
      </c>
      <c r="BG1074" s="134"/>
      <c r="BH1074" s="589">
        <f t="shared" ref="BH1074:CB1074" ca="1" si="1309">IF(OR(MO.RealTimeStockPriceToggle=FALSE,VLOOKUP(MO.DataSourceName,MO_SPT_StockHigh_Sources,COLUMN(),FALSE)="N/A"),VLOOKUP("Real-Time Off Source",MO_SPT_StockHigh_Sources,COLUMN(),FALSE),VLOOKUP(MO.DataSourceName,MO_SPT_StockHigh_Sources,COLUMN(),FALSE))</f>
        <v>0</v>
      </c>
      <c r="BI1074" s="589">
        <f t="shared" ca="1" si="1309"/>
        <v>0</v>
      </c>
      <c r="BJ1074" s="589">
        <f t="shared" ca="1" si="1309"/>
        <v>0</v>
      </c>
      <c r="BK1074" s="589">
        <f t="shared" ca="1" si="1309"/>
        <v>45</v>
      </c>
      <c r="BL1074" s="134">
        <f t="shared" ca="1" si="1309"/>
        <v>58.58</v>
      </c>
      <c r="BM1074" s="134">
        <f t="shared" ca="1" si="1309"/>
        <v>82.17</v>
      </c>
      <c r="BN1074" s="134">
        <f t="shared" ca="1" si="1309"/>
        <v>110.65</v>
      </c>
      <c r="BO1074" s="134">
        <f t="shared" ca="1" si="1309"/>
        <v>133.5</v>
      </c>
      <c r="BP1074" s="134">
        <f t="shared" ca="1" si="1309"/>
        <v>184.25</v>
      </c>
      <c r="BQ1074" s="134">
        <f t="shared" ca="1" si="1309"/>
        <v>217.5</v>
      </c>
      <c r="BR1074" s="134">
        <f t="shared" ca="1" si="1309"/>
        <v>208.1</v>
      </c>
      <c r="BS1074" s="134">
        <f t="shared" ca="1" si="1309"/>
        <v>303.91000000000003</v>
      </c>
      <c r="BT1074" s="134">
        <f t="shared" ca="1" si="1309"/>
        <v>382.18</v>
      </c>
      <c r="BU1074" s="134">
        <f t="shared" ca="1" si="1309"/>
        <v>338.54</v>
      </c>
      <c r="BV1074" s="134">
        <f t="shared" ca="1" si="1309"/>
        <v>358.32</v>
      </c>
      <c r="BW1074" s="134">
        <f t="shared" ca="1" si="1309"/>
        <v>632.67999999999995</v>
      </c>
      <c r="BX1074" s="134">
        <f t="shared" ca="1" si="1309"/>
        <v>0</v>
      </c>
      <c r="BY1074" s="134">
        <f t="shared" ca="1" si="1309"/>
        <v>0</v>
      </c>
      <c r="BZ1074" s="134">
        <f t="shared" ca="1" si="1309"/>
        <v>0</v>
      </c>
      <c r="CA1074" s="134">
        <f t="shared" ca="1" si="1309"/>
        <v>0</v>
      </c>
      <c r="CB1074" s="134">
        <f t="shared" ca="1" si="1309"/>
        <v>0</v>
      </c>
      <c r="CC1074" s="180"/>
    </row>
    <row r="1075" spans="1:81" outlineLevel="1" x14ac:dyDescent="0.55000000000000004">
      <c r="A1075" s="1157" t="s">
        <v>243</v>
      </c>
      <c r="B1075" s="134"/>
      <c r="C1075" s="797">
        <v>32.51</v>
      </c>
      <c r="D1075" s="798">
        <v>29.07</v>
      </c>
      <c r="E1075" s="798">
        <v>51.6</v>
      </c>
      <c r="F1075" s="798">
        <v>58.58</v>
      </c>
      <c r="G1075" s="798">
        <v>72.59</v>
      </c>
      <c r="H1075" s="798">
        <v>68</v>
      </c>
      <c r="I1075" s="798">
        <v>79.709999999999994</v>
      </c>
      <c r="J1075" s="798">
        <v>82.17</v>
      </c>
      <c r="K1075" s="798">
        <v>86.07</v>
      </c>
      <c r="L1075" s="798">
        <v>89.4</v>
      </c>
      <c r="M1075" s="798">
        <v>99.24</v>
      </c>
      <c r="N1075" s="798">
        <v>110.65</v>
      </c>
      <c r="O1075" s="798">
        <v>117.59</v>
      </c>
      <c r="P1075" s="798">
        <v>121.08</v>
      </c>
      <c r="Q1075" s="798">
        <v>131.97999999999999</v>
      </c>
      <c r="R1075" s="798">
        <v>133.5</v>
      </c>
      <c r="S1075" s="798">
        <v>142.94999999999999</v>
      </c>
      <c r="T1075" s="798">
        <v>156.5</v>
      </c>
      <c r="U1075" s="798">
        <v>175.49</v>
      </c>
      <c r="V1075" s="798">
        <v>184.25</v>
      </c>
      <c r="W1075" s="798">
        <v>193.09</v>
      </c>
      <c r="X1075" s="798">
        <v>202</v>
      </c>
      <c r="Y1075" s="798">
        <v>217.5</v>
      </c>
      <c r="Z1075" s="798">
        <v>162.44</v>
      </c>
      <c r="AA1075" s="798">
        <v>173.37</v>
      </c>
      <c r="AB1075" s="798">
        <v>195.47</v>
      </c>
      <c r="AC1075" s="798">
        <v>204.87</v>
      </c>
      <c r="AD1075" s="798">
        <v>208.1</v>
      </c>
      <c r="AE1075" s="798">
        <v>223.23</v>
      </c>
      <c r="AF1075" s="798">
        <v>242.24</v>
      </c>
      <c r="AG1075" s="798">
        <v>303.91000000000003</v>
      </c>
      <c r="AH1075" s="798">
        <v>294.68</v>
      </c>
      <c r="AI1075" s="798">
        <v>294.52999999999997</v>
      </c>
      <c r="AJ1075" s="798">
        <v>355.64</v>
      </c>
      <c r="AK1075" s="798">
        <v>382.18</v>
      </c>
      <c r="AL1075" s="798">
        <v>347.56</v>
      </c>
      <c r="AM1075" s="798">
        <v>338.54</v>
      </c>
      <c r="AN1075" s="798">
        <v>233.89</v>
      </c>
      <c r="AO1075" s="798">
        <v>183.17</v>
      </c>
      <c r="AP1075" s="798">
        <v>140.28</v>
      </c>
      <c r="AQ1075" s="798">
        <v>211.94</v>
      </c>
      <c r="AR1075" s="798">
        <v>288.73</v>
      </c>
      <c r="AS1075" s="798">
        <v>325.48</v>
      </c>
      <c r="AT1075" s="798">
        <v>358.32</v>
      </c>
      <c r="AU1075" s="798">
        <v>512.19000000000005</v>
      </c>
      <c r="AV1075" s="798">
        <v>527.34</v>
      </c>
      <c r="AW1075" s="798">
        <v>572.44000000000005</v>
      </c>
      <c r="AX1075" s="798">
        <v>632.67999999999995</v>
      </c>
      <c r="AY1075" s="798">
        <v>736.67</v>
      </c>
      <c r="AZ1075" s="134"/>
      <c r="BA1075" s="134"/>
      <c r="BB1075" s="134"/>
      <c r="BC1075" s="134"/>
      <c r="BD1075" s="134"/>
      <c r="BE1075" s="134"/>
      <c r="BF1075" s="134"/>
      <c r="BG1075" s="134"/>
      <c r="BH1075" s="797">
        <v>0</v>
      </c>
      <c r="BI1075" s="797">
        <v>0</v>
      </c>
      <c r="BJ1075" s="797">
        <v>0</v>
      </c>
      <c r="BK1075" s="797">
        <v>45</v>
      </c>
      <c r="BL1075" s="798">
        <v>58.58</v>
      </c>
      <c r="BM1075" s="798">
        <v>82.17</v>
      </c>
      <c r="BN1075" s="798">
        <v>110.65</v>
      </c>
      <c r="BO1075" s="798">
        <v>133.5</v>
      </c>
      <c r="BP1075" s="798">
        <v>184.25</v>
      </c>
      <c r="BQ1075" s="798">
        <v>217.5</v>
      </c>
      <c r="BR1075" s="798">
        <v>208.1</v>
      </c>
      <c r="BS1075" s="798">
        <v>303.91000000000003</v>
      </c>
      <c r="BT1075" s="798">
        <v>382.18</v>
      </c>
      <c r="BU1075" s="798">
        <v>338.54</v>
      </c>
      <c r="BV1075" s="798">
        <v>358.32</v>
      </c>
      <c r="BW1075" s="798">
        <v>632.67999999999995</v>
      </c>
      <c r="BX1075" s="134"/>
      <c r="BY1075" s="134"/>
      <c r="BZ1075" s="134"/>
      <c r="CA1075" s="134"/>
      <c r="CB1075" s="134"/>
      <c r="CC1075" s="180"/>
    </row>
    <row r="1076" spans="1:81" outlineLevel="1" x14ac:dyDescent="0.55000000000000004">
      <c r="A1076" s="1157" t="s">
        <v>7</v>
      </c>
      <c r="B1076" s="134"/>
      <c r="C1076" s="589" t="str">
        <f ca="1">IFERROR(BDP(MO.Ticker.Bloomberg&amp;" Equity","INTERVAL_HIGH","MARKET_DATA_OVERRIDE=PX_LAST","START_DATE_OVERRIDE",TEXT(INDEX(MO_SNA_FPStartDate,0,COLUMN()),"YYYYMMDD"),"END_DATE_OVERRIDE",TEXT(INDEX(MO_Common_QEndDate,0,COLUMN()),"YYYYMMDD")),"N/A")</f>
        <v>N/A</v>
      </c>
      <c r="D1076" s="134" t="str">
        <f ca="1">IFERROR(BDP(MO.Ticker.Bloomberg&amp;" Equity","INTERVAL_HIGH","MARKET_DATA_OVERRIDE=PX_LAST","START_DATE_OVERRIDE",TEXT(INDEX(MO_SNA_FPStartDate,0,COLUMN()),"YYYYMMDD"),"END_DATE_OVERRIDE",TEXT(INDEX(MO_Common_QEndDate,0,COLUMN()),"YYYYMMDD")),"N/A")</f>
        <v>N/A</v>
      </c>
      <c r="E1076" s="134" t="str">
        <f ca="1">IFERROR(BDP(MO.Ticker.Bloomberg&amp;" Equity","INTERVAL_HIGH","MARKET_DATA_OVERRIDE=PX_LAST","START_DATE_OVERRIDE",TEXT(INDEX(MO_SNA_FPStartDate,0,COLUMN()),"YYYYMMDD"),"END_DATE_OVERRIDE",TEXT(INDEX(MO_Common_QEndDate,0,COLUMN()),"YYYYMMDD")),"N/A")</f>
        <v>N/A</v>
      </c>
      <c r="F1076" s="134" t="str">
        <f ca="1">IFERROR(BDP(MO.Ticker.Bloomberg&amp;" Equity","INTERVAL_HIGH","MARKET_DATA_OVERRIDE=PX_LAST","START_DATE_OVERRIDE",TEXT(INDEX(MO_SNA_FPStartDate,0,COLUMN()),"YYYYMMDD"),"END_DATE_OVERRIDE",TEXT(INDEX(MO_Common_QEndDate,0,COLUMN()),"YYYYMMDD")),"N/A")</f>
        <v>N/A</v>
      </c>
      <c r="G1076" s="134" t="str">
        <f ca="1">IFERROR(BDP(MO.Ticker.Bloomberg&amp;" Equity","INTERVAL_HIGH","MARKET_DATA_OVERRIDE=PX_LAST","START_DATE_OVERRIDE",TEXT(INDEX(MO_SNA_FPStartDate,0,COLUMN()),"YYYYMMDD"),"END_DATE_OVERRIDE",TEXT(INDEX(MO_Common_QEndDate,0,COLUMN()),"YYYYMMDD")),"N/A")</f>
        <v>N/A</v>
      </c>
      <c r="H1076" s="134" t="str">
        <f ca="1">IFERROR(BDP(MO.Ticker.Bloomberg&amp;" Equity","INTERVAL_HIGH","MARKET_DATA_OVERRIDE=PX_LAST","START_DATE_OVERRIDE",TEXT(INDEX(MO_SNA_FPStartDate,0,COLUMN()),"YYYYMMDD"),"END_DATE_OVERRIDE",TEXT(INDEX(MO_Common_QEndDate,0,COLUMN()),"YYYYMMDD")),"N/A")</f>
        <v>N/A</v>
      </c>
      <c r="I1076" s="134" t="str">
        <f ca="1">IFERROR(BDP(MO.Ticker.Bloomberg&amp;" Equity","INTERVAL_HIGH","MARKET_DATA_OVERRIDE=PX_LAST","START_DATE_OVERRIDE",TEXT(INDEX(MO_SNA_FPStartDate,0,COLUMN()),"YYYYMMDD"),"END_DATE_OVERRIDE",TEXT(INDEX(MO_Common_QEndDate,0,COLUMN()),"YYYYMMDD")),"N/A")</f>
        <v>N/A</v>
      </c>
      <c r="J1076" s="134" t="str">
        <f ca="1">IFERROR(BDP(MO.Ticker.Bloomberg&amp;" Equity","INTERVAL_HIGH","MARKET_DATA_OVERRIDE=PX_LAST","START_DATE_OVERRIDE",TEXT(INDEX(MO_SNA_FPStartDate,0,COLUMN()),"YYYYMMDD"),"END_DATE_OVERRIDE",TEXT(INDEX(MO_Common_QEndDate,0,COLUMN()),"YYYYMMDD")),"N/A")</f>
        <v>N/A</v>
      </c>
      <c r="K1076" s="134" t="str">
        <f ca="1">IFERROR(BDP(MO.Ticker.Bloomberg&amp;" Equity","INTERVAL_HIGH","MARKET_DATA_OVERRIDE=PX_LAST","START_DATE_OVERRIDE",TEXT(INDEX(MO_SNA_FPStartDate,0,COLUMN()),"YYYYMMDD"),"END_DATE_OVERRIDE",TEXT(INDEX(MO_Common_QEndDate,0,COLUMN()),"YYYYMMDD")),"N/A")</f>
        <v>N/A</v>
      </c>
      <c r="L1076" s="134" t="str">
        <f ca="1">IFERROR(BDP(MO.Ticker.Bloomberg&amp;" Equity","INTERVAL_HIGH","MARKET_DATA_OVERRIDE=PX_LAST","START_DATE_OVERRIDE",TEXT(INDEX(MO_SNA_FPStartDate,0,COLUMN()),"YYYYMMDD"),"END_DATE_OVERRIDE",TEXT(INDEX(MO_Common_QEndDate,0,COLUMN()),"YYYYMMDD")),"N/A")</f>
        <v>N/A</v>
      </c>
      <c r="M1076" s="134" t="str">
        <f ca="1">IFERROR(BDP(MO.Ticker.Bloomberg&amp;" Equity","INTERVAL_HIGH","MARKET_DATA_OVERRIDE=PX_LAST","START_DATE_OVERRIDE",TEXT(INDEX(MO_SNA_FPStartDate,0,COLUMN()),"YYYYMMDD"),"END_DATE_OVERRIDE",TEXT(INDEX(MO_Common_QEndDate,0,COLUMN()),"YYYYMMDD")),"N/A")</f>
        <v>N/A</v>
      </c>
      <c r="N1076" s="134" t="str">
        <f ca="1">IFERROR(BDP(MO.Ticker.Bloomberg&amp;" Equity","INTERVAL_HIGH","MARKET_DATA_OVERRIDE=PX_LAST","START_DATE_OVERRIDE",TEXT(INDEX(MO_SNA_FPStartDate,0,COLUMN()),"YYYYMMDD"),"END_DATE_OVERRIDE",TEXT(INDEX(MO_Common_QEndDate,0,COLUMN()),"YYYYMMDD")),"N/A")</f>
        <v>N/A</v>
      </c>
      <c r="O1076" s="134" t="str">
        <f ca="1">IFERROR(BDP(MO.Ticker.Bloomberg&amp;" Equity","INTERVAL_HIGH","MARKET_DATA_OVERRIDE=PX_LAST","START_DATE_OVERRIDE",TEXT(INDEX(MO_SNA_FPStartDate,0,COLUMN()),"YYYYMMDD"),"END_DATE_OVERRIDE",TEXT(INDEX(MO_Common_QEndDate,0,COLUMN()),"YYYYMMDD")),"N/A")</f>
        <v>N/A</v>
      </c>
      <c r="P1076" s="134" t="str">
        <f ca="1">IFERROR(BDP(MO.Ticker.Bloomberg&amp;" Equity","INTERVAL_HIGH","MARKET_DATA_OVERRIDE=PX_LAST","START_DATE_OVERRIDE",TEXT(INDEX(MO_SNA_FPStartDate,0,COLUMN()),"YYYYMMDD"),"END_DATE_OVERRIDE",TEXT(INDEX(MO_Common_QEndDate,0,COLUMN()),"YYYYMMDD")),"N/A")</f>
        <v>N/A</v>
      </c>
      <c r="Q1076" s="134" t="str">
        <f ca="1">IFERROR(BDP(MO.Ticker.Bloomberg&amp;" Equity","INTERVAL_HIGH","MARKET_DATA_OVERRIDE=PX_LAST","START_DATE_OVERRIDE",TEXT(INDEX(MO_SNA_FPStartDate,0,COLUMN()),"YYYYMMDD"),"END_DATE_OVERRIDE",TEXT(INDEX(MO_Common_QEndDate,0,COLUMN()),"YYYYMMDD")),"N/A")</f>
        <v>N/A</v>
      </c>
      <c r="R1076" s="134" t="str">
        <f ca="1">IFERROR(BDP(MO.Ticker.Bloomberg&amp;" Equity","INTERVAL_HIGH","MARKET_DATA_OVERRIDE=PX_LAST","START_DATE_OVERRIDE",TEXT(INDEX(MO_SNA_FPStartDate,0,COLUMN()),"YYYYMMDD"),"END_DATE_OVERRIDE",TEXT(INDEX(MO_Common_QEndDate,0,COLUMN()),"YYYYMMDD")),"N/A")</f>
        <v>N/A</v>
      </c>
      <c r="S1076" s="134" t="str">
        <f ca="1">IFERROR(BDP(MO.Ticker.Bloomberg&amp;" Equity","INTERVAL_HIGH","MARKET_DATA_OVERRIDE=PX_LAST","START_DATE_OVERRIDE",TEXT(INDEX(MO_SNA_FPStartDate,0,COLUMN()),"YYYYMMDD"),"END_DATE_OVERRIDE",TEXT(INDEX(MO_Common_QEndDate,0,COLUMN()),"YYYYMMDD")),"N/A")</f>
        <v>N/A</v>
      </c>
      <c r="T1076" s="134" t="str">
        <f ca="1">IFERROR(BDP(MO.Ticker.Bloomberg&amp;" Equity","INTERVAL_HIGH","MARKET_DATA_OVERRIDE=PX_LAST","START_DATE_OVERRIDE",TEXT(INDEX(MO_SNA_FPStartDate,0,COLUMN()),"YYYYMMDD"),"END_DATE_OVERRIDE",TEXT(INDEX(MO_Common_QEndDate,0,COLUMN()),"YYYYMMDD")),"N/A")</f>
        <v>N/A</v>
      </c>
      <c r="U1076" s="134" t="str">
        <f ca="1">IFERROR(BDP(MO.Ticker.Bloomberg&amp;" Equity","INTERVAL_HIGH","MARKET_DATA_OVERRIDE=PX_LAST","START_DATE_OVERRIDE",TEXT(INDEX(MO_SNA_FPStartDate,0,COLUMN()),"YYYYMMDD"),"END_DATE_OVERRIDE",TEXT(INDEX(MO_Common_QEndDate,0,COLUMN()),"YYYYMMDD")),"N/A")</f>
        <v>N/A</v>
      </c>
      <c r="V1076" s="134" t="str">
        <f ca="1">IFERROR(BDP(MO.Ticker.Bloomberg&amp;" Equity","INTERVAL_HIGH","MARKET_DATA_OVERRIDE=PX_LAST","START_DATE_OVERRIDE",TEXT(INDEX(MO_SNA_FPStartDate,0,COLUMN()),"YYYYMMDD"),"END_DATE_OVERRIDE",TEXT(INDEX(MO_Common_QEndDate,0,COLUMN()),"YYYYMMDD")),"N/A")</f>
        <v>N/A</v>
      </c>
      <c r="W1076" s="134" t="str">
        <f ca="1">IFERROR(BDP(MO.Ticker.Bloomberg&amp;" Equity","INTERVAL_HIGH","MARKET_DATA_OVERRIDE=PX_LAST","START_DATE_OVERRIDE",TEXT(INDEX(MO_SNA_FPStartDate,0,COLUMN()),"YYYYMMDD"),"END_DATE_OVERRIDE",TEXT(INDEX(MO_Common_QEndDate,0,COLUMN()),"YYYYMMDD")),"N/A")</f>
        <v>N/A</v>
      </c>
      <c r="X1076" s="134" t="str">
        <f ca="1">IFERROR(BDP(MO.Ticker.Bloomberg&amp;" Equity","INTERVAL_HIGH","MARKET_DATA_OVERRIDE=PX_LAST","START_DATE_OVERRIDE",TEXT(INDEX(MO_SNA_FPStartDate,0,COLUMN()),"YYYYMMDD"),"END_DATE_OVERRIDE",TEXT(INDEX(MO_Common_QEndDate,0,COLUMN()),"YYYYMMDD")),"N/A")</f>
        <v>N/A</v>
      </c>
      <c r="Y1076" s="134" t="str">
        <f ca="1">IFERROR(BDP(MO.Ticker.Bloomberg&amp;" Equity","INTERVAL_HIGH","MARKET_DATA_OVERRIDE=PX_LAST","START_DATE_OVERRIDE",TEXT(INDEX(MO_SNA_FPStartDate,0,COLUMN()),"YYYYMMDD"),"END_DATE_OVERRIDE",TEXT(INDEX(MO_Common_QEndDate,0,COLUMN()),"YYYYMMDD")),"N/A")</f>
        <v>N/A</v>
      </c>
      <c r="Z1076" s="134" t="str">
        <f ca="1">IFERROR(BDP(MO.Ticker.Bloomberg&amp;" Equity","INTERVAL_HIGH","MARKET_DATA_OVERRIDE=PX_LAST","START_DATE_OVERRIDE",TEXT(INDEX(MO_SNA_FPStartDate,0,COLUMN()),"YYYYMMDD"),"END_DATE_OVERRIDE",TEXT(INDEX(MO_Common_QEndDate,0,COLUMN()),"YYYYMMDD")),"N/A")</f>
        <v>N/A</v>
      </c>
      <c r="AA1076" s="134" t="str">
        <f ca="1">IFERROR(BDP(MO.Ticker.Bloomberg&amp;" Equity","INTERVAL_HIGH","MARKET_DATA_OVERRIDE=PX_LAST","START_DATE_OVERRIDE",TEXT(INDEX(MO_SNA_FPStartDate,0,COLUMN()),"YYYYMMDD"),"END_DATE_OVERRIDE",TEXT(INDEX(MO_Common_QEndDate,0,COLUMN()),"YYYYMMDD")),"N/A")</f>
        <v>N/A</v>
      </c>
      <c r="AB1076" s="134" t="str">
        <f ca="1">IFERROR(BDP(MO.Ticker.Bloomberg&amp;" Equity","INTERVAL_HIGH","MARKET_DATA_OVERRIDE=PX_LAST","START_DATE_OVERRIDE",TEXT(INDEX(MO_SNA_FPStartDate,0,COLUMN()),"YYYYMMDD"),"END_DATE_OVERRIDE",TEXT(INDEX(MO_Common_QEndDate,0,COLUMN()),"YYYYMMDD")),"N/A")</f>
        <v>N/A</v>
      </c>
      <c r="AC1076" s="134" t="str">
        <f ca="1">IFERROR(BDP(MO.Ticker.Bloomberg&amp;" Equity","INTERVAL_HIGH","MARKET_DATA_OVERRIDE=PX_LAST","START_DATE_OVERRIDE",TEXT(INDEX(MO_SNA_FPStartDate,0,COLUMN()),"YYYYMMDD"),"END_DATE_OVERRIDE",TEXT(INDEX(MO_Common_QEndDate,0,COLUMN()),"YYYYMMDD")),"N/A")</f>
        <v>N/A</v>
      </c>
      <c r="AD1076" s="134" t="str">
        <f ca="1">IFERROR(BDP(MO.Ticker.Bloomberg&amp;" Equity","INTERVAL_HIGH","MARKET_DATA_OVERRIDE=PX_LAST","START_DATE_OVERRIDE",TEXT(INDEX(MO_SNA_FPStartDate,0,COLUMN()),"YYYYMMDD"),"END_DATE_OVERRIDE",TEXT(INDEX(MO_Common_QEndDate,0,COLUMN()),"YYYYMMDD")),"N/A")</f>
        <v>N/A</v>
      </c>
      <c r="AE1076" s="134" t="str">
        <f ca="1">IFERROR(BDP(MO.Ticker.Bloomberg&amp;" Equity","INTERVAL_HIGH","MARKET_DATA_OVERRIDE=PX_LAST","START_DATE_OVERRIDE",TEXT(INDEX(MO_SNA_FPStartDate,0,COLUMN()),"YYYYMMDD"),"END_DATE_OVERRIDE",TEXT(INDEX(MO_Common_QEndDate,0,COLUMN()),"YYYYMMDD")),"N/A")</f>
        <v>N/A</v>
      </c>
      <c r="AF1076" s="134" t="str">
        <f ca="1">IFERROR(BDP(MO.Ticker.Bloomberg&amp;" Equity","INTERVAL_HIGH","MARKET_DATA_OVERRIDE=PX_LAST","START_DATE_OVERRIDE",TEXT(INDEX(MO_SNA_FPStartDate,0,COLUMN()),"YYYYMMDD"),"END_DATE_OVERRIDE",TEXT(INDEX(MO_Common_QEndDate,0,COLUMN()),"YYYYMMDD")),"N/A")</f>
        <v>N/A</v>
      </c>
      <c r="AG1076" s="134" t="str">
        <f ca="1">IFERROR(BDP(MO.Ticker.Bloomberg&amp;" Equity","INTERVAL_HIGH","MARKET_DATA_OVERRIDE=PX_LAST","START_DATE_OVERRIDE",TEXT(INDEX(MO_SNA_FPStartDate,0,COLUMN()),"YYYYMMDD"),"END_DATE_OVERRIDE",TEXT(INDEX(MO_Common_QEndDate,0,COLUMN()),"YYYYMMDD")),"N/A")</f>
        <v>N/A</v>
      </c>
      <c r="AH1076" s="134" t="str">
        <f ca="1">IFERROR(BDP(MO.Ticker.Bloomberg&amp;" Equity","INTERVAL_HIGH","MARKET_DATA_OVERRIDE=PX_LAST","START_DATE_OVERRIDE",TEXT(INDEX(MO_SNA_FPStartDate,0,COLUMN()),"YYYYMMDD"),"END_DATE_OVERRIDE",TEXT(INDEX(MO_Common_QEndDate,0,COLUMN()),"YYYYMMDD")),"N/A")</f>
        <v>N/A</v>
      </c>
      <c r="AI1076" s="134" t="str">
        <f ca="1">IFERROR(BDP(MO.Ticker.Bloomberg&amp;" Equity","INTERVAL_HIGH","MARKET_DATA_OVERRIDE=PX_LAST","START_DATE_OVERRIDE",TEXT(INDEX(MO_SNA_FPStartDate,0,COLUMN()),"YYYYMMDD"),"END_DATE_OVERRIDE",TEXT(INDEX(MO_Common_QEndDate,0,COLUMN()),"YYYYMMDD")),"N/A")</f>
        <v>N/A</v>
      </c>
      <c r="AJ1076" s="134" t="str">
        <f ca="1">IFERROR(BDP(MO.Ticker.Bloomberg&amp;" Equity","INTERVAL_HIGH","MARKET_DATA_OVERRIDE=PX_LAST","START_DATE_OVERRIDE",TEXT(INDEX(MO_SNA_FPStartDate,0,COLUMN()),"YYYYMMDD"),"END_DATE_OVERRIDE",TEXT(INDEX(MO_Common_QEndDate,0,COLUMN()),"YYYYMMDD")),"N/A")</f>
        <v>N/A</v>
      </c>
      <c r="AK1076" s="134" t="str">
        <f ca="1">IFERROR(BDP(MO.Ticker.Bloomberg&amp;" Equity","INTERVAL_HIGH","MARKET_DATA_OVERRIDE=PX_LAST","START_DATE_OVERRIDE",TEXT(INDEX(MO_SNA_FPStartDate,0,COLUMN()),"YYYYMMDD"),"END_DATE_OVERRIDE",TEXT(INDEX(MO_Common_QEndDate,0,COLUMN()),"YYYYMMDD")),"N/A")</f>
        <v>N/A</v>
      </c>
      <c r="AL1076" s="134" t="str">
        <f ca="1">IFERROR(BDP(MO.Ticker.Bloomberg&amp;" Equity","INTERVAL_HIGH","MARKET_DATA_OVERRIDE=PX_LAST","START_DATE_OVERRIDE",TEXT(INDEX(MO_SNA_FPStartDate,0,COLUMN()),"YYYYMMDD"),"END_DATE_OVERRIDE",TEXT(INDEX(MO_Common_QEndDate,0,COLUMN()),"YYYYMMDD")),"N/A")</f>
        <v>N/A</v>
      </c>
      <c r="AM1076" s="134" t="str">
        <f ca="1">IFERROR(BDP(MO.Ticker.Bloomberg&amp;" Equity","INTERVAL_HIGH","MARKET_DATA_OVERRIDE=PX_LAST","START_DATE_OVERRIDE",TEXT(INDEX(MO_SNA_FPStartDate,0,COLUMN()),"YYYYMMDD"),"END_DATE_OVERRIDE",TEXT(INDEX(MO_Common_QEndDate,0,COLUMN()),"YYYYMMDD")),"N/A")</f>
        <v>N/A</v>
      </c>
      <c r="AN1076" s="134" t="str">
        <f ca="1">IFERROR(BDP(MO.Ticker.Bloomberg&amp;" Equity","INTERVAL_HIGH","MARKET_DATA_OVERRIDE=PX_LAST","START_DATE_OVERRIDE",TEXT(INDEX(MO_SNA_FPStartDate,0,COLUMN()),"YYYYMMDD"),"END_DATE_OVERRIDE",TEXT(INDEX(MO_Common_QEndDate,0,COLUMN()),"YYYYMMDD")),"N/A")</f>
        <v>N/A</v>
      </c>
      <c r="AO1076" s="134" t="str">
        <f ca="1">IFERROR(BDP(MO.Ticker.Bloomberg&amp;" Equity","INTERVAL_HIGH","MARKET_DATA_OVERRIDE=PX_LAST","START_DATE_OVERRIDE",TEXT(INDEX(MO_SNA_FPStartDate,0,COLUMN()),"YYYYMMDD"),"END_DATE_OVERRIDE",TEXT(INDEX(MO_Common_QEndDate,0,COLUMN()),"YYYYMMDD")),"N/A")</f>
        <v>N/A</v>
      </c>
      <c r="AP1076" s="134" t="str">
        <f ca="1">IFERROR(BDP(MO.Ticker.Bloomberg&amp;" Equity","INTERVAL_HIGH","MARKET_DATA_OVERRIDE=PX_LAST","START_DATE_OVERRIDE",TEXT(INDEX(MO_SNA_FPStartDate,0,COLUMN()),"YYYYMMDD"),"END_DATE_OVERRIDE",TEXT(INDEX(MO_Common_QEndDate,0,COLUMN()),"YYYYMMDD")),"N/A")</f>
        <v>N/A</v>
      </c>
      <c r="AQ1076" s="134" t="str">
        <f ca="1">IFERROR(BDP(MO.Ticker.Bloomberg&amp;" Equity","INTERVAL_HIGH","MARKET_DATA_OVERRIDE=PX_LAST","START_DATE_OVERRIDE",TEXT(INDEX(MO_SNA_FPStartDate,0,COLUMN()),"YYYYMMDD"),"END_DATE_OVERRIDE",TEXT(INDEX(MO_Common_QEndDate,0,COLUMN()),"YYYYMMDD")),"N/A")</f>
        <v>N/A</v>
      </c>
      <c r="AR1076" s="134" t="str">
        <f ca="1">IFERROR(BDP(MO.Ticker.Bloomberg&amp;" Equity","INTERVAL_HIGH","MARKET_DATA_OVERRIDE=PX_LAST","START_DATE_OVERRIDE",TEXT(INDEX(MO_SNA_FPStartDate,0,COLUMN()),"YYYYMMDD"),"END_DATE_OVERRIDE",TEXT(INDEX(MO_Common_QEndDate,0,COLUMN()),"YYYYMMDD")),"N/A")</f>
        <v>N/A</v>
      </c>
      <c r="AS1076" s="134" t="str">
        <f ca="1">IFERROR(BDP(MO.Ticker.Bloomberg&amp;" Equity","INTERVAL_HIGH","MARKET_DATA_OVERRIDE=PX_LAST","START_DATE_OVERRIDE",TEXT(INDEX(MO_SNA_FPStartDate,0,COLUMN()),"YYYYMMDD"),"END_DATE_OVERRIDE",TEXT(INDEX(MO_Common_QEndDate,0,COLUMN()),"YYYYMMDD")),"N/A")</f>
        <v>N/A</v>
      </c>
      <c r="AT1076" s="134" t="str">
        <f ca="1">IFERROR(BDP(MO.Ticker.Bloomberg&amp;" Equity","INTERVAL_HIGH","MARKET_DATA_OVERRIDE=PX_LAST","START_DATE_OVERRIDE",TEXT(INDEX(MO_SNA_FPStartDate,0,COLUMN()),"YYYYMMDD"),"END_DATE_OVERRIDE",TEXT(INDEX(MO_Common_QEndDate,0,COLUMN()),"YYYYMMDD")),"N/A")</f>
        <v>N/A</v>
      </c>
      <c r="AU1076" s="134" t="str">
        <f ca="1">IFERROR(BDP(MO.Ticker.Bloomberg&amp;" Equity","INTERVAL_HIGH","MARKET_DATA_OVERRIDE=PX_LAST","START_DATE_OVERRIDE",TEXT(INDEX(MO_SNA_FPStartDate,0,COLUMN()),"YYYYMMDD"),"END_DATE_OVERRIDE",TEXT(INDEX(MO_Common_QEndDate,0,COLUMN()),"YYYYMMDD")),"N/A")</f>
        <v>N/A</v>
      </c>
      <c r="AV1076" s="134" t="str">
        <f ca="1">IFERROR(BDP(MO.Ticker.Bloomberg&amp;" Equity","INTERVAL_HIGH","MARKET_DATA_OVERRIDE=PX_LAST","START_DATE_OVERRIDE",TEXT(INDEX(MO_SNA_FPStartDate,0,COLUMN()),"YYYYMMDD"),"END_DATE_OVERRIDE",TEXT(INDEX(MO_Common_QEndDate,0,COLUMN()),"YYYYMMDD")),"N/A")</f>
        <v>N/A</v>
      </c>
      <c r="AW1076" s="134" t="str">
        <f ca="1">IFERROR(BDP(MO.Ticker.Bloomberg&amp;" Equity","INTERVAL_HIGH","MARKET_DATA_OVERRIDE=PX_LAST","START_DATE_OVERRIDE",TEXT(INDEX(MO_SNA_FPStartDate,0,COLUMN()),"YYYYMMDD"),"END_DATE_OVERRIDE",TEXT(INDEX(MO_Common_QEndDate,0,COLUMN()),"YYYYMMDD")),"N/A")</f>
        <v>N/A</v>
      </c>
      <c r="AX1076" s="134" t="str">
        <f ca="1">IFERROR(BDP(MO.Ticker.Bloomberg&amp;" Equity","INTERVAL_HIGH","MARKET_DATA_OVERRIDE=PX_LAST","START_DATE_OVERRIDE",TEXT(INDEX(MO_SNA_FPStartDate,0,COLUMN()),"YYYYMMDD"),"END_DATE_OVERRIDE",TEXT(INDEX(MO_Common_QEndDate,0,COLUMN()),"YYYYMMDD")),"N/A")</f>
        <v>N/A</v>
      </c>
      <c r="AY1076" s="134" t="str">
        <f ca="1">IFERROR(BDP(MO.Ticker.Bloomberg&amp;" Equity","INTERVAL_HIGH","MARKET_DATA_OVERRIDE=PX_LAST","START_DATE_OVERRIDE",TEXT(INDEX(MO_SNA_FPStartDate,0,COLUMN()),"YYYYMMDD"),"END_DATE_OVERRIDE",TEXT(INDEX(MO_Common_QEndDate,0,COLUMN()),"YYYYMMDD")),"N/A")</f>
        <v>N/A</v>
      </c>
      <c r="AZ1076" s="134" t="str">
        <f ca="1">IFERROR(BDP(MO.Ticker.Bloomberg&amp;" Equity","INTERVAL_HIGH","MARKET_DATA_OVERRIDE=PX_LAST","START_DATE_OVERRIDE",TEXT(INDEX(MO_SNA_FPStartDate,0,COLUMN()),"YYYYMMDD"),"END_DATE_OVERRIDE",TEXT(INDEX(MO_Common_QEndDate,0,COLUMN()),"YYYYMMDD")),"N/A")</f>
        <v>N/A</v>
      </c>
      <c r="BA1076" s="134" t="str">
        <f ca="1">IFERROR(BDP(MO.Ticker.Bloomberg&amp;" Equity","INTERVAL_HIGH","MARKET_DATA_OVERRIDE=PX_LAST","START_DATE_OVERRIDE",TEXT(INDEX(MO_SNA_FPStartDate,0,COLUMN()),"YYYYMMDD"),"END_DATE_OVERRIDE",TEXT(INDEX(MO_Common_QEndDate,0,COLUMN()),"YYYYMMDD")),"N/A")</f>
        <v>N/A</v>
      </c>
      <c r="BB1076" s="134" t="str">
        <f ca="1">IFERROR(BDP(MO.Ticker.Bloomberg&amp;" Equity","INTERVAL_HIGH","MARKET_DATA_OVERRIDE=PX_LAST","START_DATE_OVERRIDE",TEXT(INDEX(MO_SNA_FPStartDate,0,COLUMN()),"YYYYMMDD"),"END_DATE_OVERRIDE",TEXT(INDEX(MO_Common_QEndDate,0,COLUMN()),"YYYYMMDD")),"N/A")</f>
        <v>N/A</v>
      </c>
      <c r="BC1076" s="134" t="str">
        <f ca="1">IFERROR(BDP(MO.Ticker.Bloomberg&amp;" Equity","INTERVAL_HIGH","MARKET_DATA_OVERRIDE=PX_LAST","START_DATE_OVERRIDE",TEXT(INDEX(MO_SNA_FPStartDate,0,COLUMN()),"YYYYMMDD"),"END_DATE_OVERRIDE",TEXT(INDEX(MO_Common_QEndDate,0,COLUMN()),"YYYYMMDD")),"N/A")</f>
        <v>N/A</v>
      </c>
      <c r="BD1076" s="134" t="str">
        <f ca="1">IFERROR(BDP(MO.Ticker.Bloomberg&amp;" Equity","INTERVAL_HIGH","MARKET_DATA_OVERRIDE=PX_LAST","START_DATE_OVERRIDE",TEXT(INDEX(MO_SNA_FPStartDate,0,COLUMN()),"YYYYMMDD"),"END_DATE_OVERRIDE",TEXT(INDEX(MO_Common_QEndDate,0,COLUMN()),"YYYYMMDD")),"N/A")</f>
        <v>N/A</v>
      </c>
      <c r="BE1076" s="134" t="str">
        <f ca="1">IFERROR(BDP(MO.Ticker.Bloomberg&amp;" Equity","INTERVAL_HIGH","MARKET_DATA_OVERRIDE=PX_LAST","START_DATE_OVERRIDE",TEXT(INDEX(MO_SNA_FPStartDate,0,COLUMN()),"YYYYMMDD"),"END_DATE_OVERRIDE",TEXT(INDEX(MO_Common_QEndDate,0,COLUMN()),"YYYYMMDD")),"N/A")</f>
        <v>N/A</v>
      </c>
      <c r="BF1076" s="134" t="str">
        <f ca="1">IFERROR(BDP(MO.Ticker.Bloomberg&amp;" Equity","INTERVAL_HIGH","MARKET_DATA_OVERRIDE=PX_LAST","START_DATE_OVERRIDE",TEXT(INDEX(MO_SNA_FPStartDate,0,COLUMN()),"YYYYMMDD"),"END_DATE_OVERRIDE",TEXT(INDEX(MO_Common_QEndDate,0,COLUMN()),"YYYYMMDD")),"N/A")</f>
        <v>N/A</v>
      </c>
      <c r="BG1076" s="134"/>
      <c r="BH1076" s="589" t="str">
        <f ca="1">IFERROR(BDP(MO.Ticker.Bloomberg&amp;" Equity","INTERVAL_HIGH","MARKET_DATA_OVERRIDE=PX_LAST","START_DATE_OVERRIDE",TEXT(INDEX(MO_SNA_FPStartDate,0,COLUMN()),"YYYYMMDD"),"END_DATE_OVERRIDE",TEXT(INDEX(MO_Common_QEndDate,0,COLUMN()),"YYYYMMDD")),"N/A")</f>
        <v>N/A</v>
      </c>
      <c r="BI1076" s="589" t="str">
        <f ca="1">IFERROR(BDP(MO.Ticker.Bloomberg&amp;" Equity","INTERVAL_HIGH","MARKET_DATA_OVERRIDE=PX_LAST","START_DATE_OVERRIDE",TEXT(INDEX(MO_SNA_FPStartDate,0,COLUMN()),"YYYYMMDD"),"END_DATE_OVERRIDE",TEXT(INDEX(MO_Common_QEndDate,0,COLUMN()),"YYYYMMDD")),"N/A")</f>
        <v>N/A</v>
      </c>
      <c r="BJ1076" s="589" t="str">
        <f ca="1">IFERROR(BDP(MO.Ticker.Bloomberg&amp;" Equity","INTERVAL_HIGH","MARKET_DATA_OVERRIDE=PX_LAST","START_DATE_OVERRIDE",TEXT(INDEX(MO_SNA_FPStartDate,0,COLUMN()),"YYYYMMDD"),"END_DATE_OVERRIDE",TEXT(INDEX(MO_Common_QEndDate,0,COLUMN()),"YYYYMMDD")),"N/A")</f>
        <v>N/A</v>
      </c>
      <c r="BK1076" s="589" t="str">
        <f ca="1">IFERROR(BDP(MO.Ticker.Bloomberg&amp;" Equity","INTERVAL_HIGH","MARKET_DATA_OVERRIDE=PX_LAST","START_DATE_OVERRIDE",TEXT(INDEX(MO_SNA_FPStartDate,0,COLUMN()),"YYYYMMDD"),"END_DATE_OVERRIDE",TEXT(INDEX(MO_Common_QEndDate,0,COLUMN()),"YYYYMMDD")),"N/A")</f>
        <v>N/A</v>
      </c>
      <c r="BL1076" s="134" t="str">
        <f ca="1">IFERROR(BDP(MO.Ticker.Bloomberg&amp;" Equity","INTERVAL_HIGH","MARKET_DATA_OVERRIDE=PX_LAST","START_DATE_OVERRIDE",TEXT(INDEX(MO_SNA_FPStartDate,0,COLUMN()),"YYYYMMDD"),"END_DATE_OVERRIDE",TEXT(INDEX(MO_Common_QEndDate,0,COLUMN()),"YYYYMMDD")),"N/A")</f>
        <v>N/A</v>
      </c>
      <c r="BM1076" s="134" t="str">
        <f ca="1">IFERROR(BDP(MO.Ticker.Bloomberg&amp;" Equity","INTERVAL_HIGH","MARKET_DATA_OVERRIDE=PX_LAST","START_DATE_OVERRIDE",TEXT(INDEX(MO_SNA_FPStartDate,0,COLUMN()),"YYYYMMDD"),"END_DATE_OVERRIDE",TEXT(INDEX(MO_Common_QEndDate,0,COLUMN()),"YYYYMMDD")),"N/A")</f>
        <v>N/A</v>
      </c>
      <c r="BN1076" s="134" t="str">
        <f ca="1">IFERROR(BDP(MO.Ticker.Bloomberg&amp;" Equity","INTERVAL_HIGH","MARKET_DATA_OVERRIDE=PX_LAST","START_DATE_OVERRIDE",TEXT(INDEX(MO_SNA_FPStartDate,0,COLUMN()),"YYYYMMDD"),"END_DATE_OVERRIDE",TEXT(INDEX(MO_Common_QEndDate,0,COLUMN()),"YYYYMMDD")),"N/A")</f>
        <v>N/A</v>
      </c>
      <c r="BO1076" s="134" t="str">
        <f ca="1">IFERROR(BDP(MO.Ticker.Bloomberg&amp;" Equity","INTERVAL_HIGH","MARKET_DATA_OVERRIDE=PX_LAST","START_DATE_OVERRIDE",TEXT(INDEX(MO_SNA_FPStartDate,0,COLUMN()),"YYYYMMDD"),"END_DATE_OVERRIDE",TEXT(INDEX(MO_Common_QEndDate,0,COLUMN()),"YYYYMMDD")),"N/A")</f>
        <v>N/A</v>
      </c>
      <c r="BP1076" s="134" t="str">
        <f ca="1">IFERROR(BDP(MO.Ticker.Bloomberg&amp;" Equity","INTERVAL_HIGH","MARKET_DATA_OVERRIDE=PX_LAST","START_DATE_OVERRIDE",TEXT(INDEX(MO_SNA_FPStartDate,0,COLUMN()),"YYYYMMDD"),"END_DATE_OVERRIDE",TEXT(INDEX(MO_Common_QEndDate,0,COLUMN()),"YYYYMMDD")),"N/A")</f>
        <v>N/A</v>
      </c>
      <c r="BQ1076" s="134" t="str">
        <f ca="1">IFERROR(BDP(MO.Ticker.Bloomberg&amp;" Equity","INTERVAL_HIGH","MARKET_DATA_OVERRIDE=PX_LAST","START_DATE_OVERRIDE",TEXT(INDEX(MO_SNA_FPStartDate,0,COLUMN()),"YYYYMMDD"),"END_DATE_OVERRIDE",TEXT(INDEX(MO_Common_QEndDate,0,COLUMN()),"YYYYMMDD")),"N/A")</f>
        <v>N/A</v>
      </c>
      <c r="BR1076" s="134" t="str">
        <f ca="1">IFERROR(BDP(MO.Ticker.Bloomberg&amp;" Equity","INTERVAL_HIGH","MARKET_DATA_OVERRIDE=PX_LAST","START_DATE_OVERRIDE",TEXT(INDEX(MO_SNA_FPStartDate,0,COLUMN()),"YYYYMMDD"),"END_DATE_OVERRIDE",TEXT(INDEX(MO_Common_QEndDate,0,COLUMN()),"YYYYMMDD")),"N/A")</f>
        <v>N/A</v>
      </c>
      <c r="BS1076" s="134" t="str">
        <f ca="1">IFERROR(BDP(MO.Ticker.Bloomberg&amp;" Equity","INTERVAL_HIGH","MARKET_DATA_OVERRIDE=PX_LAST","START_DATE_OVERRIDE",TEXT(INDEX(MO_SNA_FPStartDate,0,COLUMN()),"YYYYMMDD"),"END_DATE_OVERRIDE",TEXT(INDEX(MO_Common_QEndDate,0,COLUMN()),"YYYYMMDD")),"N/A")</f>
        <v>N/A</v>
      </c>
      <c r="BT1076" s="134" t="str">
        <f ca="1">IFERROR(BDP(MO.Ticker.Bloomberg&amp;" Equity","INTERVAL_HIGH","MARKET_DATA_OVERRIDE=PX_LAST","START_DATE_OVERRIDE",TEXT(INDEX(MO_SNA_FPStartDate,0,COLUMN()),"YYYYMMDD"),"END_DATE_OVERRIDE",TEXT(INDEX(MO_Common_QEndDate,0,COLUMN()),"YYYYMMDD")),"N/A")</f>
        <v>N/A</v>
      </c>
      <c r="BU1076" s="134" t="str">
        <f ca="1">IFERROR(BDP(MO.Ticker.Bloomberg&amp;" Equity","INTERVAL_HIGH","MARKET_DATA_OVERRIDE=PX_LAST","START_DATE_OVERRIDE",TEXT(INDEX(MO_SNA_FPStartDate,0,COLUMN()),"YYYYMMDD"),"END_DATE_OVERRIDE",TEXT(INDEX(MO_Common_QEndDate,0,COLUMN()),"YYYYMMDD")),"N/A")</f>
        <v>N/A</v>
      </c>
      <c r="BV1076" s="134" t="str">
        <f ca="1">IFERROR(BDP(MO.Ticker.Bloomberg&amp;" Equity","INTERVAL_HIGH","MARKET_DATA_OVERRIDE=PX_LAST","START_DATE_OVERRIDE",TEXT(INDEX(MO_SNA_FPStartDate,0,COLUMN()),"YYYYMMDD"),"END_DATE_OVERRIDE",TEXT(INDEX(MO_Common_QEndDate,0,COLUMN()),"YYYYMMDD")),"N/A")</f>
        <v>N/A</v>
      </c>
      <c r="BW1076" s="134" t="str">
        <f ca="1">IFERROR(BDP(MO.Ticker.Bloomberg&amp;" Equity","INTERVAL_HIGH","MARKET_DATA_OVERRIDE=PX_LAST","START_DATE_OVERRIDE",TEXT(INDEX(MO_SNA_FPStartDate,0,COLUMN()),"YYYYMMDD"),"END_DATE_OVERRIDE",TEXT(INDEX(MO_Common_QEndDate,0,COLUMN()),"YYYYMMDD")),"N/A")</f>
        <v>N/A</v>
      </c>
      <c r="BX1076" s="134" t="str">
        <f ca="1">IFERROR(BDP(MO.Ticker.Bloomberg&amp;" Equity","INTERVAL_HIGH","MARKET_DATA_OVERRIDE=PX_LAST","START_DATE_OVERRIDE",TEXT(INDEX(MO_SNA_FPStartDate,0,COLUMN()),"YYYYMMDD"),"END_DATE_OVERRIDE",TEXT(INDEX(MO_Common_QEndDate,0,COLUMN()),"YYYYMMDD")),"N/A")</f>
        <v>N/A</v>
      </c>
      <c r="BY1076" s="134" t="str">
        <f ca="1">IFERROR(BDP(MO.Ticker.Bloomberg&amp;" Equity","INTERVAL_HIGH","MARKET_DATA_OVERRIDE=PX_LAST","START_DATE_OVERRIDE",TEXT(INDEX(MO_SNA_FPStartDate,0,COLUMN()),"YYYYMMDD"),"END_DATE_OVERRIDE",TEXT(INDEX(MO_Common_QEndDate,0,COLUMN()),"YYYYMMDD")),"N/A")</f>
        <v>N/A</v>
      </c>
      <c r="BZ1076" s="134" t="str">
        <f ca="1">IFERROR(BDP(MO.Ticker.Bloomberg&amp;" Equity","INTERVAL_HIGH","MARKET_DATA_OVERRIDE=PX_LAST","START_DATE_OVERRIDE",TEXT(INDEX(MO_SNA_FPStartDate,0,COLUMN()),"YYYYMMDD"),"END_DATE_OVERRIDE",TEXT(INDEX(MO_Common_QEndDate,0,COLUMN()),"YYYYMMDD")),"N/A")</f>
        <v>N/A</v>
      </c>
      <c r="CA1076" s="134" t="str">
        <f ca="1">IFERROR(BDP(MO.Ticker.Bloomberg&amp;" Equity","INTERVAL_HIGH","MARKET_DATA_OVERRIDE=PX_LAST","START_DATE_OVERRIDE",TEXT(INDEX(MO_SNA_FPStartDate,0,COLUMN()),"YYYYMMDD"),"END_DATE_OVERRIDE",TEXT(INDEX(MO_Common_QEndDate,0,COLUMN()),"YYYYMMDD")),"N/A")</f>
        <v>N/A</v>
      </c>
      <c r="CB1076" s="134" t="str">
        <f ca="1">IFERROR(BDP(MO.Ticker.Bloomberg&amp;" Equity","INTERVAL_HIGH","MARKET_DATA_OVERRIDE=PX_LAST","START_DATE_OVERRIDE",TEXT(INDEX(MO_SNA_FPStartDate,0,COLUMN()),"YYYYMMDD"),"END_DATE_OVERRIDE",TEXT(INDEX(MO_Common_QEndDate,0,COLUMN()),"YYYYMMDD")),"N/A")</f>
        <v>N/A</v>
      </c>
      <c r="CC1076" s="180"/>
    </row>
    <row r="1077" spans="1:81" outlineLevel="1" x14ac:dyDescent="0.55000000000000004">
      <c r="A1077" s="1157" t="s">
        <v>244</v>
      </c>
      <c r="B1077" s="134"/>
      <c r="C1077" s="589" t="str">
        <f ca="1">IFERROR(CIQHI(MO.Ticker.CapIQ,"IQ_LASTSALEPRICE",INDEX(MO_SNA_FPStartDate,0,COLUMN()),INDEX(MO_Common_QEndDate,0,COLUMN())),"N/A")</f>
        <v>N/A</v>
      </c>
      <c r="D1077" s="134" t="str">
        <f ca="1">IFERROR(CIQHI(MO.Ticker.CapIQ,"IQ_LASTSALEPRICE",INDEX(MO_SNA_FPStartDate,0,COLUMN()),INDEX(MO_Common_QEndDate,0,COLUMN())),"N/A")</f>
        <v>N/A</v>
      </c>
      <c r="E1077" s="134" t="str">
        <f ca="1">IFERROR(CIQHI(MO.Ticker.CapIQ,"IQ_LASTSALEPRICE",INDEX(MO_SNA_FPStartDate,0,COLUMN()),INDEX(MO_Common_QEndDate,0,COLUMN())),"N/A")</f>
        <v>N/A</v>
      </c>
      <c r="F1077" s="134" t="str">
        <f ca="1">IFERROR(CIQHI(MO.Ticker.CapIQ,"IQ_LASTSALEPRICE",INDEX(MO_SNA_FPStartDate,0,COLUMN()),INDEX(MO_Common_QEndDate,0,COLUMN())),"N/A")</f>
        <v>N/A</v>
      </c>
      <c r="G1077" s="134" t="str">
        <f ca="1">IFERROR(CIQHI(MO.Ticker.CapIQ,"IQ_LASTSALEPRICE",INDEX(MO_SNA_FPStartDate,0,COLUMN()),INDEX(MO_Common_QEndDate,0,COLUMN())),"N/A")</f>
        <v>N/A</v>
      </c>
      <c r="H1077" s="134" t="str">
        <f ca="1">IFERROR(CIQHI(MO.Ticker.CapIQ,"IQ_LASTSALEPRICE",INDEX(MO_SNA_FPStartDate,0,COLUMN()),INDEX(MO_Common_QEndDate,0,COLUMN())),"N/A")</f>
        <v>N/A</v>
      </c>
      <c r="I1077" s="134" t="str">
        <f ca="1">IFERROR(CIQHI(MO.Ticker.CapIQ,"IQ_LASTSALEPRICE",INDEX(MO_SNA_FPStartDate,0,COLUMN()),INDEX(MO_Common_QEndDate,0,COLUMN())),"N/A")</f>
        <v>N/A</v>
      </c>
      <c r="J1077" s="134" t="str">
        <f ca="1">IFERROR(CIQHI(MO.Ticker.CapIQ,"IQ_LASTSALEPRICE",INDEX(MO_SNA_FPStartDate,0,COLUMN()),INDEX(MO_Common_QEndDate,0,COLUMN())),"N/A")</f>
        <v>N/A</v>
      </c>
      <c r="K1077" s="134" t="str">
        <f ca="1">IFERROR(CIQHI(MO.Ticker.CapIQ,"IQ_LASTSALEPRICE",INDEX(MO_SNA_FPStartDate,0,COLUMN()),INDEX(MO_Common_QEndDate,0,COLUMN())),"N/A")</f>
        <v>N/A</v>
      </c>
      <c r="L1077" s="134" t="str">
        <f ca="1">IFERROR(CIQHI(MO.Ticker.CapIQ,"IQ_LASTSALEPRICE",INDEX(MO_SNA_FPStartDate,0,COLUMN()),INDEX(MO_Common_QEndDate,0,COLUMN())),"N/A")</f>
        <v>N/A</v>
      </c>
      <c r="M1077" s="134" t="str">
        <f ca="1">IFERROR(CIQHI(MO.Ticker.CapIQ,"IQ_LASTSALEPRICE",INDEX(MO_SNA_FPStartDate,0,COLUMN()),INDEX(MO_Common_QEndDate,0,COLUMN())),"N/A")</f>
        <v>N/A</v>
      </c>
      <c r="N1077" s="134" t="str">
        <f ca="1">IFERROR(CIQHI(MO.Ticker.CapIQ,"IQ_LASTSALEPRICE",INDEX(MO_SNA_FPStartDate,0,COLUMN()),INDEX(MO_Common_QEndDate,0,COLUMN())),"N/A")</f>
        <v>N/A</v>
      </c>
      <c r="O1077" s="134" t="str">
        <f ca="1">IFERROR(CIQHI(MO.Ticker.CapIQ,"IQ_LASTSALEPRICE",INDEX(MO_SNA_FPStartDate,0,COLUMN()),INDEX(MO_Common_QEndDate,0,COLUMN())),"N/A")</f>
        <v>N/A</v>
      </c>
      <c r="P1077" s="134" t="str">
        <f ca="1">IFERROR(CIQHI(MO.Ticker.CapIQ,"IQ_LASTSALEPRICE",INDEX(MO_SNA_FPStartDate,0,COLUMN()),INDEX(MO_Common_QEndDate,0,COLUMN())),"N/A")</f>
        <v>N/A</v>
      </c>
      <c r="Q1077" s="134" t="str">
        <f ca="1">IFERROR(CIQHI(MO.Ticker.CapIQ,"IQ_LASTSALEPRICE",INDEX(MO_SNA_FPStartDate,0,COLUMN()),INDEX(MO_Common_QEndDate,0,COLUMN())),"N/A")</f>
        <v>N/A</v>
      </c>
      <c r="R1077" s="134" t="str">
        <f ca="1">IFERROR(CIQHI(MO.Ticker.CapIQ,"IQ_LASTSALEPRICE",INDEX(MO_SNA_FPStartDate,0,COLUMN()),INDEX(MO_Common_QEndDate,0,COLUMN())),"N/A")</f>
        <v>N/A</v>
      </c>
      <c r="S1077" s="134" t="str">
        <f ca="1">IFERROR(CIQHI(MO.Ticker.CapIQ,"IQ_LASTSALEPRICE",INDEX(MO_SNA_FPStartDate,0,COLUMN()),INDEX(MO_Common_QEndDate,0,COLUMN())),"N/A")</f>
        <v>N/A</v>
      </c>
      <c r="T1077" s="134" t="str">
        <f ca="1">IFERROR(CIQHI(MO.Ticker.CapIQ,"IQ_LASTSALEPRICE",INDEX(MO_SNA_FPStartDate,0,COLUMN()),INDEX(MO_Common_QEndDate,0,COLUMN())),"N/A")</f>
        <v>N/A</v>
      </c>
      <c r="U1077" s="134" t="str">
        <f ca="1">IFERROR(CIQHI(MO.Ticker.CapIQ,"IQ_LASTSALEPRICE",INDEX(MO_SNA_FPStartDate,0,COLUMN()),INDEX(MO_Common_QEndDate,0,COLUMN())),"N/A")</f>
        <v>N/A</v>
      </c>
      <c r="V1077" s="134" t="str">
        <f ca="1">IFERROR(CIQHI(MO.Ticker.CapIQ,"IQ_LASTSALEPRICE",INDEX(MO_SNA_FPStartDate,0,COLUMN()),INDEX(MO_Common_QEndDate,0,COLUMN())),"N/A")</f>
        <v>N/A</v>
      </c>
      <c r="W1077" s="134" t="str">
        <f ca="1">IFERROR(CIQHI(MO.Ticker.CapIQ,"IQ_LASTSALEPRICE",INDEX(MO_SNA_FPStartDate,0,COLUMN()),INDEX(MO_Common_QEndDate,0,COLUMN())),"N/A")</f>
        <v>N/A</v>
      </c>
      <c r="X1077" s="134" t="str">
        <f ca="1">IFERROR(CIQHI(MO.Ticker.CapIQ,"IQ_LASTSALEPRICE",INDEX(MO_SNA_FPStartDate,0,COLUMN()),INDEX(MO_Common_QEndDate,0,COLUMN())),"N/A")</f>
        <v>N/A</v>
      </c>
      <c r="Y1077" s="134" t="str">
        <f ca="1">IFERROR(CIQHI(MO.Ticker.CapIQ,"IQ_LASTSALEPRICE",INDEX(MO_SNA_FPStartDate,0,COLUMN()),INDEX(MO_Common_QEndDate,0,COLUMN())),"N/A")</f>
        <v>N/A</v>
      </c>
      <c r="Z1077" s="134" t="str">
        <f ca="1">IFERROR(CIQHI(MO.Ticker.CapIQ,"IQ_LASTSALEPRICE",INDEX(MO_SNA_FPStartDate,0,COLUMN()),INDEX(MO_Common_QEndDate,0,COLUMN())),"N/A")</f>
        <v>N/A</v>
      </c>
      <c r="AA1077" s="134" t="str">
        <f ca="1">IFERROR(CIQHI(MO.Ticker.CapIQ,"IQ_LASTSALEPRICE",INDEX(MO_SNA_FPStartDate,0,COLUMN()),INDEX(MO_Common_QEndDate,0,COLUMN())),"N/A")</f>
        <v>N/A</v>
      </c>
      <c r="AB1077" s="134" t="str">
        <f ca="1">IFERROR(CIQHI(MO.Ticker.CapIQ,"IQ_LASTSALEPRICE",INDEX(MO_SNA_FPStartDate,0,COLUMN()),INDEX(MO_Common_QEndDate,0,COLUMN())),"N/A")</f>
        <v>N/A</v>
      </c>
      <c r="AC1077" s="134" t="str">
        <f ca="1">IFERROR(CIQHI(MO.Ticker.CapIQ,"IQ_LASTSALEPRICE",INDEX(MO_SNA_FPStartDate,0,COLUMN()),INDEX(MO_Common_QEndDate,0,COLUMN())),"N/A")</f>
        <v>N/A</v>
      </c>
      <c r="AD1077" s="134" t="str">
        <f ca="1">IFERROR(CIQHI(MO.Ticker.CapIQ,"IQ_LASTSALEPRICE",INDEX(MO_SNA_FPStartDate,0,COLUMN()),INDEX(MO_Common_QEndDate,0,COLUMN())),"N/A")</f>
        <v>N/A</v>
      </c>
      <c r="AE1077" s="134" t="str">
        <f ca="1">IFERROR(CIQHI(MO.Ticker.CapIQ,"IQ_LASTSALEPRICE",INDEX(MO_SNA_FPStartDate,0,COLUMN()),INDEX(MO_Common_QEndDate,0,COLUMN())),"N/A")</f>
        <v>N/A</v>
      </c>
      <c r="AF1077" s="134" t="str">
        <f ca="1">IFERROR(CIQHI(MO.Ticker.CapIQ,"IQ_LASTSALEPRICE",INDEX(MO_SNA_FPStartDate,0,COLUMN()),INDEX(MO_Common_QEndDate,0,COLUMN())),"N/A")</f>
        <v>N/A</v>
      </c>
      <c r="AG1077" s="134" t="str">
        <f ca="1">IFERROR(CIQHI(MO.Ticker.CapIQ,"IQ_LASTSALEPRICE",INDEX(MO_SNA_FPStartDate,0,COLUMN()),INDEX(MO_Common_QEndDate,0,COLUMN())),"N/A")</f>
        <v>N/A</v>
      </c>
      <c r="AH1077" s="134" t="str">
        <f ca="1">IFERROR(CIQHI(MO.Ticker.CapIQ,"IQ_LASTSALEPRICE",INDEX(MO_SNA_FPStartDate,0,COLUMN()),INDEX(MO_Common_QEndDate,0,COLUMN())),"N/A")</f>
        <v>N/A</v>
      </c>
      <c r="AI1077" s="134" t="str">
        <f ca="1">IFERROR(CIQHI(MO.Ticker.CapIQ,"IQ_LASTSALEPRICE",INDEX(MO_SNA_FPStartDate,0,COLUMN()),INDEX(MO_Common_QEndDate,0,COLUMN())),"N/A")</f>
        <v>N/A</v>
      </c>
      <c r="AJ1077" s="134" t="str">
        <f ca="1">IFERROR(CIQHI(MO.Ticker.CapIQ,"IQ_LASTSALEPRICE",INDEX(MO_SNA_FPStartDate,0,COLUMN()),INDEX(MO_Common_QEndDate,0,COLUMN())),"N/A")</f>
        <v>N/A</v>
      </c>
      <c r="AK1077" s="134" t="str">
        <f ca="1">IFERROR(CIQHI(MO.Ticker.CapIQ,"IQ_LASTSALEPRICE",INDEX(MO_SNA_FPStartDate,0,COLUMN()),INDEX(MO_Common_QEndDate,0,COLUMN())),"N/A")</f>
        <v>N/A</v>
      </c>
      <c r="AL1077" s="134" t="str">
        <f ca="1">IFERROR(CIQHI(MO.Ticker.CapIQ,"IQ_LASTSALEPRICE",INDEX(MO_SNA_FPStartDate,0,COLUMN()),INDEX(MO_Common_QEndDate,0,COLUMN())),"N/A")</f>
        <v>N/A</v>
      </c>
      <c r="AM1077" s="134" t="str">
        <f ca="1">IFERROR(CIQHI(MO.Ticker.CapIQ,"IQ_LASTSALEPRICE",INDEX(MO_SNA_FPStartDate,0,COLUMN()),INDEX(MO_Common_QEndDate,0,COLUMN())),"N/A")</f>
        <v>N/A</v>
      </c>
      <c r="AN1077" s="134" t="str">
        <f ca="1">IFERROR(CIQHI(MO.Ticker.CapIQ,"IQ_LASTSALEPRICE",INDEX(MO_SNA_FPStartDate,0,COLUMN()),INDEX(MO_Common_QEndDate,0,COLUMN())),"N/A")</f>
        <v>N/A</v>
      </c>
      <c r="AO1077" s="134" t="str">
        <f ca="1">IFERROR(CIQHI(MO.Ticker.CapIQ,"IQ_LASTSALEPRICE",INDEX(MO_SNA_FPStartDate,0,COLUMN()),INDEX(MO_Common_QEndDate,0,COLUMN())),"N/A")</f>
        <v>N/A</v>
      </c>
      <c r="AP1077" s="134" t="str">
        <f ca="1">IFERROR(CIQHI(MO.Ticker.CapIQ,"IQ_LASTSALEPRICE",INDEX(MO_SNA_FPStartDate,0,COLUMN()),INDEX(MO_Common_QEndDate,0,COLUMN())),"N/A")</f>
        <v>N/A</v>
      </c>
      <c r="AQ1077" s="134" t="str">
        <f ca="1">IFERROR(CIQHI(MO.Ticker.CapIQ,"IQ_LASTSALEPRICE",INDEX(MO_SNA_FPStartDate,0,COLUMN()),INDEX(MO_Common_QEndDate,0,COLUMN())),"N/A")</f>
        <v>N/A</v>
      </c>
      <c r="AR1077" s="134" t="str">
        <f ca="1">IFERROR(CIQHI(MO.Ticker.CapIQ,"IQ_LASTSALEPRICE",INDEX(MO_SNA_FPStartDate,0,COLUMN()),INDEX(MO_Common_QEndDate,0,COLUMN())),"N/A")</f>
        <v>N/A</v>
      </c>
      <c r="AS1077" s="134" t="str">
        <f ca="1">IFERROR(CIQHI(MO.Ticker.CapIQ,"IQ_LASTSALEPRICE",INDEX(MO_SNA_FPStartDate,0,COLUMN()),INDEX(MO_Common_QEndDate,0,COLUMN())),"N/A")</f>
        <v>N/A</v>
      </c>
      <c r="AT1077" s="134" t="str">
        <f ca="1">IFERROR(CIQHI(MO.Ticker.CapIQ,"IQ_LASTSALEPRICE",INDEX(MO_SNA_FPStartDate,0,COLUMN()),INDEX(MO_Common_QEndDate,0,COLUMN())),"N/A")</f>
        <v>N/A</v>
      </c>
      <c r="AU1077" s="134" t="str">
        <f ca="1">IFERROR(CIQHI(MO.Ticker.CapIQ,"IQ_LASTSALEPRICE",INDEX(MO_SNA_FPStartDate,0,COLUMN()),INDEX(MO_Common_QEndDate,0,COLUMN())),"N/A")</f>
        <v>N/A</v>
      </c>
      <c r="AV1077" s="134" t="str">
        <f ca="1">IFERROR(CIQHI(MO.Ticker.CapIQ,"IQ_LASTSALEPRICE",INDEX(MO_SNA_FPStartDate,0,COLUMN()),INDEX(MO_Common_QEndDate,0,COLUMN())),"N/A")</f>
        <v>N/A</v>
      </c>
      <c r="AW1077" s="134" t="str">
        <f ca="1">IFERROR(CIQHI(MO.Ticker.CapIQ,"IQ_LASTSALEPRICE",INDEX(MO_SNA_FPStartDate,0,COLUMN()),INDEX(MO_Common_QEndDate,0,COLUMN())),"N/A")</f>
        <v>N/A</v>
      </c>
      <c r="AX1077" s="134" t="str">
        <f ca="1">IFERROR(CIQHI(MO.Ticker.CapIQ,"IQ_LASTSALEPRICE",INDEX(MO_SNA_FPStartDate,0,COLUMN()),INDEX(MO_Common_QEndDate,0,COLUMN())),"N/A")</f>
        <v>N/A</v>
      </c>
      <c r="AY1077" s="134" t="str">
        <f ca="1">IFERROR(CIQHI(MO.Ticker.CapIQ,"IQ_LASTSALEPRICE",INDEX(MO_SNA_FPStartDate,0,COLUMN()),INDEX(MO_Common_QEndDate,0,COLUMN())),"N/A")</f>
        <v>N/A</v>
      </c>
      <c r="AZ1077" s="134" t="str">
        <f ca="1">IFERROR(CIQHI(MO.Ticker.CapIQ,"IQ_LASTSALEPRICE",INDEX(MO_SNA_FPStartDate,0,COLUMN()),INDEX(MO_Common_QEndDate,0,COLUMN())),"N/A")</f>
        <v>N/A</v>
      </c>
      <c r="BA1077" s="134" t="str">
        <f ca="1">IFERROR(CIQHI(MO.Ticker.CapIQ,"IQ_LASTSALEPRICE",INDEX(MO_SNA_FPStartDate,0,COLUMN()),INDEX(MO_Common_QEndDate,0,COLUMN())),"N/A")</f>
        <v>N/A</v>
      </c>
      <c r="BB1077" s="134" t="str">
        <f ca="1">IFERROR(CIQHI(MO.Ticker.CapIQ,"IQ_LASTSALEPRICE",INDEX(MO_SNA_FPStartDate,0,COLUMN()),INDEX(MO_Common_QEndDate,0,COLUMN())),"N/A")</f>
        <v>N/A</v>
      </c>
      <c r="BC1077" s="134" t="str">
        <f ca="1">IFERROR(CIQHI(MO.Ticker.CapIQ,"IQ_LASTSALEPRICE",INDEX(MO_SNA_FPStartDate,0,COLUMN()),INDEX(MO_Common_QEndDate,0,COLUMN())),"N/A")</f>
        <v>N/A</v>
      </c>
      <c r="BD1077" s="134" t="str">
        <f ca="1">IFERROR(CIQHI(MO.Ticker.CapIQ,"IQ_LASTSALEPRICE",INDEX(MO_SNA_FPStartDate,0,COLUMN()),INDEX(MO_Common_QEndDate,0,COLUMN())),"N/A")</f>
        <v>N/A</v>
      </c>
      <c r="BE1077" s="134" t="str">
        <f ca="1">IFERROR(CIQHI(MO.Ticker.CapIQ,"IQ_LASTSALEPRICE",INDEX(MO_SNA_FPStartDate,0,COLUMN()),INDEX(MO_Common_QEndDate,0,COLUMN())),"N/A")</f>
        <v>N/A</v>
      </c>
      <c r="BF1077" s="134" t="str">
        <f ca="1">IFERROR(CIQHI(MO.Ticker.CapIQ,"IQ_LASTSALEPRICE",INDEX(MO_SNA_FPStartDate,0,COLUMN()),INDEX(MO_Common_QEndDate,0,COLUMN())),"N/A")</f>
        <v>N/A</v>
      </c>
      <c r="BG1077" s="134"/>
      <c r="BH1077" s="589" t="str">
        <f ca="1">IFERROR(CIQHI(MO.Ticker.CapIQ,"IQ_LASTSALEPRICE",INDEX(MO_SNA_FPStartDate,0,COLUMN()),INDEX(MO_Common_QEndDate,0,COLUMN())),"N/A")</f>
        <v>N/A</v>
      </c>
      <c r="BI1077" s="589" t="str">
        <f ca="1">IFERROR(CIQHI(MO.Ticker.CapIQ,"IQ_LASTSALEPRICE",INDEX(MO_SNA_FPStartDate,0,COLUMN()),INDEX(MO_Common_QEndDate,0,COLUMN())),"N/A")</f>
        <v>N/A</v>
      </c>
      <c r="BJ1077" s="589" t="str">
        <f ca="1">IFERROR(CIQHI(MO.Ticker.CapIQ,"IQ_LASTSALEPRICE",INDEX(MO_SNA_FPStartDate,0,COLUMN()),INDEX(MO_Common_QEndDate,0,COLUMN())),"N/A")</f>
        <v>N/A</v>
      </c>
      <c r="BK1077" s="589" t="str">
        <f ca="1">IFERROR(CIQHI(MO.Ticker.CapIQ,"IQ_LASTSALEPRICE",INDEX(MO_SNA_FPStartDate,0,COLUMN()),INDEX(MO_Common_QEndDate,0,COLUMN())),"N/A")</f>
        <v>N/A</v>
      </c>
      <c r="BL1077" s="134" t="str">
        <f ca="1">IFERROR(CIQHI(MO.Ticker.CapIQ,"IQ_LASTSALEPRICE",INDEX(MO_SNA_FPStartDate,0,COLUMN()),INDEX(MO_Common_QEndDate,0,COLUMN())),"N/A")</f>
        <v>N/A</v>
      </c>
      <c r="BM1077" s="134" t="str">
        <f ca="1">IFERROR(CIQHI(MO.Ticker.CapIQ,"IQ_LASTSALEPRICE",INDEX(MO_SNA_FPStartDate,0,COLUMN()),INDEX(MO_Common_QEndDate,0,COLUMN())),"N/A")</f>
        <v>N/A</v>
      </c>
      <c r="BN1077" s="134" t="str">
        <f ca="1">IFERROR(CIQHI(MO.Ticker.CapIQ,"IQ_LASTSALEPRICE",INDEX(MO_SNA_FPStartDate,0,COLUMN()),INDEX(MO_Common_QEndDate,0,COLUMN())),"N/A")</f>
        <v>N/A</v>
      </c>
      <c r="BO1077" s="134" t="str">
        <f ca="1">IFERROR(CIQHI(MO.Ticker.CapIQ,"IQ_LASTSALEPRICE",INDEX(MO_SNA_FPStartDate,0,COLUMN()),INDEX(MO_Common_QEndDate,0,COLUMN())),"N/A")</f>
        <v>N/A</v>
      </c>
      <c r="BP1077" s="134" t="str">
        <f ca="1">IFERROR(CIQHI(MO.Ticker.CapIQ,"IQ_LASTSALEPRICE",INDEX(MO_SNA_FPStartDate,0,COLUMN()),INDEX(MO_Common_QEndDate,0,COLUMN())),"N/A")</f>
        <v>N/A</v>
      </c>
      <c r="BQ1077" s="134" t="str">
        <f ca="1">IFERROR(CIQHI(MO.Ticker.CapIQ,"IQ_LASTSALEPRICE",INDEX(MO_SNA_FPStartDate,0,COLUMN()),INDEX(MO_Common_QEndDate,0,COLUMN())),"N/A")</f>
        <v>N/A</v>
      </c>
      <c r="BR1077" s="134" t="str">
        <f ca="1">IFERROR(CIQHI(MO.Ticker.CapIQ,"IQ_LASTSALEPRICE",INDEX(MO_SNA_FPStartDate,0,COLUMN()),INDEX(MO_Common_QEndDate,0,COLUMN())),"N/A")</f>
        <v>N/A</v>
      </c>
      <c r="BS1077" s="134" t="str">
        <f ca="1">IFERROR(CIQHI(MO.Ticker.CapIQ,"IQ_LASTSALEPRICE",INDEX(MO_SNA_FPStartDate,0,COLUMN()),INDEX(MO_Common_QEndDate,0,COLUMN())),"N/A")</f>
        <v>N/A</v>
      </c>
      <c r="BT1077" s="134" t="str">
        <f ca="1">IFERROR(CIQHI(MO.Ticker.CapIQ,"IQ_LASTSALEPRICE",INDEX(MO_SNA_FPStartDate,0,COLUMN()),INDEX(MO_Common_QEndDate,0,COLUMN())),"N/A")</f>
        <v>N/A</v>
      </c>
      <c r="BU1077" s="134" t="str">
        <f ca="1">IFERROR(CIQHI(MO.Ticker.CapIQ,"IQ_LASTSALEPRICE",INDEX(MO_SNA_FPStartDate,0,COLUMN()),INDEX(MO_Common_QEndDate,0,COLUMN())),"N/A")</f>
        <v>N/A</v>
      </c>
      <c r="BV1077" s="134" t="str">
        <f ca="1">IFERROR(CIQHI(MO.Ticker.CapIQ,"IQ_LASTSALEPRICE",INDEX(MO_SNA_FPStartDate,0,COLUMN()),INDEX(MO_Common_QEndDate,0,COLUMN())),"N/A")</f>
        <v>N/A</v>
      </c>
      <c r="BW1077" s="134" t="str">
        <f ca="1">IFERROR(CIQHI(MO.Ticker.CapIQ,"IQ_LASTSALEPRICE",INDEX(MO_SNA_FPStartDate,0,COLUMN()),INDEX(MO_Common_QEndDate,0,COLUMN())),"N/A")</f>
        <v>N/A</v>
      </c>
      <c r="BX1077" s="134" t="str">
        <f ca="1">IFERROR(CIQHI(MO.Ticker.CapIQ,"IQ_LASTSALEPRICE",INDEX(MO_SNA_FPStartDate,0,COLUMN()),INDEX(MO_Common_QEndDate,0,COLUMN())),"N/A")</f>
        <v>N/A</v>
      </c>
      <c r="BY1077" s="134" t="str">
        <f ca="1">IFERROR(CIQHI(MO.Ticker.CapIQ,"IQ_LASTSALEPRICE",INDEX(MO_SNA_FPStartDate,0,COLUMN()),INDEX(MO_Common_QEndDate,0,COLUMN())),"N/A")</f>
        <v>N/A</v>
      </c>
      <c r="BZ1077" s="134" t="str">
        <f ca="1">IFERROR(CIQHI(MO.Ticker.CapIQ,"IQ_LASTSALEPRICE",INDEX(MO_SNA_FPStartDate,0,COLUMN()),INDEX(MO_Common_QEndDate,0,COLUMN())),"N/A")</f>
        <v>N/A</v>
      </c>
      <c r="CA1077" s="134" t="str">
        <f ca="1">IFERROR(CIQHI(MO.Ticker.CapIQ,"IQ_LASTSALEPRICE",INDEX(MO_SNA_FPStartDate,0,COLUMN()),INDEX(MO_Common_QEndDate,0,COLUMN())),"N/A")</f>
        <v>N/A</v>
      </c>
      <c r="CB1077" s="134" t="str">
        <f ca="1">IFERROR(CIQHI(MO.Ticker.CapIQ,"IQ_LASTSALEPRICE",INDEX(MO_SNA_FPStartDate,0,COLUMN()),INDEX(MO_Common_QEndDate,0,COLUMN())),"N/A")</f>
        <v>N/A</v>
      </c>
      <c r="CC1077" s="180"/>
    </row>
    <row r="1078" spans="1:81" outlineLevel="1" x14ac:dyDescent="0.55000000000000004">
      <c r="A1078" s="1157" t="s">
        <v>245</v>
      </c>
      <c r="B1078" s="134"/>
      <c r="C1078" s="589" t="str">
        <f ca="1">IFERROR(FDS(MO.Ticker.FactSet,"P_PRICE_HIGH"&amp;"("&amp;INDEX(MO_SNA_FPStartDate,0,COLUMN())&amp;","&amp;INDEX(MO_Common_QEndDate,0,COLUMN())&amp;",,,,""PRICE"",""CLOSE"")"),"N/A")</f>
        <v>N/A</v>
      </c>
      <c r="D1078" s="134" t="str">
        <f ca="1">IFERROR(FDS(MO.Ticker.FactSet,"P_PRICE_HIGH"&amp;"("&amp;INDEX(MO_SNA_FPStartDate,0,COLUMN())&amp;","&amp;INDEX(MO_Common_QEndDate,0,COLUMN())&amp;",,,,""PRICE"",""CLOSE"")"),"N/A")</f>
        <v>N/A</v>
      </c>
      <c r="E1078" s="134" t="str">
        <f ca="1">IFERROR(FDS(MO.Ticker.FactSet,"P_PRICE_HIGH"&amp;"("&amp;INDEX(MO_SNA_FPStartDate,0,COLUMN())&amp;","&amp;INDEX(MO_Common_QEndDate,0,COLUMN())&amp;",,,,""PRICE"",""CLOSE"")"),"N/A")</f>
        <v>N/A</v>
      </c>
      <c r="F1078" s="134" t="str">
        <f ca="1">IFERROR(FDS(MO.Ticker.FactSet,"P_PRICE_HIGH"&amp;"("&amp;INDEX(MO_SNA_FPStartDate,0,COLUMN())&amp;","&amp;INDEX(MO_Common_QEndDate,0,COLUMN())&amp;",,,,""PRICE"",""CLOSE"")"),"N/A")</f>
        <v>N/A</v>
      </c>
      <c r="G1078" s="134" t="str">
        <f ca="1">IFERROR(FDS(MO.Ticker.FactSet,"P_PRICE_HIGH"&amp;"("&amp;INDEX(MO_SNA_FPStartDate,0,COLUMN())&amp;","&amp;INDEX(MO_Common_QEndDate,0,COLUMN())&amp;",,,,""PRICE"",""CLOSE"")"),"N/A")</f>
        <v>N/A</v>
      </c>
      <c r="H1078" s="134" t="str">
        <f ca="1">IFERROR(FDS(MO.Ticker.FactSet,"P_PRICE_HIGH"&amp;"("&amp;INDEX(MO_SNA_FPStartDate,0,COLUMN())&amp;","&amp;INDEX(MO_Common_QEndDate,0,COLUMN())&amp;",,,,""PRICE"",""CLOSE"")"),"N/A")</f>
        <v>N/A</v>
      </c>
      <c r="I1078" s="134" t="str">
        <f ca="1">IFERROR(FDS(MO.Ticker.FactSet,"P_PRICE_HIGH"&amp;"("&amp;INDEX(MO_SNA_FPStartDate,0,COLUMN())&amp;","&amp;INDEX(MO_Common_QEndDate,0,COLUMN())&amp;",,,,""PRICE"",""CLOSE"")"),"N/A")</f>
        <v>N/A</v>
      </c>
      <c r="J1078" s="134" t="str">
        <f ca="1">IFERROR(FDS(MO.Ticker.FactSet,"P_PRICE_HIGH"&amp;"("&amp;INDEX(MO_SNA_FPStartDate,0,COLUMN())&amp;","&amp;INDEX(MO_Common_QEndDate,0,COLUMN())&amp;",,,,""PRICE"",""CLOSE"")"),"N/A")</f>
        <v>N/A</v>
      </c>
      <c r="K1078" s="134" t="str">
        <f ca="1">IFERROR(FDS(MO.Ticker.FactSet,"P_PRICE_HIGH"&amp;"("&amp;INDEX(MO_SNA_FPStartDate,0,COLUMN())&amp;","&amp;INDEX(MO_Common_QEndDate,0,COLUMN())&amp;",,,,""PRICE"",""CLOSE"")"),"N/A")</f>
        <v>N/A</v>
      </c>
      <c r="L1078" s="134" t="str">
        <f ca="1">IFERROR(FDS(MO.Ticker.FactSet,"P_PRICE_HIGH"&amp;"("&amp;INDEX(MO_SNA_FPStartDate,0,COLUMN())&amp;","&amp;INDEX(MO_Common_QEndDate,0,COLUMN())&amp;",,,,""PRICE"",""CLOSE"")"),"N/A")</f>
        <v>N/A</v>
      </c>
      <c r="M1078" s="134" t="str">
        <f ca="1">IFERROR(FDS(MO.Ticker.FactSet,"P_PRICE_HIGH"&amp;"("&amp;INDEX(MO_SNA_FPStartDate,0,COLUMN())&amp;","&amp;INDEX(MO_Common_QEndDate,0,COLUMN())&amp;",,,,""PRICE"",""CLOSE"")"),"N/A")</f>
        <v>N/A</v>
      </c>
      <c r="N1078" s="134" t="str">
        <f ca="1">IFERROR(FDS(MO.Ticker.FactSet,"P_PRICE_HIGH"&amp;"("&amp;INDEX(MO_SNA_FPStartDate,0,COLUMN())&amp;","&amp;INDEX(MO_Common_QEndDate,0,COLUMN())&amp;",,,,""PRICE"",""CLOSE"")"),"N/A")</f>
        <v>N/A</v>
      </c>
      <c r="O1078" s="134" t="str">
        <f ca="1">IFERROR(FDS(MO.Ticker.FactSet,"P_PRICE_HIGH"&amp;"("&amp;INDEX(MO_SNA_FPStartDate,0,COLUMN())&amp;","&amp;INDEX(MO_Common_QEndDate,0,COLUMN())&amp;",,,,""PRICE"",""CLOSE"")"),"N/A")</f>
        <v>N/A</v>
      </c>
      <c r="P1078" s="134" t="str">
        <f ca="1">IFERROR(FDS(MO.Ticker.FactSet,"P_PRICE_HIGH"&amp;"("&amp;INDEX(MO_SNA_FPStartDate,0,COLUMN())&amp;","&amp;INDEX(MO_Common_QEndDate,0,COLUMN())&amp;",,,,""PRICE"",""CLOSE"")"),"N/A")</f>
        <v>N/A</v>
      </c>
      <c r="Q1078" s="134" t="str">
        <f ca="1">IFERROR(FDS(MO.Ticker.FactSet,"P_PRICE_HIGH"&amp;"("&amp;INDEX(MO_SNA_FPStartDate,0,COLUMN())&amp;","&amp;INDEX(MO_Common_QEndDate,0,COLUMN())&amp;",,,,""PRICE"",""CLOSE"")"),"N/A")</f>
        <v>N/A</v>
      </c>
      <c r="R1078" s="134" t="str">
        <f ca="1">IFERROR(FDS(MO.Ticker.FactSet,"P_PRICE_HIGH"&amp;"("&amp;INDEX(MO_SNA_FPStartDate,0,COLUMN())&amp;","&amp;INDEX(MO_Common_QEndDate,0,COLUMN())&amp;",,,,""PRICE"",""CLOSE"")"),"N/A")</f>
        <v>N/A</v>
      </c>
      <c r="S1078" s="134" t="str">
        <f ca="1">IFERROR(FDS(MO.Ticker.FactSet,"P_PRICE_HIGH"&amp;"("&amp;INDEX(MO_SNA_FPStartDate,0,COLUMN())&amp;","&amp;INDEX(MO_Common_QEndDate,0,COLUMN())&amp;",,,,""PRICE"",""CLOSE"")"),"N/A")</f>
        <v>N/A</v>
      </c>
      <c r="T1078" s="134" t="str">
        <f ca="1">IFERROR(FDS(MO.Ticker.FactSet,"P_PRICE_HIGH"&amp;"("&amp;INDEX(MO_SNA_FPStartDate,0,COLUMN())&amp;","&amp;INDEX(MO_Common_QEndDate,0,COLUMN())&amp;",,,,""PRICE"",""CLOSE"")"),"N/A")</f>
        <v>N/A</v>
      </c>
      <c r="U1078" s="134" t="str">
        <f ca="1">IFERROR(FDS(MO.Ticker.FactSet,"P_PRICE_HIGH"&amp;"("&amp;INDEX(MO_SNA_FPStartDate,0,COLUMN())&amp;","&amp;INDEX(MO_Common_QEndDate,0,COLUMN())&amp;",,,,""PRICE"",""CLOSE"")"),"N/A")</f>
        <v>N/A</v>
      </c>
      <c r="V1078" s="134" t="str">
        <f ca="1">IFERROR(FDS(MO.Ticker.FactSet,"P_PRICE_HIGH"&amp;"("&amp;INDEX(MO_SNA_FPStartDate,0,COLUMN())&amp;","&amp;INDEX(MO_Common_QEndDate,0,COLUMN())&amp;",,,,""PRICE"",""CLOSE"")"),"N/A")</f>
        <v>N/A</v>
      </c>
      <c r="W1078" s="134" t="str">
        <f ca="1">IFERROR(FDS(MO.Ticker.FactSet,"P_PRICE_HIGH"&amp;"("&amp;INDEX(MO_SNA_FPStartDate,0,COLUMN())&amp;","&amp;INDEX(MO_Common_QEndDate,0,COLUMN())&amp;",,,,""PRICE"",""CLOSE"")"),"N/A")</f>
        <v>N/A</v>
      </c>
      <c r="X1078" s="134" t="str">
        <f ca="1">IFERROR(FDS(MO.Ticker.FactSet,"P_PRICE_HIGH"&amp;"("&amp;INDEX(MO_SNA_FPStartDate,0,COLUMN())&amp;","&amp;INDEX(MO_Common_QEndDate,0,COLUMN())&amp;",,,,""PRICE"",""CLOSE"")"),"N/A")</f>
        <v>N/A</v>
      </c>
      <c r="Y1078" s="134" t="str">
        <f ca="1">IFERROR(FDS(MO.Ticker.FactSet,"P_PRICE_HIGH"&amp;"("&amp;INDEX(MO_SNA_FPStartDate,0,COLUMN())&amp;","&amp;INDEX(MO_Common_QEndDate,0,COLUMN())&amp;",,,,""PRICE"",""CLOSE"")"),"N/A")</f>
        <v>N/A</v>
      </c>
      <c r="Z1078" s="134" t="str">
        <f ca="1">IFERROR(FDS(MO.Ticker.FactSet,"P_PRICE_HIGH"&amp;"("&amp;INDEX(MO_SNA_FPStartDate,0,COLUMN())&amp;","&amp;INDEX(MO_Common_QEndDate,0,COLUMN())&amp;",,,,""PRICE"",""CLOSE"")"),"N/A")</f>
        <v>N/A</v>
      </c>
      <c r="AA1078" s="134" t="str">
        <f ca="1">IFERROR(FDS(MO.Ticker.FactSet,"P_PRICE_HIGH"&amp;"("&amp;INDEX(MO_SNA_FPStartDate,0,COLUMN())&amp;","&amp;INDEX(MO_Common_QEndDate,0,COLUMN())&amp;",,,,""PRICE"",""CLOSE"")"),"N/A")</f>
        <v>N/A</v>
      </c>
      <c r="AB1078" s="134" t="str">
        <f ca="1">IFERROR(FDS(MO.Ticker.FactSet,"P_PRICE_HIGH"&amp;"("&amp;INDEX(MO_SNA_FPStartDate,0,COLUMN())&amp;","&amp;INDEX(MO_Common_QEndDate,0,COLUMN())&amp;",,,,""PRICE"",""CLOSE"")"),"N/A")</f>
        <v>N/A</v>
      </c>
      <c r="AC1078" s="134" t="str">
        <f ca="1">IFERROR(FDS(MO.Ticker.FactSet,"P_PRICE_HIGH"&amp;"("&amp;INDEX(MO_SNA_FPStartDate,0,COLUMN())&amp;","&amp;INDEX(MO_Common_QEndDate,0,COLUMN())&amp;",,,,""PRICE"",""CLOSE"")"),"N/A")</f>
        <v>N/A</v>
      </c>
      <c r="AD1078" s="134" t="str">
        <f ca="1">IFERROR(FDS(MO.Ticker.FactSet,"P_PRICE_HIGH"&amp;"("&amp;INDEX(MO_SNA_FPStartDate,0,COLUMN())&amp;","&amp;INDEX(MO_Common_QEndDate,0,COLUMN())&amp;",,,,""PRICE"",""CLOSE"")"),"N/A")</f>
        <v>N/A</v>
      </c>
      <c r="AE1078" s="134" t="str">
        <f ca="1">IFERROR(FDS(MO.Ticker.FactSet,"P_PRICE_HIGH"&amp;"("&amp;INDEX(MO_SNA_FPStartDate,0,COLUMN())&amp;","&amp;INDEX(MO_Common_QEndDate,0,COLUMN())&amp;",,,,""PRICE"",""CLOSE"")"),"N/A")</f>
        <v>N/A</v>
      </c>
      <c r="AF1078" s="134" t="str">
        <f ca="1">IFERROR(FDS(MO.Ticker.FactSet,"P_PRICE_HIGH"&amp;"("&amp;INDEX(MO_SNA_FPStartDate,0,COLUMN())&amp;","&amp;INDEX(MO_Common_QEndDate,0,COLUMN())&amp;",,,,""PRICE"",""CLOSE"")"),"N/A")</f>
        <v>N/A</v>
      </c>
      <c r="AG1078" s="134" t="str">
        <f ca="1">IFERROR(FDS(MO.Ticker.FactSet,"P_PRICE_HIGH"&amp;"("&amp;INDEX(MO_SNA_FPStartDate,0,COLUMN())&amp;","&amp;INDEX(MO_Common_QEndDate,0,COLUMN())&amp;",,,,""PRICE"",""CLOSE"")"),"N/A")</f>
        <v>N/A</v>
      </c>
      <c r="AH1078" s="134" t="str">
        <f ca="1">IFERROR(FDS(MO.Ticker.FactSet,"P_PRICE_HIGH"&amp;"("&amp;INDEX(MO_SNA_FPStartDate,0,COLUMN())&amp;","&amp;INDEX(MO_Common_QEndDate,0,COLUMN())&amp;",,,,""PRICE"",""CLOSE"")"),"N/A")</f>
        <v>N/A</v>
      </c>
      <c r="AI1078" s="134" t="str">
        <f ca="1">IFERROR(FDS(MO.Ticker.FactSet,"P_PRICE_HIGH"&amp;"("&amp;INDEX(MO_SNA_FPStartDate,0,COLUMN())&amp;","&amp;INDEX(MO_Common_QEndDate,0,COLUMN())&amp;",,,,""PRICE"",""CLOSE"")"),"N/A")</f>
        <v>N/A</v>
      </c>
      <c r="AJ1078" s="134" t="str">
        <f ca="1">IFERROR(FDS(MO.Ticker.FactSet,"P_PRICE_HIGH"&amp;"("&amp;INDEX(MO_SNA_FPStartDate,0,COLUMN())&amp;","&amp;INDEX(MO_Common_QEndDate,0,COLUMN())&amp;",,,,""PRICE"",""CLOSE"")"),"N/A")</f>
        <v>N/A</v>
      </c>
      <c r="AK1078" s="134" t="str">
        <f ca="1">IFERROR(FDS(MO.Ticker.FactSet,"P_PRICE_HIGH"&amp;"("&amp;INDEX(MO_SNA_FPStartDate,0,COLUMN())&amp;","&amp;INDEX(MO_Common_QEndDate,0,COLUMN())&amp;",,,,""PRICE"",""CLOSE"")"),"N/A")</f>
        <v>N/A</v>
      </c>
      <c r="AL1078" s="134" t="str">
        <f ca="1">IFERROR(FDS(MO.Ticker.FactSet,"P_PRICE_HIGH"&amp;"("&amp;INDEX(MO_SNA_FPStartDate,0,COLUMN())&amp;","&amp;INDEX(MO_Common_QEndDate,0,COLUMN())&amp;",,,,""PRICE"",""CLOSE"")"),"N/A")</f>
        <v>N/A</v>
      </c>
      <c r="AM1078" s="134" t="str">
        <f ca="1">IFERROR(FDS(MO.Ticker.FactSet,"P_PRICE_HIGH"&amp;"("&amp;INDEX(MO_SNA_FPStartDate,0,COLUMN())&amp;","&amp;INDEX(MO_Common_QEndDate,0,COLUMN())&amp;",,,,""PRICE"",""CLOSE"")"),"N/A")</f>
        <v>N/A</v>
      </c>
      <c r="AN1078" s="134" t="str">
        <f ca="1">IFERROR(FDS(MO.Ticker.FactSet,"P_PRICE_HIGH"&amp;"("&amp;INDEX(MO_SNA_FPStartDate,0,COLUMN())&amp;","&amp;INDEX(MO_Common_QEndDate,0,COLUMN())&amp;",,,,""PRICE"",""CLOSE"")"),"N/A")</f>
        <v>N/A</v>
      </c>
      <c r="AO1078" s="134" t="str">
        <f ca="1">IFERROR(FDS(MO.Ticker.FactSet,"P_PRICE_HIGH"&amp;"("&amp;INDEX(MO_SNA_FPStartDate,0,COLUMN())&amp;","&amp;INDEX(MO_Common_QEndDate,0,COLUMN())&amp;",,,,""PRICE"",""CLOSE"")"),"N/A")</f>
        <v>N/A</v>
      </c>
      <c r="AP1078" s="134" t="str">
        <f ca="1">IFERROR(FDS(MO.Ticker.FactSet,"P_PRICE_HIGH"&amp;"("&amp;INDEX(MO_SNA_FPStartDate,0,COLUMN())&amp;","&amp;INDEX(MO_Common_QEndDate,0,COLUMN())&amp;",,,,""PRICE"",""CLOSE"")"),"N/A")</f>
        <v>N/A</v>
      </c>
      <c r="AQ1078" s="134" t="str">
        <f ca="1">IFERROR(FDS(MO.Ticker.FactSet,"P_PRICE_HIGH"&amp;"("&amp;INDEX(MO_SNA_FPStartDate,0,COLUMN())&amp;","&amp;INDEX(MO_Common_QEndDate,0,COLUMN())&amp;",,,,""PRICE"",""CLOSE"")"),"N/A")</f>
        <v>N/A</v>
      </c>
      <c r="AR1078" s="134" t="str">
        <f ca="1">IFERROR(FDS(MO.Ticker.FactSet,"P_PRICE_HIGH"&amp;"("&amp;INDEX(MO_SNA_FPStartDate,0,COLUMN())&amp;","&amp;INDEX(MO_Common_QEndDate,0,COLUMN())&amp;",,,,""PRICE"",""CLOSE"")"),"N/A")</f>
        <v>N/A</v>
      </c>
      <c r="AS1078" s="134" t="str">
        <f ca="1">IFERROR(FDS(MO.Ticker.FactSet,"P_PRICE_HIGH"&amp;"("&amp;INDEX(MO_SNA_FPStartDate,0,COLUMN())&amp;","&amp;INDEX(MO_Common_QEndDate,0,COLUMN())&amp;",,,,""PRICE"",""CLOSE"")"),"N/A")</f>
        <v>N/A</v>
      </c>
      <c r="AT1078" s="134" t="str">
        <f ca="1">IFERROR(FDS(MO.Ticker.FactSet,"P_PRICE_HIGH"&amp;"("&amp;INDEX(MO_SNA_FPStartDate,0,COLUMN())&amp;","&amp;INDEX(MO_Common_QEndDate,0,COLUMN())&amp;",,,,""PRICE"",""CLOSE"")"),"N/A")</f>
        <v>N/A</v>
      </c>
      <c r="AU1078" s="134" t="str">
        <f ca="1">IFERROR(FDS(MO.Ticker.FactSet,"P_PRICE_HIGH"&amp;"("&amp;INDEX(MO_SNA_FPStartDate,0,COLUMN())&amp;","&amp;INDEX(MO_Common_QEndDate,0,COLUMN())&amp;",,,,""PRICE"",""CLOSE"")"),"N/A")</f>
        <v>N/A</v>
      </c>
      <c r="AV1078" s="134" t="str">
        <f ca="1">IFERROR(FDS(MO.Ticker.FactSet,"P_PRICE_HIGH"&amp;"("&amp;INDEX(MO_SNA_FPStartDate,0,COLUMN())&amp;","&amp;INDEX(MO_Common_QEndDate,0,COLUMN())&amp;",,,,""PRICE"",""CLOSE"")"),"N/A")</f>
        <v>N/A</v>
      </c>
      <c r="AW1078" s="134" t="str">
        <f ca="1">IFERROR(FDS(MO.Ticker.FactSet,"P_PRICE_HIGH"&amp;"("&amp;INDEX(MO_SNA_FPStartDate,0,COLUMN())&amp;","&amp;INDEX(MO_Common_QEndDate,0,COLUMN())&amp;",,,,""PRICE"",""CLOSE"")"),"N/A")</f>
        <v>N/A</v>
      </c>
      <c r="AX1078" s="134" t="str">
        <f ca="1">IFERROR(FDS(MO.Ticker.FactSet,"P_PRICE_HIGH"&amp;"("&amp;INDEX(MO_SNA_FPStartDate,0,COLUMN())&amp;","&amp;INDEX(MO_Common_QEndDate,0,COLUMN())&amp;",,,,""PRICE"",""CLOSE"")"),"N/A")</f>
        <v>N/A</v>
      </c>
      <c r="AY1078" s="134" t="str">
        <f ca="1">IFERROR(FDS(MO.Ticker.FactSet,"P_PRICE_HIGH"&amp;"("&amp;INDEX(MO_SNA_FPStartDate,0,COLUMN())&amp;","&amp;INDEX(MO_Common_QEndDate,0,COLUMN())&amp;",,,,""PRICE"",""CLOSE"")"),"N/A")</f>
        <v>N/A</v>
      </c>
      <c r="AZ1078" s="134" t="str">
        <f ca="1">IFERROR(FDS(MO.Ticker.FactSet,"P_PRICE_HIGH"&amp;"("&amp;INDEX(MO_SNA_FPStartDate,0,COLUMN())&amp;","&amp;INDEX(MO_Common_QEndDate,0,COLUMN())&amp;",,,,""PRICE"",""CLOSE"")"),"N/A")</f>
        <v>N/A</v>
      </c>
      <c r="BA1078" s="134" t="str">
        <f ca="1">IFERROR(FDS(MO.Ticker.FactSet,"P_PRICE_HIGH"&amp;"("&amp;INDEX(MO_SNA_FPStartDate,0,COLUMN())&amp;","&amp;INDEX(MO_Common_QEndDate,0,COLUMN())&amp;",,,,""PRICE"",""CLOSE"")"),"N/A")</f>
        <v>N/A</v>
      </c>
      <c r="BB1078" s="134" t="str">
        <f ca="1">IFERROR(FDS(MO.Ticker.FactSet,"P_PRICE_HIGH"&amp;"("&amp;INDEX(MO_SNA_FPStartDate,0,COLUMN())&amp;","&amp;INDEX(MO_Common_QEndDate,0,COLUMN())&amp;",,,,""PRICE"",""CLOSE"")"),"N/A")</f>
        <v>N/A</v>
      </c>
      <c r="BC1078" s="134" t="str">
        <f ca="1">IFERROR(FDS(MO.Ticker.FactSet,"P_PRICE_HIGH"&amp;"("&amp;INDEX(MO_SNA_FPStartDate,0,COLUMN())&amp;","&amp;INDEX(MO_Common_QEndDate,0,COLUMN())&amp;",,,,""PRICE"",""CLOSE"")"),"N/A")</f>
        <v>N/A</v>
      </c>
      <c r="BD1078" s="134" t="str">
        <f ca="1">IFERROR(FDS(MO.Ticker.FactSet,"P_PRICE_HIGH"&amp;"("&amp;INDEX(MO_SNA_FPStartDate,0,COLUMN())&amp;","&amp;INDEX(MO_Common_QEndDate,0,COLUMN())&amp;",,,,""PRICE"",""CLOSE"")"),"N/A")</f>
        <v>N/A</v>
      </c>
      <c r="BE1078" s="134" t="str">
        <f ca="1">IFERROR(FDS(MO.Ticker.FactSet,"P_PRICE_HIGH"&amp;"("&amp;INDEX(MO_SNA_FPStartDate,0,COLUMN())&amp;","&amp;INDEX(MO_Common_QEndDate,0,COLUMN())&amp;",,,,""PRICE"",""CLOSE"")"),"N/A")</f>
        <v>N/A</v>
      </c>
      <c r="BF1078" s="134" t="str">
        <f ca="1">IFERROR(FDS(MO.Ticker.FactSet,"P_PRICE_HIGH"&amp;"("&amp;INDEX(MO_SNA_FPStartDate,0,COLUMN())&amp;","&amp;INDEX(MO_Common_QEndDate,0,COLUMN())&amp;",,,,""PRICE"",""CLOSE"")"),"N/A")</f>
        <v>N/A</v>
      </c>
      <c r="BG1078" s="134"/>
      <c r="BH1078" s="589" t="str">
        <f ca="1">IFERROR(FDS(MO.Ticker.FactSet,"P_PRICE_HIGH"&amp;"("&amp;INDEX(MO_SNA_FPStartDate,0,COLUMN())&amp;","&amp;INDEX(MO_Common_QEndDate,0,COLUMN())&amp;",,,,""PRICE"",""CLOSE"")"),"N/A")</f>
        <v>N/A</v>
      </c>
      <c r="BI1078" s="589" t="str">
        <f ca="1">IFERROR(FDS(MO.Ticker.FactSet,"P_PRICE_HIGH"&amp;"("&amp;INDEX(MO_SNA_FPStartDate,0,COLUMN())&amp;","&amp;INDEX(MO_Common_QEndDate,0,COLUMN())&amp;",,,,""PRICE"",""CLOSE"")"),"N/A")</f>
        <v>N/A</v>
      </c>
      <c r="BJ1078" s="589" t="str">
        <f ca="1">IFERROR(FDS(MO.Ticker.FactSet,"P_PRICE_HIGH"&amp;"("&amp;INDEX(MO_SNA_FPStartDate,0,COLUMN())&amp;","&amp;INDEX(MO_Common_QEndDate,0,COLUMN())&amp;",,,,""PRICE"",""CLOSE"")"),"N/A")</f>
        <v>N/A</v>
      </c>
      <c r="BK1078" s="589" t="str">
        <f ca="1">IFERROR(FDS(MO.Ticker.FactSet,"P_PRICE_HIGH"&amp;"("&amp;INDEX(MO_SNA_FPStartDate,0,COLUMN())&amp;","&amp;INDEX(MO_Common_QEndDate,0,COLUMN())&amp;",,,,""PRICE"",""CLOSE"")"),"N/A")</f>
        <v>N/A</v>
      </c>
      <c r="BL1078" s="134" t="str">
        <f ca="1">IFERROR(FDS(MO.Ticker.FactSet,"P_PRICE_HIGH"&amp;"("&amp;INDEX(MO_SNA_FPStartDate,0,COLUMN())&amp;","&amp;INDEX(MO_Common_QEndDate,0,COLUMN())&amp;",,,,""PRICE"",""CLOSE"")"),"N/A")</f>
        <v>N/A</v>
      </c>
      <c r="BM1078" s="134" t="str">
        <f ca="1">IFERROR(FDS(MO.Ticker.FactSet,"P_PRICE_HIGH"&amp;"("&amp;INDEX(MO_SNA_FPStartDate,0,COLUMN())&amp;","&amp;INDEX(MO_Common_QEndDate,0,COLUMN())&amp;",,,,""PRICE"",""CLOSE"")"),"N/A")</f>
        <v>N/A</v>
      </c>
      <c r="BN1078" s="134" t="str">
        <f ca="1">IFERROR(FDS(MO.Ticker.FactSet,"P_PRICE_HIGH"&amp;"("&amp;INDEX(MO_SNA_FPStartDate,0,COLUMN())&amp;","&amp;INDEX(MO_Common_QEndDate,0,COLUMN())&amp;",,,,""PRICE"",""CLOSE"")"),"N/A")</f>
        <v>N/A</v>
      </c>
      <c r="BO1078" s="134" t="str">
        <f ca="1">IFERROR(FDS(MO.Ticker.FactSet,"P_PRICE_HIGH"&amp;"("&amp;INDEX(MO_SNA_FPStartDate,0,COLUMN())&amp;","&amp;INDEX(MO_Common_QEndDate,0,COLUMN())&amp;",,,,""PRICE"",""CLOSE"")"),"N/A")</f>
        <v>N/A</v>
      </c>
      <c r="BP1078" s="134" t="str">
        <f ca="1">IFERROR(FDS(MO.Ticker.FactSet,"P_PRICE_HIGH"&amp;"("&amp;INDEX(MO_SNA_FPStartDate,0,COLUMN())&amp;","&amp;INDEX(MO_Common_QEndDate,0,COLUMN())&amp;",,,,""PRICE"",""CLOSE"")"),"N/A")</f>
        <v>N/A</v>
      </c>
      <c r="BQ1078" s="134" t="str">
        <f ca="1">IFERROR(FDS(MO.Ticker.FactSet,"P_PRICE_HIGH"&amp;"("&amp;INDEX(MO_SNA_FPStartDate,0,COLUMN())&amp;","&amp;INDEX(MO_Common_QEndDate,0,COLUMN())&amp;",,,,""PRICE"",""CLOSE"")"),"N/A")</f>
        <v>N/A</v>
      </c>
      <c r="BR1078" s="134" t="str">
        <f ca="1">IFERROR(FDS(MO.Ticker.FactSet,"P_PRICE_HIGH"&amp;"("&amp;INDEX(MO_SNA_FPStartDate,0,COLUMN())&amp;","&amp;INDEX(MO_Common_QEndDate,0,COLUMN())&amp;",,,,""PRICE"",""CLOSE"")"),"N/A")</f>
        <v>N/A</v>
      </c>
      <c r="BS1078" s="134" t="str">
        <f ca="1">IFERROR(FDS(MO.Ticker.FactSet,"P_PRICE_HIGH"&amp;"("&amp;INDEX(MO_SNA_FPStartDate,0,COLUMN())&amp;","&amp;INDEX(MO_Common_QEndDate,0,COLUMN())&amp;",,,,""PRICE"",""CLOSE"")"),"N/A")</f>
        <v>N/A</v>
      </c>
      <c r="BT1078" s="134" t="str">
        <f ca="1">IFERROR(FDS(MO.Ticker.FactSet,"P_PRICE_HIGH"&amp;"("&amp;INDEX(MO_SNA_FPStartDate,0,COLUMN())&amp;","&amp;INDEX(MO_Common_QEndDate,0,COLUMN())&amp;",,,,""PRICE"",""CLOSE"")"),"N/A")</f>
        <v>N/A</v>
      </c>
      <c r="BU1078" s="134" t="str">
        <f ca="1">IFERROR(FDS(MO.Ticker.FactSet,"P_PRICE_HIGH"&amp;"("&amp;INDEX(MO_SNA_FPStartDate,0,COLUMN())&amp;","&amp;INDEX(MO_Common_QEndDate,0,COLUMN())&amp;",,,,""PRICE"",""CLOSE"")"),"N/A")</f>
        <v>N/A</v>
      </c>
      <c r="BV1078" s="134" t="str">
        <f ca="1">IFERROR(FDS(MO.Ticker.FactSet,"P_PRICE_HIGH"&amp;"("&amp;INDEX(MO_SNA_FPStartDate,0,COLUMN())&amp;","&amp;INDEX(MO_Common_QEndDate,0,COLUMN())&amp;",,,,""PRICE"",""CLOSE"")"),"N/A")</f>
        <v>N/A</v>
      </c>
      <c r="BW1078" s="134" t="str">
        <f ca="1">IFERROR(FDS(MO.Ticker.FactSet,"P_PRICE_HIGH"&amp;"("&amp;INDEX(MO_SNA_FPStartDate,0,COLUMN())&amp;","&amp;INDEX(MO_Common_QEndDate,0,COLUMN())&amp;",,,,""PRICE"",""CLOSE"")"),"N/A")</f>
        <v>N/A</v>
      </c>
      <c r="BX1078" s="134" t="str">
        <f ca="1">IFERROR(FDS(MO.Ticker.FactSet,"P_PRICE_HIGH"&amp;"("&amp;INDEX(MO_SNA_FPStartDate,0,COLUMN())&amp;","&amp;INDEX(MO_Common_QEndDate,0,COLUMN())&amp;",,,,""PRICE"",""CLOSE"")"),"N/A")</f>
        <v>N/A</v>
      </c>
      <c r="BY1078" s="134" t="str">
        <f ca="1">IFERROR(FDS(MO.Ticker.FactSet,"P_PRICE_HIGH"&amp;"("&amp;INDEX(MO_SNA_FPStartDate,0,COLUMN())&amp;","&amp;INDEX(MO_Common_QEndDate,0,COLUMN())&amp;",,,,""PRICE"",""CLOSE"")"),"N/A")</f>
        <v>N/A</v>
      </c>
      <c r="BZ1078" s="134" t="str">
        <f ca="1">IFERROR(FDS(MO.Ticker.FactSet,"P_PRICE_HIGH"&amp;"("&amp;INDEX(MO_SNA_FPStartDate,0,COLUMN())&amp;","&amp;INDEX(MO_Common_QEndDate,0,COLUMN())&amp;",,,,""PRICE"",""CLOSE"")"),"N/A")</f>
        <v>N/A</v>
      </c>
      <c r="CA1078" s="134" t="str">
        <f ca="1">IFERROR(FDS(MO.Ticker.FactSet,"P_PRICE_HIGH"&amp;"("&amp;INDEX(MO_SNA_FPStartDate,0,COLUMN())&amp;","&amp;INDEX(MO_Common_QEndDate,0,COLUMN())&amp;",,,,""PRICE"",""CLOSE"")"),"N/A")</f>
        <v>N/A</v>
      </c>
      <c r="CB1078" s="134" t="str">
        <f ca="1">IFERROR(FDS(MO.Ticker.FactSet,"P_PRICE_HIGH"&amp;"("&amp;INDEX(MO_SNA_FPStartDate,0,COLUMN())&amp;","&amp;INDEX(MO_Common_QEndDate,0,COLUMN())&amp;",,,,""PRICE"",""CLOSE"")"),"N/A")</f>
        <v>N/A</v>
      </c>
      <c r="CC1078" s="180"/>
    </row>
    <row r="1079" spans="1:81" outlineLevel="1" x14ac:dyDescent="0.55000000000000004">
      <c r="A1079" s="1157" t="s">
        <v>447</v>
      </c>
      <c r="B1079" s="134"/>
      <c r="C1079" s="589" t="str">
        <f ca="1">IFERROR(_xll.TR(MO.Ticker.Thomson,"MAX(TR.Pricehigh)","sdate:#1 edate:#2",,INDEX(MO_SNA_FPStartDate,0,COLUMN()),INDEX(MO_Common_QEndDate,0,COLUMN())),"N/A")</f>
        <v>N/A</v>
      </c>
      <c r="D1079" s="134" t="str">
        <f ca="1">IFERROR(_xll.TR(MO.Ticker.Thomson,"MAX(TR.Pricehigh)","sdate:#1 edate:#2",,INDEX(MO_SNA_FPStartDate,0,COLUMN()),INDEX(MO_Common_QEndDate,0,COLUMN())),"N/A")</f>
        <v>N/A</v>
      </c>
      <c r="E1079" s="134" t="str">
        <f ca="1">IFERROR(_xll.TR(MO.Ticker.Thomson,"MAX(TR.Pricehigh)","sdate:#1 edate:#2",,INDEX(MO_SNA_FPStartDate,0,COLUMN()),INDEX(MO_Common_QEndDate,0,COLUMN())),"N/A")</f>
        <v>N/A</v>
      </c>
      <c r="F1079" s="134" t="str">
        <f ca="1">IFERROR(_xll.TR(MO.Ticker.Thomson,"MAX(TR.Pricehigh)","sdate:#1 edate:#2",,INDEX(MO_SNA_FPStartDate,0,COLUMN()),INDEX(MO_Common_QEndDate,0,COLUMN())),"N/A")</f>
        <v>N/A</v>
      </c>
      <c r="G1079" s="134" t="str">
        <f ca="1">IFERROR(_xll.TR(MO.Ticker.Thomson,"MAX(TR.Pricehigh)","sdate:#1 edate:#2",,INDEX(MO_SNA_FPStartDate,0,COLUMN()),INDEX(MO_Common_QEndDate,0,COLUMN())),"N/A")</f>
        <v>N/A</v>
      </c>
      <c r="H1079" s="134" t="str">
        <f ca="1">IFERROR(_xll.TR(MO.Ticker.Thomson,"MAX(TR.Pricehigh)","sdate:#1 edate:#2",,INDEX(MO_SNA_FPStartDate,0,COLUMN()),INDEX(MO_Common_QEndDate,0,COLUMN())),"N/A")</f>
        <v>N/A</v>
      </c>
      <c r="I1079" s="134" t="str">
        <f ca="1">IFERROR(_xll.TR(MO.Ticker.Thomson,"MAX(TR.Pricehigh)","sdate:#1 edate:#2",,INDEX(MO_SNA_FPStartDate,0,COLUMN()),INDEX(MO_Common_QEndDate,0,COLUMN())),"N/A")</f>
        <v>N/A</v>
      </c>
      <c r="J1079" s="134" t="str">
        <f ca="1">IFERROR(_xll.TR(MO.Ticker.Thomson,"MAX(TR.Pricehigh)","sdate:#1 edate:#2",,INDEX(MO_SNA_FPStartDate,0,COLUMN()),INDEX(MO_Common_QEndDate,0,COLUMN())),"N/A")</f>
        <v>N/A</v>
      </c>
      <c r="K1079" s="134" t="str">
        <f ca="1">IFERROR(_xll.TR(MO.Ticker.Thomson,"MAX(TR.Pricehigh)","sdate:#1 edate:#2",,INDEX(MO_SNA_FPStartDate,0,COLUMN()),INDEX(MO_Common_QEndDate,0,COLUMN())),"N/A")</f>
        <v>N/A</v>
      </c>
      <c r="L1079" s="134" t="str">
        <f ca="1">IFERROR(_xll.TR(MO.Ticker.Thomson,"MAX(TR.Pricehigh)","sdate:#1 edate:#2",,INDEX(MO_SNA_FPStartDate,0,COLUMN()),INDEX(MO_Common_QEndDate,0,COLUMN())),"N/A")</f>
        <v>N/A</v>
      </c>
      <c r="M1079" s="134" t="str">
        <f ca="1">IFERROR(_xll.TR(MO.Ticker.Thomson,"MAX(TR.Pricehigh)","sdate:#1 edate:#2",,INDEX(MO_SNA_FPStartDate,0,COLUMN()),INDEX(MO_Common_QEndDate,0,COLUMN())),"N/A")</f>
        <v>N/A</v>
      </c>
      <c r="N1079" s="134" t="str">
        <f ca="1">IFERROR(_xll.TR(MO.Ticker.Thomson,"MAX(TR.Pricehigh)","sdate:#1 edate:#2",,INDEX(MO_SNA_FPStartDate,0,COLUMN()),INDEX(MO_Common_QEndDate,0,COLUMN())),"N/A")</f>
        <v>N/A</v>
      </c>
      <c r="O1079" s="134" t="str">
        <f ca="1">IFERROR(_xll.TR(MO.Ticker.Thomson,"MAX(TR.Pricehigh)","sdate:#1 edate:#2",,INDEX(MO_SNA_FPStartDate,0,COLUMN()),INDEX(MO_Common_QEndDate,0,COLUMN())),"N/A")</f>
        <v>N/A</v>
      </c>
      <c r="P1079" s="134" t="str">
        <f ca="1">IFERROR(_xll.TR(MO.Ticker.Thomson,"MAX(TR.Pricehigh)","sdate:#1 edate:#2",,INDEX(MO_SNA_FPStartDate,0,COLUMN()),INDEX(MO_Common_QEndDate,0,COLUMN())),"N/A")</f>
        <v>N/A</v>
      </c>
      <c r="Q1079" s="134" t="str">
        <f ca="1">IFERROR(_xll.TR(MO.Ticker.Thomson,"MAX(TR.Pricehigh)","sdate:#1 edate:#2",,INDEX(MO_SNA_FPStartDate,0,COLUMN()),INDEX(MO_Common_QEndDate,0,COLUMN())),"N/A")</f>
        <v>N/A</v>
      </c>
      <c r="R1079" s="134" t="str">
        <f ca="1">IFERROR(_xll.TR(MO.Ticker.Thomson,"MAX(TR.Pricehigh)","sdate:#1 edate:#2",,INDEX(MO_SNA_FPStartDate,0,COLUMN()),INDEX(MO_Common_QEndDate,0,COLUMN())),"N/A")</f>
        <v>N/A</v>
      </c>
      <c r="S1079" s="134" t="str">
        <f ca="1">IFERROR(_xll.TR(MO.Ticker.Thomson,"MAX(TR.Pricehigh)","sdate:#1 edate:#2",,INDEX(MO_SNA_FPStartDate,0,COLUMN()),INDEX(MO_Common_QEndDate,0,COLUMN())),"N/A")</f>
        <v>N/A</v>
      </c>
      <c r="T1079" s="134" t="str">
        <f ca="1">IFERROR(_xll.TR(MO.Ticker.Thomson,"MAX(TR.Pricehigh)","sdate:#1 edate:#2",,INDEX(MO_SNA_FPStartDate,0,COLUMN()),INDEX(MO_Common_QEndDate,0,COLUMN())),"N/A")</f>
        <v>N/A</v>
      </c>
      <c r="U1079" s="134" t="str">
        <f ca="1">IFERROR(_xll.TR(MO.Ticker.Thomson,"MAX(TR.Pricehigh)","sdate:#1 edate:#2",,INDEX(MO_SNA_FPStartDate,0,COLUMN()),INDEX(MO_Common_QEndDate,0,COLUMN())),"N/A")</f>
        <v>N/A</v>
      </c>
      <c r="V1079" s="134" t="str">
        <f ca="1">IFERROR(_xll.TR(MO.Ticker.Thomson,"MAX(TR.Pricehigh)","sdate:#1 edate:#2",,INDEX(MO_SNA_FPStartDate,0,COLUMN()),INDEX(MO_Common_QEndDate,0,COLUMN())),"N/A")</f>
        <v>N/A</v>
      </c>
      <c r="W1079" s="134" t="str">
        <f ca="1">IFERROR(_xll.TR(MO.Ticker.Thomson,"MAX(TR.Pricehigh)","sdate:#1 edate:#2",,INDEX(MO_SNA_FPStartDate,0,COLUMN()),INDEX(MO_Common_QEndDate,0,COLUMN())),"N/A")</f>
        <v>N/A</v>
      </c>
      <c r="X1079" s="134" t="str">
        <f ca="1">IFERROR(_xll.TR(MO.Ticker.Thomson,"MAX(TR.Pricehigh)","sdate:#1 edate:#2",,INDEX(MO_SNA_FPStartDate,0,COLUMN()),INDEX(MO_Common_QEndDate,0,COLUMN())),"N/A")</f>
        <v>N/A</v>
      </c>
      <c r="Y1079" s="134" t="str">
        <f ca="1">IFERROR(_xll.TR(MO.Ticker.Thomson,"MAX(TR.Pricehigh)","sdate:#1 edate:#2",,INDEX(MO_SNA_FPStartDate,0,COLUMN()),INDEX(MO_Common_QEndDate,0,COLUMN())),"N/A")</f>
        <v>N/A</v>
      </c>
      <c r="Z1079" s="134" t="str">
        <f ca="1">IFERROR(_xll.TR(MO.Ticker.Thomson,"MAX(TR.Pricehigh)","sdate:#1 edate:#2",,INDEX(MO_SNA_FPStartDate,0,COLUMN()),INDEX(MO_Common_QEndDate,0,COLUMN())),"N/A")</f>
        <v>N/A</v>
      </c>
      <c r="AA1079" s="134" t="str">
        <f ca="1">IFERROR(_xll.TR(MO.Ticker.Thomson,"MAX(TR.Pricehigh)","sdate:#1 edate:#2",,INDEX(MO_SNA_FPStartDate,0,COLUMN()),INDEX(MO_Common_QEndDate,0,COLUMN())),"N/A")</f>
        <v>N/A</v>
      </c>
      <c r="AB1079" s="134" t="str">
        <f ca="1">IFERROR(_xll.TR(MO.Ticker.Thomson,"MAX(TR.Pricehigh)","sdate:#1 edate:#2",,INDEX(MO_SNA_FPStartDate,0,COLUMN()),INDEX(MO_Common_QEndDate,0,COLUMN())),"N/A")</f>
        <v>N/A</v>
      </c>
      <c r="AC1079" s="134" t="str">
        <f ca="1">IFERROR(_xll.TR(MO.Ticker.Thomson,"MAX(TR.Pricehigh)","sdate:#1 edate:#2",,INDEX(MO_SNA_FPStartDate,0,COLUMN()),INDEX(MO_Common_QEndDate,0,COLUMN())),"N/A")</f>
        <v>N/A</v>
      </c>
      <c r="AD1079" s="134" t="str">
        <f ca="1">IFERROR(_xll.TR(MO.Ticker.Thomson,"MAX(TR.Pricehigh)","sdate:#1 edate:#2",,INDEX(MO_SNA_FPStartDate,0,COLUMN()),INDEX(MO_Common_QEndDate,0,COLUMN())),"N/A")</f>
        <v>N/A</v>
      </c>
      <c r="AE1079" s="134" t="str">
        <f ca="1">IFERROR(_xll.TR(MO.Ticker.Thomson,"MAX(TR.Pricehigh)","sdate:#1 edate:#2",,INDEX(MO_SNA_FPStartDate,0,COLUMN()),INDEX(MO_Common_QEndDate,0,COLUMN())),"N/A")</f>
        <v>N/A</v>
      </c>
      <c r="AF1079" s="134" t="str">
        <f ca="1">IFERROR(_xll.TR(MO.Ticker.Thomson,"MAX(TR.Pricehigh)","sdate:#1 edate:#2",,INDEX(MO_SNA_FPStartDate,0,COLUMN()),INDEX(MO_Common_QEndDate,0,COLUMN())),"N/A")</f>
        <v>N/A</v>
      </c>
      <c r="AG1079" s="134" t="str">
        <f ca="1">IFERROR(_xll.TR(MO.Ticker.Thomson,"MAX(TR.Pricehigh)","sdate:#1 edate:#2",,INDEX(MO_SNA_FPStartDate,0,COLUMN()),INDEX(MO_Common_QEndDate,0,COLUMN())),"N/A")</f>
        <v>N/A</v>
      </c>
      <c r="AH1079" s="134" t="str">
        <f ca="1">IFERROR(_xll.TR(MO.Ticker.Thomson,"MAX(TR.Pricehigh)","sdate:#1 edate:#2",,INDEX(MO_SNA_FPStartDate,0,COLUMN()),INDEX(MO_Common_QEndDate,0,COLUMN())),"N/A")</f>
        <v>N/A</v>
      </c>
      <c r="AI1079" s="134" t="str">
        <f ca="1">IFERROR(_xll.TR(MO.Ticker.Thomson,"MAX(TR.Pricehigh)","sdate:#1 edate:#2",,INDEX(MO_SNA_FPStartDate,0,COLUMN()),INDEX(MO_Common_QEndDate,0,COLUMN())),"N/A")</f>
        <v>N/A</v>
      </c>
      <c r="AJ1079" s="134" t="str">
        <f ca="1">IFERROR(_xll.TR(MO.Ticker.Thomson,"MAX(TR.Pricehigh)","sdate:#1 edate:#2",,INDEX(MO_SNA_FPStartDate,0,COLUMN()),INDEX(MO_Common_QEndDate,0,COLUMN())),"N/A")</f>
        <v>N/A</v>
      </c>
      <c r="AK1079" s="134" t="str">
        <f ca="1">IFERROR(_xll.TR(MO.Ticker.Thomson,"MAX(TR.Pricehigh)","sdate:#1 edate:#2",,INDEX(MO_SNA_FPStartDate,0,COLUMN()),INDEX(MO_Common_QEndDate,0,COLUMN())),"N/A")</f>
        <v>N/A</v>
      </c>
      <c r="AL1079" s="134" t="str">
        <f ca="1">IFERROR(_xll.TR(MO.Ticker.Thomson,"MAX(TR.Pricehigh)","sdate:#1 edate:#2",,INDEX(MO_SNA_FPStartDate,0,COLUMN()),INDEX(MO_Common_QEndDate,0,COLUMN())),"N/A")</f>
        <v>N/A</v>
      </c>
      <c r="AM1079" s="134" t="str">
        <f ca="1">IFERROR(_xll.TR(MO.Ticker.Thomson,"MAX(TR.Pricehigh)","sdate:#1 edate:#2",,INDEX(MO_SNA_FPStartDate,0,COLUMN()),INDEX(MO_Common_QEndDate,0,COLUMN())),"N/A")</f>
        <v>N/A</v>
      </c>
      <c r="AN1079" s="134" t="str">
        <f ca="1">IFERROR(_xll.TR(MO.Ticker.Thomson,"MAX(TR.Pricehigh)","sdate:#1 edate:#2",,INDEX(MO_SNA_FPStartDate,0,COLUMN()),INDEX(MO_Common_QEndDate,0,COLUMN())),"N/A")</f>
        <v>N/A</v>
      </c>
      <c r="AO1079" s="134" t="str">
        <f ca="1">IFERROR(_xll.TR(MO.Ticker.Thomson,"MAX(TR.Pricehigh)","sdate:#1 edate:#2",,INDEX(MO_SNA_FPStartDate,0,COLUMN()),INDEX(MO_Common_QEndDate,0,COLUMN())),"N/A")</f>
        <v>N/A</v>
      </c>
      <c r="AP1079" s="134" t="str">
        <f ca="1">IFERROR(_xll.TR(MO.Ticker.Thomson,"MAX(TR.Pricehigh)","sdate:#1 edate:#2",,INDEX(MO_SNA_FPStartDate,0,COLUMN()),INDEX(MO_Common_QEndDate,0,COLUMN())),"N/A")</f>
        <v>N/A</v>
      </c>
      <c r="AQ1079" s="134" t="str">
        <f ca="1">IFERROR(_xll.TR(MO.Ticker.Thomson,"MAX(TR.Pricehigh)","sdate:#1 edate:#2",,INDEX(MO_SNA_FPStartDate,0,COLUMN()),INDEX(MO_Common_QEndDate,0,COLUMN())),"N/A")</f>
        <v>N/A</v>
      </c>
      <c r="AR1079" s="134" t="str">
        <f ca="1">IFERROR(_xll.TR(MO.Ticker.Thomson,"MAX(TR.Pricehigh)","sdate:#1 edate:#2",,INDEX(MO_SNA_FPStartDate,0,COLUMN()),INDEX(MO_Common_QEndDate,0,COLUMN())),"N/A")</f>
        <v>N/A</v>
      </c>
      <c r="AS1079" s="134" t="str">
        <f ca="1">IFERROR(_xll.TR(MO.Ticker.Thomson,"MAX(TR.Pricehigh)","sdate:#1 edate:#2",,INDEX(MO_SNA_FPStartDate,0,COLUMN()),INDEX(MO_Common_QEndDate,0,COLUMN())),"N/A")</f>
        <v>N/A</v>
      </c>
      <c r="AT1079" s="134" t="str">
        <f ca="1">IFERROR(_xll.TR(MO.Ticker.Thomson,"MAX(TR.Pricehigh)","sdate:#1 edate:#2",,INDEX(MO_SNA_FPStartDate,0,COLUMN()),INDEX(MO_Common_QEndDate,0,COLUMN())),"N/A")</f>
        <v>N/A</v>
      </c>
      <c r="AU1079" s="134" t="str">
        <f ca="1">IFERROR(_xll.TR(MO.Ticker.Thomson,"MAX(TR.Pricehigh)","sdate:#1 edate:#2",,INDEX(MO_SNA_FPStartDate,0,COLUMN()),INDEX(MO_Common_QEndDate,0,COLUMN())),"N/A")</f>
        <v>N/A</v>
      </c>
      <c r="AV1079" s="134" t="str">
        <f ca="1">IFERROR(_xll.TR(MO.Ticker.Thomson,"MAX(TR.Pricehigh)","sdate:#1 edate:#2",,INDEX(MO_SNA_FPStartDate,0,COLUMN()),INDEX(MO_Common_QEndDate,0,COLUMN())),"N/A")</f>
        <v>N/A</v>
      </c>
      <c r="AW1079" s="134" t="str">
        <f ca="1">IFERROR(_xll.TR(MO.Ticker.Thomson,"MAX(TR.Pricehigh)","sdate:#1 edate:#2",,INDEX(MO_SNA_FPStartDate,0,COLUMN()),INDEX(MO_Common_QEndDate,0,COLUMN())),"N/A")</f>
        <v>N/A</v>
      </c>
      <c r="AX1079" s="134" t="str">
        <f ca="1">IFERROR(_xll.TR(MO.Ticker.Thomson,"MAX(TR.Pricehigh)","sdate:#1 edate:#2",,INDEX(MO_SNA_FPStartDate,0,COLUMN()),INDEX(MO_Common_QEndDate,0,COLUMN())),"N/A")</f>
        <v>N/A</v>
      </c>
      <c r="AY1079" s="134" t="str">
        <f ca="1">IFERROR(_xll.TR(MO.Ticker.Thomson,"MAX(TR.Pricehigh)","sdate:#1 edate:#2",,INDEX(MO_SNA_FPStartDate,0,COLUMN()),INDEX(MO_Common_QEndDate,0,COLUMN())),"N/A")</f>
        <v>N/A</v>
      </c>
      <c r="AZ1079" s="134" t="str">
        <f ca="1">IFERROR(_xll.TR(MO.Ticker.Thomson,"MAX(TR.Pricehigh)","sdate:#1 edate:#2",,INDEX(MO_SNA_FPStartDate,0,COLUMN()),INDEX(MO_Common_QEndDate,0,COLUMN())),"N/A")</f>
        <v>N/A</v>
      </c>
      <c r="BA1079" s="134" t="str">
        <f ca="1">IFERROR(_xll.TR(MO.Ticker.Thomson,"MAX(TR.Pricehigh)","sdate:#1 edate:#2",,INDEX(MO_SNA_FPStartDate,0,COLUMN()),INDEX(MO_Common_QEndDate,0,COLUMN())),"N/A")</f>
        <v>N/A</v>
      </c>
      <c r="BB1079" s="134" t="str">
        <f ca="1">IFERROR(_xll.TR(MO.Ticker.Thomson,"MAX(TR.Pricehigh)","sdate:#1 edate:#2",,INDEX(MO_SNA_FPStartDate,0,COLUMN()),INDEX(MO_Common_QEndDate,0,COLUMN())),"N/A")</f>
        <v>N/A</v>
      </c>
      <c r="BC1079" s="134" t="str">
        <f ca="1">IFERROR(_xll.TR(MO.Ticker.Thomson,"MAX(TR.Pricehigh)","sdate:#1 edate:#2",,INDEX(MO_SNA_FPStartDate,0,COLUMN()),INDEX(MO_Common_QEndDate,0,COLUMN())),"N/A")</f>
        <v>N/A</v>
      </c>
      <c r="BD1079" s="134" t="str">
        <f ca="1">IFERROR(_xll.TR(MO.Ticker.Thomson,"MAX(TR.Pricehigh)","sdate:#1 edate:#2",,INDEX(MO_SNA_FPStartDate,0,COLUMN()),INDEX(MO_Common_QEndDate,0,COLUMN())),"N/A")</f>
        <v>N/A</v>
      </c>
      <c r="BE1079" s="134" t="str">
        <f ca="1">IFERROR(_xll.TR(MO.Ticker.Thomson,"MAX(TR.Pricehigh)","sdate:#1 edate:#2",,INDEX(MO_SNA_FPStartDate,0,COLUMN()),INDEX(MO_Common_QEndDate,0,COLUMN())),"N/A")</f>
        <v>N/A</v>
      </c>
      <c r="BF1079" s="134" t="str">
        <f ca="1">IFERROR(_xll.TR(MO.Ticker.Thomson,"MAX(TR.Pricehigh)","sdate:#1 edate:#2",,INDEX(MO_SNA_FPStartDate,0,COLUMN()),INDEX(MO_Common_QEndDate,0,COLUMN())),"N/A")</f>
        <v>N/A</v>
      </c>
      <c r="BG1079" s="134"/>
      <c r="BH1079" s="589" t="str">
        <f ca="1">IFERROR(_xll.TR(MO.Ticker.Thomson,"MAX(TR.Pricehigh)","sdate:#1 edate:#2",,INDEX(MO_SNA_FPStartDate,0,COLUMN()),INDEX(MO_Common_QEndDate,0,COLUMN())),"N/A")</f>
        <v>N/A</v>
      </c>
      <c r="BI1079" s="589" t="str">
        <f ca="1">IFERROR(_xll.TR(MO.Ticker.Thomson,"MAX(TR.Pricehigh)","sdate:#1 edate:#2",,INDEX(MO_SNA_FPStartDate,0,COLUMN()),INDEX(MO_Common_QEndDate,0,COLUMN())),"N/A")</f>
        <v>N/A</v>
      </c>
      <c r="BJ1079" s="589" t="str">
        <f ca="1">IFERROR(_xll.TR(MO.Ticker.Thomson,"MAX(TR.Pricehigh)","sdate:#1 edate:#2",,INDEX(MO_SNA_FPStartDate,0,COLUMN()),INDEX(MO_Common_QEndDate,0,COLUMN())),"N/A")</f>
        <v>N/A</v>
      </c>
      <c r="BK1079" s="589" t="str">
        <f ca="1">IFERROR(_xll.TR(MO.Ticker.Thomson,"MAX(TR.Pricehigh)","sdate:#1 edate:#2",,INDEX(MO_SNA_FPStartDate,0,COLUMN()),INDEX(MO_Common_QEndDate,0,COLUMN())),"N/A")</f>
        <v>N/A</v>
      </c>
      <c r="BL1079" s="134" t="str">
        <f ca="1">IFERROR(_xll.TR(MO.Ticker.Thomson,"MAX(TR.Pricehigh)","sdate:#1 edate:#2",,INDEX(MO_SNA_FPStartDate,0,COLUMN()),INDEX(MO_Common_QEndDate,0,COLUMN())),"N/A")</f>
        <v>N/A</v>
      </c>
      <c r="BM1079" s="134" t="str">
        <f ca="1">IFERROR(_xll.TR(MO.Ticker.Thomson,"MAX(TR.Pricehigh)","sdate:#1 edate:#2",,INDEX(MO_SNA_FPStartDate,0,COLUMN()),INDEX(MO_Common_QEndDate,0,COLUMN())),"N/A")</f>
        <v>N/A</v>
      </c>
      <c r="BN1079" s="134" t="str">
        <f ca="1">IFERROR(_xll.TR(MO.Ticker.Thomson,"MAX(TR.Pricehigh)","sdate:#1 edate:#2",,INDEX(MO_SNA_FPStartDate,0,COLUMN()),INDEX(MO_Common_QEndDate,0,COLUMN())),"N/A")</f>
        <v>N/A</v>
      </c>
      <c r="BO1079" s="134" t="str">
        <f ca="1">IFERROR(_xll.TR(MO.Ticker.Thomson,"MAX(TR.Pricehigh)","sdate:#1 edate:#2",,INDEX(MO_SNA_FPStartDate,0,COLUMN()),INDEX(MO_Common_QEndDate,0,COLUMN())),"N/A")</f>
        <v>N/A</v>
      </c>
      <c r="BP1079" s="134" t="str">
        <f ca="1">IFERROR(_xll.TR(MO.Ticker.Thomson,"MAX(TR.Pricehigh)","sdate:#1 edate:#2",,INDEX(MO_SNA_FPStartDate,0,COLUMN()),INDEX(MO_Common_QEndDate,0,COLUMN())),"N/A")</f>
        <v>N/A</v>
      </c>
      <c r="BQ1079" s="134" t="str">
        <f ca="1">IFERROR(_xll.TR(MO.Ticker.Thomson,"MAX(TR.Pricehigh)","sdate:#1 edate:#2",,INDEX(MO_SNA_FPStartDate,0,COLUMN()),INDEX(MO_Common_QEndDate,0,COLUMN())),"N/A")</f>
        <v>N/A</v>
      </c>
      <c r="BR1079" s="134" t="str">
        <f ca="1">IFERROR(_xll.TR(MO.Ticker.Thomson,"MAX(TR.Pricehigh)","sdate:#1 edate:#2",,INDEX(MO_SNA_FPStartDate,0,COLUMN()),INDEX(MO_Common_QEndDate,0,COLUMN())),"N/A")</f>
        <v>N/A</v>
      </c>
      <c r="BS1079" s="134" t="str">
        <f ca="1">IFERROR(_xll.TR(MO.Ticker.Thomson,"MAX(TR.Pricehigh)","sdate:#1 edate:#2",,INDEX(MO_SNA_FPStartDate,0,COLUMN()),INDEX(MO_Common_QEndDate,0,COLUMN())),"N/A")</f>
        <v>N/A</v>
      </c>
      <c r="BT1079" s="134" t="str">
        <f ca="1">IFERROR(_xll.TR(MO.Ticker.Thomson,"MAX(TR.Pricehigh)","sdate:#1 edate:#2",,INDEX(MO_SNA_FPStartDate,0,COLUMN()),INDEX(MO_Common_QEndDate,0,COLUMN())),"N/A")</f>
        <v>N/A</v>
      </c>
      <c r="BU1079" s="134" t="str">
        <f ca="1">IFERROR(_xll.TR(MO.Ticker.Thomson,"MAX(TR.Pricehigh)","sdate:#1 edate:#2",,INDEX(MO_SNA_FPStartDate,0,COLUMN()),INDEX(MO_Common_QEndDate,0,COLUMN())),"N/A")</f>
        <v>N/A</v>
      </c>
      <c r="BV1079" s="134" t="str">
        <f ca="1">IFERROR(_xll.TR(MO.Ticker.Thomson,"MAX(TR.Pricehigh)","sdate:#1 edate:#2",,INDEX(MO_SNA_FPStartDate,0,COLUMN()),INDEX(MO_Common_QEndDate,0,COLUMN())),"N/A")</f>
        <v>N/A</v>
      </c>
      <c r="BW1079" s="134" t="str">
        <f ca="1">IFERROR(_xll.TR(MO.Ticker.Thomson,"MAX(TR.Pricehigh)","sdate:#1 edate:#2",,INDEX(MO_SNA_FPStartDate,0,COLUMN()),INDEX(MO_Common_QEndDate,0,COLUMN())),"N/A")</f>
        <v>N/A</v>
      </c>
      <c r="BX1079" s="134" t="str">
        <f ca="1">IFERROR(_xll.TR(MO.Ticker.Thomson,"MAX(TR.Pricehigh)","sdate:#1 edate:#2",,INDEX(MO_SNA_FPStartDate,0,COLUMN()),INDEX(MO_Common_QEndDate,0,COLUMN())),"N/A")</f>
        <v>N/A</v>
      </c>
      <c r="BY1079" s="134" t="str">
        <f ca="1">IFERROR(_xll.TR(MO.Ticker.Thomson,"MAX(TR.Pricehigh)","sdate:#1 edate:#2",,INDEX(MO_SNA_FPStartDate,0,COLUMN()),INDEX(MO_Common_QEndDate,0,COLUMN())),"N/A")</f>
        <v>N/A</v>
      </c>
      <c r="BZ1079" s="134" t="str">
        <f ca="1">IFERROR(_xll.TR(MO.Ticker.Thomson,"MAX(TR.Pricehigh)","sdate:#1 edate:#2",,INDEX(MO_SNA_FPStartDate,0,COLUMN()),INDEX(MO_Common_QEndDate,0,COLUMN())),"N/A")</f>
        <v>N/A</v>
      </c>
      <c r="CA1079" s="134" t="str">
        <f ca="1">IFERROR(_xll.TR(MO.Ticker.Thomson,"MAX(TR.Pricehigh)","sdate:#1 edate:#2",,INDEX(MO_SNA_FPStartDate,0,COLUMN()),INDEX(MO_Common_QEndDate,0,COLUMN())),"N/A")</f>
        <v>N/A</v>
      </c>
      <c r="CB1079" s="134" t="str">
        <f ca="1">IFERROR(_xll.TR(MO.Ticker.Thomson,"MAX(TR.Pricehigh)","sdate:#1 edate:#2",,INDEX(MO_SNA_FPStartDate,0,COLUMN()),INDEX(MO_Common_QEndDate,0,COLUMN())),"N/A")</f>
        <v>N/A</v>
      </c>
      <c r="CC1079" s="180"/>
    </row>
    <row r="1080" spans="1:81" outlineLevel="1" x14ac:dyDescent="0.55000000000000004">
      <c r="A1080" s="377"/>
      <c r="B1080" s="600"/>
      <c r="C1080" s="558"/>
      <c r="D1080" s="600"/>
      <c r="E1080" s="600"/>
      <c r="F1080" s="600"/>
      <c r="G1080" s="600"/>
      <c r="H1080" s="600"/>
      <c r="I1080" s="600"/>
      <c r="J1080" s="600"/>
      <c r="K1080" s="600"/>
      <c r="L1080" s="600"/>
      <c r="M1080" s="600"/>
      <c r="N1080" s="600"/>
      <c r="O1080" s="600"/>
      <c r="P1080" s="600"/>
      <c r="Q1080" s="600"/>
      <c r="R1080" s="600"/>
      <c r="S1080" s="600"/>
      <c r="T1080" s="600"/>
      <c r="U1080" s="600"/>
      <c r="V1080" s="600"/>
      <c r="W1080" s="600"/>
      <c r="X1080" s="600"/>
      <c r="Y1080" s="600"/>
      <c r="Z1080" s="600"/>
      <c r="AA1080" s="600"/>
      <c r="AB1080" s="600"/>
      <c r="AC1080" s="600"/>
      <c r="AD1080" s="600"/>
      <c r="AE1080" s="600"/>
      <c r="AF1080" s="600"/>
      <c r="AG1080" s="600"/>
      <c r="AH1080" s="600"/>
      <c r="AI1080" s="600"/>
      <c r="AJ1080" s="600"/>
      <c r="AK1080" s="600"/>
      <c r="AL1080" s="600"/>
      <c r="AM1080" s="600"/>
      <c r="AN1080" s="600"/>
      <c r="AO1080" s="600"/>
      <c r="AP1080" s="600"/>
      <c r="AQ1080" s="600"/>
      <c r="AR1080" s="600"/>
      <c r="AS1080" s="600"/>
      <c r="AT1080" s="600"/>
      <c r="AU1080" s="600"/>
      <c r="AV1080" s="600"/>
      <c r="AW1080" s="600"/>
      <c r="AX1080" s="600"/>
      <c r="AY1080" s="600"/>
      <c r="AZ1080" s="600"/>
      <c r="BA1080" s="600"/>
      <c r="BB1080" s="600"/>
      <c r="BC1080" s="600"/>
      <c r="BD1080" s="600"/>
      <c r="BE1080" s="600"/>
      <c r="BF1080" s="600"/>
      <c r="BG1080" s="600"/>
      <c r="BH1080" s="558"/>
      <c r="BI1080" s="558"/>
      <c r="BJ1080" s="558"/>
      <c r="BK1080" s="558"/>
      <c r="BL1080" s="600"/>
      <c r="BM1080" s="600"/>
      <c r="BN1080" s="600"/>
      <c r="BO1080" s="600"/>
      <c r="BP1080" s="600"/>
      <c r="BQ1080" s="600"/>
      <c r="BR1080" s="600"/>
      <c r="BS1080" s="600"/>
      <c r="BT1080" s="600"/>
      <c r="BU1080" s="600"/>
      <c r="BV1080" s="600"/>
      <c r="BW1080" s="600"/>
      <c r="BX1080" s="600"/>
      <c r="BY1080" s="600"/>
      <c r="BZ1080" s="600"/>
      <c r="CA1080" s="600"/>
      <c r="CB1080" s="600"/>
      <c r="CC1080" s="176"/>
    </row>
    <row r="1081" spans="1:81" x14ac:dyDescent="0.55000000000000004">
      <c r="A1081" s="1156" t="str">
        <f ca="1">"Stock Low: "&amp;IF(OR(MO.RealTimeStockPriceToggle=FALSE,VLOOKUP(MO.DataSourceName,MO_SPT_StockLow_Sources,COLUMN()+2,FALSE)="N/A"),"Real-Time Off Source",MO.DataSourceName)</f>
        <v>Stock Low: Real-Time Off Source</v>
      </c>
      <c r="B1081" s="134"/>
      <c r="C1081" s="589">
        <f t="shared" ref="C1081:AH1081" ca="1" si="1310">IF(OR(MO.RealTimeStockPriceToggle=FALSE,VLOOKUP(MO.DataSourceName,MO_SPT_StockLow_Sources,COLUMN(),FALSE)="N/A"),VLOOKUP("Real-Time Off Source",MO_SPT_StockLow_Sources,COLUMN(),FALSE),VLOOKUP(MO.DataSourceName,MO_SPT_StockLow_Sources,COLUMN(),FALSE))</f>
        <v>24.72</v>
      </c>
      <c r="D1081" s="134">
        <f t="shared" ca="1" si="1310"/>
        <v>22.67</v>
      </c>
      <c r="E1081" s="134">
        <f t="shared" ca="1" si="1310"/>
        <v>24.15</v>
      </c>
      <c r="F1081" s="134">
        <f t="shared" ca="1" si="1310"/>
        <v>43.55</v>
      </c>
      <c r="G1081" s="134">
        <f t="shared" ca="1" si="1310"/>
        <v>51.85</v>
      </c>
      <c r="H1081" s="134">
        <f t="shared" ca="1" si="1310"/>
        <v>54.66</v>
      </c>
      <c r="I1081" s="134">
        <f t="shared" ca="1" si="1310"/>
        <v>62.21</v>
      </c>
      <c r="J1081" s="134">
        <f t="shared" ca="1" si="1310"/>
        <v>70.319999999999993</v>
      </c>
      <c r="K1081" s="134">
        <f t="shared" ca="1" si="1310"/>
        <v>73.45</v>
      </c>
      <c r="L1081" s="134">
        <f t="shared" ca="1" si="1310"/>
        <v>76.790000000000006</v>
      </c>
      <c r="M1081" s="134">
        <f t="shared" ca="1" si="1310"/>
        <v>72</v>
      </c>
      <c r="N1081" s="134">
        <f t="shared" ca="1" si="1310"/>
        <v>88.36</v>
      </c>
      <c r="O1081" s="134">
        <f t="shared" ca="1" si="1310"/>
        <v>89.37</v>
      </c>
      <c r="P1081" s="134">
        <f t="shared" ca="1" si="1310"/>
        <v>106.31</v>
      </c>
      <c r="Q1081" s="134">
        <f t="shared" ca="1" si="1310"/>
        <v>112.97</v>
      </c>
      <c r="R1081" s="134">
        <f t="shared" ca="1" si="1310"/>
        <v>113.55</v>
      </c>
      <c r="S1081" s="134">
        <f t="shared" ca="1" si="1310"/>
        <v>115.51</v>
      </c>
      <c r="T1081" s="134">
        <f t="shared" ca="1" si="1310"/>
        <v>138.81</v>
      </c>
      <c r="U1081" s="134">
        <f t="shared" ca="1" si="1310"/>
        <v>147.80000000000001</v>
      </c>
      <c r="V1081" s="134">
        <f t="shared" ca="1" si="1310"/>
        <v>168.29</v>
      </c>
      <c r="W1081" s="134">
        <f t="shared" ca="1" si="1310"/>
        <v>152.22</v>
      </c>
      <c r="X1081" s="134">
        <f t="shared" ca="1" si="1310"/>
        <v>155.1</v>
      </c>
      <c r="Y1081" s="134">
        <f t="shared" ca="1" si="1310"/>
        <v>160.30000000000001</v>
      </c>
      <c r="Z1081" s="134">
        <f t="shared" ca="1" si="1310"/>
        <v>124.06</v>
      </c>
      <c r="AA1081" s="134">
        <f t="shared" ca="1" si="1310"/>
        <v>131.74</v>
      </c>
      <c r="AB1081" s="134">
        <f t="shared" ca="1" si="1310"/>
        <v>164.15</v>
      </c>
      <c r="AC1081" s="134">
        <f t="shared" ca="1" si="1310"/>
        <v>177.1</v>
      </c>
      <c r="AD1081" s="134">
        <f t="shared" ca="1" si="1310"/>
        <v>174.6</v>
      </c>
      <c r="AE1081" s="134">
        <f t="shared" ca="1" si="1310"/>
        <v>146.01</v>
      </c>
      <c r="AF1081" s="134">
        <f t="shared" ca="1" si="1310"/>
        <v>154.18</v>
      </c>
      <c r="AG1081" s="134">
        <f t="shared" ca="1" si="1310"/>
        <v>230.12</v>
      </c>
      <c r="AH1081" s="134">
        <f t="shared" ca="1" si="1310"/>
        <v>258.12</v>
      </c>
      <c r="AI1081" s="134">
        <f t="shared" ref="AI1081:BF1081" ca="1" si="1311">IF(OR(MO.RealTimeStockPriceToggle=FALSE,VLOOKUP(MO.DataSourceName,MO_SPT_StockLow_Sources,COLUMN(),FALSE)="N/A"),VLOOKUP("Real-Time Off Source",MO_SPT_StockLow_Sources,COLUMN(),FALSE),VLOOKUP(MO.DataSourceName,MO_SPT_StockLow_Sources,COLUMN(),FALSE))</f>
        <v>245.64</v>
      </c>
      <c r="AJ1081" s="134">
        <f t="shared" ca="1" si="1311"/>
        <v>296.52</v>
      </c>
      <c r="AK1081" s="134">
        <f t="shared" ca="1" si="1311"/>
        <v>336.95</v>
      </c>
      <c r="AL1081" s="134">
        <f t="shared" ca="1" si="1311"/>
        <v>306.83999999999997</v>
      </c>
      <c r="AM1081" s="134">
        <f t="shared" ca="1" si="1311"/>
        <v>186.63</v>
      </c>
      <c r="AN1081" s="134">
        <f t="shared" ca="1" si="1311"/>
        <v>155.85</v>
      </c>
      <c r="AO1081" s="134">
        <f t="shared" ca="1" si="1311"/>
        <v>134.4</v>
      </c>
      <c r="AP1081" s="134">
        <f t="shared" ca="1" si="1311"/>
        <v>88.91</v>
      </c>
      <c r="AQ1081" s="134">
        <f t="shared" ca="1" si="1311"/>
        <v>124.74</v>
      </c>
      <c r="AR1081" s="134">
        <f t="shared" ca="1" si="1311"/>
        <v>207.55</v>
      </c>
      <c r="AS1081" s="134">
        <f t="shared" ca="1" si="1311"/>
        <v>283.25</v>
      </c>
      <c r="AT1081" s="134">
        <f t="shared" ca="1" si="1311"/>
        <v>288.35000000000002</v>
      </c>
      <c r="AU1081" s="134">
        <f t="shared" ca="1" si="1311"/>
        <v>344.47</v>
      </c>
      <c r="AV1081" s="134">
        <f t="shared" ca="1" si="1311"/>
        <v>430.17</v>
      </c>
      <c r="AW1081" s="134">
        <f t="shared" ca="1" si="1311"/>
        <v>453.41</v>
      </c>
      <c r="AX1081" s="134">
        <f t="shared" ca="1" si="1311"/>
        <v>554.08000000000004</v>
      </c>
      <c r="AY1081" s="134">
        <f t="shared" ca="1" si="1311"/>
        <v>576.36</v>
      </c>
      <c r="AZ1081" s="134">
        <f t="shared" ca="1" si="1311"/>
        <v>0</v>
      </c>
      <c r="BA1081" s="134">
        <f t="shared" ca="1" si="1311"/>
        <v>0</v>
      </c>
      <c r="BB1081" s="134">
        <f t="shared" ca="1" si="1311"/>
        <v>0</v>
      </c>
      <c r="BC1081" s="134">
        <f t="shared" ca="1" si="1311"/>
        <v>0</v>
      </c>
      <c r="BD1081" s="134">
        <f t="shared" ca="1" si="1311"/>
        <v>0</v>
      </c>
      <c r="BE1081" s="134">
        <f t="shared" ca="1" si="1311"/>
        <v>0</v>
      </c>
      <c r="BF1081" s="134">
        <f t="shared" ca="1" si="1311"/>
        <v>0</v>
      </c>
      <c r="BG1081" s="134"/>
      <c r="BH1081" s="589">
        <f t="shared" ref="BH1081:CB1081" ca="1" si="1312">IF(OR(MO.RealTimeStockPriceToggle=FALSE,VLOOKUP(MO.DataSourceName,MO_SPT_StockLow_Sources,COLUMN(),FALSE)="N/A"),VLOOKUP("Real-Time Off Source",MO_SPT_StockLow_Sources,COLUMN(),FALSE),VLOOKUP(MO.DataSourceName,MO_SPT_StockLow_Sources,COLUMN(),FALSE))</f>
        <v>0</v>
      </c>
      <c r="BI1081" s="589">
        <f t="shared" ca="1" si="1312"/>
        <v>0</v>
      </c>
      <c r="BJ1081" s="589">
        <f t="shared" ca="1" si="1312"/>
        <v>0</v>
      </c>
      <c r="BK1081" s="589">
        <f t="shared" ca="1" si="1312"/>
        <v>17.55</v>
      </c>
      <c r="BL1081" s="134">
        <f t="shared" ca="1" si="1312"/>
        <v>22.67</v>
      </c>
      <c r="BM1081" s="134">
        <f t="shared" ca="1" si="1312"/>
        <v>51.85</v>
      </c>
      <c r="BN1081" s="134">
        <f t="shared" ca="1" si="1312"/>
        <v>72</v>
      </c>
      <c r="BO1081" s="134">
        <f t="shared" ca="1" si="1312"/>
        <v>89.37</v>
      </c>
      <c r="BP1081" s="134">
        <f t="shared" ca="1" si="1312"/>
        <v>115.51</v>
      </c>
      <c r="BQ1081" s="134">
        <f t="shared" ca="1" si="1312"/>
        <v>124.06</v>
      </c>
      <c r="BR1081" s="134">
        <f t="shared" ca="1" si="1312"/>
        <v>131.74</v>
      </c>
      <c r="BS1081" s="134">
        <f t="shared" ca="1" si="1312"/>
        <v>146.01</v>
      </c>
      <c r="BT1081" s="134">
        <f t="shared" ca="1" si="1312"/>
        <v>245.64</v>
      </c>
      <c r="BU1081" s="134">
        <f t="shared" ca="1" si="1312"/>
        <v>88.91</v>
      </c>
      <c r="BV1081" s="134">
        <f t="shared" ca="1" si="1312"/>
        <v>124.74</v>
      </c>
      <c r="BW1081" s="134">
        <f t="shared" ca="1" si="1312"/>
        <v>344.47</v>
      </c>
      <c r="BX1081" s="134">
        <f t="shared" ca="1" si="1312"/>
        <v>0</v>
      </c>
      <c r="BY1081" s="134">
        <f t="shared" ca="1" si="1312"/>
        <v>0</v>
      </c>
      <c r="BZ1081" s="134">
        <f t="shared" ca="1" si="1312"/>
        <v>0</v>
      </c>
      <c r="CA1081" s="134">
        <f t="shared" ca="1" si="1312"/>
        <v>0</v>
      </c>
      <c r="CB1081" s="134">
        <f t="shared" ca="1" si="1312"/>
        <v>0</v>
      </c>
      <c r="CC1081" s="180"/>
    </row>
    <row r="1082" spans="1:81" outlineLevel="1" x14ac:dyDescent="0.55000000000000004">
      <c r="A1082" s="1157" t="s">
        <v>243</v>
      </c>
      <c r="B1082" s="134"/>
      <c r="C1082" s="797">
        <v>24.72</v>
      </c>
      <c r="D1082" s="798">
        <v>22.67</v>
      </c>
      <c r="E1082" s="798">
        <v>24.15</v>
      </c>
      <c r="F1082" s="798">
        <v>43.55</v>
      </c>
      <c r="G1082" s="798">
        <v>51.85</v>
      </c>
      <c r="H1082" s="798">
        <v>54.66</v>
      </c>
      <c r="I1082" s="798">
        <v>62.21</v>
      </c>
      <c r="J1082" s="798">
        <v>70.319999999999993</v>
      </c>
      <c r="K1082" s="798">
        <v>73.45</v>
      </c>
      <c r="L1082" s="798">
        <v>76.790000000000006</v>
      </c>
      <c r="M1082" s="798">
        <v>72</v>
      </c>
      <c r="N1082" s="798">
        <v>88.36</v>
      </c>
      <c r="O1082" s="798">
        <v>89.37</v>
      </c>
      <c r="P1082" s="798">
        <v>106.31</v>
      </c>
      <c r="Q1082" s="798">
        <v>112.97</v>
      </c>
      <c r="R1082" s="798">
        <v>113.55</v>
      </c>
      <c r="S1082" s="798">
        <v>115.51</v>
      </c>
      <c r="T1082" s="798">
        <v>138.81</v>
      </c>
      <c r="U1082" s="798">
        <v>147.80000000000001</v>
      </c>
      <c r="V1082" s="798">
        <v>168.29</v>
      </c>
      <c r="W1082" s="798">
        <v>152.22</v>
      </c>
      <c r="X1082" s="798">
        <v>155.1</v>
      </c>
      <c r="Y1082" s="798">
        <v>160.30000000000001</v>
      </c>
      <c r="Z1082" s="798">
        <v>124.06</v>
      </c>
      <c r="AA1082" s="798">
        <v>131.74</v>
      </c>
      <c r="AB1082" s="798">
        <v>164.15</v>
      </c>
      <c r="AC1082" s="798">
        <v>177.1</v>
      </c>
      <c r="AD1082" s="798">
        <v>174.6</v>
      </c>
      <c r="AE1082" s="798">
        <v>146.01</v>
      </c>
      <c r="AF1082" s="798">
        <v>154.18</v>
      </c>
      <c r="AG1082" s="798">
        <v>230.12</v>
      </c>
      <c r="AH1082" s="798">
        <v>258.12</v>
      </c>
      <c r="AI1082" s="798">
        <v>245.64</v>
      </c>
      <c r="AJ1082" s="798">
        <v>296.52</v>
      </c>
      <c r="AK1082" s="798">
        <v>336.95</v>
      </c>
      <c r="AL1082" s="798">
        <v>306.83999999999997</v>
      </c>
      <c r="AM1082" s="798">
        <v>186.63</v>
      </c>
      <c r="AN1082" s="798">
        <v>155.85</v>
      </c>
      <c r="AO1082" s="798">
        <v>134.4</v>
      </c>
      <c r="AP1082" s="798">
        <v>88.91</v>
      </c>
      <c r="AQ1082" s="798">
        <v>124.74</v>
      </c>
      <c r="AR1082" s="798">
        <v>207.55</v>
      </c>
      <c r="AS1082" s="798">
        <v>283.25</v>
      </c>
      <c r="AT1082" s="798">
        <v>288.35000000000002</v>
      </c>
      <c r="AU1082" s="798">
        <v>344.47</v>
      </c>
      <c r="AV1082" s="798">
        <v>430.17</v>
      </c>
      <c r="AW1082" s="798">
        <v>453.41</v>
      </c>
      <c r="AX1082" s="798">
        <v>554.08000000000004</v>
      </c>
      <c r="AY1082" s="798">
        <v>576.36</v>
      </c>
      <c r="AZ1082" s="134"/>
      <c r="BA1082" s="134"/>
      <c r="BB1082" s="134"/>
      <c r="BC1082" s="134"/>
      <c r="BD1082" s="134"/>
      <c r="BE1082" s="134"/>
      <c r="BF1082" s="134"/>
      <c r="BG1082" s="134"/>
      <c r="BH1082" s="797">
        <v>0</v>
      </c>
      <c r="BI1082" s="797">
        <v>0</v>
      </c>
      <c r="BJ1082" s="797">
        <v>0</v>
      </c>
      <c r="BK1082" s="797">
        <v>17.55</v>
      </c>
      <c r="BL1082" s="798">
        <v>22.67</v>
      </c>
      <c r="BM1082" s="798">
        <v>51.85</v>
      </c>
      <c r="BN1082" s="798">
        <v>72</v>
      </c>
      <c r="BO1082" s="798">
        <v>89.37</v>
      </c>
      <c r="BP1082" s="798">
        <v>115.51</v>
      </c>
      <c r="BQ1082" s="798">
        <v>124.06</v>
      </c>
      <c r="BR1082" s="798">
        <v>131.74</v>
      </c>
      <c r="BS1082" s="798">
        <v>146.01</v>
      </c>
      <c r="BT1082" s="798">
        <v>245.64</v>
      </c>
      <c r="BU1082" s="798">
        <v>88.91</v>
      </c>
      <c r="BV1082" s="798">
        <v>124.74</v>
      </c>
      <c r="BW1082" s="798">
        <v>344.47</v>
      </c>
      <c r="BX1082" s="134"/>
      <c r="BY1082" s="134"/>
      <c r="BZ1082" s="134"/>
      <c r="CA1082" s="134"/>
      <c r="CB1082" s="134"/>
      <c r="CC1082" s="180"/>
    </row>
    <row r="1083" spans="1:81" outlineLevel="1" x14ac:dyDescent="0.55000000000000004">
      <c r="A1083" s="1157" t="s">
        <v>7</v>
      </c>
      <c r="B1083" s="134"/>
      <c r="C1083" s="589" t="str">
        <f ca="1">IFERROR(BDP(MO.Ticker.Bloomberg&amp;" Equity","INTERVAL_LOW","MARKET_DATA_OVERRIDE=PX_LAST","START_DATE_OVERRIDE",TEXT(INDEX(MO_SNA_FPStartDate,0,COLUMN()),"YYYYMMDD"),"END_DATE_OVERRIDE",TEXT(INDEX(MO_Common_QEndDate,0,COLUMN()),"YYYYMMDD")),"N/A")</f>
        <v>N/A</v>
      </c>
      <c r="D1083" s="134" t="str">
        <f ca="1">IFERROR(BDP(MO.Ticker.Bloomberg&amp;" Equity","INTERVAL_LOW","MARKET_DATA_OVERRIDE=PX_LAST","START_DATE_OVERRIDE",TEXT(INDEX(MO_SNA_FPStartDate,0,COLUMN()),"YYYYMMDD"),"END_DATE_OVERRIDE",TEXT(INDEX(MO_Common_QEndDate,0,COLUMN()),"YYYYMMDD")),"N/A")</f>
        <v>N/A</v>
      </c>
      <c r="E1083" s="134" t="str">
        <f ca="1">IFERROR(BDP(MO.Ticker.Bloomberg&amp;" Equity","INTERVAL_LOW","MARKET_DATA_OVERRIDE=PX_LAST","START_DATE_OVERRIDE",TEXT(INDEX(MO_SNA_FPStartDate,0,COLUMN()),"YYYYMMDD"),"END_DATE_OVERRIDE",TEXT(INDEX(MO_Common_QEndDate,0,COLUMN()),"YYYYMMDD")),"N/A")</f>
        <v>N/A</v>
      </c>
      <c r="F1083" s="134" t="str">
        <f ca="1">IFERROR(BDP(MO.Ticker.Bloomberg&amp;" Equity","INTERVAL_LOW","MARKET_DATA_OVERRIDE=PX_LAST","START_DATE_OVERRIDE",TEXT(INDEX(MO_SNA_FPStartDate,0,COLUMN()),"YYYYMMDD"),"END_DATE_OVERRIDE",TEXT(INDEX(MO_Common_QEndDate,0,COLUMN()),"YYYYMMDD")),"N/A")</f>
        <v>N/A</v>
      </c>
      <c r="G1083" s="134" t="str">
        <f ca="1">IFERROR(BDP(MO.Ticker.Bloomberg&amp;" Equity","INTERVAL_LOW","MARKET_DATA_OVERRIDE=PX_LAST","START_DATE_OVERRIDE",TEXT(INDEX(MO_SNA_FPStartDate,0,COLUMN()),"YYYYMMDD"),"END_DATE_OVERRIDE",TEXT(INDEX(MO_Common_QEndDate,0,COLUMN()),"YYYYMMDD")),"N/A")</f>
        <v>N/A</v>
      </c>
      <c r="H1083" s="134" t="str">
        <f ca="1">IFERROR(BDP(MO.Ticker.Bloomberg&amp;" Equity","INTERVAL_LOW","MARKET_DATA_OVERRIDE=PX_LAST","START_DATE_OVERRIDE",TEXT(INDEX(MO_SNA_FPStartDate,0,COLUMN()),"YYYYMMDD"),"END_DATE_OVERRIDE",TEXT(INDEX(MO_Common_QEndDate,0,COLUMN()),"YYYYMMDD")),"N/A")</f>
        <v>N/A</v>
      </c>
      <c r="I1083" s="134" t="str">
        <f ca="1">IFERROR(BDP(MO.Ticker.Bloomberg&amp;" Equity","INTERVAL_LOW","MARKET_DATA_OVERRIDE=PX_LAST","START_DATE_OVERRIDE",TEXT(INDEX(MO_SNA_FPStartDate,0,COLUMN()),"YYYYMMDD"),"END_DATE_OVERRIDE",TEXT(INDEX(MO_Common_QEndDate,0,COLUMN()),"YYYYMMDD")),"N/A")</f>
        <v>N/A</v>
      </c>
      <c r="J1083" s="134" t="str">
        <f ca="1">IFERROR(BDP(MO.Ticker.Bloomberg&amp;" Equity","INTERVAL_LOW","MARKET_DATA_OVERRIDE=PX_LAST","START_DATE_OVERRIDE",TEXT(INDEX(MO_SNA_FPStartDate,0,COLUMN()),"YYYYMMDD"),"END_DATE_OVERRIDE",TEXT(INDEX(MO_Common_QEndDate,0,COLUMN()),"YYYYMMDD")),"N/A")</f>
        <v>N/A</v>
      </c>
      <c r="K1083" s="134" t="str">
        <f ca="1">IFERROR(BDP(MO.Ticker.Bloomberg&amp;" Equity","INTERVAL_LOW","MARKET_DATA_OVERRIDE=PX_LAST","START_DATE_OVERRIDE",TEXT(INDEX(MO_SNA_FPStartDate,0,COLUMN()),"YYYYMMDD"),"END_DATE_OVERRIDE",TEXT(INDEX(MO_Common_QEndDate,0,COLUMN()),"YYYYMMDD")),"N/A")</f>
        <v>N/A</v>
      </c>
      <c r="L1083" s="134" t="str">
        <f ca="1">IFERROR(BDP(MO.Ticker.Bloomberg&amp;" Equity","INTERVAL_LOW","MARKET_DATA_OVERRIDE=PX_LAST","START_DATE_OVERRIDE",TEXT(INDEX(MO_SNA_FPStartDate,0,COLUMN()),"YYYYMMDD"),"END_DATE_OVERRIDE",TEXT(INDEX(MO_Common_QEndDate,0,COLUMN()),"YYYYMMDD")),"N/A")</f>
        <v>N/A</v>
      </c>
      <c r="M1083" s="134" t="str">
        <f ca="1">IFERROR(BDP(MO.Ticker.Bloomberg&amp;" Equity","INTERVAL_LOW","MARKET_DATA_OVERRIDE=PX_LAST","START_DATE_OVERRIDE",TEXT(INDEX(MO_SNA_FPStartDate,0,COLUMN()),"YYYYMMDD"),"END_DATE_OVERRIDE",TEXT(INDEX(MO_Common_QEndDate,0,COLUMN()),"YYYYMMDD")),"N/A")</f>
        <v>N/A</v>
      </c>
      <c r="N1083" s="134" t="str">
        <f ca="1">IFERROR(BDP(MO.Ticker.Bloomberg&amp;" Equity","INTERVAL_LOW","MARKET_DATA_OVERRIDE=PX_LAST","START_DATE_OVERRIDE",TEXT(INDEX(MO_SNA_FPStartDate,0,COLUMN()),"YYYYMMDD"),"END_DATE_OVERRIDE",TEXT(INDEX(MO_Common_QEndDate,0,COLUMN()),"YYYYMMDD")),"N/A")</f>
        <v>N/A</v>
      </c>
      <c r="O1083" s="134" t="str">
        <f ca="1">IFERROR(BDP(MO.Ticker.Bloomberg&amp;" Equity","INTERVAL_LOW","MARKET_DATA_OVERRIDE=PX_LAST","START_DATE_OVERRIDE",TEXT(INDEX(MO_SNA_FPStartDate,0,COLUMN()),"YYYYMMDD"),"END_DATE_OVERRIDE",TEXT(INDEX(MO_Common_QEndDate,0,COLUMN()),"YYYYMMDD")),"N/A")</f>
        <v>N/A</v>
      </c>
      <c r="P1083" s="134" t="str">
        <f ca="1">IFERROR(BDP(MO.Ticker.Bloomberg&amp;" Equity","INTERVAL_LOW","MARKET_DATA_OVERRIDE=PX_LAST","START_DATE_OVERRIDE",TEXT(INDEX(MO_SNA_FPStartDate,0,COLUMN()),"YYYYMMDD"),"END_DATE_OVERRIDE",TEXT(INDEX(MO_Common_QEndDate,0,COLUMN()),"YYYYMMDD")),"N/A")</f>
        <v>N/A</v>
      </c>
      <c r="Q1083" s="134" t="str">
        <f ca="1">IFERROR(BDP(MO.Ticker.Bloomberg&amp;" Equity","INTERVAL_LOW","MARKET_DATA_OVERRIDE=PX_LAST","START_DATE_OVERRIDE",TEXT(INDEX(MO_SNA_FPStartDate,0,COLUMN()),"YYYYMMDD"),"END_DATE_OVERRIDE",TEXT(INDEX(MO_Common_QEndDate,0,COLUMN()),"YYYYMMDD")),"N/A")</f>
        <v>N/A</v>
      </c>
      <c r="R1083" s="134" t="str">
        <f ca="1">IFERROR(BDP(MO.Ticker.Bloomberg&amp;" Equity","INTERVAL_LOW","MARKET_DATA_OVERRIDE=PX_LAST","START_DATE_OVERRIDE",TEXT(INDEX(MO_SNA_FPStartDate,0,COLUMN()),"YYYYMMDD"),"END_DATE_OVERRIDE",TEXT(INDEX(MO_Common_QEndDate,0,COLUMN()),"YYYYMMDD")),"N/A")</f>
        <v>N/A</v>
      </c>
      <c r="S1083" s="134" t="str">
        <f ca="1">IFERROR(BDP(MO.Ticker.Bloomberg&amp;" Equity","INTERVAL_LOW","MARKET_DATA_OVERRIDE=PX_LAST","START_DATE_OVERRIDE",TEXT(INDEX(MO_SNA_FPStartDate,0,COLUMN()),"YYYYMMDD"),"END_DATE_OVERRIDE",TEXT(INDEX(MO_Common_QEndDate,0,COLUMN()),"YYYYMMDD")),"N/A")</f>
        <v>N/A</v>
      </c>
      <c r="T1083" s="134" t="str">
        <f ca="1">IFERROR(BDP(MO.Ticker.Bloomberg&amp;" Equity","INTERVAL_LOW","MARKET_DATA_OVERRIDE=PX_LAST","START_DATE_OVERRIDE",TEXT(INDEX(MO_SNA_FPStartDate,0,COLUMN()),"YYYYMMDD"),"END_DATE_OVERRIDE",TEXT(INDEX(MO_Common_QEndDate,0,COLUMN()),"YYYYMMDD")),"N/A")</f>
        <v>N/A</v>
      </c>
      <c r="U1083" s="134" t="str">
        <f ca="1">IFERROR(BDP(MO.Ticker.Bloomberg&amp;" Equity","INTERVAL_LOW","MARKET_DATA_OVERRIDE=PX_LAST","START_DATE_OVERRIDE",TEXT(INDEX(MO_SNA_FPStartDate,0,COLUMN()),"YYYYMMDD"),"END_DATE_OVERRIDE",TEXT(INDEX(MO_Common_QEndDate,0,COLUMN()),"YYYYMMDD")),"N/A")</f>
        <v>N/A</v>
      </c>
      <c r="V1083" s="134" t="str">
        <f ca="1">IFERROR(BDP(MO.Ticker.Bloomberg&amp;" Equity","INTERVAL_LOW","MARKET_DATA_OVERRIDE=PX_LAST","START_DATE_OVERRIDE",TEXT(INDEX(MO_SNA_FPStartDate,0,COLUMN()),"YYYYMMDD"),"END_DATE_OVERRIDE",TEXT(INDEX(MO_Common_QEndDate,0,COLUMN()),"YYYYMMDD")),"N/A")</f>
        <v>N/A</v>
      </c>
      <c r="W1083" s="134" t="str">
        <f ca="1">IFERROR(BDP(MO.Ticker.Bloomberg&amp;" Equity","INTERVAL_LOW","MARKET_DATA_OVERRIDE=PX_LAST","START_DATE_OVERRIDE",TEXT(INDEX(MO_SNA_FPStartDate,0,COLUMN()),"YYYYMMDD"),"END_DATE_OVERRIDE",TEXT(INDEX(MO_Common_QEndDate,0,COLUMN()),"YYYYMMDD")),"N/A")</f>
        <v>N/A</v>
      </c>
      <c r="X1083" s="134" t="str">
        <f ca="1">IFERROR(BDP(MO.Ticker.Bloomberg&amp;" Equity","INTERVAL_LOW","MARKET_DATA_OVERRIDE=PX_LAST","START_DATE_OVERRIDE",TEXT(INDEX(MO_SNA_FPStartDate,0,COLUMN()),"YYYYMMDD"),"END_DATE_OVERRIDE",TEXT(INDEX(MO_Common_QEndDate,0,COLUMN()),"YYYYMMDD")),"N/A")</f>
        <v>N/A</v>
      </c>
      <c r="Y1083" s="134" t="str">
        <f ca="1">IFERROR(BDP(MO.Ticker.Bloomberg&amp;" Equity","INTERVAL_LOW","MARKET_DATA_OVERRIDE=PX_LAST","START_DATE_OVERRIDE",TEXT(INDEX(MO_SNA_FPStartDate,0,COLUMN()),"YYYYMMDD"),"END_DATE_OVERRIDE",TEXT(INDEX(MO_Common_QEndDate,0,COLUMN()),"YYYYMMDD")),"N/A")</f>
        <v>N/A</v>
      </c>
      <c r="Z1083" s="134" t="str">
        <f ca="1">IFERROR(BDP(MO.Ticker.Bloomberg&amp;" Equity","INTERVAL_LOW","MARKET_DATA_OVERRIDE=PX_LAST","START_DATE_OVERRIDE",TEXT(INDEX(MO_SNA_FPStartDate,0,COLUMN()),"YYYYMMDD"),"END_DATE_OVERRIDE",TEXT(INDEX(MO_Common_QEndDate,0,COLUMN()),"YYYYMMDD")),"N/A")</f>
        <v>N/A</v>
      </c>
      <c r="AA1083" s="134" t="str">
        <f ca="1">IFERROR(BDP(MO.Ticker.Bloomberg&amp;" Equity","INTERVAL_LOW","MARKET_DATA_OVERRIDE=PX_LAST","START_DATE_OVERRIDE",TEXT(INDEX(MO_SNA_FPStartDate,0,COLUMN()),"YYYYMMDD"),"END_DATE_OVERRIDE",TEXT(INDEX(MO_Common_QEndDate,0,COLUMN()),"YYYYMMDD")),"N/A")</f>
        <v>N/A</v>
      </c>
      <c r="AB1083" s="134" t="str">
        <f ca="1">IFERROR(BDP(MO.Ticker.Bloomberg&amp;" Equity","INTERVAL_LOW","MARKET_DATA_OVERRIDE=PX_LAST","START_DATE_OVERRIDE",TEXT(INDEX(MO_SNA_FPStartDate,0,COLUMN()),"YYYYMMDD"),"END_DATE_OVERRIDE",TEXT(INDEX(MO_Common_QEndDate,0,COLUMN()),"YYYYMMDD")),"N/A")</f>
        <v>N/A</v>
      </c>
      <c r="AC1083" s="134" t="str">
        <f ca="1">IFERROR(BDP(MO.Ticker.Bloomberg&amp;" Equity","INTERVAL_LOW","MARKET_DATA_OVERRIDE=PX_LAST","START_DATE_OVERRIDE",TEXT(INDEX(MO_SNA_FPStartDate,0,COLUMN()),"YYYYMMDD"),"END_DATE_OVERRIDE",TEXT(INDEX(MO_Common_QEndDate,0,COLUMN()),"YYYYMMDD")),"N/A")</f>
        <v>N/A</v>
      </c>
      <c r="AD1083" s="134" t="str">
        <f ca="1">IFERROR(BDP(MO.Ticker.Bloomberg&amp;" Equity","INTERVAL_LOW","MARKET_DATA_OVERRIDE=PX_LAST","START_DATE_OVERRIDE",TEXT(INDEX(MO_SNA_FPStartDate,0,COLUMN()),"YYYYMMDD"),"END_DATE_OVERRIDE",TEXT(INDEX(MO_Common_QEndDate,0,COLUMN()),"YYYYMMDD")),"N/A")</f>
        <v>N/A</v>
      </c>
      <c r="AE1083" s="134" t="str">
        <f ca="1">IFERROR(BDP(MO.Ticker.Bloomberg&amp;" Equity","INTERVAL_LOW","MARKET_DATA_OVERRIDE=PX_LAST","START_DATE_OVERRIDE",TEXT(INDEX(MO_SNA_FPStartDate,0,COLUMN()),"YYYYMMDD"),"END_DATE_OVERRIDE",TEXT(INDEX(MO_Common_QEndDate,0,COLUMN()),"YYYYMMDD")),"N/A")</f>
        <v>N/A</v>
      </c>
      <c r="AF1083" s="134" t="str">
        <f ca="1">IFERROR(BDP(MO.Ticker.Bloomberg&amp;" Equity","INTERVAL_LOW","MARKET_DATA_OVERRIDE=PX_LAST","START_DATE_OVERRIDE",TEXT(INDEX(MO_SNA_FPStartDate,0,COLUMN()),"YYYYMMDD"),"END_DATE_OVERRIDE",TEXT(INDEX(MO_Common_QEndDate,0,COLUMN()),"YYYYMMDD")),"N/A")</f>
        <v>N/A</v>
      </c>
      <c r="AG1083" s="134" t="str">
        <f ca="1">IFERROR(BDP(MO.Ticker.Bloomberg&amp;" Equity","INTERVAL_LOW","MARKET_DATA_OVERRIDE=PX_LAST","START_DATE_OVERRIDE",TEXT(INDEX(MO_SNA_FPStartDate,0,COLUMN()),"YYYYMMDD"),"END_DATE_OVERRIDE",TEXT(INDEX(MO_Common_QEndDate,0,COLUMN()),"YYYYMMDD")),"N/A")</f>
        <v>N/A</v>
      </c>
      <c r="AH1083" s="134" t="str">
        <f ca="1">IFERROR(BDP(MO.Ticker.Bloomberg&amp;" Equity","INTERVAL_LOW","MARKET_DATA_OVERRIDE=PX_LAST","START_DATE_OVERRIDE",TEXT(INDEX(MO_SNA_FPStartDate,0,COLUMN()),"YYYYMMDD"),"END_DATE_OVERRIDE",TEXT(INDEX(MO_Common_QEndDate,0,COLUMN()),"YYYYMMDD")),"N/A")</f>
        <v>N/A</v>
      </c>
      <c r="AI1083" s="134" t="str">
        <f ca="1">IFERROR(BDP(MO.Ticker.Bloomberg&amp;" Equity","INTERVAL_LOW","MARKET_DATA_OVERRIDE=PX_LAST","START_DATE_OVERRIDE",TEXT(INDEX(MO_SNA_FPStartDate,0,COLUMN()),"YYYYMMDD"),"END_DATE_OVERRIDE",TEXT(INDEX(MO_Common_QEndDate,0,COLUMN()),"YYYYMMDD")),"N/A")</f>
        <v>N/A</v>
      </c>
      <c r="AJ1083" s="134" t="str">
        <f ca="1">IFERROR(BDP(MO.Ticker.Bloomberg&amp;" Equity","INTERVAL_LOW","MARKET_DATA_OVERRIDE=PX_LAST","START_DATE_OVERRIDE",TEXT(INDEX(MO_SNA_FPStartDate,0,COLUMN()),"YYYYMMDD"),"END_DATE_OVERRIDE",TEXT(INDEX(MO_Common_QEndDate,0,COLUMN()),"YYYYMMDD")),"N/A")</f>
        <v>N/A</v>
      </c>
      <c r="AK1083" s="134" t="str">
        <f ca="1">IFERROR(BDP(MO.Ticker.Bloomberg&amp;" Equity","INTERVAL_LOW","MARKET_DATA_OVERRIDE=PX_LAST","START_DATE_OVERRIDE",TEXT(INDEX(MO_SNA_FPStartDate,0,COLUMN()),"YYYYMMDD"),"END_DATE_OVERRIDE",TEXT(INDEX(MO_Common_QEndDate,0,COLUMN()),"YYYYMMDD")),"N/A")</f>
        <v>N/A</v>
      </c>
      <c r="AL1083" s="134" t="str">
        <f ca="1">IFERROR(BDP(MO.Ticker.Bloomberg&amp;" Equity","INTERVAL_LOW","MARKET_DATA_OVERRIDE=PX_LAST","START_DATE_OVERRIDE",TEXT(INDEX(MO_SNA_FPStartDate,0,COLUMN()),"YYYYMMDD"),"END_DATE_OVERRIDE",TEXT(INDEX(MO_Common_QEndDate,0,COLUMN()),"YYYYMMDD")),"N/A")</f>
        <v>N/A</v>
      </c>
      <c r="AM1083" s="134" t="str">
        <f ca="1">IFERROR(BDP(MO.Ticker.Bloomberg&amp;" Equity","INTERVAL_LOW","MARKET_DATA_OVERRIDE=PX_LAST","START_DATE_OVERRIDE",TEXT(INDEX(MO_SNA_FPStartDate,0,COLUMN()),"YYYYMMDD"),"END_DATE_OVERRIDE",TEXT(INDEX(MO_Common_QEndDate,0,COLUMN()),"YYYYMMDD")),"N/A")</f>
        <v>N/A</v>
      </c>
      <c r="AN1083" s="134" t="str">
        <f ca="1">IFERROR(BDP(MO.Ticker.Bloomberg&amp;" Equity","INTERVAL_LOW","MARKET_DATA_OVERRIDE=PX_LAST","START_DATE_OVERRIDE",TEXT(INDEX(MO_SNA_FPStartDate,0,COLUMN()),"YYYYMMDD"),"END_DATE_OVERRIDE",TEXT(INDEX(MO_Common_QEndDate,0,COLUMN()),"YYYYMMDD")),"N/A")</f>
        <v>N/A</v>
      </c>
      <c r="AO1083" s="134" t="str">
        <f ca="1">IFERROR(BDP(MO.Ticker.Bloomberg&amp;" Equity","INTERVAL_LOW","MARKET_DATA_OVERRIDE=PX_LAST","START_DATE_OVERRIDE",TEXT(INDEX(MO_SNA_FPStartDate,0,COLUMN()),"YYYYMMDD"),"END_DATE_OVERRIDE",TEXT(INDEX(MO_Common_QEndDate,0,COLUMN()),"YYYYMMDD")),"N/A")</f>
        <v>N/A</v>
      </c>
      <c r="AP1083" s="134" t="str">
        <f ca="1">IFERROR(BDP(MO.Ticker.Bloomberg&amp;" Equity","INTERVAL_LOW","MARKET_DATA_OVERRIDE=PX_LAST","START_DATE_OVERRIDE",TEXT(INDEX(MO_SNA_FPStartDate,0,COLUMN()),"YYYYMMDD"),"END_DATE_OVERRIDE",TEXT(INDEX(MO_Common_QEndDate,0,COLUMN()),"YYYYMMDD")),"N/A")</f>
        <v>N/A</v>
      </c>
      <c r="AQ1083" s="134" t="str">
        <f ca="1">IFERROR(BDP(MO.Ticker.Bloomberg&amp;" Equity","INTERVAL_LOW","MARKET_DATA_OVERRIDE=PX_LAST","START_DATE_OVERRIDE",TEXT(INDEX(MO_SNA_FPStartDate,0,COLUMN()),"YYYYMMDD"),"END_DATE_OVERRIDE",TEXT(INDEX(MO_Common_QEndDate,0,COLUMN()),"YYYYMMDD")),"N/A")</f>
        <v>N/A</v>
      </c>
      <c r="AR1083" s="134" t="str">
        <f ca="1">IFERROR(BDP(MO.Ticker.Bloomberg&amp;" Equity","INTERVAL_LOW","MARKET_DATA_OVERRIDE=PX_LAST","START_DATE_OVERRIDE",TEXT(INDEX(MO_SNA_FPStartDate,0,COLUMN()),"YYYYMMDD"),"END_DATE_OVERRIDE",TEXT(INDEX(MO_Common_QEndDate,0,COLUMN()),"YYYYMMDD")),"N/A")</f>
        <v>N/A</v>
      </c>
      <c r="AS1083" s="134" t="str">
        <f ca="1">IFERROR(BDP(MO.Ticker.Bloomberg&amp;" Equity","INTERVAL_LOW","MARKET_DATA_OVERRIDE=PX_LAST","START_DATE_OVERRIDE",TEXT(INDEX(MO_SNA_FPStartDate,0,COLUMN()),"YYYYMMDD"),"END_DATE_OVERRIDE",TEXT(INDEX(MO_Common_QEndDate,0,COLUMN()),"YYYYMMDD")),"N/A")</f>
        <v>N/A</v>
      </c>
      <c r="AT1083" s="134" t="str">
        <f ca="1">IFERROR(BDP(MO.Ticker.Bloomberg&amp;" Equity","INTERVAL_LOW","MARKET_DATA_OVERRIDE=PX_LAST","START_DATE_OVERRIDE",TEXT(INDEX(MO_SNA_FPStartDate,0,COLUMN()),"YYYYMMDD"),"END_DATE_OVERRIDE",TEXT(INDEX(MO_Common_QEndDate,0,COLUMN()),"YYYYMMDD")),"N/A")</f>
        <v>N/A</v>
      </c>
      <c r="AU1083" s="134" t="str">
        <f ca="1">IFERROR(BDP(MO.Ticker.Bloomberg&amp;" Equity","INTERVAL_LOW","MARKET_DATA_OVERRIDE=PX_LAST","START_DATE_OVERRIDE",TEXT(INDEX(MO_SNA_FPStartDate,0,COLUMN()),"YYYYMMDD"),"END_DATE_OVERRIDE",TEXT(INDEX(MO_Common_QEndDate,0,COLUMN()),"YYYYMMDD")),"N/A")</f>
        <v>N/A</v>
      </c>
      <c r="AV1083" s="134" t="str">
        <f ca="1">IFERROR(BDP(MO.Ticker.Bloomberg&amp;" Equity","INTERVAL_LOW","MARKET_DATA_OVERRIDE=PX_LAST","START_DATE_OVERRIDE",TEXT(INDEX(MO_SNA_FPStartDate,0,COLUMN()),"YYYYMMDD"),"END_DATE_OVERRIDE",TEXT(INDEX(MO_Common_QEndDate,0,COLUMN()),"YYYYMMDD")),"N/A")</f>
        <v>N/A</v>
      </c>
      <c r="AW1083" s="134" t="str">
        <f ca="1">IFERROR(BDP(MO.Ticker.Bloomberg&amp;" Equity","INTERVAL_LOW","MARKET_DATA_OVERRIDE=PX_LAST","START_DATE_OVERRIDE",TEXT(INDEX(MO_SNA_FPStartDate,0,COLUMN()),"YYYYMMDD"),"END_DATE_OVERRIDE",TEXT(INDEX(MO_Common_QEndDate,0,COLUMN()),"YYYYMMDD")),"N/A")</f>
        <v>N/A</v>
      </c>
      <c r="AX1083" s="134" t="str">
        <f ca="1">IFERROR(BDP(MO.Ticker.Bloomberg&amp;" Equity","INTERVAL_LOW","MARKET_DATA_OVERRIDE=PX_LAST","START_DATE_OVERRIDE",TEXT(INDEX(MO_SNA_FPStartDate,0,COLUMN()),"YYYYMMDD"),"END_DATE_OVERRIDE",TEXT(INDEX(MO_Common_QEndDate,0,COLUMN()),"YYYYMMDD")),"N/A")</f>
        <v>N/A</v>
      </c>
      <c r="AY1083" s="134" t="str">
        <f ca="1">IFERROR(BDP(MO.Ticker.Bloomberg&amp;" Equity","INTERVAL_LOW","MARKET_DATA_OVERRIDE=PX_LAST","START_DATE_OVERRIDE",TEXT(INDEX(MO_SNA_FPStartDate,0,COLUMN()),"YYYYMMDD"),"END_DATE_OVERRIDE",TEXT(INDEX(MO_Common_QEndDate,0,COLUMN()),"YYYYMMDD")),"N/A")</f>
        <v>N/A</v>
      </c>
      <c r="AZ1083" s="134" t="str">
        <f ca="1">IFERROR(BDP(MO.Ticker.Bloomberg&amp;" Equity","INTERVAL_LOW","MARKET_DATA_OVERRIDE=PX_LAST","START_DATE_OVERRIDE",TEXT(INDEX(MO_SNA_FPStartDate,0,COLUMN()),"YYYYMMDD"),"END_DATE_OVERRIDE",TEXT(INDEX(MO_Common_QEndDate,0,COLUMN()),"YYYYMMDD")),"N/A")</f>
        <v>N/A</v>
      </c>
      <c r="BA1083" s="134" t="str">
        <f ca="1">IFERROR(BDP(MO.Ticker.Bloomberg&amp;" Equity","INTERVAL_LOW","MARKET_DATA_OVERRIDE=PX_LAST","START_DATE_OVERRIDE",TEXT(INDEX(MO_SNA_FPStartDate,0,COLUMN()),"YYYYMMDD"),"END_DATE_OVERRIDE",TEXT(INDEX(MO_Common_QEndDate,0,COLUMN()),"YYYYMMDD")),"N/A")</f>
        <v>N/A</v>
      </c>
      <c r="BB1083" s="134" t="str">
        <f ca="1">IFERROR(BDP(MO.Ticker.Bloomberg&amp;" Equity","INTERVAL_LOW","MARKET_DATA_OVERRIDE=PX_LAST","START_DATE_OVERRIDE",TEXT(INDEX(MO_SNA_FPStartDate,0,COLUMN()),"YYYYMMDD"),"END_DATE_OVERRIDE",TEXT(INDEX(MO_Common_QEndDate,0,COLUMN()),"YYYYMMDD")),"N/A")</f>
        <v>N/A</v>
      </c>
      <c r="BC1083" s="134" t="str">
        <f ca="1">IFERROR(BDP(MO.Ticker.Bloomberg&amp;" Equity","INTERVAL_LOW","MARKET_DATA_OVERRIDE=PX_LAST","START_DATE_OVERRIDE",TEXT(INDEX(MO_SNA_FPStartDate,0,COLUMN()),"YYYYMMDD"),"END_DATE_OVERRIDE",TEXT(INDEX(MO_Common_QEndDate,0,COLUMN()),"YYYYMMDD")),"N/A")</f>
        <v>N/A</v>
      </c>
      <c r="BD1083" s="134" t="str">
        <f ca="1">IFERROR(BDP(MO.Ticker.Bloomberg&amp;" Equity","INTERVAL_LOW","MARKET_DATA_OVERRIDE=PX_LAST","START_DATE_OVERRIDE",TEXT(INDEX(MO_SNA_FPStartDate,0,COLUMN()),"YYYYMMDD"),"END_DATE_OVERRIDE",TEXT(INDEX(MO_Common_QEndDate,0,COLUMN()),"YYYYMMDD")),"N/A")</f>
        <v>N/A</v>
      </c>
      <c r="BE1083" s="134" t="str">
        <f ca="1">IFERROR(BDP(MO.Ticker.Bloomberg&amp;" Equity","INTERVAL_LOW","MARKET_DATA_OVERRIDE=PX_LAST","START_DATE_OVERRIDE",TEXT(INDEX(MO_SNA_FPStartDate,0,COLUMN()),"YYYYMMDD"),"END_DATE_OVERRIDE",TEXT(INDEX(MO_Common_QEndDate,0,COLUMN()),"YYYYMMDD")),"N/A")</f>
        <v>N/A</v>
      </c>
      <c r="BF1083" s="134" t="str">
        <f ca="1">IFERROR(BDP(MO.Ticker.Bloomberg&amp;" Equity","INTERVAL_LOW","MARKET_DATA_OVERRIDE=PX_LAST","START_DATE_OVERRIDE",TEXT(INDEX(MO_SNA_FPStartDate,0,COLUMN()),"YYYYMMDD"),"END_DATE_OVERRIDE",TEXT(INDEX(MO_Common_QEndDate,0,COLUMN()),"YYYYMMDD")),"N/A")</f>
        <v>N/A</v>
      </c>
      <c r="BG1083" s="134"/>
      <c r="BH1083" s="589" t="str">
        <f ca="1">IFERROR(BDP(MO.Ticker.Bloomberg&amp;" Equity","INTERVAL_LOW","MARKET_DATA_OVERRIDE=PX_LAST","START_DATE_OVERRIDE",TEXT(INDEX(MO_SNA_FPStartDate,0,COLUMN()),"YYYYMMDD"),"END_DATE_OVERRIDE",TEXT(INDEX(MO_Common_QEndDate,0,COLUMN()),"YYYYMMDD")),"N/A")</f>
        <v>N/A</v>
      </c>
      <c r="BI1083" s="589" t="str">
        <f ca="1">IFERROR(BDP(MO.Ticker.Bloomberg&amp;" Equity","INTERVAL_LOW","MARKET_DATA_OVERRIDE=PX_LAST","START_DATE_OVERRIDE",TEXT(INDEX(MO_SNA_FPStartDate,0,COLUMN()),"YYYYMMDD"),"END_DATE_OVERRIDE",TEXT(INDEX(MO_Common_QEndDate,0,COLUMN()),"YYYYMMDD")),"N/A")</f>
        <v>N/A</v>
      </c>
      <c r="BJ1083" s="589" t="str">
        <f ca="1">IFERROR(BDP(MO.Ticker.Bloomberg&amp;" Equity","INTERVAL_LOW","MARKET_DATA_OVERRIDE=PX_LAST","START_DATE_OVERRIDE",TEXT(INDEX(MO_SNA_FPStartDate,0,COLUMN()),"YYYYMMDD"),"END_DATE_OVERRIDE",TEXT(INDEX(MO_Common_QEndDate,0,COLUMN()),"YYYYMMDD")),"N/A")</f>
        <v>N/A</v>
      </c>
      <c r="BK1083" s="589" t="str">
        <f ca="1">IFERROR(BDP(MO.Ticker.Bloomberg&amp;" Equity","INTERVAL_LOW","MARKET_DATA_OVERRIDE=PX_LAST","START_DATE_OVERRIDE",TEXT(INDEX(MO_SNA_FPStartDate,0,COLUMN()),"YYYYMMDD"),"END_DATE_OVERRIDE",TEXT(INDEX(MO_Common_QEndDate,0,COLUMN()),"YYYYMMDD")),"N/A")</f>
        <v>N/A</v>
      </c>
      <c r="BL1083" s="134" t="str">
        <f ca="1">IFERROR(BDP(MO.Ticker.Bloomberg&amp;" Equity","INTERVAL_LOW","MARKET_DATA_OVERRIDE=PX_LAST","START_DATE_OVERRIDE",TEXT(INDEX(MO_SNA_FPStartDate,0,COLUMN()),"YYYYMMDD"),"END_DATE_OVERRIDE",TEXT(INDEX(MO_Common_QEndDate,0,COLUMN()),"YYYYMMDD")),"N/A")</f>
        <v>N/A</v>
      </c>
      <c r="BM1083" s="134" t="str">
        <f ca="1">IFERROR(BDP(MO.Ticker.Bloomberg&amp;" Equity","INTERVAL_LOW","MARKET_DATA_OVERRIDE=PX_LAST","START_DATE_OVERRIDE",TEXT(INDEX(MO_SNA_FPStartDate,0,COLUMN()),"YYYYMMDD"),"END_DATE_OVERRIDE",TEXT(INDEX(MO_Common_QEndDate,0,COLUMN()),"YYYYMMDD")),"N/A")</f>
        <v>N/A</v>
      </c>
      <c r="BN1083" s="134" t="str">
        <f ca="1">IFERROR(BDP(MO.Ticker.Bloomberg&amp;" Equity","INTERVAL_LOW","MARKET_DATA_OVERRIDE=PX_LAST","START_DATE_OVERRIDE",TEXT(INDEX(MO_SNA_FPStartDate,0,COLUMN()),"YYYYMMDD"),"END_DATE_OVERRIDE",TEXT(INDEX(MO_Common_QEndDate,0,COLUMN()),"YYYYMMDD")),"N/A")</f>
        <v>N/A</v>
      </c>
      <c r="BO1083" s="134" t="str">
        <f ca="1">IFERROR(BDP(MO.Ticker.Bloomberg&amp;" Equity","INTERVAL_LOW","MARKET_DATA_OVERRIDE=PX_LAST","START_DATE_OVERRIDE",TEXT(INDEX(MO_SNA_FPStartDate,0,COLUMN()),"YYYYMMDD"),"END_DATE_OVERRIDE",TEXT(INDEX(MO_Common_QEndDate,0,COLUMN()),"YYYYMMDD")),"N/A")</f>
        <v>N/A</v>
      </c>
      <c r="BP1083" s="134" t="str">
        <f ca="1">IFERROR(BDP(MO.Ticker.Bloomberg&amp;" Equity","INTERVAL_LOW","MARKET_DATA_OVERRIDE=PX_LAST","START_DATE_OVERRIDE",TEXT(INDEX(MO_SNA_FPStartDate,0,COLUMN()),"YYYYMMDD"),"END_DATE_OVERRIDE",TEXT(INDEX(MO_Common_QEndDate,0,COLUMN()),"YYYYMMDD")),"N/A")</f>
        <v>N/A</v>
      </c>
      <c r="BQ1083" s="134" t="str">
        <f ca="1">IFERROR(BDP(MO.Ticker.Bloomberg&amp;" Equity","INTERVAL_LOW","MARKET_DATA_OVERRIDE=PX_LAST","START_DATE_OVERRIDE",TEXT(INDEX(MO_SNA_FPStartDate,0,COLUMN()),"YYYYMMDD"),"END_DATE_OVERRIDE",TEXT(INDEX(MO_Common_QEndDate,0,COLUMN()),"YYYYMMDD")),"N/A")</f>
        <v>N/A</v>
      </c>
      <c r="BR1083" s="134" t="str">
        <f ca="1">IFERROR(BDP(MO.Ticker.Bloomberg&amp;" Equity","INTERVAL_LOW","MARKET_DATA_OVERRIDE=PX_LAST","START_DATE_OVERRIDE",TEXT(INDEX(MO_SNA_FPStartDate,0,COLUMN()),"YYYYMMDD"),"END_DATE_OVERRIDE",TEXT(INDEX(MO_Common_QEndDate,0,COLUMN()),"YYYYMMDD")),"N/A")</f>
        <v>N/A</v>
      </c>
      <c r="BS1083" s="134" t="str">
        <f ca="1">IFERROR(BDP(MO.Ticker.Bloomberg&amp;" Equity","INTERVAL_LOW","MARKET_DATA_OVERRIDE=PX_LAST","START_DATE_OVERRIDE",TEXT(INDEX(MO_SNA_FPStartDate,0,COLUMN()),"YYYYMMDD"),"END_DATE_OVERRIDE",TEXT(INDEX(MO_Common_QEndDate,0,COLUMN()),"YYYYMMDD")),"N/A")</f>
        <v>N/A</v>
      </c>
      <c r="BT1083" s="134" t="str">
        <f ca="1">IFERROR(BDP(MO.Ticker.Bloomberg&amp;" Equity","INTERVAL_LOW","MARKET_DATA_OVERRIDE=PX_LAST","START_DATE_OVERRIDE",TEXT(INDEX(MO_SNA_FPStartDate,0,COLUMN()),"YYYYMMDD"),"END_DATE_OVERRIDE",TEXT(INDEX(MO_Common_QEndDate,0,COLUMN()),"YYYYMMDD")),"N/A")</f>
        <v>N/A</v>
      </c>
      <c r="BU1083" s="134" t="str">
        <f ca="1">IFERROR(BDP(MO.Ticker.Bloomberg&amp;" Equity","INTERVAL_LOW","MARKET_DATA_OVERRIDE=PX_LAST","START_DATE_OVERRIDE",TEXT(INDEX(MO_SNA_FPStartDate,0,COLUMN()),"YYYYMMDD"),"END_DATE_OVERRIDE",TEXT(INDEX(MO_Common_QEndDate,0,COLUMN()),"YYYYMMDD")),"N/A")</f>
        <v>N/A</v>
      </c>
      <c r="BV1083" s="134" t="str">
        <f ca="1">IFERROR(BDP(MO.Ticker.Bloomberg&amp;" Equity","INTERVAL_LOW","MARKET_DATA_OVERRIDE=PX_LAST","START_DATE_OVERRIDE",TEXT(INDEX(MO_SNA_FPStartDate,0,COLUMN()),"YYYYMMDD"),"END_DATE_OVERRIDE",TEXT(INDEX(MO_Common_QEndDate,0,COLUMN()),"YYYYMMDD")),"N/A")</f>
        <v>N/A</v>
      </c>
      <c r="BW1083" s="134" t="str">
        <f ca="1">IFERROR(BDP(MO.Ticker.Bloomberg&amp;" Equity","INTERVAL_LOW","MARKET_DATA_OVERRIDE=PX_LAST","START_DATE_OVERRIDE",TEXT(INDEX(MO_SNA_FPStartDate,0,COLUMN()),"YYYYMMDD"),"END_DATE_OVERRIDE",TEXT(INDEX(MO_Common_QEndDate,0,COLUMN()),"YYYYMMDD")),"N/A")</f>
        <v>N/A</v>
      </c>
      <c r="BX1083" s="134" t="str">
        <f ca="1">IFERROR(BDP(MO.Ticker.Bloomberg&amp;" Equity","INTERVAL_LOW","MARKET_DATA_OVERRIDE=PX_LAST","START_DATE_OVERRIDE",TEXT(INDEX(MO_SNA_FPStartDate,0,COLUMN()),"YYYYMMDD"),"END_DATE_OVERRIDE",TEXT(INDEX(MO_Common_QEndDate,0,COLUMN()),"YYYYMMDD")),"N/A")</f>
        <v>N/A</v>
      </c>
      <c r="BY1083" s="134" t="str">
        <f ca="1">IFERROR(BDP(MO.Ticker.Bloomberg&amp;" Equity","INTERVAL_LOW","MARKET_DATA_OVERRIDE=PX_LAST","START_DATE_OVERRIDE",TEXT(INDEX(MO_SNA_FPStartDate,0,COLUMN()),"YYYYMMDD"),"END_DATE_OVERRIDE",TEXT(INDEX(MO_Common_QEndDate,0,COLUMN()),"YYYYMMDD")),"N/A")</f>
        <v>N/A</v>
      </c>
      <c r="BZ1083" s="134" t="str">
        <f ca="1">IFERROR(BDP(MO.Ticker.Bloomberg&amp;" Equity","INTERVAL_LOW","MARKET_DATA_OVERRIDE=PX_LAST","START_DATE_OVERRIDE",TEXT(INDEX(MO_SNA_FPStartDate,0,COLUMN()),"YYYYMMDD"),"END_DATE_OVERRIDE",TEXT(INDEX(MO_Common_QEndDate,0,COLUMN()),"YYYYMMDD")),"N/A")</f>
        <v>N/A</v>
      </c>
      <c r="CA1083" s="134" t="str">
        <f ca="1">IFERROR(BDP(MO.Ticker.Bloomberg&amp;" Equity","INTERVAL_LOW","MARKET_DATA_OVERRIDE=PX_LAST","START_DATE_OVERRIDE",TEXT(INDEX(MO_SNA_FPStartDate,0,COLUMN()),"YYYYMMDD"),"END_DATE_OVERRIDE",TEXT(INDEX(MO_Common_QEndDate,0,COLUMN()),"YYYYMMDD")),"N/A")</f>
        <v>N/A</v>
      </c>
      <c r="CB1083" s="134" t="str">
        <f ca="1">IFERROR(BDP(MO.Ticker.Bloomberg&amp;" Equity","INTERVAL_LOW","MARKET_DATA_OVERRIDE=PX_LAST","START_DATE_OVERRIDE",TEXT(INDEX(MO_SNA_FPStartDate,0,COLUMN()),"YYYYMMDD"),"END_DATE_OVERRIDE",TEXT(INDEX(MO_Common_QEndDate,0,COLUMN()),"YYYYMMDD")),"N/A")</f>
        <v>N/A</v>
      </c>
      <c r="CC1083" s="180"/>
    </row>
    <row r="1084" spans="1:81" outlineLevel="1" x14ac:dyDescent="0.55000000000000004">
      <c r="A1084" s="1157" t="s">
        <v>244</v>
      </c>
      <c r="B1084" s="134"/>
      <c r="C1084" s="589" t="str">
        <f ca="1">IFERROR(CIQLO(MO.Ticker.CapIQ,"IQ_LASTSALEPRICE",INDEX(MO_SNA_FPStartDate,0,COLUMN()),INDEX(MO_Common_QEndDate,0,COLUMN())),"N/A")</f>
        <v>N/A</v>
      </c>
      <c r="D1084" s="134" t="str">
        <f ca="1">IFERROR(CIQLO(MO.Ticker.CapIQ,"IQ_LASTSALEPRICE",INDEX(MO_SNA_FPStartDate,0,COLUMN()),INDEX(MO_Common_QEndDate,0,COLUMN())),"N/A")</f>
        <v>N/A</v>
      </c>
      <c r="E1084" s="134" t="str">
        <f ca="1">IFERROR(CIQLO(MO.Ticker.CapIQ,"IQ_LASTSALEPRICE",INDEX(MO_SNA_FPStartDate,0,COLUMN()),INDEX(MO_Common_QEndDate,0,COLUMN())),"N/A")</f>
        <v>N/A</v>
      </c>
      <c r="F1084" s="134" t="str">
        <f ca="1">IFERROR(CIQLO(MO.Ticker.CapIQ,"IQ_LASTSALEPRICE",INDEX(MO_SNA_FPStartDate,0,COLUMN()),INDEX(MO_Common_QEndDate,0,COLUMN())),"N/A")</f>
        <v>N/A</v>
      </c>
      <c r="G1084" s="134" t="str">
        <f ca="1">IFERROR(CIQLO(MO.Ticker.CapIQ,"IQ_LASTSALEPRICE",INDEX(MO_SNA_FPStartDate,0,COLUMN()),INDEX(MO_Common_QEndDate,0,COLUMN())),"N/A")</f>
        <v>N/A</v>
      </c>
      <c r="H1084" s="134" t="str">
        <f ca="1">IFERROR(CIQLO(MO.Ticker.CapIQ,"IQ_LASTSALEPRICE",INDEX(MO_SNA_FPStartDate,0,COLUMN()),INDEX(MO_Common_QEndDate,0,COLUMN())),"N/A")</f>
        <v>N/A</v>
      </c>
      <c r="I1084" s="134" t="str">
        <f ca="1">IFERROR(CIQLO(MO.Ticker.CapIQ,"IQ_LASTSALEPRICE",INDEX(MO_SNA_FPStartDate,0,COLUMN()),INDEX(MO_Common_QEndDate,0,COLUMN())),"N/A")</f>
        <v>N/A</v>
      </c>
      <c r="J1084" s="134" t="str">
        <f ca="1">IFERROR(CIQLO(MO.Ticker.CapIQ,"IQ_LASTSALEPRICE",INDEX(MO_SNA_FPStartDate,0,COLUMN()),INDEX(MO_Common_QEndDate,0,COLUMN())),"N/A")</f>
        <v>N/A</v>
      </c>
      <c r="K1084" s="134" t="str">
        <f ca="1">IFERROR(CIQLO(MO.Ticker.CapIQ,"IQ_LASTSALEPRICE",INDEX(MO_SNA_FPStartDate,0,COLUMN()),INDEX(MO_Common_QEndDate,0,COLUMN())),"N/A")</f>
        <v>N/A</v>
      </c>
      <c r="L1084" s="134" t="str">
        <f ca="1">IFERROR(CIQLO(MO.Ticker.CapIQ,"IQ_LASTSALEPRICE",INDEX(MO_SNA_FPStartDate,0,COLUMN()),INDEX(MO_Common_QEndDate,0,COLUMN())),"N/A")</f>
        <v>N/A</v>
      </c>
      <c r="M1084" s="134" t="str">
        <f ca="1">IFERROR(CIQLO(MO.Ticker.CapIQ,"IQ_LASTSALEPRICE",INDEX(MO_SNA_FPStartDate,0,COLUMN()),INDEX(MO_Common_QEndDate,0,COLUMN())),"N/A")</f>
        <v>N/A</v>
      </c>
      <c r="N1084" s="134" t="str">
        <f ca="1">IFERROR(CIQLO(MO.Ticker.CapIQ,"IQ_LASTSALEPRICE",INDEX(MO_SNA_FPStartDate,0,COLUMN()),INDEX(MO_Common_QEndDate,0,COLUMN())),"N/A")</f>
        <v>N/A</v>
      </c>
      <c r="O1084" s="134" t="str">
        <f ca="1">IFERROR(CIQLO(MO.Ticker.CapIQ,"IQ_LASTSALEPRICE",INDEX(MO_SNA_FPStartDate,0,COLUMN()),INDEX(MO_Common_QEndDate,0,COLUMN())),"N/A")</f>
        <v>N/A</v>
      </c>
      <c r="P1084" s="134" t="str">
        <f ca="1">IFERROR(CIQLO(MO.Ticker.CapIQ,"IQ_LASTSALEPRICE",INDEX(MO_SNA_FPStartDate,0,COLUMN()),INDEX(MO_Common_QEndDate,0,COLUMN())),"N/A")</f>
        <v>N/A</v>
      </c>
      <c r="Q1084" s="134" t="str">
        <f ca="1">IFERROR(CIQLO(MO.Ticker.CapIQ,"IQ_LASTSALEPRICE",INDEX(MO_SNA_FPStartDate,0,COLUMN()),INDEX(MO_Common_QEndDate,0,COLUMN())),"N/A")</f>
        <v>N/A</v>
      </c>
      <c r="R1084" s="134" t="str">
        <f ca="1">IFERROR(CIQLO(MO.Ticker.CapIQ,"IQ_LASTSALEPRICE",INDEX(MO_SNA_FPStartDate,0,COLUMN()),INDEX(MO_Common_QEndDate,0,COLUMN())),"N/A")</f>
        <v>N/A</v>
      </c>
      <c r="S1084" s="134" t="str">
        <f ca="1">IFERROR(CIQLO(MO.Ticker.CapIQ,"IQ_LASTSALEPRICE",INDEX(MO_SNA_FPStartDate,0,COLUMN()),INDEX(MO_Common_QEndDate,0,COLUMN())),"N/A")</f>
        <v>N/A</v>
      </c>
      <c r="T1084" s="134" t="str">
        <f ca="1">IFERROR(CIQLO(MO.Ticker.CapIQ,"IQ_LASTSALEPRICE",INDEX(MO_SNA_FPStartDate,0,COLUMN()),INDEX(MO_Common_QEndDate,0,COLUMN())),"N/A")</f>
        <v>N/A</v>
      </c>
      <c r="U1084" s="134" t="str">
        <f ca="1">IFERROR(CIQLO(MO.Ticker.CapIQ,"IQ_LASTSALEPRICE",INDEX(MO_SNA_FPStartDate,0,COLUMN()),INDEX(MO_Common_QEndDate,0,COLUMN())),"N/A")</f>
        <v>N/A</v>
      </c>
      <c r="V1084" s="134" t="str">
        <f ca="1">IFERROR(CIQLO(MO.Ticker.CapIQ,"IQ_LASTSALEPRICE",INDEX(MO_SNA_FPStartDate,0,COLUMN()),INDEX(MO_Common_QEndDate,0,COLUMN())),"N/A")</f>
        <v>N/A</v>
      </c>
      <c r="W1084" s="134" t="str">
        <f ca="1">IFERROR(CIQLO(MO.Ticker.CapIQ,"IQ_LASTSALEPRICE",INDEX(MO_SNA_FPStartDate,0,COLUMN()),INDEX(MO_Common_QEndDate,0,COLUMN())),"N/A")</f>
        <v>N/A</v>
      </c>
      <c r="X1084" s="134" t="str">
        <f ca="1">IFERROR(CIQLO(MO.Ticker.CapIQ,"IQ_LASTSALEPRICE",INDEX(MO_SNA_FPStartDate,0,COLUMN()),INDEX(MO_Common_QEndDate,0,COLUMN())),"N/A")</f>
        <v>N/A</v>
      </c>
      <c r="Y1084" s="134" t="str">
        <f ca="1">IFERROR(CIQLO(MO.Ticker.CapIQ,"IQ_LASTSALEPRICE",INDEX(MO_SNA_FPStartDate,0,COLUMN()),INDEX(MO_Common_QEndDate,0,COLUMN())),"N/A")</f>
        <v>N/A</v>
      </c>
      <c r="Z1084" s="134" t="str">
        <f ca="1">IFERROR(CIQLO(MO.Ticker.CapIQ,"IQ_LASTSALEPRICE",INDEX(MO_SNA_FPStartDate,0,COLUMN()),INDEX(MO_Common_QEndDate,0,COLUMN())),"N/A")</f>
        <v>N/A</v>
      </c>
      <c r="AA1084" s="134" t="str">
        <f ca="1">IFERROR(CIQLO(MO.Ticker.CapIQ,"IQ_LASTSALEPRICE",INDEX(MO_SNA_FPStartDate,0,COLUMN()),INDEX(MO_Common_QEndDate,0,COLUMN())),"N/A")</f>
        <v>N/A</v>
      </c>
      <c r="AB1084" s="134" t="str">
        <f ca="1">IFERROR(CIQLO(MO.Ticker.CapIQ,"IQ_LASTSALEPRICE",INDEX(MO_SNA_FPStartDate,0,COLUMN()),INDEX(MO_Common_QEndDate,0,COLUMN())),"N/A")</f>
        <v>N/A</v>
      </c>
      <c r="AC1084" s="134" t="str">
        <f ca="1">IFERROR(CIQLO(MO.Ticker.CapIQ,"IQ_LASTSALEPRICE",INDEX(MO_SNA_FPStartDate,0,COLUMN()),INDEX(MO_Common_QEndDate,0,COLUMN())),"N/A")</f>
        <v>N/A</v>
      </c>
      <c r="AD1084" s="134" t="str">
        <f ca="1">IFERROR(CIQLO(MO.Ticker.CapIQ,"IQ_LASTSALEPRICE",INDEX(MO_SNA_FPStartDate,0,COLUMN()),INDEX(MO_Common_QEndDate,0,COLUMN())),"N/A")</f>
        <v>N/A</v>
      </c>
      <c r="AE1084" s="134" t="str">
        <f ca="1">IFERROR(CIQLO(MO.Ticker.CapIQ,"IQ_LASTSALEPRICE",INDEX(MO_SNA_FPStartDate,0,COLUMN()),INDEX(MO_Common_QEndDate,0,COLUMN())),"N/A")</f>
        <v>N/A</v>
      </c>
      <c r="AF1084" s="134" t="str">
        <f ca="1">IFERROR(CIQLO(MO.Ticker.CapIQ,"IQ_LASTSALEPRICE",INDEX(MO_SNA_FPStartDate,0,COLUMN()),INDEX(MO_Common_QEndDate,0,COLUMN())),"N/A")</f>
        <v>N/A</v>
      </c>
      <c r="AG1084" s="134" t="str">
        <f ca="1">IFERROR(CIQLO(MO.Ticker.CapIQ,"IQ_LASTSALEPRICE",INDEX(MO_SNA_FPStartDate,0,COLUMN()),INDEX(MO_Common_QEndDate,0,COLUMN())),"N/A")</f>
        <v>N/A</v>
      </c>
      <c r="AH1084" s="134" t="str">
        <f ca="1">IFERROR(CIQLO(MO.Ticker.CapIQ,"IQ_LASTSALEPRICE",INDEX(MO_SNA_FPStartDate,0,COLUMN()),INDEX(MO_Common_QEndDate,0,COLUMN())),"N/A")</f>
        <v>N/A</v>
      </c>
      <c r="AI1084" s="134" t="str">
        <f ca="1">IFERROR(CIQLO(MO.Ticker.CapIQ,"IQ_LASTSALEPRICE",INDEX(MO_SNA_FPStartDate,0,COLUMN()),INDEX(MO_Common_QEndDate,0,COLUMN())),"N/A")</f>
        <v>N/A</v>
      </c>
      <c r="AJ1084" s="134" t="str">
        <f ca="1">IFERROR(CIQLO(MO.Ticker.CapIQ,"IQ_LASTSALEPRICE",INDEX(MO_SNA_FPStartDate,0,COLUMN()),INDEX(MO_Common_QEndDate,0,COLUMN())),"N/A")</f>
        <v>N/A</v>
      </c>
      <c r="AK1084" s="134" t="str">
        <f ca="1">IFERROR(CIQLO(MO.Ticker.CapIQ,"IQ_LASTSALEPRICE",INDEX(MO_SNA_FPStartDate,0,COLUMN()),INDEX(MO_Common_QEndDate,0,COLUMN())),"N/A")</f>
        <v>N/A</v>
      </c>
      <c r="AL1084" s="134" t="str">
        <f ca="1">IFERROR(CIQLO(MO.Ticker.CapIQ,"IQ_LASTSALEPRICE",INDEX(MO_SNA_FPStartDate,0,COLUMN()),INDEX(MO_Common_QEndDate,0,COLUMN())),"N/A")</f>
        <v>N/A</v>
      </c>
      <c r="AM1084" s="134" t="str">
        <f ca="1">IFERROR(CIQLO(MO.Ticker.CapIQ,"IQ_LASTSALEPRICE",INDEX(MO_SNA_FPStartDate,0,COLUMN()),INDEX(MO_Common_QEndDate,0,COLUMN())),"N/A")</f>
        <v>N/A</v>
      </c>
      <c r="AN1084" s="134" t="str">
        <f ca="1">IFERROR(CIQLO(MO.Ticker.CapIQ,"IQ_LASTSALEPRICE",INDEX(MO_SNA_FPStartDate,0,COLUMN()),INDEX(MO_Common_QEndDate,0,COLUMN())),"N/A")</f>
        <v>N/A</v>
      </c>
      <c r="AO1084" s="134" t="str">
        <f ca="1">IFERROR(CIQLO(MO.Ticker.CapIQ,"IQ_LASTSALEPRICE",INDEX(MO_SNA_FPStartDate,0,COLUMN()),INDEX(MO_Common_QEndDate,0,COLUMN())),"N/A")</f>
        <v>N/A</v>
      </c>
      <c r="AP1084" s="134" t="str">
        <f ca="1">IFERROR(CIQLO(MO.Ticker.CapIQ,"IQ_LASTSALEPRICE",INDEX(MO_SNA_FPStartDate,0,COLUMN()),INDEX(MO_Common_QEndDate,0,COLUMN())),"N/A")</f>
        <v>N/A</v>
      </c>
      <c r="AQ1084" s="134" t="str">
        <f ca="1">IFERROR(CIQLO(MO.Ticker.CapIQ,"IQ_LASTSALEPRICE",INDEX(MO_SNA_FPStartDate,0,COLUMN()),INDEX(MO_Common_QEndDate,0,COLUMN())),"N/A")</f>
        <v>N/A</v>
      </c>
      <c r="AR1084" s="134" t="str">
        <f ca="1">IFERROR(CIQLO(MO.Ticker.CapIQ,"IQ_LASTSALEPRICE",INDEX(MO_SNA_FPStartDate,0,COLUMN()),INDEX(MO_Common_QEndDate,0,COLUMN())),"N/A")</f>
        <v>N/A</v>
      </c>
      <c r="AS1084" s="134" t="str">
        <f ca="1">IFERROR(CIQLO(MO.Ticker.CapIQ,"IQ_LASTSALEPRICE",INDEX(MO_SNA_FPStartDate,0,COLUMN()),INDEX(MO_Common_QEndDate,0,COLUMN())),"N/A")</f>
        <v>N/A</v>
      </c>
      <c r="AT1084" s="134" t="str">
        <f ca="1">IFERROR(CIQLO(MO.Ticker.CapIQ,"IQ_LASTSALEPRICE",INDEX(MO_SNA_FPStartDate,0,COLUMN()),INDEX(MO_Common_QEndDate,0,COLUMN())),"N/A")</f>
        <v>N/A</v>
      </c>
      <c r="AU1084" s="134" t="str">
        <f ca="1">IFERROR(CIQLO(MO.Ticker.CapIQ,"IQ_LASTSALEPRICE",INDEX(MO_SNA_FPStartDate,0,COLUMN()),INDEX(MO_Common_QEndDate,0,COLUMN())),"N/A")</f>
        <v>N/A</v>
      </c>
      <c r="AV1084" s="134" t="str">
        <f ca="1">IFERROR(CIQLO(MO.Ticker.CapIQ,"IQ_LASTSALEPRICE",INDEX(MO_SNA_FPStartDate,0,COLUMN()),INDEX(MO_Common_QEndDate,0,COLUMN())),"N/A")</f>
        <v>N/A</v>
      </c>
      <c r="AW1084" s="134" t="str">
        <f ca="1">IFERROR(CIQLO(MO.Ticker.CapIQ,"IQ_LASTSALEPRICE",INDEX(MO_SNA_FPStartDate,0,COLUMN()),INDEX(MO_Common_QEndDate,0,COLUMN())),"N/A")</f>
        <v>N/A</v>
      </c>
      <c r="AX1084" s="134" t="str">
        <f ca="1">IFERROR(CIQLO(MO.Ticker.CapIQ,"IQ_LASTSALEPRICE",INDEX(MO_SNA_FPStartDate,0,COLUMN()),INDEX(MO_Common_QEndDate,0,COLUMN())),"N/A")</f>
        <v>N/A</v>
      </c>
      <c r="AY1084" s="134" t="str">
        <f ca="1">IFERROR(CIQLO(MO.Ticker.CapIQ,"IQ_LASTSALEPRICE",INDEX(MO_SNA_FPStartDate,0,COLUMN()),INDEX(MO_Common_QEndDate,0,COLUMN())),"N/A")</f>
        <v>N/A</v>
      </c>
      <c r="AZ1084" s="134" t="str">
        <f ca="1">IFERROR(CIQLO(MO.Ticker.CapIQ,"IQ_LASTSALEPRICE",INDEX(MO_SNA_FPStartDate,0,COLUMN()),INDEX(MO_Common_QEndDate,0,COLUMN())),"N/A")</f>
        <v>N/A</v>
      </c>
      <c r="BA1084" s="134" t="str">
        <f ca="1">IFERROR(CIQLO(MO.Ticker.CapIQ,"IQ_LASTSALEPRICE",INDEX(MO_SNA_FPStartDate,0,COLUMN()),INDEX(MO_Common_QEndDate,0,COLUMN())),"N/A")</f>
        <v>N/A</v>
      </c>
      <c r="BB1084" s="134" t="str">
        <f ca="1">IFERROR(CIQLO(MO.Ticker.CapIQ,"IQ_LASTSALEPRICE",INDEX(MO_SNA_FPStartDate,0,COLUMN()),INDEX(MO_Common_QEndDate,0,COLUMN())),"N/A")</f>
        <v>N/A</v>
      </c>
      <c r="BC1084" s="134" t="str">
        <f ca="1">IFERROR(CIQLO(MO.Ticker.CapIQ,"IQ_LASTSALEPRICE",INDEX(MO_SNA_FPStartDate,0,COLUMN()),INDEX(MO_Common_QEndDate,0,COLUMN())),"N/A")</f>
        <v>N/A</v>
      </c>
      <c r="BD1084" s="134" t="str">
        <f ca="1">IFERROR(CIQLO(MO.Ticker.CapIQ,"IQ_LASTSALEPRICE",INDEX(MO_SNA_FPStartDate,0,COLUMN()),INDEX(MO_Common_QEndDate,0,COLUMN())),"N/A")</f>
        <v>N/A</v>
      </c>
      <c r="BE1084" s="134" t="str">
        <f ca="1">IFERROR(CIQLO(MO.Ticker.CapIQ,"IQ_LASTSALEPRICE",INDEX(MO_SNA_FPStartDate,0,COLUMN()),INDEX(MO_Common_QEndDate,0,COLUMN())),"N/A")</f>
        <v>N/A</v>
      </c>
      <c r="BF1084" s="134" t="str">
        <f ca="1">IFERROR(CIQLO(MO.Ticker.CapIQ,"IQ_LASTSALEPRICE",INDEX(MO_SNA_FPStartDate,0,COLUMN()),INDEX(MO_Common_QEndDate,0,COLUMN())),"N/A")</f>
        <v>N/A</v>
      </c>
      <c r="BG1084" s="134"/>
      <c r="BH1084" s="589" t="str">
        <f ca="1">IFERROR(CIQLO(MO.Ticker.CapIQ,"IQ_LASTSALEPRICE",INDEX(MO_SNA_FPStartDate,0,COLUMN()),INDEX(MO_Common_QEndDate,0,COLUMN())),"N/A")</f>
        <v>N/A</v>
      </c>
      <c r="BI1084" s="589" t="str">
        <f ca="1">IFERROR(CIQLO(MO.Ticker.CapIQ,"IQ_LASTSALEPRICE",INDEX(MO_SNA_FPStartDate,0,COLUMN()),INDEX(MO_Common_QEndDate,0,COLUMN())),"N/A")</f>
        <v>N/A</v>
      </c>
      <c r="BJ1084" s="589" t="str">
        <f ca="1">IFERROR(CIQLO(MO.Ticker.CapIQ,"IQ_LASTSALEPRICE",INDEX(MO_SNA_FPStartDate,0,COLUMN()),INDEX(MO_Common_QEndDate,0,COLUMN())),"N/A")</f>
        <v>N/A</v>
      </c>
      <c r="BK1084" s="589" t="str">
        <f ca="1">IFERROR(CIQLO(MO.Ticker.CapIQ,"IQ_LASTSALEPRICE",INDEX(MO_SNA_FPStartDate,0,COLUMN()),INDEX(MO_Common_QEndDate,0,COLUMN())),"N/A")</f>
        <v>N/A</v>
      </c>
      <c r="BL1084" s="134" t="str">
        <f ca="1">IFERROR(CIQLO(MO.Ticker.CapIQ,"IQ_LASTSALEPRICE",INDEX(MO_SNA_FPStartDate,0,COLUMN()),INDEX(MO_Common_QEndDate,0,COLUMN())),"N/A")</f>
        <v>N/A</v>
      </c>
      <c r="BM1084" s="134" t="str">
        <f ca="1">IFERROR(CIQLO(MO.Ticker.CapIQ,"IQ_LASTSALEPRICE",INDEX(MO_SNA_FPStartDate,0,COLUMN()),INDEX(MO_Common_QEndDate,0,COLUMN())),"N/A")</f>
        <v>N/A</v>
      </c>
      <c r="BN1084" s="134" t="str">
        <f ca="1">IFERROR(CIQLO(MO.Ticker.CapIQ,"IQ_LASTSALEPRICE",INDEX(MO_SNA_FPStartDate,0,COLUMN()),INDEX(MO_Common_QEndDate,0,COLUMN())),"N/A")</f>
        <v>N/A</v>
      </c>
      <c r="BO1084" s="134" t="str">
        <f ca="1">IFERROR(CIQLO(MO.Ticker.CapIQ,"IQ_LASTSALEPRICE",INDEX(MO_SNA_FPStartDate,0,COLUMN()),INDEX(MO_Common_QEndDate,0,COLUMN())),"N/A")</f>
        <v>N/A</v>
      </c>
      <c r="BP1084" s="134" t="str">
        <f ca="1">IFERROR(CIQLO(MO.Ticker.CapIQ,"IQ_LASTSALEPRICE",INDEX(MO_SNA_FPStartDate,0,COLUMN()),INDEX(MO_Common_QEndDate,0,COLUMN())),"N/A")</f>
        <v>N/A</v>
      </c>
      <c r="BQ1084" s="134" t="str">
        <f ca="1">IFERROR(CIQLO(MO.Ticker.CapIQ,"IQ_LASTSALEPRICE",INDEX(MO_SNA_FPStartDate,0,COLUMN()),INDEX(MO_Common_QEndDate,0,COLUMN())),"N/A")</f>
        <v>N/A</v>
      </c>
      <c r="BR1084" s="134" t="str">
        <f ca="1">IFERROR(CIQLO(MO.Ticker.CapIQ,"IQ_LASTSALEPRICE",INDEX(MO_SNA_FPStartDate,0,COLUMN()),INDEX(MO_Common_QEndDate,0,COLUMN())),"N/A")</f>
        <v>N/A</v>
      </c>
      <c r="BS1084" s="134" t="str">
        <f ca="1">IFERROR(CIQLO(MO.Ticker.CapIQ,"IQ_LASTSALEPRICE",INDEX(MO_SNA_FPStartDate,0,COLUMN()),INDEX(MO_Common_QEndDate,0,COLUMN())),"N/A")</f>
        <v>N/A</v>
      </c>
      <c r="BT1084" s="134" t="str">
        <f ca="1">IFERROR(CIQLO(MO.Ticker.CapIQ,"IQ_LASTSALEPRICE",INDEX(MO_SNA_FPStartDate,0,COLUMN()),INDEX(MO_Common_QEndDate,0,COLUMN())),"N/A")</f>
        <v>N/A</v>
      </c>
      <c r="BU1084" s="134" t="str">
        <f ca="1">IFERROR(CIQLO(MO.Ticker.CapIQ,"IQ_LASTSALEPRICE",INDEX(MO_SNA_FPStartDate,0,COLUMN()),INDEX(MO_Common_QEndDate,0,COLUMN())),"N/A")</f>
        <v>N/A</v>
      </c>
      <c r="BV1084" s="134" t="str">
        <f ca="1">IFERROR(CIQLO(MO.Ticker.CapIQ,"IQ_LASTSALEPRICE",INDEX(MO_SNA_FPStartDate,0,COLUMN()),INDEX(MO_Common_QEndDate,0,COLUMN())),"N/A")</f>
        <v>N/A</v>
      </c>
      <c r="BW1084" s="134" t="str">
        <f ca="1">IFERROR(CIQLO(MO.Ticker.CapIQ,"IQ_LASTSALEPRICE",INDEX(MO_SNA_FPStartDate,0,COLUMN()),INDEX(MO_Common_QEndDate,0,COLUMN())),"N/A")</f>
        <v>N/A</v>
      </c>
      <c r="BX1084" s="134" t="str">
        <f ca="1">IFERROR(CIQLO(MO.Ticker.CapIQ,"IQ_LASTSALEPRICE",INDEX(MO_SNA_FPStartDate,0,COLUMN()),INDEX(MO_Common_QEndDate,0,COLUMN())),"N/A")</f>
        <v>N/A</v>
      </c>
      <c r="BY1084" s="134" t="str">
        <f ca="1">IFERROR(CIQLO(MO.Ticker.CapIQ,"IQ_LASTSALEPRICE",INDEX(MO_SNA_FPStartDate,0,COLUMN()),INDEX(MO_Common_QEndDate,0,COLUMN())),"N/A")</f>
        <v>N/A</v>
      </c>
      <c r="BZ1084" s="134" t="str">
        <f ca="1">IFERROR(CIQLO(MO.Ticker.CapIQ,"IQ_LASTSALEPRICE",INDEX(MO_SNA_FPStartDate,0,COLUMN()),INDEX(MO_Common_QEndDate,0,COLUMN())),"N/A")</f>
        <v>N/A</v>
      </c>
      <c r="CA1084" s="134" t="str">
        <f ca="1">IFERROR(CIQLO(MO.Ticker.CapIQ,"IQ_LASTSALEPRICE",INDEX(MO_SNA_FPStartDate,0,COLUMN()),INDEX(MO_Common_QEndDate,0,COLUMN())),"N/A")</f>
        <v>N/A</v>
      </c>
      <c r="CB1084" s="134" t="str">
        <f ca="1">IFERROR(CIQLO(MO.Ticker.CapIQ,"IQ_LASTSALEPRICE",INDEX(MO_SNA_FPStartDate,0,COLUMN()),INDEX(MO_Common_QEndDate,0,COLUMN())),"N/A")</f>
        <v>N/A</v>
      </c>
      <c r="CC1084" s="180"/>
    </row>
    <row r="1085" spans="1:81" outlineLevel="1" x14ac:dyDescent="0.55000000000000004">
      <c r="A1085" s="1157" t="s">
        <v>245</v>
      </c>
      <c r="B1085" s="134"/>
      <c r="C1085" s="589" t="str">
        <f ca="1">IFERROR(FDS(MO.Ticker.FactSet,"P_PRICE_LOW"&amp;"("&amp;INDEX(MO_SNA_FPStartDate,0,COLUMN())&amp;","&amp;INDEX(MO_Common_QEndDate,0,COLUMN())&amp;",,,,""PRICE"",""CLOSE"")"),"N/A")</f>
        <v>N/A</v>
      </c>
      <c r="D1085" s="134" t="str">
        <f ca="1">IFERROR(FDS(MO.Ticker.FactSet,"P_PRICE_LOW"&amp;"("&amp;INDEX(MO_SNA_FPStartDate,0,COLUMN())&amp;","&amp;INDEX(MO_Common_QEndDate,0,COLUMN())&amp;",,,,""PRICE"",""CLOSE"")"),"N/A")</f>
        <v>N/A</v>
      </c>
      <c r="E1085" s="134" t="str">
        <f ca="1">IFERROR(FDS(MO.Ticker.FactSet,"P_PRICE_LOW"&amp;"("&amp;INDEX(MO_SNA_FPStartDate,0,COLUMN())&amp;","&amp;INDEX(MO_Common_QEndDate,0,COLUMN())&amp;",,,,""PRICE"",""CLOSE"")"),"N/A")</f>
        <v>N/A</v>
      </c>
      <c r="F1085" s="134" t="str">
        <f ca="1">IFERROR(FDS(MO.Ticker.FactSet,"P_PRICE_LOW"&amp;"("&amp;INDEX(MO_SNA_FPStartDate,0,COLUMN())&amp;","&amp;INDEX(MO_Common_QEndDate,0,COLUMN())&amp;",,,,""PRICE"",""CLOSE"")"),"N/A")</f>
        <v>N/A</v>
      </c>
      <c r="G1085" s="134" t="str">
        <f ca="1">IFERROR(FDS(MO.Ticker.FactSet,"P_PRICE_LOW"&amp;"("&amp;INDEX(MO_SNA_FPStartDate,0,COLUMN())&amp;","&amp;INDEX(MO_Common_QEndDate,0,COLUMN())&amp;",,,,""PRICE"",""CLOSE"")"),"N/A")</f>
        <v>N/A</v>
      </c>
      <c r="H1085" s="134" t="str">
        <f ca="1">IFERROR(FDS(MO.Ticker.FactSet,"P_PRICE_LOW"&amp;"("&amp;INDEX(MO_SNA_FPStartDate,0,COLUMN())&amp;","&amp;INDEX(MO_Common_QEndDate,0,COLUMN())&amp;",,,,""PRICE"",""CLOSE"")"),"N/A")</f>
        <v>N/A</v>
      </c>
      <c r="I1085" s="134" t="str">
        <f ca="1">IFERROR(FDS(MO.Ticker.FactSet,"P_PRICE_LOW"&amp;"("&amp;INDEX(MO_SNA_FPStartDate,0,COLUMN())&amp;","&amp;INDEX(MO_Common_QEndDate,0,COLUMN())&amp;",,,,""PRICE"",""CLOSE"")"),"N/A")</f>
        <v>N/A</v>
      </c>
      <c r="J1085" s="134" t="str">
        <f ca="1">IFERROR(FDS(MO.Ticker.FactSet,"P_PRICE_LOW"&amp;"("&amp;INDEX(MO_SNA_FPStartDate,0,COLUMN())&amp;","&amp;INDEX(MO_Common_QEndDate,0,COLUMN())&amp;",,,,""PRICE"",""CLOSE"")"),"N/A")</f>
        <v>N/A</v>
      </c>
      <c r="K1085" s="134" t="str">
        <f ca="1">IFERROR(FDS(MO.Ticker.FactSet,"P_PRICE_LOW"&amp;"("&amp;INDEX(MO_SNA_FPStartDate,0,COLUMN())&amp;","&amp;INDEX(MO_Common_QEndDate,0,COLUMN())&amp;",,,,""PRICE"",""CLOSE"")"),"N/A")</f>
        <v>N/A</v>
      </c>
      <c r="L1085" s="134" t="str">
        <f ca="1">IFERROR(FDS(MO.Ticker.FactSet,"P_PRICE_LOW"&amp;"("&amp;INDEX(MO_SNA_FPStartDate,0,COLUMN())&amp;","&amp;INDEX(MO_Common_QEndDate,0,COLUMN())&amp;",,,,""PRICE"",""CLOSE"")"),"N/A")</f>
        <v>N/A</v>
      </c>
      <c r="M1085" s="134" t="str">
        <f ca="1">IFERROR(FDS(MO.Ticker.FactSet,"P_PRICE_LOW"&amp;"("&amp;INDEX(MO_SNA_FPStartDate,0,COLUMN())&amp;","&amp;INDEX(MO_Common_QEndDate,0,COLUMN())&amp;",,,,""PRICE"",""CLOSE"")"),"N/A")</f>
        <v>N/A</v>
      </c>
      <c r="N1085" s="134" t="str">
        <f ca="1">IFERROR(FDS(MO.Ticker.FactSet,"P_PRICE_LOW"&amp;"("&amp;INDEX(MO_SNA_FPStartDate,0,COLUMN())&amp;","&amp;INDEX(MO_Common_QEndDate,0,COLUMN())&amp;",,,,""PRICE"",""CLOSE"")"),"N/A")</f>
        <v>N/A</v>
      </c>
      <c r="O1085" s="134" t="str">
        <f ca="1">IFERROR(FDS(MO.Ticker.FactSet,"P_PRICE_LOW"&amp;"("&amp;INDEX(MO_SNA_FPStartDate,0,COLUMN())&amp;","&amp;INDEX(MO_Common_QEndDate,0,COLUMN())&amp;",,,,""PRICE"",""CLOSE"")"),"N/A")</f>
        <v>N/A</v>
      </c>
      <c r="P1085" s="134" t="str">
        <f ca="1">IFERROR(FDS(MO.Ticker.FactSet,"P_PRICE_LOW"&amp;"("&amp;INDEX(MO_SNA_FPStartDate,0,COLUMN())&amp;","&amp;INDEX(MO_Common_QEndDate,0,COLUMN())&amp;",,,,""PRICE"",""CLOSE"")"),"N/A")</f>
        <v>N/A</v>
      </c>
      <c r="Q1085" s="134" t="str">
        <f ca="1">IFERROR(FDS(MO.Ticker.FactSet,"P_PRICE_LOW"&amp;"("&amp;INDEX(MO_SNA_FPStartDate,0,COLUMN())&amp;","&amp;INDEX(MO_Common_QEndDate,0,COLUMN())&amp;",,,,""PRICE"",""CLOSE"")"),"N/A")</f>
        <v>N/A</v>
      </c>
      <c r="R1085" s="134" t="str">
        <f ca="1">IFERROR(FDS(MO.Ticker.FactSet,"P_PRICE_LOW"&amp;"("&amp;INDEX(MO_SNA_FPStartDate,0,COLUMN())&amp;","&amp;INDEX(MO_Common_QEndDate,0,COLUMN())&amp;",,,,""PRICE"",""CLOSE"")"),"N/A")</f>
        <v>N/A</v>
      </c>
      <c r="S1085" s="134" t="str">
        <f ca="1">IFERROR(FDS(MO.Ticker.FactSet,"P_PRICE_LOW"&amp;"("&amp;INDEX(MO_SNA_FPStartDate,0,COLUMN())&amp;","&amp;INDEX(MO_Common_QEndDate,0,COLUMN())&amp;",,,,""PRICE"",""CLOSE"")"),"N/A")</f>
        <v>N/A</v>
      </c>
      <c r="T1085" s="134" t="str">
        <f ca="1">IFERROR(FDS(MO.Ticker.FactSet,"P_PRICE_LOW"&amp;"("&amp;INDEX(MO_SNA_FPStartDate,0,COLUMN())&amp;","&amp;INDEX(MO_Common_QEndDate,0,COLUMN())&amp;",,,,""PRICE"",""CLOSE"")"),"N/A")</f>
        <v>N/A</v>
      </c>
      <c r="U1085" s="134" t="str">
        <f ca="1">IFERROR(FDS(MO.Ticker.FactSet,"P_PRICE_LOW"&amp;"("&amp;INDEX(MO_SNA_FPStartDate,0,COLUMN())&amp;","&amp;INDEX(MO_Common_QEndDate,0,COLUMN())&amp;",,,,""PRICE"",""CLOSE"")"),"N/A")</f>
        <v>N/A</v>
      </c>
      <c r="V1085" s="134" t="str">
        <f ca="1">IFERROR(FDS(MO.Ticker.FactSet,"P_PRICE_LOW"&amp;"("&amp;INDEX(MO_SNA_FPStartDate,0,COLUMN())&amp;","&amp;INDEX(MO_Common_QEndDate,0,COLUMN())&amp;",,,,""PRICE"",""CLOSE"")"),"N/A")</f>
        <v>N/A</v>
      </c>
      <c r="W1085" s="134" t="str">
        <f ca="1">IFERROR(FDS(MO.Ticker.FactSet,"P_PRICE_LOW"&amp;"("&amp;INDEX(MO_SNA_FPStartDate,0,COLUMN())&amp;","&amp;INDEX(MO_Common_QEndDate,0,COLUMN())&amp;",,,,""PRICE"",""CLOSE"")"),"N/A")</f>
        <v>N/A</v>
      </c>
      <c r="X1085" s="134" t="str">
        <f ca="1">IFERROR(FDS(MO.Ticker.FactSet,"P_PRICE_LOW"&amp;"("&amp;INDEX(MO_SNA_FPStartDate,0,COLUMN())&amp;","&amp;INDEX(MO_Common_QEndDate,0,COLUMN())&amp;",,,,""PRICE"",""CLOSE"")"),"N/A")</f>
        <v>N/A</v>
      </c>
      <c r="Y1085" s="134" t="str">
        <f ca="1">IFERROR(FDS(MO.Ticker.FactSet,"P_PRICE_LOW"&amp;"("&amp;INDEX(MO_SNA_FPStartDate,0,COLUMN())&amp;","&amp;INDEX(MO_Common_QEndDate,0,COLUMN())&amp;",,,,""PRICE"",""CLOSE"")"),"N/A")</f>
        <v>N/A</v>
      </c>
      <c r="Z1085" s="134" t="str">
        <f ca="1">IFERROR(FDS(MO.Ticker.FactSet,"P_PRICE_LOW"&amp;"("&amp;INDEX(MO_SNA_FPStartDate,0,COLUMN())&amp;","&amp;INDEX(MO_Common_QEndDate,0,COLUMN())&amp;",,,,""PRICE"",""CLOSE"")"),"N/A")</f>
        <v>N/A</v>
      </c>
      <c r="AA1085" s="134" t="str">
        <f ca="1">IFERROR(FDS(MO.Ticker.FactSet,"P_PRICE_LOW"&amp;"("&amp;INDEX(MO_SNA_FPStartDate,0,COLUMN())&amp;","&amp;INDEX(MO_Common_QEndDate,0,COLUMN())&amp;",,,,""PRICE"",""CLOSE"")"),"N/A")</f>
        <v>N/A</v>
      </c>
      <c r="AB1085" s="134" t="str">
        <f ca="1">IFERROR(FDS(MO.Ticker.FactSet,"P_PRICE_LOW"&amp;"("&amp;INDEX(MO_SNA_FPStartDate,0,COLUMN())&amp;","&amp;INDEX(MO_Common_QEndDate,0,COLUMN())&amp;",,,,""PRICE"",""CLOSE"")"),"N/A")</f>
        <v>N/A</v>
      </c>
      <c r="AC1085" s="134" t="str">
        <f ca="1">IFERROR(FDS(MO.Ticker.FactSet,"P_PRICE_LOW"&amp;"("&amp;INDEX(MO_SNA_FPStartDate,0,COLUMN())&amp;","&amp;INDEX(MO_Common_QEndDate,0,COLUMN())&amp;",,,,""PRICE"",""CLOSE"")"),"N/A")</f>
        <v>N/A</v>
      </c>
      <c r="AD1085" s="134" t="str">
        <f ca="1">IFERROR(FDS(MO.Ticker.FactSet,"P_PRICE_LOW"&amp;"("&amp;INDEX(MO_SNA_FPStartDate,0,COLUMN())&amp;","&amp;INDEX(MO_Common_QEndDate,0,COLUMN())&amp;",,,,""PRICE"",""CLOSE"")"),"N/A")</f>
        <v>N/A</v>
      </c>
      <c r="AE1085" s="134" t="str">
        <f ca="1">IFERROR(FDS(MO.Ticker.FactSet,"P_PRICE_LOW"&amp;"("&amp;INDEX(MO_SNA_FPStartDate,0,COLUMN())&amp;","&amp;INDEX(MO_Common_QEndDate,0,COLUMN())&amp;",,,,""PRICE"",""CLOSE"")"),"N/A")</f>
        <v>N/A</v>
      </c>
      <c r="AF1085" s="134" t="str">
        <f ca="1">IFERROR(FDS(MO.Ticker.FactSet,"P_PRICE_LOW"&amp;"("&amp;INDEX(MO_SNA_FPStartDate,0,COLUMN())&amp;","&amp;INDEX(MO_Common_QEndDate,0,COLUMN())&amp;",,,,""PRICE"",""CLOSE"")"),"N/A")</f>
        <v>N/A</v>
      </c>
      <c r="AG1085" s="134" t="str">
        <f ca="1">IFERROR(FDS(MO.Ticker.FactSet,"P_PRICE_LOW"&amp;"("&amp;INDEX(MO_SNA_FPStartDate,0,COLUMN())&amp;","&amp;INDEX(MO_Common_QEndDate,0,COLUMN())&amp;",,,,""PRICE"",""CLOSE"")"),"N/A")</f>
        <v>N/A</v>
      </c>
      <c r="AH1085" s="134" t="str">
        <f ca="1">IFERROR(FDS(MO.Ticker.FactSet,"P_PRICE_LOW"&amp;"("&amp;INDEX(MO_SNA_FPStartDate,0,COLUMN())&amp;","&amp;INDEX(MO_Common_QEndDate,0,COLUMN())&amp;",,,,""PRICE"",""CLOSE"")"),"N/A")</f>
        <v>N/A</v>
      </c>
      <c r="AI1085" s="134" t="str">
        <f ca="1">IFERROR(FDS(MO.Ticker.FactSet,"P_PRICE_LOW"&amp;"("&amp;INDEX(MO_SNA_FPStartDate,0,COLUMN())&amp;","&amp;INDEX(MO_Common_QEndDate,0,COLUMN())&amp;",,,,""PRICE"",""CLOSE"")"),"N/A")</f>
        <v>N/A</v>
      </c>
      <c r="AJ1085" s="134" t="str">
        <f ca="1">IFERROR(FDS(MO.Ticker.FactSet,"P_PRICE_LOW"&amp;"("&amp;INDEX(MO_SNA_FPStartDate,0,COLUMN())&amp;","&amp;INDEX(MO_Common_QEndDate,0,COLUMN())&amp;",,,,""PRICE"",""CLOSE"")"),"N/A")</f>
        <v>N/A</v>
      </c>
      <c r="AK1085" s="134" t="str">
        <f ca="1">IFERROR(FDS(MO.Ticker.FactSet,"P_PRICE_LOW"&amp;"("&amp;INDEX(MO_SNA_FPStartDate,0,COLUMN())&amp;","&amp;INDEX(MO_Common_QEndDate,0,COLUMN())&amp;",,,,""PRICE"",""CLOSE"")"),"N/A")</f>
        <v>N/A</v>
      </c>
      <c r="AL1085" s="134" t="str">
        <f ca="1">IFERROR(FDS(MO.Ticker.FactSet,"P_PRICE_LOW"&amp;"("&amp;INDEX(MO_SNA_FPStartDate,0,COLUMN())&amp;","&amp;INDEX(MO_Common_QEndDate,0,COLUMN())&amp;",,,,""PRICE"",""CLOSE"")"),"N/A")</f>
        <v>N/A</v>
      </c>
      <c r="AM1085" s="134" t="str">
        <f ca="1">IFERROR(FDS(MO.Ticker.FactSet,"P_PRICE_LOW"&amp;"("&amp;INDEX(MO_SNA_FPStartDate,0,COLUMN())&amp;","&amp;INDEX(MO_Common_QEndDate,0,COLUMN())&amp;",,,,""PRICE"",""CLOSE"")"),"N/A")</f>
        <v>N/A</v>
      </c>
      <c r="AN1085" s="134" t="str">
        <f ca="1">IFERROR(FDS(MO.Ticker.FactSet,"P_PRICE_LOW"&amp;"("&amp;INDEX(MO_SNA_FPStartDate,0,COLUMN())&amp;","&amp;INDEX(MO_Common_QEndDate,0,COLUMN())&amp;",,,,""PRICE"",""CLOSE"")"),"N/A")</f>
        <v>N/A</v>
      </c>
      <c r="AO1085" s="134" t="str">
        <f ca="1">IFERROR(FDS(MO.Ticker.FactSet,"P_PRICE_LOW"&amp;"("&amp;INDEX(MO_SNA_FPStartDate,0,COLUMN())&amp;","&amp;INDEX(MO_Common_QEndDate,0,COLUMN())&amp;",,,,""PRICE"",""CLOSE"")"),"N/A")</f>
        <v>N/A</v>
      </c>
      <c r="AP1085" s="134" t="str">
        <f ca="1">IFERROR(FDS(MO.Ticker.FactSet,"P_PRICE_LOW"&amp;"("&amp;INDEX(MO_SNA_FPStartDate,0,COLUMN())&amp;","&amp;INDEX(MO_Common_QEndDate,0,COLUMN())&amp;",,,,""PRICE"",""CLOSE"")"),"N/A")</f>
        <v>N/A</v>
      </c>
      <c r="AQ1085" s="134" t="str">
        <f ca="1">IFERROR(FDS(MO.Ticker.FactSet,"P_PRICE_LOW"&amp;"("&amp;INDEX(MO_SNA_FPStartDate,0,COLUMN())&amp;","&amp;INDEX(MO_Common_QEndDate,0,COLUMN())&amp;",,,,""PRICE"",""CLOSE"")"),"N/A")</f>
        <v>N/A</v>
      </c>
      <c r="AR1085" s="134" t="str">
        <f ca="1">IFERROR(FDS(MO.Ticker.FactSet,"P_PRICE_LOW"&amp;"("&amp;INDEX(MO_SNA_FPStartDate,0,COLUMN())&amp;","&amp;INDEX(MO_Common_QEndDate,0,COLUMN())&amp;",,,,""PRICE"",""CLOSE"")"),"N/A")</f>
        <v>N/A</v>
      </c>
      <c r="AS1085" s="134" t="str">
        <f ca="1">IFERROR(FDS(MO.Ticker.FactSet,"P_PRICE_LOW"&amp;"("&amp;INDEX(MO_SNA_FPStartDate,0,COLUMN())&amp;","&amp;INDEX(MO_Common_QEndDate,0,COLUMN())&amp;",,,,""PRICE"",""CLOSE"")"),"N/A")</f>
        <v>N/A</v>
      </c>
      <c r="AT1085" s="134" t="str">
        <f ca="1">IFERROR(FDS(MO.Ticker.FactSet,"P_PRICE_LOW"&amp;"("&amp;INDEX(MO_SNA_FPStartDate,0,COLUMN())&amp;","&amp;INDEX(MO_Common_QEndDate,0,COLUMN())&amp;",,,,""PRICE"",""CLOSE"")"),"N/A")</f>
        <v>N/A</v>
      </c>
      <c r="AU1085" s="134" t="str">
        <f ca="1">IFERROR(FDS(MO.Ticker.FactSet,"P_PRICE_LOW"&amp;"("&amp;INDEX(MO_SNA_FPStartDate,0,COLUMN())&amp;","&amp;INDEX(MO_Common_QEndDate,0,COLUMN())&amp;",,,,""PRICE"",""CLOSE"")"),"N/A")</f>
        <v>N/A</v>
      </c>
      <c r="AV1085" s="134" t="str">
        <f ca="1">IFERROR(FDS(MO.Ticker.FactSet,"P_PRICE_LOW"&amp;"("&amp;INDEX(MO_SNA_FPStartDate,0,COLUMN())&amp;","&amp;INDEX(MO_Common_QEndDate,0,COLUMN())&amp;",,,,""PRICE"",""CLOSE"")"),"N/A")</f>
        <v>N/A</v>
      </c>
      <c r="AW1085" s="134" t="str">
        <f ca="1">IFERROR(FDS(MO.Ticker.FactSet,"P_PRICE_LOW"&amp;"("&amp;INDEX(MO_SNA_FPStartDate,0,COLUMN())&amp;","&amp;INDEX(MO_Common_QEndDate,0,COLUMN())&amp;",,,,""PRICE"",""CLOSE"")"),"N/A")</f>
        <v>N/A</v>
      </c>
      <c r="AX1085" s="134" t="str">
        <f ca="1">IFERROR(FDS(MO.Ticker.FactSet,"P_PRICE_LOW"&amp;"("&amp;INDEX(MO_SNA_FPStartDate,0,COLUMN())&amp;","&amp;INDEX(MO_Common_QEndDate,0,COLUMN())&amp;",,,,""PRICE"",""CLOSE"")"),"N/A")</f>
        <v>N/A</v>
      </c>
      <c r="AY1085" s="134" t="str">
        <f ca="1">IFERROR(FDS(MO.Ticker.FactSet,"P_PRICE_LOW"&amp;"("&amp;INDEX(MO_SNA_FPStartDate,0,COLUMN())&amp;","&amp;INDEX(MO_Common_QEndDate,0,COLUMN())&amp;",,,,""PRICE"",""CLOSE"")"),"N/A")</f>
        <v>N/A</v>
      </c>
      <c r="AZ1085" s="134" t="str">
        <f ca="1">IFERROR(FDS(MO.Ticker.FactSet,"P_PRICE_LOW"&amp;"("&amp;INDEX(MO_SNA_FPStartDate,0,COLUMN())&amp;","&amp;INDEX(MO_Common_QEndDate,0,COLUMN())&amp;",,,,""PRICE"",""CLOSE"")"),"N/A")</f>
        <v>N/A</v>
      </c>
      <c r="BA1085" s="134" t="str">
        <f ca="1">IFERROR(FDS(MO.Ticker.FactSet,"P_PRICE_LOW"&amp;"("&amp;INDEX(MO_SNA_FPStartDate,0,COLUMN())&amp;","&amp;INDEX(MO_Common_QEndDate,0,COLUMN())&amp;",,,,""PRICE"",""CLOSE"")"),"N/A")</f>
        <v>N/A</v>
      </c>
      <c r="BB1085" s="134" t="str">
        <f ca="1">IFERROR(FDS(MO.Ticker.FactSet,"P_PRICE_LOW"&amp;"("&amp;INDEX(MO_SNA_FPStartDate,0,COLUMN())&amp;","&amp;INDEX(MO_Common_QEndDate,0,COLUMN())&amp;",,,,""PRICE"",""CLOSE"")"),"N/A")</f>
        <v>N/A</v>
      </c>
      <c r="BC1085" s="134" t="str">
        <f ca="1">IFERROR(FDS(MO.Ticker.FactSet,"P_PRICE_LOW"&amp;"("&amp;INDEX(MO_SNA_FPStartDate,0,COLUMN())&amp;","&amp;INDEX(MO_Common_QEndDate,0,COLUMN())&amp;",,,,""PRICE"",""CLOSE"")"),"N/A")</f>
        <v>N/A</v>
      </c>
      <c r="BD1085" s="134" t="str">
        <f ca="1">IFERROR(FDS(MO.Ticker.FactSet,"P_PRICE_LOW"&amp;"("&amp;INDEX(MO_SNA_FPStartDate,0,COLUMN())&amp;","&amp;INDEX(MO_Common_QEndDate,0,COLUMN())&amp;",,,,""PRICE"",""CLOSE"")"),"N/A")</f>
        <v>N/A</v>
      </c>
      <c r="BE1085" s="134" t="str">
        <f ca="1">IFERROR(FDS(MO.Ticker.FactSet,"P_PRICE_LOW"&amp;"("&amp;INDEX(MO_SNA_FPStartDate,0,COLUMN())&amp;","&amp;INDEX(MO_Common_QEndDate,0,COLUMN())&amp;",,,,""PRICE"",""CLOSE"")"),"N/A")</f>
        <v>N/A</v>
      </c>
      <c r="BF1085" s="134" t="str">
        <f ca="1">IFERROR(FDS(MO.Ticker.FactSet,"P_PRICE_LOW"&amp;"("&amp;INDEX(MO_SNA_FPStartDate,0,COLUMN())&amp;","&amp;INDEX(MO_Common_QEndDate,0,COLUMN())&amp;",,,,""PRICE"",""CLOSE"")"),"N/A")</f>
        <v>N/A</v>
      </c>
      <c r="BG1085" s="134"/>
      <c r="BH1085" s="589" t="str">
        <f ca="1">IFERROR(FDS(MO.Ticker.FactSet,"P_PRICE_LOW"&amp;"("&amp;INDEX(MO_SNA_FPStartDate,0,COLUMN())&amp;","&amp;INDEX(MO_Common_QEndDate,0,COLUMN())&amp;",,,,""PRICE"",""CLOSE"")"),"N/A")</f>
        <v>N/A</v>
      </c>
      <c r="BI1085" s="589" t="str">
        <f ca="1">IFERROR(FDS(MO.Ticker.FactSet,"P_PRICE_LOW"&amp;"("&amp;INDEX(MO_SNA_FPStartDate,0,COLUMN())&amp;","&amp;INDEX(MO_Common_QEndDate,0,COLUMN())&amp;",,,,""PRICE"",""CLOSE"")"),"N/A")</f>
        <v>N/A</v>
      </c>
      <c r="BJ1085" s="589" t="str">
        <f ca="1">IFERROR(FDS(MO.Ticker.FactSet,"P_PRICE_LOW"&amp;"("&amp;INDEX(MO_SNA_FPStartDate,0,COLUMN())&amp;","&amp;INDEX(MO_Common_QEndDate,0,COLUMN())&amp;",,,,""PRICE"",""CLOSE"")"),"N/A")</f>
        <v>N/A</v>
      </c>
      <c r="BK1085" s="589" t="str">
        <f ca="1">IFERROR(FDS(MO.Ticker.FactSet,"P_PRICE_LOW"&amp;"("&amp;INDEX(MO_SNA_FPStartDate,0,COLUMN())&amp;","&amp;INDEX(MO_Common_QEndDate,0,COLUMN())&amp;",,,,""PRICE"",""CLOSE"")"),"N/A")</f>
        <v>N/A</v>
      </c>
      <c r="BL1085" s="134" t="str">
        <f ca="1">IFERROR(FDS(MO.Ticker.FactSet,"P_PRICE_LOW"&amp;"("&amp;INDEX(MO_SNA_FPStartDate,0,COLUMN())&amp;","&amp;INDEX(MO_Common_QEndDate,0,COLUMN())&amp;",,,,""PRICE"",""CLOSE"")"),"N/A")</f>
        <v>N/A</v>
      </c>
      <c r="BM1085" s="134" t="str">
        <f ca="1">IFERROR(FDS(MO.Ticker.FactSet,"P_PRICE_LOW"&amp;"("&amp;INDEX(MO_SNA_FPStartDate,0,COLUMN())&amp;","&amp;INDEX(MO_Common_QEndDate,0,COLUMN())&amp;",,,,""PRICE"",""CLOSE"")"),"N/A")</f>
        <v>N/A</v>
      </c>
      <c r="BN1085" s="134" t="str">
        <f ca="1">IFERROR(FDS(MO.Ticker.FactSet,"P_PRICE_LOW"&amp;"("&amp;INDEX(MO_SNA_FPStartDate,0,COLUMN())&amp;","&amp;INDEX(MO_Common_QEndDate,0,COLUMN())&amp;",,,,""PRICE"",""CLOSE"")"),"N/A")</f>
        <v>N/A</v>
      </c>
      <c r="BO1085" s="134" t="str">
        <f ca="1">IFERROR(FDS(MO.Ticker.FactSet,"P_PRICE_LOW"&amp;"("&amp;INDEX(MO_SNA_FPStartDate,0,COLUMN())&amp;","&amp;INDEX(MO_Common_QEndDate,0,COLUMN())&amp;",,,,""PRICE"",""CLOSE"")"),"N/A")</f>
        <v>N/A</v>
      </c>
      <c r="BP1085" s="134" t="str">
        <f ca="1">IFERROR(FDS(MO.Ticker.FactSet,"P_PRICE_LOW"&amp;"("&amp;INDEX(MO_SNA_FPStartDate,0,COLUMN())&amp;","&amp;INDEX(MO_Common_QEndDate,0,COLUMN())&amp;",,,,""PRICE"",""CLOSE"")"),"N/A")</f>
        <v>N/A</v>
      </c>
      <c r="BQ1085" s="134" t="str">
        <f ca="1">IFERROR(FDS(MO.Ticker.FactSet,"P_PRICE_LOW"&amp;"("&amp;INDEX(MO_SNA_FPStartDate,0,COLUMN())&amp;","&amp;INDEX(MO_Common_QEndDate,0,COLUMN())&amp;",,,,""PRICE"",""CLOSE"")"),"N/A")</f>
        <v>N/A</v>
      </c>
      <c r="BR1085" s="134" t="str">
        <f ca="1">IFERROR(FDS(MO.Ticker.FactSet,"P_PRICE_LOW"&amp;"("&amp;INDEX(MO_SNA_FPStartDate,0,COLUMN())&amp;","&amp;INDEX(MO_Common_QEndDate,0,COLUMN())&amp;",,,,""PRICE"",""CLOSE"")"),"N/A")</f>
        <v>N/A</v>
      </c>
      <c r="BS1085" s="134" t="str">
        <f ca="1">IFERROR(FDS(MO.Ticker.FactSet,"P_PRICE_LOW"&amp;"("&amp;INDEX(MO_SNA_FPStartDate,0,COLUMN())&amp;","&amp;INDEX(MO_Common_QEndDate,0,COLUMN())&amp;",,,,""PRICE"",""CLOSE"")"),"N/A")</f>
        <v>N/A</v>
      </c>
      <c r="BT1085" s="134" t="str">
        <f ca="1">IFERROR(FDS(MO.Ticker.FactSet,"P_PRICE_LOW"&amp;"("&amp;INDEX(MO_SNA_FPStartDate,0,COLUMN())&amp;","&amp;INDEX(MO_Common_QEndDate,0,COLUMN())&amp;",,,,""PRICE"",""CLOSE"")"),"N/A")</f>
        <v>N/A</v>
      </c>
      <c r="BU1085" s="134" t="str">
        <f ca="1">IFERROR(FDS(MO.Ticker.FactSet,"P_PRICE_LOW"&amp;"("&amp;INDEX(MO_SNA_FPStartDate,0,COLUMN())&amp;","&amp;INDEX(MO_Common_QEndDate,0,COLUMN())&amp;",,,,""PRICE"",""CLOSE"")"),"N/A")</f>
        <v>N/A</v>
      </c>
      <c r="BV1085" s="134" t="str">
        <f ca="1">IFERROR(FDS(MO.Ticker.FactSet,"P_PRICE_LOW"&amp;"("&amp;INDEX(MO_SNA_FPStartDate,0,COLUMN())&amp;","&amp;INDEX(MO_Common_QEndDate,0,COLUMN())&amp;",,,,""PRICE"",""CLOSE"")"),"N/A")</f>
        <v>N/A</v>
      </c>
      <c r="BW1085" s="134" t="str">
        <f ca="1">IFERROR(FDS(MO.Ticker.FactSet,"P_PRICE_LOW"&amp;"("&amp;INDEX(MO_SNA_FPStartDate,0,COLUMN())&amp;","&amp;INDEX(MO_Common_QEndDate,0,COLUMN())&amp;",,,,""PRICE"",""CLOSE"")"),"N/A")</f>
        <v>N/A</v>
      </c>
      <c r="BX1085" s="134" t="str">
        <f ca="1">IFERROR(FDS(MO.Ticker.FactSet,"P_PRICE_LOW"&amp;"("&amp;INDEX(MO_SNA_FPStartDate,0,COLUMN())&amp;","&amp;INDEX(MO_Common_QEndDate,0,COLUMN())&amp;",,,,""PRICE"",""CLOSE"")"),"N/A")</f>
        <v>N/A</v>
      </c>
      <c r="BY1085" s="134" t="str">
        <f ca="1">IFERROR(FDS(MO.Ticker.FactSet,"P_PRICE_LOW"&amp;"("&amp;INDEX(MO_SNA_FPStartDate,0,COLUMN())&amp;","&amp;INDEX(MO_Common_QEndDate,0,COLUMN())&amp;",,,,""PRICE"",""CLOSE"")"),"N/A")</f>
        <v>N/A</v>
      </c>
      <c r="BZ1085" s="134" t="str">
        <f ca="1">IFERROR(FDS(MO.Ticker.FactSet,"P_PRICE_LOW"&amp;"("&amp;INDEX(MO_SNA_FPStartDate,0,COLUMN())&amp;","&amp;INDEX(MO_Common_QEndDate,0,COLUMN())&amp;",,,,""PRICE"",""CLOSE"")"),"N/A")</f>
        <v>N/A</v>
      </c>
      <c r="CA1085" s="134" t="str">
        <f ca="1">IFERROR(FDS(MO.Ticker.FactSet,"P_PRICE_LOW"&amp;"("&amp;INDEX(MO_SNA_FPStartDate,0,COLUMN())&amp;","&amp;INDEX(MO_Common_QEndDate,0,COLUMN())&amp;",,,,""PRICE"",""CLOSE"")"),"N/A")</f>
        <v>N/A</v>
      </c>
      <c r="CB1085" s="134" t="str">
        <f ca="1">IFERROR(FDS(MO.Ticker.FactSet,"P_PRICE_LOW"&amp;"("&amp;INDEX(MO_SNA_FPStartDate,0,COLUMN())&amp;","&amp;INDEX(MO_Common_QEndDate,0,COLUMN())&amp;",,,,""PRICE"",""CLOSE"")"),"N/A")</f>
        <v>N/A</v>
      </c>
      <c r="CC1085" s="180"/>
    </row>
    <row r="1086" spans="1:81" outlineLevel="1" x14ac:dyDescent="0.55000000000000004">
      <c r="A1086" s="1157" t="s">
        <v>447</v>
      </c>
      <c r="B1086" s="134"/>
      <c r="C1086" s="589" t="str">
        <f ca="1">IFERROR(_xll.TR(MO.Ticker.Thomson,"Min(TR.PriceLow)","sdate:#1 edate:#2",,INDEX(MO_SNA_FPStartDate,0,COLUMN()),INDEX(MO_Common_QEndDate,0,COLUMN())),"N/A")</f>
        <v>N/A</v>
      </c>
      <c r="D1086" s="134" t="str">
        <f ca="1">IFERROR(_xll.TR(MO.Ticker.Thomson,"Min(TR.PriceLow)","sdate:#1 edate:#2",,INDEX(MO_SNA_FPStartDate,0,COLUMN()),INDEX(MO_Common_QEndDate,0,COLUMN())),"N/A")</f>
        <v>N/A</v>
      </c>
      <c r="E1086" s="134" t="str">
        <f ca="1">IFERROR(_xll.TR(MO.Ticker.Thomson,"Min(TR.PriceLow)","sdate:#1 edate:#2",,INDEX(MO_SNA_FPStartDate,0,COLUMN()),INDEX(MO_Common_QEndDate,0,COLUMN())),"N/A")</f>
        <v>N/A</v>
      </c>
      <c r="F1086" s="134" t="str">
        <f ca="1">IFERROR(_xll.TR(MO.Ticker.Thomson,"Min(TR.PriceLow)","sdate:#1 edate:#2",,INDEX(MO_SNA_FPStartDate,0,COLUMN()),INDEX(MO_Common_QEndDate,0,COLUMN())),"N/A")</f>
        <v>N/A</v>
      </c>
      <c r="G1086" s="134" t="str">
        <f ca="1">IFERROR(_xll.TR(MO.Ticker.Thomson,"Min(TR.PriceLow)","sdate:#1 edate:#2",,INDEX(MO_SNA_FPStartDate,0,COLUMN()),INDEX(MO_Common_QEndDate,0,COLUMN())),"N/A")</f>
        <v>N/A</v>
      </c>
      <c r="H1086" s="134" t="str">
        <f ca="1">IFERROR(_xll.TR(MO.Ticker.Thomson,"Min(TR.PriceLow)","sdate:#1 edate:#2",,INDEX(MO_SNA_FPStartDate,0,COLUMN()),INDEX(MO_Common_QEndDate,0,COLUMN())),"N/A")</f>
        <v>N/A</v>
      </c>
      <c r="I1086" s="134" t="str">
        <f ca="1">IFERROR(_xll.TR(MO.Ticker.Thomson,"Min(TR.PriceLow)","sdate:#1 edate:#2",,INDEX(MO_SNA_FPStartDate,0,COLUMN()),INDEX(MO_Common_QEndDate,0,COLUMN())),"N/A")</f>
        <v>N/A</v>
      </c>
      <c r="J1086" s="134" t="str">
        <f ca="1">IFERROR(_xll.TR(MO.Ticker.Thomson,"Min(TR.PriceLow)","sdate:#1 edate:#2",,INDEX(MO_SNA_FPStartDate,0,COLUMN()),INDEX(MO_Common_QEndDate,0,COLUMN())),"N/A")</f>
        <v>N/A</v>
      </c>
      <c r="K1086" s="134" t="str">
        <f ca="1">IFERROR(_xll.TR(MO.Ticker.Thomson,"Min(TR.PriceLow)","sdate:#1 edate:#2",,INDEX(MO_SNA_FPStartDate,0,COLUMN()),INDEX(MO_Common_QEndDate,0,COLUMN())),"N/A")</f>
        <v>N/A</v>
      </c>
      <c r="L1086" s="134" t="str">
        <f ca="1">IFERROR(_xll.TR(MO.Ticker.Thomson,"Min(TR.PriceLow)","sdate:#1 edate:#2",,INDEX(MO_SNA_FPStartDate,0,COLUMN()),INDEX(MO_Common_QEndDate,0,COLUMN())),"N/A")</f>
        <v>N/A</v>
      </c>
      <c r="M1086" s="134" t="str">
        <f ca="1">IFERROR(_xll.TR(MO.Ticker.Thomson,"Min(TR.PriceLow)","sdate:#1 edate:#2",,INDEX(MO_SNA_FPStartDate,0,COLUMN()),INDEX(MO_Common_QEndDate,0,COLUMN())),"N/A")</f>
        <v>N/A</v>
      </c>
      <c r="N1086" s="134" t="str">
        <f ca="1">IFERROR(_xll.TR(MO.Ticker.Thomson,"Min(TR.PriceLow)","sdate:#1 edate:#2",,INDEX(MO_SNA_FPStartDate,0,COLUMN()),INDEX(MO_Common_QEndDate,0,COLUMN())),"N/A")</f>
        <v>N/A</v>
      </c>
      <c r="O1086" s="134" t="str">
        <f ca="1">IFERROR(_xll.TR(MO.Ticker.Thomson,"Min(TR.PriceLow)","sdate:#1 edate:#2",,INDEX(MO_SNA_FPStartDate,0,COLUMN()),INDEX(MO_Common_QEndDate,0,COLUMN())),"N/A")</f>
        <v>N/A</v>
      </c>
      <c r="P1086" s="134" t="str">
        <f ca="1">IFERROR(_xll.TR(MO.Ticker.Thomson,"Min(TR.PriceLow)","sdate:#1 edate:#2",,INDEX(MO_SNA_FPStartDate,0,COLUMN()),INDEX(MO_Common_QEndDate,0,COLUMN())),"N/A")</f>
        <v>N/A</v>
      </c>
      <c r="Q1086" s="134" t="str">
        <f ca="1">IFERROR(_xll.TR(MO.Ticker.Thomson,"Min(TR.PriceLow)","sdate:#1 edate:#2",,INDEX(MO_SNA_FPStartDate,0,COLUMN()),INDEX(MO_Common_QEndDate,0,COLUMN())),"N/A")</f>
        <v>N/A</v>
      </c>
      <c r="R1086" s="134" t="str">
        <f ca="1">IFERROR(_xll.TR(MO.Ticker.Thomson,"Min(TR.PriceLow)","sdate:#1 edate:#2",,INDEX(MO_SNA_FPStartDate,0,COLUMN()),INDEX(MO_Common_QEndDate,0,COLUMN())),"N/A")</f>
        <v>N/A</v>
      </c>
      <c r="S1086" s="134" t="str">
        <f ca="1">IFERROR(_xll.TR(MO.Ticker.Thomson,"Min(TR.PriceLow)","sdate:#1 edate:#2",,INDEX(MO_SNA_FPStartDate,0,COLUMN()),INDEX(MO_Common_QEndDate,0,COLUMN())),"N/A")</f>
        <v>N/A</v>
      </c>
      <c r="T1086" s="134" t="str">
        <f ca="1">IFERROR(_xll.TR(MO.Ticker.Thomson,"Min(TR.PriceLow)","sdate:#1 edate:#2",,INDEX(MO_SNA_FPStartDate,0,COLUMN()),INDEX(MO_Common_QEndDate,0,COLUMN())),"N/A")</f>
        <v>N/A</v>
      </c>
      <c r="U1086" s="134" t="str">
        <f ca="1">IFERROR(_xll.TR(MO.Ticker.Thomson,"Min(TR.PriceLow)","sdate:#1 edate:#2",,INDEX(MO_SNA_FPStartDate,0,COLUMN()),INDEX(MO_Common_QEndDate,0,COLUMN())),"N/A")</f>
        <v>N/A</v>
      </c>
      <c r="V1086" s="134" t="str">
        <f ca="1">IFERROR(_xll.TR(MO.Ticker.Thomson,"Min(TR.PriceLow)","sdate:#1 edate:#2",,INDEX(MO_SNA_FPStartDate,0,COLUMN()),INDEX(MO_Common_QEndDate,0,COLUMN())),"N/A")</f>
        <v>N/A</v>
      </c>
      <c r="W1086" s="134" t="str">
        <f ca="1">IFERROR(_xll.TR(MO.Ticker.Thomson,"Min(TR.PriceLow)","sdate:#1 edate:#2",,INDEX(MO_SNA_FPStartDate,0,COLUMN()),INDEX(MO_Common_QEndDate,0,COLUMN())),"N/A")</f>
        <v>N/A</v>
      </c>
      <c r="X1086" s="134" t="str">
        <f ca="1">IFERROR(_xll.TR(MO.Ticker.Thomson,"Min(TR.PriceLow)","sdate:#1 edate:#2",,INDEX(MO_SNA_FPStartDate,0,COLUMN()),INDEX(MO_Common_QEndDate,0,COLUMN())),"N/A")</f>
        <v>N/A</v>
      </c>
      <c r="Y1086" s="134" t="str">
        <f ca="1">IFERROR(_xll.TR(MO.Ticker.Thomson,"Min(TR.PriceLow)","sdate:#1 edate:#2",,INDEX(MO_SNA_FPStartDate,0,COLUMN()),INDEX(MO_Common_QEndDate,0,COLUMN())),"N/A")</f>
        <v>N/A</v>
      </c>
      <c r="Z1086" s="134" t="str">
        <f ca="1">IFERROR(_xll.TR(MO.Ticker.Thomson,"Min(TR.PriceLow)","sdate:#1 edate:#2",,INDEX(MO_SNA_FPStartDate,0,COLUMN()),INDEX(MO_Common_QEndDate,0,COLUMN())),"N/A")</f>
        <v>N/A</v>
      </c>
      <c r="AA1086" s="134" t="str">
        <f ca="1">IFERROR(_xll.TR(MO.Ticker.Thomson,"Min(TR.PriceLow)","sdate:#1 edate:#2",,INDEX(MO_SNA_FPStartDate,0,COLUMN()),INDEX(MO_Common_QEndDate,0,COLUMN())),"N/A")</f>
        <v>N/A</v>
      </c>
      <c r="AB1086" s="134" t="str">
        <f ca="1">IFERROR(_xll.TR(MO.Ticker.Thomson,"Min(TR.PriceLow)","sdate:#1 edate:#2",,INDEX(MO_SNA_FPStartDate,0,COLUMN()),INDEX(MO_Common_QEndDate,0,COLUMN())),"N/A")</f>
        <v>N/A</v>
      </c>
      <c r="AC1086" s="134" t="str">
        <f ca="1">IFERROR(_xll.TR(MO.Ticker.Thomson,"Min(TR.PriceLow)","sdate:#1 edate:#2",,INDEX(MO_SNA_FPStartDate,0,COLUMN()),INDEX(MO_Common_QEndDate,0,COLUMN())),"N/A")</f>
        <v>N/A</v>
      </c>
      <c r="AD1086" s="134" t="str">
        <f ca="1">IFERROR(_xll.TR(MO.Ticker.Thomson,"Min(TR.PriceLow)","sdate:#1 edate:#2",,INDEX(MO_SNA_FPStartDate,0,COLUMN()),INDEX(MO_Common_QEndDate,0,COLUMN())),"N/A")</f>
        <v>N/A</v>
      </c>
      <c r="AE1086" s="134" t="str">
        <f ca="1">IFERROR(_xll.TR(MO.Ticker.Thomson,"Min(TR.PriceLow)","sdate:#1 edate:#2",,INDEX(MO_SNA_FPStartDate,0,COLUMN()),INDEX(MO_Common_QEndDate,0,COLUMN())),"N/A")</f>
        <v>N/A</v>
      </c>
      <c r="AF1086" s="134" t="str">
        <f ca="1">IFERROR(_xll.TR(MO.Ticker.Thomson,"Min(TR.PriceLow)","sdate:#1 edate:#2",,INDEX(MO_SNA_FPStartDate,0,COLUMN()),INDEX(MO_Common_QEndDate,0,COLUMN())),"N/A")</f>
        <v>N/A</v>
      </c>
      <c r="AG1086" s="134" t="str">
        <f ca="1">IFERROR(_xll.TR(MO.Ticker.Thomson,"Min(TR.PriceLow)","sdate:#1 edate:#2",,INDEX(MO_SNA_FPStartDate,0,COLUMN()),INDEX(MO_Common_QEndDate,0,COLUMN())),"N/A")</f>
        <v>N/A</v>
      </c>
      <c r="AH1086" s="134" t="str">
        <f ca="1">IFERROR(_xll.TR(MO.Ticker.Thomson,"Min(TR.PriceLow)","sdate:#1 edate:#2",,INDEX(MO_SNA_FPStartDate,0,COLUMN()),INDEX(MO_Common_QEndDate,0,COLUMN())),"N/A")</f>
        <v>N/A</v>
      </c>
      <c r="AI1086" s="134" t="str">
        <f ca="1">IFERROR(_xll.TR(MO.Ticker.Thomson,"Min(TR.PriceLow)","sdate:#1 edate:#2",,INDEX(MO_SNA_FPStartDate,0,COLUMN()),INDEX(MO_Common_QEndDate,0,COLUMN())),"N/A")</f>
        <v>N/A</v>
      </c>
      <c r="AJ1086" s="134" t="str">
        <f ca="1">IFERROR(_xll.TR(MO.Ticker.Thomson,"Min(TR.PriceLow)","sdate:#1 edate:#2",,INDEX(MO_SNA_FPStartDate,0,COLUMN()),INDEX(MO_Common_QEndDate,0,COLUMN())),"N/A")</f>
        <v>N/A</v>
      </c>
      <c r="AK1086" s="134" t="str">
        <f ca="1">IFERROR(_xll.TR(MO.Ticker.Thomson,"Min(TR.PriceLow)","sdate:#1 edate:#2",,INDEX(MO_SNA_FPStartDate,0,COLUMN()),INDEX(MO_Common_QEndDate,0,COLUMN())),"N/A")</f>
        <v>N/A</v>
      </c>
      <c r="AL1086" s="134" t="str">
        <f ca="1">IFERROR(_xll.TR(MO.Ticker.Thomson,"Min(TR.PriceLow)","sdate:#1 edate:#2",,INDEX(MO_SNA_FPStartDate,0,COLUMN()),INDEX(MO_Common_QEndDate,0,COLUMN())),"N/A")</f>
        <v>N/A</v>
      </c>
      <c r="AM1086" s="134" t="str">
        <f ca="1">IFERROR(_xll.TR(MO.Ticker.Thomson,"Min(TR.PriceLow)","sdate:#1 edate:#2",,INDEX(MO_SNA_FPStartDate,0,COLUMN()),INDEX(MO_Common_QEndDate,0,COLUMN())),"N/A")</f>
        <v>N/A</v>
      </c>
      <c r="AN1086" s="134" t="str">
        <f ca="1">IFERROR(_xll.TR(MO.Ticker.Thomson,"Min(TR.PriceLow)","sdate:#1 edate:#2",,INDEX(MO_SNA_FPStartDate,0,COLUMN()),INDEX(MO_Common_QEndDate,0,COLUMN())),"N/A")</f>
        <v>N/A</v>
      </c>
      <c r="AO1086" s="134" t="str">
        <f ca="1">IFERROR(_xll.TR(MO.Ticker.Thomson,"Min(TR.PriceLow)","sdate:#1 edate:#2",,INDEX(MO_SNA_FPStartDate,0,COLUMN()),INDEX(MO_Common_QEndDate,0,COLUMN())),"N/A")</f>
        <v>N/A</v>
      </c>
      <c r="AP1086" s="134" t="str">
        <f ca="1">IFERROR(_xll.TR(MO.Ticker.Thomson,"Min(TR.PriceLow)","sdate:#1 edate:#2",,INDEX(MO_SNA_FPStartDate,0,COLUMN()),INDEX(MO_Common_QEndDate,0,COLUMN())),"N/A")</f>
        <v>N/A</v>
      </c>
      <c r="AQ1086" s="134" t="str">
        <f ca="1">IFERROR(_xll.TR(MO.Ticker.Thomson,"Min(TR.PriceLow)","sdate:#1 edate:#2",,INDEX(MO_SNA_FPStartDate,0,COLUMN()),INDEX(MO_Common_QEndDate,0,COLUMN())),"N/A")</f>
        <v>N/A</v>
      </c>
      <c r="AR1086" s="134" t="str">
        <f ca="1">IFERROR(_xll.TR(MO.Ticker.Thomson,"Min(TR.PriceLow)","sdate:#1 edate:#2",,INDEX(MO_SNA_FPStartDate,0,COLUMN()),INDEX(MO_Common_QEndDate,0,COLUMN())),"N/A")</f>
        <v>N/A</v>
      </c>
      <c r="AS1086" s="134" t="str">
        <f ca="1">IFERROR(_xll.TR(MO.Ticker.Thomson,"Min(TR.PriceLow)","sdate:#1 edate:#2",,INDEX(MO_SNA_FPStartDate,0,COLUMN()),INDEX(MO_Common_QEndDate,0,COLUMN())),"N/A")</f>
        <v>N/A</v>
      </c>
      <c r="AT1086" s="134" t="str">
        <f ca="1">IFERROR(_xll.TR(MO.Ticker.Thomson,"Min(TR.PriceLow)","sdate:#1 edate:#2",,INDEX(MO_SNA_FPStartDate,0,COLUMN()),INDEX(MO_Common_QEndDate,0,COLUMN())),"N/A")</f>
        <v>N/A</v>
      </c>
      <c r="AU1086" s="134" t="str">
        <f ca="1">IFERROR(_xll.TR(MO.Ticker.Thomson,"Min(TR.PriceLow)","sdate:#1 edate:#2",,INDEX(MO_SNA_FPStartDate,0,COLUMN()),INDEX(MO_Common_QEndDate,0,COLUMN())),"N/A")</f>
        <v>N/A</v>
      </c>
      <c r="AV1086" s="134" t="str">
        <f ca="1">IFERROR(_xll.TR(MO.Ticker.Thomson,"Min(TR.PriceLow)","sdate:#1 edate:#2",,INDEX(MO_SNA_FPStartDate,0,COLUMN()),INDEX(MO_Common_QEndDate,0,COLUMN())),"N/A")</f>
        <v>N/A</v>
      </c>
      <c r="AW1086" s="134" t="str">
        <f ca="1">IFERROR(_xll.TR(MO.Ticker.Thomson,"Min(TR.PriceLow)","sdate:#1 edate:#2",,INDEX(MO_SNA_FPStartDate,0,COLUMN()),INDEX(MO_Common_QEndDate,0,COLUMN())),"N/A")</f>
        <v>N/A</v>
      </c>
      <c r="AX1086" s="134" t="str">
        <f ca="1">IFERROR(_xll.TR(MO.Ticker.Thomson,"Min(TR.PriceLow)","sdate:#1 edate:#2",,INDEX(MO_SNA_FPStartDate,0,COLUMN()),INDEX(MO_Common_QEndDate,0,COLUMN())),"N/A")</f>
        <v>N/A</v>
      </c>
      <c r="AY1086" s="134" t="str">
        <f ca="1">IFERROR(_xll.TR(MO.Ticker.Thomson,"Min(TR.PriceLow)","sdate:#1 edate:#2",,INDEX(MO_SNA_FPStartDate,0,COLUMN()),INDEX(MO_Common_QEndDate,0,COLUMN())),"N/A")</f>
        <v>N/A</v>
      </c>
      <c r="AZ1086" s="134" t="str">
        <f ca="1">IFERROR(_xll.TR(MO.Ticker.Thomson,"Min(TR.PriceLow)","sdate:#1 edate:#2",,INDEX(MO_SNA_FPStartDate,0,COLUMN()),INDEX(MO_Common_QEndDate,0,COLUMN())),"N/A")</f>
        <v>N/A</v>
      </c>
      <c r="BA1086" s="134" t="str">
        <f ca="1">IFERROR(_xll.TR(MO.Ticker.Thomson,"Min(TR.PriceLow)","sdate:#1 edate:#2",,INDEX(MO_SNA_FPStartDate,0,COLUMN()),INDEX(MO_Common_QEndDate,0,COLUMN())),"N/A")</f>
        <v>N/A</v>
      </c>
      <c r="BB1086" s="134" t="str">
        <f ca="1">IFERROR(_xll.TR(MO.Ticker.Thomson,"Min(TR.PriceLow)","sdate:#1 edate:#2",,INDEX(MO_SNA_FPStartDate,0,COLUMN()),INDEX(MO_Common_QEndDate,0,COLUMN())),"N/A")</f>
        <v>N/A</v>
      </c>
      <c r="BC1086" s="134" t="str">
        <f ca="1">IFERROR(_xll.TR(MO.Ticker.Thomson,"Min(TR.PriceLow)","sdate:#1 edate:#2",,INDEX(MO_SNA_FPStartDate,0,COLUMN()),INDEX(MO_Common_QEndDate,0,COLUMN())),"N/A")</f>
        <v>N/A</v>
      </c>
      <c r="BD1086" s="134" t="str">
        <f ca="1">IFERROR(_xll.TR(MO.Ticker.Thomson,"Min(TR.PriceLow)","sdate:#1 edate:#2",,INDEX(MO_SNA_FPStartDate,0,COLUMN()),INDEX(MO_Common_QEndDate,0,COLUMN())),"N/A")</f>
        <v>N/A</v>
      </c>
      <c r="BE1086" s="134" t="str">
        <f ca="1">IFERROR(_xll.TR(MO.Ticker.Thomson,"Min(TR.PriceLow)","sdate:#1 edate:#2",,INDEX(MO_SNA_FPStartDate,0,COLUMN()),INDEX(MO_Common_QEndDate,0,COLUMN())),"N/A")</f>
        <v>N/A</v>
      </c>
      <c r="BF1086" s="134" t="str">
        <f ca="1">IFERROR(_xll.TR(MO.Ticker.Thomson,"Min(TR.PriceLow)","sdate:#1 edate:#2",,INDEX(MO_SNA_FPStartDate,0,COLUMN()),INDEX(MO_Common_QEndDate,0,COLUMN())),"N/A")</f>
        <v>N/A</v>
      </c>
      <c r="BG1086" s="134"/>
      <c r="BH1086" s="589" t="str">
        <f ca="1">IFERROR(_xll.TR(MO.Ticker.Thomson,"Min(TR.PriceLow)","sdate:#1 edate:#2",,INDEX(MO_SNA_FPStartDate,0,COLUMN()),INDEX(MO_Common_QEndDate,0,COLUMN())),"N/A")</f>
        <v>N/A</v>
      </c>
      <c r="BI1086" s="589" t="str">
        <f ca="1">IFERROR(_xll.TR(MO.Ticker.Thomson,"Min(TR.PriceLow)","sdate:#1 edate:#2",,INDEX(MO_SNA_FPStartDate,0,COLUMN()),INDEX(MO_Common_QEndDate,0,COLUMN())),"N/A")</f>
        <v>N/A</v>
      </c>
      <c r="BJ1086" s="589" t="str">
        <f ca="1">IFERROR(_xll.TR(MO.Ticker.Thomson,"Min(TR.PriceLow)","sdate:#1 edate:#2",,INDEX(MO_SNA_FPStartDate,0,COLUMN()),INDEX(MO_Common_QEndDate,0,COLUMN())),"N/A")</f>
        <v>N/A</v>
      </c>
      <c r="BK1086" s="589" t="str">
        <f ca="1">IFERROR(_xll.TR(MO.Ticker.Thomson,"Min(TR.PriceLow)","sdate:#1 edate:#2",,INDEX(MO_SNA_FPStartDate,0,COLUMN()),INDEX(MO_Common_QEndDate,0,COLUMN())),"N/A")</f>
        <v>N/A</v>
      </c>
      <c r="BL1086" s="134" t="str">
        <f ca="1">IFERROR(_xll.TR(MO.Ticker.Thomson,"Min(TR.PriceLow)","sdate:#1 edate:#2",,INDEX(MO_SNA_FPStartDate,0,COLUMN()),INDEX(MO_Common_QEndDate,0,COLUMN())),"N/A")</f>
        <v>N/A</v>
      </c>
      <c r="BM1086" s="134" t="str">
        <f ca="1">IFERROR(_xll.TR(MO.Ticker.Thomson,"Min(TR.PriceLow)","sdate:#1 edate:#2",,INDEX(MO_SNA_FPStartDate,0,COLUMN()),INDEX(MO_Common_QEndDate,0,COLUMN())),"N/A")</f>
        <v>N/A</v>
      </c>
      <c r="BN1086" s="134" t="str">
        <f ca="1">IFERROR(_xll.TR(MO.Ticker.Thomson,"Min(TR.PriceLow)","sdate:#1 edate:#2",,INDEX(MO_SNA_FPStartDate,0,COLUMN()),INDEX(MO_Common_QEndDate,0,COLUMN())),"N/A")</f>
        <v>N/A</v>
      </c>
      <c r="BO1086" s="134" t="str">
        <f ca="1">IFERROR(_xll.TR(MO.Ticker.Thomson,"Min(TR.PriceLow)","sdate:#1 edate:#2",,INDEX(MO_SNA_FPStartDate,0,COLUMN()),INDEX(MO_Common_QEndDate,0,COLUMN())),"N/A")</f>
        <v>N/A</v>
      </c>
      <c r="BP1086" s="134" t="str">
        <f ca="1">IFERROR(_xll.TR(MO.Ticker.Thomson,"Min(TR.PriceLow)","sdate:#1 edate:#2",,INDEX(MO_SNA_FPStartDate,0,COLUMN()),INDEX(MO_Common_QEndDate,0,COLUMN())),"N/A")</f>
        <v>N/A</v>
      </c>
      <c r="BQ1086" s="134" t="str">
        <f ca="1">IFERROR(_xll.TR(MO.Ticker.Thomson,"Min(TR.PriceLow)","sdate:#1 edate:#2",,INDEX(MO_SNA_FPStartDate,0,COLUMN()),INDEX(MO_Common_QEndDate,0,COLUMN())),"N/A")</f>
        <v>N/A</v>
      </c>
      <c r="BR1086" s="134" t="str">
        <f ca="1">IFERROR(_xll.TR(MO.Ticker.Thomson,"Min(TR.PriceLow)","sdate:#1 edate:#2",,INDEX(MO_SNA_FPStartDate,0,COLUMN()),INDEX(MO_Common_QEndDate,0,COLUMN())),"N/A")</f>
        <v>N/A</v>
      </c>
      <c r="BS1086" s="134" t="str">
        <f ca="1">IFERROR(_xll.TR(MO.Ticker.Thomson,"Min(TR.PriceLow)","sdate:#1 edate:#2",,INDEX(MO_SNA_FPStartDate,0,COLUMN()),INDEX(MO_Common_QEndDate,0,COLUMN())),"N/A")</f>
        <v>N/A</v>
      </c>
      <c r="BT1086" s="134" t="str">
        <f ca="1">IFERROR(_xll.TR(MO.Ticker.Thomson,"Min(TR.PriceLow)","sdate:#1 edate:#2",,INDEX(MO_SNA_FPStartDate,0,COLUMN()),INDEX(MO_Common_QEndDate,0,COLUMN())),"N/A")</f>
        <v>N/A</v>
      </c>
      <c r="BU1086" s="134" t="str">
        <f ca="1">IFERROR(_xll.TR(MO.Ticker.Thomson,"Min(TR.PriceLow)","sdate:#1 edate:#2",,INDEX(MO_SNA_FPStartDate,0,COLUMN()),INDEX(MO_Common_QEndDate,0,COLUMN())),"N/A")</f>
        <v>N/A</v>
      </c>
      <c r="BV1086" s="134" t="str">
        <f ca="1">IFERROR(_xll.TR(MO.Ticker.Thomson,"Min(TR.PriceLow)","sdate:#1 edate:#2",,INDEX(MO_SNA_FPStartDate,0,COLUMN()),INDEX(MO_Common_QEndDate,0,COLUMN())),"N/A")</f>
        <v>N/A</v>
      </c>
      <c r="BW1086" s="134" t="str">
        <f ca="1">IFERROR(_xll.TR(MO.Ticker.Thomson,"Min(TR.PriceLow)","sdate:#1 edate:#2",,INDEX(MO_SNA_FPStartDate,0,COLUMN()),INDEX(MO_Common_QEndDate,0,COLUMN())),"N/A")</f>
        <v>N/A</v>
      </c>
      <c r="BX1086" s="134" t="str">
        <f ca="1">IFERROR(_xll.TR(MO.Ticker.Thomson,"Min(TR.PriceLow)","sdate:#1 edate:#2",,INDEX(MO_SNA_FPStartDate,0,COLUMN()),INDEX(MO_Common_QEndDate,0,COLUMN())),"N/A")</f>
        <v>N/A</v>
      </c>
      <c r="BY1086" s="134" t="str">
        <f ca="1">IFERROR(_xll.TR(MO.Ticker.Thomson,"Min(TR.PriceLow)","sdate:#1 edate:#2",,INDEX(MO_SNA_FPStartDate,0,COLUMN()),INDEX(MO_Common_QEndDate,0,COLUMN())),"N/A")</f>
        <v>N/A</v>
      </c>
      <c r="BZ1086" s="134" t="str">
        <f ca="1">IFERROR(_xll.TR(MO.Ticker.Thomson,"Min(TR.PriceLow)","sdate:#1 edate:#2",,INDEX(MO_SNA_FPStartDate,0,COLUMN()),INDEX(MO_Common_QEndDate,0,COLUMN())),"N/A")</f>
        <v>N/A</v>
      </c>
      <c r="CA1086" s="134" t="str">
        <f ca="1">IFERROR(_xll.TR(MO.Ticker.Thomson,"Min(TR.PriceLow)","sdate:#1 edate:#2",,INDEX(MO_SNA_FPStartDate,0,COLUMN()),INDEX(MO_Common_QEndDate,0,COLUMN())),"N/A")</f>
        <v>N/A</v>
      </c>
      <c r="CB1086" s="134" t="str">
        <f ca="1">IFERROR(_xll.TR(MO.Ticker.Thomson,"Min(TR.PriceLow)","sdate:#1 edate:#2",,INDEX(MO_SNA_FPStartDate,0,COLUMN()),INDEX(MO_Common_QEndDate,0,COLUMN())),"N/A")</f>
        <v>N/A</v>
      </c>
      <c r="CC1086" s="180"/>
    </row>
    <row r="1087" spans="1:81" outlineLevel="1" x14ac:dyDescent="0.55000000000000004">
      <c r="A1087" s="377"/>
      <c r="B1087" s="600"/>
      <c r="C1087" s="558"/>
      <c r="D1087" s="600"/>
      <c r="E1087" s="600"/>
      <c r="F1087" s="600"/>
      <c r="G1087" s="600"/>
      <c r="H1087" s="600"/>
      <c r="I1087" s="600"/>
      <c r="J1087" s="600"/>
      <c r="K1087" s="600"/>
      <c r="L1087" s="600"/>
      <c r="M1087" s="600"/>
      <c r="N1087" s="600"/>
      <c r="O1087" s="600"/>
      <c r="P1087" s="600"/>
      <c r="Q1087" s="600"/>
      <c r="R1087" s="600"/>
      <c r="S1087" s="600"/>
      <c r="T1087" s="600"/>
      <c r="U1087" s="600"/>
      <c r="V1087" s="600"/>
      <c r="W1087" s="600"/>
      <c r="X1087" s="600"/>
      <c r="Y1087" s="600"/>
      <c r="Z1087" s="600"/>
      <c r="AA1087" s="600"/>
      <c r="AB1087" s="600"/>
      <c r="AC1087" s="600"/>
      <c r="AD1087" s="600"/>
      <c r="AE1087" s="600"/>
      <c r="AF1087" s="600"/>
      <c r="AG1087" s="600"/>
      <c r="AH1087" s="600"/>
      <c r="AI1087" s="600"/>
      <c r="AJ1087" s="600"/>
      <c r="AK1087" s="600"/>
      <c r="AL1087" s="600"/>
      <c r="AM1087" s="600"/>
      <c r="AN1087" s="600"/>
      <c r="AO1087" s="600"/>
      <c r="AP1087" s="600"/>
      <c r="AQ1087" s="600"/>
      <c r="AR1087" s="600"/>
      <c r="AS1087" s="600"/>
      <c r="AT1087" s="600"/>
      <c r="AU1087" s="600"/>
      <c r="AV1087" s="600"/>
      <c r="AW1087" s="600"/>
      <c r="AX1087" s="600"/>
      <c r="AY1087" s="600"/>
      <c r="AZ1087" s="600"/>
      <c r="BA1087" s="600"/>
      <c r="BB1087" s="600"/>
      <c r="BC1087" s="600"/>
      <c r="BD1087" s="600"/>
      <c r="BE1087" s="600"/>
      <c r="BF1087" s="600"/>
      <c r="BG1087" s="600"/>
      <c r="BH1087" s="558"/>
      <c r="BI1087" s="558"/>
      <c r="BJ1087" s="558"/>
      <c r="BK1087" s="558"/>
      <c r="BL1087" s="600"/>
      <c r="BM1087" s="600"/>
      <c r="BN1087" s="600"/>
      <c r="BO1087" s="600"/>
      <c r="BP1087" s="600"/>
      <c r="BQ1087" s="600"/>
      <c r="BR1087" s="600"/>
      <c r="BS1087" s="600"/>
      <c r="BT1087" s="600"/>
      <c r="BU1087" s="600"/>
      <c r="BV1087" s="600"/>
      <c r="BW1087" s="600"/>
      <c r="BX1087" s="600"/>
      <c r="BY1087" s="600"/>
      <c r="BZ1087" s="600"/>
      <c r="CA1087" s="600"/>
      <c r="CB1087" s="600"/>
      <c r="CC1087" s="176"/>
    </row>
    <row r="1088" spans="1:81" x14ac:dyDescent="0.55000000000000004">
      <c r="A1088" s="1156" t="str">
        <f ca="1">"Stock Average: "&amp;IF(OR(MO.RealTimeStockPriceToggle=FALSE,VLOOKUP(MO.DataSourceName,MO_SPT_StockAverage_Sources,COLUMN()+2,FALSE)="N/A"),"Real-Time Off Source",MO.DataSourceName)</f>
        <v>Stock Average: Real-Time Off Source</v>
      </c>
      <c r="B1088" s="134"/>
      <c r="C1088" s="589">
        <f t="shared" ref="C1088:AH1088" ca="1" si="1313">IF(OR(MO.RealTimeStockPriceToggle=FALSE,VLOOKUP(MO.DataSourceName,MO_SPT_StockAverage_Sources,COLUMN(),FALSE)="N/A"),VLOOKUP("Real-Time Off Source",MO_SPT_StockAverage_Sources,COLUMN(),FALSE),VLOOKUP(MO.DataSourceName,MO_SPT_StockAverage_Sources,COLUMN(),FALSE))</f>
        <v>28.614999999999998</v>
      </c>
      <c r="D1088" s="134">
        <f t="shared" ca="1" si="1313"/>
        <v>25.87</v>
      </c>
      <c r="E1088" s="134">
        <f t="shared" ca="1" si="1313"/>
        <v>37.875</v>
      </c>
      <c r="F1088" s="134">
        <f t="shared" ca="1" si="1313"/>
        <v>51.064999999999998</v>
      </c>
      <c r="G1088" s="134">
        <f t="shared" ca="1" si="1313"/>
        <v>62.22</v>
      </c>
      <c r="H1088" s="134">
        <f t="shared" ca="1" si="1313"/>
        <v>61.33</v>
      </c>
      <c r="I1088" s="134">
        <f t="shared" ca="1" si="1313"/>
        <v>70.959999999999994</v>
      </c>
      <c r="J1088" s="134">
        <f t="shared" ca="1" si="1313"/>
        <v>76.245000000000005</v>
      </c>
      <c r="K1088" s="134">
        <f t="shared" ca="1" si="1313"/>
        <v>79.760000000000005</v>
      </c>
      <c r="L1088" s="134">
        <f t="shared" ca="1" si="1313"/>
        <v>83.094999999999999</v>
      </c>
      <c r="M1088" s="134">
        <f t="shared" ca="1" si="1313"/>
        <v>85.62</v>
      </c>
      <c r="N1088" s="134">
        <f t="shared" ca="1" si="1313"/>
        <v>99.504999999999995</v>
      </c>
      <c r="O1088" s="134">
        <f t="shared" ca="1" si="1313"/>
        <v>103.48</v>
      </c>
      <c r="P1088" s="134">
        <f t="shared" ca="1" si="1313"/>
        <v>113.69499999999999</v>
      </c>
      <c r="Q1088" s="134">
        <f t="shared" ca="1" si="1313"/>
        <v>122.47499999999999</v>
      </c>
      <c r="R1088" s="134">
        <f t="shared" ca="1" si="1313"/>
        <v>123.52500000000001</v>
      </c>
      <c r="S1088" s="134">
        <f t="shared" ca="1" si="1313"/>
        <v>129.22999999999999</v>
      </c>
      <c r="T1088" s="134">
        <f t="shared" ca="1" si="1313"/>
        <v>147.655</v>
      </c>
      <c r="U1088" s="134">
        <f t="shared" ca="1" si="1313"/>
        <v>161.64500000000001</v>
      </c>
      <c r="V1088" s="134">
        <f t="shared" ca="1" si="1313"/>
        <v>176.27</v>
      </c>
      <c r="W1088" s="134">
        <f t="shared" ca="1" si="1313"/>
        <v>179.551147540984</v>
      </c>
      <c r="X1088" s="134">
        <f t="shared" ca="1" si="1313"/>
        <v>180.70468750000001</v>
      </c>
      <c r="Y1088" s="134">
        <f t="shared" ca="1" si="1313"/>
        <v>181.028492063492</v>
      </c>
      <c r="Z1088" s="134">
        <f t="shared" ca="1" si="1313"/>
        <v>144.86873015872999</v>
      </c>
      <c r="AA1088" s="134">
        <f t="shared" ca="1" si="1313"/>
        <v>159.03245901639301</v>
      </c>
      <c r="AB1088" s="134">
        <f t="shared" ca="1" si="1313"/>
        <v>182.71</v>
      </c>
      <c r="AC1088" s="134">
        <f t="shared" ca="1" si="1313"/>
        <v>190.07421875</v>
      </c>
      <c r="AD1088" s="134">
        <f t="shared" ca="1" si="1313"/>
        <v>193.69046875000001</v>
      </c>
      <c r="AE1088" s="134">
        <f t="shared" ca="1" si="1313"/>
        <v>195.78322580645201</v>
      </c>
      <c r="AF1088" s="134">
        <f t="shared" ca="1" si="1313"/>
        <v>208.77888888888901</v>
      </c>
      <c r="AG1088" s="134">
        <f t="shared" ca="1" si="1313"/>
        <v>257.88671875</v>
      </c>
      <c r="AH1088" s="134">
        <f t="shared" ca="1" si="1313"/>
        <v>274.14046875000003</v>
      </c>
      <c r="AI1088" s="134">
        <f t="shared" ref="AI1088:BF1088" ca="1" si="1314">IF(OR(MO.RealTimeStockPriceToggle=FALSE,VLOOKUP(MO.DataSourceName,MO_SPT_StockAverage_Sources,COLUMN(),FALSE)="N/A"),VLOOKUP("Real-Time Off Source",MO_SPT_StockAverage_Sources,COLUMN(),FALSE),VLOOKUP(MO.DataSourceName,MO_SPT_StockAverage_Sources,COLUMN(),FALSE))</f>
        <v>269.256639344262</v>
      </c>
      <c r="AJ1088" s="134">
        <f t="shared" ca="1" si="1314"/>
        <v>320.80825396825401</v>
      </c>
      <c r="AK1088" s="134">
        <f t="shared" ca="1" si="1314"/>
        <v>360.16562499999998</v>
      </c>
      <c r="AL1088" s="134">
        <f t="shared" ca="1" si="1314"/>
        <v>331.99546874999999</v>
      </c>
      <c r="AM1088" s="134">
        <f t="shared" ca="1" si="1314"/>
        <v>249.926290322581</v>
      </c>
      <c r="AN1088" s="134">
        <f t="shared" ca="1" si="1314"/>
        <v>192.91548387096799</v>
      </c>
      <c r="AO1088" s="134">
        <f t="shared" ca="1" si="1314"/>
        <v>162.08000000000001</v>
      </c>
      <c r="AP1088" s="134">
        <f t="shared" ca="1" si="1314"/>
        <v>117.425396825397</v>
      </c>
      <c r="AQ1088" s="134">
        <f t="shared" ca="1" si="1314"/>
        <v>170.30322580645199</v>
      </c>
      <c r="AR1088" s="134">
        <f t="shared" ca="1" si="1314"/>
        <v>246.75991935483901</v>
      </c>
      <c r="AS1088" s="134">
        <f t="shared" ca="1" si="1314"/>
        <v>301.30031746031699</v>
      </c>
      <c r="AT1088" s="134">
        <f t="shared" ca="1" si="1314"/>
        <v>325.65444444444398</v>
      </c>
      <c r="AU1088" s="134">
        <f t="shared" ca="1" si="1314"/>
        <v>446.07409836065602</v>
      </c>
      <c r="AV1088" s="134">
        <f t="shared" ca="1" si="1314"/>
        <v>486.094285714286</v>
      </c>
      <c r="AW1088" s="134">
        <f t="shared" ca="1" si="1314"/>
        <v>514.54695312499996</v>
      </c>
      <c r="AX1088" s="134">
        <f t="shared" ca="1" si="1314"/>
        <v>586.97515625000005</v>
      </c>
      <c r="AY1088" s="134">
        <f t="shared" ca="1" si="1314"/>
        <v>645.17049999999995</v>
      </c>
      <c r="AZ1088" s="134">
        <f t="shared" ca="1" si="1314"/>
        <v>0</v>
      </c>
      <c r="BA1088" s="134">
        <f t="shared" ca="1" si="1314"/>
        <v>0</v>
      </c>
      <c r="BB1088" s="134">
        <f t="shared" ca="1" si="1314"/>
        <v>0</v>
      </c>
      <c r="BC1088" s="134">
        <f t="shared" ca="1" si="1314"/>
        <v>0</v>
      </c>
      <c r="BD1088" s="134">
        <f t="shared" ca="1" si="1314"/>
        <v>0</v>
      </c>
      <c r="BE1088" s="134">
        <f t="shared" ca="1" si="1314"/>
        <v>0</v>
      </c>
      <c r="BF1088" s="134">
        <f t="shared" ca="1" si="1314"/>
        <v>0</v>
      </c>
      <c r="BG1088" s="134"/>
      <c r="BH1088" s="589">
        <f t="shared" ref="BH1088:CB1088" ca="1" si="1315">IF(OR(MO.RealTimeStockPriceToggle=FALSE,VLOOKUP(MO.DataSourceName,MO_SPT_StockAverage_Sources,COLUMN(),FALSE)="N/A"),VLOOKUP("Real-Time Off Source",MO_SPT_StockAverage_Sources,COLUMN(),FALSE),VLOOKUP(MO.DataSourceName,MO_SPT_StockAverage_Sources,COLUMN(),FALSE))</f>
        <v>0</v>
      </c>
      <c r="BI1088" s="589">
        <f t="shared" ca="1" si="1315"/>
        <v>0</v>
      </c>
      <c r="BJ1088" s="589">
        <f t="shared" ca="1" si="1315"/>
        <v>0</v>
      </c>
      <c r="BK1088" s="589">
        <f t="shared" ca="1" si="1315"/>
        <v>28.105</v>
      </c>
      <c r="BL1088" s="134">
        <f t="shared" ca="1" si="1315"/>
        <v>35.856250000000003</v>
      </c>
      <c r="BM1088" s="134">
        <f t="shared" ca="1" si="1315"/>
        <v>67.688749999999999</v>
      </c>
      <c r="BN1088" s="134">
        <f t="shared" ca="1" si="1315"/>
        <v>86.995000000000005</v>
      </c>
      <c r="BO1088" s="134">
        <f t="shared" ca="1" si="1315"/>
        <v>115.79375</v>
      </c>
      <c r="BP1088" s="134">
        <f t="shared" ca="1" si="1315"/>
        <v>153.69999999999999</v>
      </c>
      <c r="BQ1088" s="134">
        <f t="shared" ca="1" si="1315"/>
        <v>171.51093625498001</v>
      </c>
      <c r="BR1088" s="134">
        <f t="shared" ca="1" si="1315"/>
        <v>181.63749999999999</v>
      </c>
      <c r="BS1088" s="134">
        <f t="shared" ca="1" si="1315"/>
        <v>234.550869565217</v>
      </c>
      <c r="BT1088" s="134">
        <f t="shared" ca="1" si="1315"/>
        <v>321.16621031746001</v>
      </c>
      <c r="BU1088" s="134">
        <f t="shared" ca="1" si="1315"/>
        <v>180.18768924302799</v>
      </c>
      <c r="BV1088" s="134">
        <f t="shared" ca="1" si="1315"/>
        <v>261.42426</v>
      </c>
      <c r="BW1088" s="134">
        <f t="shared" ca="1" si="1315"/>
        <v>509.253472222222</v>
      </c>
      <c r="BX1088" s="134">
        <f t="shared" ca="1" si="1315"/>
        <v>0</v>
      </c>
      <c r="BY1088" s="134">
        <f t="shared" ca="1" si="1315"/>
        <v>0</v>
      </c>
      <c r="BZ1088" s="134">
        <f t="shared" ca="1" si="1315"/>
        <v>0</v>
      </c>
      <c r="CA1088" s="134">
        <f t="shared" ca="1" si="1315"/>
        <v>0</v>
      </c>
      <c r="CB1088" s="134">
        <f t="shared" ca="1" si="1315"/>
        <v>0</v>
      </c>
      <c r="CC1088" s="180"/>
    </row>
    <row r="1089" spans="1:81" outlineLevel="1" x14ac:dyDescent="0.55000000000000004">
      <c r="A1089" s="1157" t="s">
        <v>243</v>
      </c>
      <c r="B1089" s="134"/>
      <c r="C1089" s="797">
        <v>28.614999999999998</v>
      </c>
      <c r="D1089" s="798">
        <v>25.87</v>
      </c>
      <c r="E1089" s="798">
        <v>37.875</v>
      </c>
      <c r="F1089" s="798">
        <v>51.064999999999998</v>
      </c>
      <c r="G1089" s="798">
        <v>62.22</v>
      </c>
      <c r="H1089" s="798">
        <v>61.33</v>
      </c>
      <c r="I1089" s="798">
        <v>70.959999999999994</v>
      </c>
      <c r="J1089" s="798">
        <v>76.245000000000005</v>
      </c>
      <c r="K1089" s="798">
        <v>79.760000000000005</v>
      </c>
      <c r="L1089" s="798">
        <v>83.094999999999999</v>
      </c>
      <c r="M1089" s="798">
        <v>85.62</v>
      </c>
      <c r="N1089" s="798">
        <v>99.504999999999995</v>
      </c>
      <c r="O1089" s="798">
        <v>103.48</v>
      </c>
      <c r="P1089" s="798">
        <v>113.69499999999999</v>
      </c>
      <c r="Q1089" s="798">
        <v>122.47499999999999</v>
      </c>
      <c r="R1089" s="798">
        <v>123.52500000000001</v>
      </c>
      <c r="S1089" s="798">
        <v>129.22999999999999</v>
      </c>
      <c r="T1089" s="798">
        <v>147.655</v>
      </c>
      <c r="U1089" s="798">
        <v>161.64500000000001</v>
      </c>
      <c r="V1089" s="798">
        <v>176.27</v>
      </c>
      <c r="W1089" s="798">
        <v>179.551147540984</v>
      </c>
      <c r="X1089" s="798">
        <v>180.70468750000001</v>
      </c>
      <c r="Y1089" s="798">
        <v>181.028492063492</v>
      </c>
      <c r="Z1089" s="798">
        <v>144.86873015872999</v>
      </c>
      <c r="AA1089" s="798">
        <v>159.03245901639301</v>
      </c>
      <c r="AB1089" s="798">
        <v>182.71</v>
      </c>
      <c r="AC1089" s="798">
        <v>190.07421875</v>
      </c>
      <c r="AD1089" s="798">
        <v>193.69046875000001</v>
      </c>
      <c r="AE1089" s="798">
        <v>195.78322580645201</v>
      </c>
      <c r="AF1089" s="798">
        <v>208.77888888888901</v>
      </c>
      <c r="AG1089" s="798">
        <v>257.88671875</v>
      </c>
      <c r="AH1089" s="798">
        <v>274.14046875000003</v>
      </c>
      <c r="AI1089" s="798">
        <v>269.256639344262</v>
      </c>
      <c r="AJ1089" s="798">
        <v>320.80825396825401</v>
      </c>
      <c r="AK1089" s="798">
        <v>360.16562499999998</v>
      </c>
      <c r="AL1089" s="798">
        <v>331.99546874999999</v>
      </c>
      <c r="AM1089" s="798">
        <v>249.926290322581</v>
      </c>
      <c r="AN1089" s="798">
        <v>192.91548387096799</v>
      </c>
      <c r="AO1089" s="798">
        <v>162.08000000000001</v>
      </c>
      <c r="AP1089" s="798">
        <v>117.425396825397</v>
      </c>
      <c r="AQ1089" s="798">
        <v>170.30322580645199</v>
      </c>
      <c r="AR1089" s="798">
        <v>246.75991935483901</v>
      </c>
      <c r="AS1089" s="798">
        <v>301.30031746031699</v>
      </c>
      <c r="AT1089" s="798">
        <v>325.65444444444398</v>
      </c>
      <c r="AU1089" s="798">
        <v>446.07409836065602</v>
      </c>
      <c r="AV1089" s="798">
        <v>486.094285714286</v>
      </c>
      <c r="AW1089" s="798">
        <v>514.54695312499996</v>
      </c>
      <c r="AX1089" s="798">
        <v>586.97515625000005</v>
      </c>
      <c r="AY1089" s="798">
        <v>645.17049999999995</v>
      </c>
      <c r="AZ1089" s="134"/>
      <c r="BA1089" s="134"/>
      <c r="BB1089" s="134"/>
      <c r="BC1089" s="134"/>
      <c r="BD1089" s="134"/>
      <c r="BE1089" s="134"/>
      <c r="BF1089" s="134"/>
      <c r="BG1089" s="134"/>
      <c r="BH1089" s="797">
        <v>0</v>
      </c>
      <c r="BI1089" s="797">
        <v>0</v>
      </c>
      <c r="BJ1089" s="797">
        <v>0</v>
      </c>
      <c r="BK1089" s="797">
        <v>28.105</v>
      </c>
      <c r="BL1089" s="798">
        <v>35.856250000000003</v>
      </c>
      <c r="BM1089" s="798">
        <v>67.688749999999999</v>
      </c>
      <c r="BN1089" s="798">
        <v>86.995000000000005</v>
      </c>
      <c r="BO1089" s="798">
        <v>115.79375</v>
      </c>
      <c r="BP1089" s="798">
        <v>153.69999999999999</v>
      </c>
      <c r="BQ1089" s="798">
        <v>171.51093625498001</v>
      </c>
      <c r="BR1089" s="798">
        <v>181.63749999999999</v>
      </c>
      <c r="BS1089" s="798">
        <v>234.550869565217</v>
      </c>
      <c r="BT1089" s="798">
        <v>321.16621031746001</v>
      </c>
      <c r="BU1089" s="798">
        <v>180.18768924302799</v>
      </c>
      <c r="BV1089" s="798">
        <v>261.42426</v>
      </c>
      <c r="BW1089" s="798">
        <v>509.253472222222</v>
      </c>
      <c r="BX1089" s="134"/>
      <c r="BY1089" s="134"/>
      <c r="BZ1089" s="134"/>
      <c r="CA1089" s="134"/>
      <c r="CB1089" s="134"/>
      <c r="CC1089" s="180"/>
    </row>
    <row r="1090" spans="1:81" outlineLevel="1" x14ac:dyDescent="0.55000000000000004">
      <c r="A1090" s="1157" t="s">
        <v>7</v>
      </c>
      <c r="B1090" s="134"/>
      <c r="C1090" s="589" t="str">
        <f ca="1">IFERROR(BDP(MO.Ticker.Bloomberg&amp;" Equity","INTERVAL_AVG","MARKET_DATA_OVERRIDE=PX_LAST","START_DATE_OVERRIDE",TEXT(INDEX(MO_SNA_FPStartDate,0,COLUMN()),"YYYYMMDD"),"END_DATE_OVERRIDE",TEXT(INDEX(MO_Common_QEndDate,0,COLUMN()),"YYYYMMDD")),"N/A")</f>
        <v>N/A</v>
      </c>
      <c r="D1090" s="134" t="str">
        <f ca="1">IFERROR(BDP(MO.Ticker.Bloomberg&amp;" Equity","INTERVAL_AVG","MARKET_DATA_OVERRIDE=PX_LAST","START_DATE_OVERRIDE",TEXT(INDEX(MO_SNA_FPStartDate,0,COLUMN()),"YYYYMMDD"),"END_DATE_OVERRIDE",TEXT(INDEX(MO_Common_QEndDate,0,COLUMN()),"YYYYMMDD")),"N/A")</f>
        <v>N/A</v>
      </c>
      <c r="E1090" s="134" t="str">
        <f ca="1">IFERROR(BDP(MO.Ticker.Bloomberg&amp;" Equity","INTERVAL_AVG","MARKET_DATA_OVERRIDE=PX_LAST","START_DATE_OVERRIDE",TEXT(INDEX(MO_SNA_FPStartDate,0,COLUMN()),"YYYYMMDD"),"END_DATE_OVERRIDE",TEXT(INDEX(MO_Common_QEndDate,0,COLUMN()),"YYYYMMDD")),"N/A")</f>
        <v>N/A</v>
      </c>
      <c r="F1090" s="134" t="str">
        <f ca="1">IFERROR(BDP(MO.Ticker.Bloomberg&amp;" Equity","INTERVAL_AVG","MARKET_DATA_OVERRIDE=PX_LAST","START_DATE_OVERRIDE",TEXT(INDEX(MO_SNA_FPStartDate,0,COLUMN()),"YYYYMMDD"),"END_DATE_OVERRIDE",TEXT(INDEX(MO_Common_QEndDate,0,COLUMN()),"YYYYMMDD")),"N/A")</f>
        <v>N/A</v>
      </c>
      <c r="G1090" s="134" t="str">
        <f ca="1">IFERROR(BDP(MO.Ticker.Bloomberg&amp;" Equity","INTERVAL_AVG","MARKET_DATA_OVERRIDE=PX_LAST","START_DATE_OVERRIDE",TEXT(INDEX(MO_SNA_FPStartDate,0,COLUMN()),"YYYYMMDD"),"END_DATE_OVERRIDE",TEXT(INDEX(MO_Common_QEndDate,0,COLUMN()),"YYYYMMDD")),"N/A")</f>
        <v>N/A</v>
      </c>
      <c r="H1090" s="134" t="str">
        <f ca="1">IFERROR(BDP(MO.Ticker.Bloomberg&amp;" Equity","INTERVAL_AVG","MARKET_DATA_OVERRIDE=PX_LAST","START_DATE_OVERRIDE",TEXT(INDEX(MO_SNA_FPStartDate,0,COLUMN()),"YYYYMMDD"),"END_DATE_OVERRIDE",TEXT(INDEX(MO_Common_QEndDate,0,COLUMN()),"YYYYMMDD")),"N/A")</f>
        <v>N/A</v>
      </c>
      <c r="I1090" s="134" t="str">
        <f ca="1">IFERROR(BDP(MO.Ticker.Bloomberg&amp;" Equity","INTERVAL_AVG","MARKET_DATA_OVERRIDE=PX_LAST","START_DATE_OVERRIDE",TEXT(INDEX(MO_SNA_FPStartDate,0,COLUMN()),"YYYYMMDD"),"END_DATE_OVERRIDE",TEXT(INDEX(MO_Common_QEndDate,0,COLUMN()),"YYYYMMDD")),"N/A")</f>
        <v>N/A</v>
      </c>
      <c r="J1090" s="134" t="str">
        <f ca="1">IFERROR(BDP(MO.Ticker.Bloomberg&amp;" Equity","INTERVAL_AVG","MARKET_DATA_OVERRIDE=PX_LAST","START_DATE_OVERRIDE",TEXT(INDEX(MO_SNA_FPStartDate,0,COLUMN()),"YYYYMMDD"),"END_DATE_OVERRIDE",TEXT(INDEX(MO_Common_QEndDate,0,COLUMN()),"YYYYMMDD")),"N/A")</f>
        <v>N/A</v>
      </c>
      <c r="K1090" s="134" t="str">
        <f ca="1">IFERROR(BDP(MO.Ticker.Bloomberg&amp;" Equity","INTERVAL_AVG","MARKET_DATA_OVERRIDE=PX_LAST","START_DATE_OVERRIDE",TEXT(INDEX(MO_SNA_FPStartDate,0,COLUMN()),"YYYYMMDD"),"END_DATE_OVERRIDE",TEXT(INDEX(MO_Common_QEndDate,0,COLUMN()),"YYYYMMDD")),"N/A")</f>
        <v>N/A</v>
      </c>
      <c r="L1090" s="134" t="str">
        <f ca="1">IFERROR(BDP(MO.Ticker.Bloomberg&amp;" Equity","INTERVAL_AVG","MARKET_DATA_OVERRIDE=PX_LAST","START_DATE_OVERRIDE",TEXT(INDEX(MO_SNA_FPStartDate,0,COLUMN()),"YYYYMMDD"),"END_DATE_OVERRIDE",TEXT(INDEX(MO_Common_QEndDate,0,COLUMN()),"YYYYMMDD")),"N/A")</f>
        <v>N/A</v>
      </c>
      <c r="M1090" s="134" t="str">
        <f ca="1">IFERROR(BDP(MO.Ticker.Bloomberg&amp;" Equity","INTERVAL_AVG","MARKET_DATA_OVERRIDE=PX_LAST","START_DATE_OVERRIDE",TEXT(INDEX(MO_SNA_FPStartDate,0,COLUMN()),"YYYYMMDD"),"END_DATE_OVERRIDE",TEXT(INDEX(MO_Common_QEndDate,0,COLUMN()),"YYYYMMDD")),"N/A")</f>
        <v>N/A</v>
      </c>
      <c r="N1090" s="134" t="str">
        <f ca="1">IFERROR(BDP(MO.Ticker.Bloomberg&amp;" Equity","INTERVAL_AVG","MARKET_DATA_OVERRIDE=PX_LAST","START_DATE_OVERRIDE",TEXT(INDEX(MO_SNA_FPStartDate,0,COLUMN()),"YYYYMMDD"),"END_DATE_OVERRIDE",TEXT(INDEX(MO_Common_QEndDate,0,COLUMN()),"YYYYMMDD")),"N/A")</f>
        <v>N/A</v>
      </c>
      <c r="O1090" s="134" t="str">
        <f ca="1">IFERROR(BDP(MO.Ticker.Bloomberg&amp;" Equity","INTERVAL_AVG","MARKET_DATA_OVERRIDE=PX_LAST","START_DATE_OVERRIDE",TEXT(INDEX(MO_SNA_FPStartDate,0,COLUMN()),"YYYYMMDD"),"END_DATE_OVERRIDE",TEXT(INDEX(MO_Common_QEndDate,0,COLUMN()),"YYYYMMDD")),"N/A")</f>
        <v>N/A</v>
      </c>
      <c r="P1090" s="134" t="str">
        <f ca="1">IFERROR(BDP(MO.Ticker.Bloomberg&amp;" Equity","INTERVAL_AVG","MARKET_DATA_OVERRIDE=PX_LAST","START_DATE_OVERRIDE",TEXT(INDEX(MO_SNA_FPStartDate,0,COLUMN()),"YYYYMMDD"),"END_DATE_OVERRIDE",TEXT(INDEX(MO_Common_QEndDate,0,COLUMN()),"YYYYMMDD")),"N/A")</f>
        <v>N/A</v>
      </c>
      <c r="Q1090" s="134" t="str">
        <f ca="1">IFERROR(BDP(MO.Ticker.Bloomberg&amp;" Equity","INTERVAL_AVG","MARKET_DATA_OVERRIDE=PX_LAST","START_DATE_OVERRIDE",TEXT(INDEX(MO_SNA_FPStartDate,0,COLUMN()),"YYYYMMDD"),"END_DATE_OVERRIDE",TEXT(INDEX(MO_Common_QEndDate,0,COLUMN()),"YYYYMMDD")),"N/A")</f>
        <v>N/A</v>
      </c>
      <c r="R1090" s="134" t="str">
        <f ca="1">IFERROR(BDP(MO.Ticker.Bloomberg&amp;" Equity","INTERVAL_AVG","MARKET_DATA_OVERRIDE=PX_LAST","START_DATE_OVERRIDE",TEXT(INDEX(MO_SNA_FPStartDate,0,COLUMN()),"YYYYMMDD"),"END_DATE_OVERRIDE",TEXT(INDEX(MO_Common_QEndDate,0,COLUMN()),"YYYYMMDD")),"N/A")</f>
        <v>N/A</v>
      </c>
      <c r="S1090" s="134" t="str">
        <f ca="1">IFERROR(BDP(MO.Ticker.Bloomberg&amp;" Equity","INTERVAL_AVG","MARKET_DATA_OVERRIDE=PX_LAST","START_DATE_OVERRIDE",TEXT(INDEX(MO_SNA_FPStartDate,0,COLUMN()),"YYYYMMDD"),"END_DATE_OVERRIDE",TEXT(INDEX(MO_Common_QEndDate,0,COLUMN()),"YYYYMMDD")),"N/A")</f>
        <v>N/A</v>
      </c>
      <c r="T1090" s="134" t="str">
        <f ca="1">IFERROR(BDP(MO.Ticker.Bloomberg&amp;" Equity","INTERVAL_AVG","MARKET_DATA_OVERRIDE=PX_LAST","START_DATE_OVERRIDE",TEXT(INDEX(MO_SNA_FPStartDate,0,COLUMN()),"YYYYMMDD"),"END_DATE_OVERRIDE",TEXT(INDEX(MO_Common_QEndDate,0,COLUMN()),"YYYYMMDD")),"N/A")</f>
        <v>N/A</v>
      </c>
      <c r="U1090" s="134" t="str">
        <f ca="1">IFERROR(BDP(MO.Ticker.Bloomberg&amp;" Equity","INTERVAL_AVG","MARKET_DATA_OVERRIDE=PX_LAST","START_DATE_OVERRIDE",TEXT(INDEX(MO_SNA_FPStartDate,0,COLUMN()),"YYYYMMDD"),"END_DATE_OVERRIDE",TEXT(INDEX(MO_Common_QEndDate,0,COLUMN()),"YYYYMMDD")),"N/A")</f>
        <v>N/A</v>
      </c>
      <c r="V1090" s="134" t="str">
        <f ca="1">IFERROR(BDP(MO.Ticker.Bloomberg&amp;" Equity","INTERVAL_AVG","MARKET_DATA_OVERRIDE=PX_LAST","START_DATE_OVERRIDE",TEXT(INDEX(MO_SNA_FPStartDate,0,COLUMN()),"YYYYMMDD"),"END_DATE_OVERRIDE",TEXT(INDEX(MO_Common_QEndDate,0,COLUMN()),"YYYYMMDD")),"N/A")</f>
        <v>N/A</v>
      </c>
      <c r="W1090" s="134" t="str">
        <f ca="1">IFERROR(BDP(MO.Ticker.Bloomberg&amp;" Equity","INTERVAL_AVG","MARKET_DATA_OVERRIDE=PX_LAST","START_DATE_OVERRIDE",TEXT(INDEX(MO_SNA_FPStartDate,0,COLUMN()),"YYYYMMDD"),"END_DATE_OVERRIDE",TEXT(INDEX(MO_Common_QEndDate,0,COLUMN()),"YYYYMMDD")),"N/A")</f>
        <v>N/A</v>
      </c>
      <c r="X1090" s="134" t="str">
        <f ca="1">IFERROR(BDP(MO.Ticker.Bloomberg&amp;" Equity","INTERVAL_AVG","MARKET_DATA_OVERRIDE=PX_LAST","START_DATE_OVERRIDE",TEXT(INDEX(MO_SNA_FPStartDate,0,COLUMN()),"YYYYMMDD"),"END_DATE_OVERRIDE",TEXT(INDEX(MO_Common_QEndDate,0,COLUMN()),"YYYYMMDD")),"N/A")</f>
        <v>N/A</v>
      </c>
      <c r="Y1090" s="134" t="str">
        <f ca="1">IFERROR(BDP(MO.Ticker.Bloomberg&amp;" Equity","INTERVAL_AVG","MARKET_DATA_OVERRIDE=PX_LAST","START_DATE_OVERRIDE",TEXT(INDEX(MO_SNA_FPStartDate,0,COLUMN()),"YYYYMMDD"),"END_DATE_OVERRIDE",TEXT(INDEX(MO_Common_QEndDate,0,COLUMN()),"YYYYMMDD")),"N/A")</f>
        <v>N/A</v>
      </c>
      <c r="Z1090" s="134" t="str">
        <f ca="1">IFERROR(BDP(MO.Ticker.Bloomberg&amp;" Equity","INTERVAL_AVG","MARKET_DATA_OVERRIDE=PX_LAST","START_DATE_OVERRIDE",TEXT(INDEX(MO_SNA_FPStartDate,0,COLUMN()),"YYYYMMDD"),"END_DATE_OVERRIDE",TEXT(INDEX(MO_Common_QEndDate,0,COLUMN()),"YYYYMMDD")),"N/A")</f>
        <v>N/A</v>
      </c>
      <c r="AA1090" s="134" t="str">
        <f ca="1">IFERROR(BDP(MO.Ticker.Bloomberg&amp;" Equity","INTERVAL_AVG","MARKET_DATA_OVERRIDE=PX_LAST","START_DATE_OVERRIDE",TEXT(INDEX(MO_SNA_FPStartDate,0,COLUMN()),"YYYYMMDD"),"END_DATE_OVERRIDE",TEXT(INDEX(MO_Common_QEndDate,0,COLUMN()),"YYYYMMDD")),"N/A")</f>
        <v>N/A</v>
      </c>
      <c r="AB1090" s="134" t="str">
        <f ca="1">IFERROR(BDP(MO.Ticker.Bloomberg&amp;" Equity","INTERVAL_AVG","MARKET_DATA_OVERRIDE=PX_LAST","START_DATE_OVERRIDE",TEXT(INDEX(MO_SNA_FPStartDate,0,COLUMN()),"YYYYMMDD"),"END_DATE_OVERRIDE",TEXT(INDEX(MO_Common_QEndDate,0,COLUMN()),"YYYYMMDD")),"N/A")</f>
        <v>N/A</v>
      </c>
      <c r="AC1090" s="134" t="str">
        <f ca="1">IFERROR(BDP(MO.Ticker.Bloomberg&amp;" Equity","INTERVAL_AVG","MARKET_DATA_OVERRIDE=PX_LAST","START_DATE_OVERRIDE",TEXT(INDEX(MO_SNA_FPStartDate,0,COLUMN()),"YYYYMMDD"),"END_DATE_OVERRIDE",TEXT(INDEX(MO_Common_QEndDate,0,COLUMN()),"YYYYMMDD")),"N/A")</f>
        <v>N/A</v>
      </c>
      <c r="AD1090" s="134" t="str">
        <f ca="1">IFERROR(BDP(MO.Ticker.Bloomberg&amp;" Equity","INTERVAL_AVG","MARKET_DATA_OVERRIDE=PX_LAST","START_DATE_OVERRIDE",TEXT(INDEX(MO_SNA_FPStartDate,0,COLUMN()),"YYYYMMDD"),"END_DATE_OVERRIDE",TEXT(INDEX(MO_Common_QEndDate,0,COLUMN()),"YYYYMMDD")),"N/A")</f>
        <v>N/A</v>
      </c>
      <c r="AE1090" s="134" t="str">
        <f ca="1">IFERROR(BDP(MO.Ticker.Bloomberg&amp;" Equity","INTERVAL_AVG","MARKET_DATA_OVERRIDE=PX_LAST","START_DATE_OVERRIDE",TEXT(INDEX(MO_SNA_FPStartDate,0,COLUMN()),"YYYYMMDD"),"END_DATE_OVERRIDE",TEXT(INDEX(MO_Common_QEndDate,0,COLUMN()),"YYYYMMDD")),"N/A")</f>
        <v>N/A</v>
      </c>
      <c r="AF1090" s="134" t="str">
        <f ca="1">IFERROR(BDP(MO.Ticker.Bloomberg&amp;" Equity","INTERVAL_AVG","MARKET_DATA_OVERRIDE=PX_LAST","START_DATE_OVERRIDE",TEXT(INDEX(MO_SNA_FPStartDate,0,COLUMN()),"YYYYMMDD"),"END_DATE_OVERRIDE",TEXT(INDEX(MO_Common_QEndDate,0,COLUMN()),"YYYYMMDD")),"N/A")</f>
        <v>N/A</v>
      </c>
      <c r="AG1090" s="134" t="str">
        <f ca="1">IFERROR(BDP(MO.Ticker.Bloomberg&amp;" Equity","INTERVAL_AVG","MARKET_DATA_OVERRIDE=PX_LAST","START_DATE_OVERRIDE",TEXT(INDEX(MO_SNA_FPStartDate,0,COLUMN()),"YYYYMMDD"),"END_DATE_OVERRIDE",TEXT(INDEX(MO_Common_QEndDate,0,COLUMN()),"YYYYMMDD")),"N/A")</f>
        <v>N/A</v>
      </c>
      <c r="AH1090" s="134" t="str">
        <f ca="1">IFERROR(BDP(MO.Ticker.Bloomberg&amp;" Equity","INTERVAL_AVG","MARKET_DATA_OVERRIDE=PX_LAST","START_DATE_OVERRIDE",TEXT(INDEX(MO_SNA_FPStartDate,0,COLUMN()),"YYYYMMDD"),"END_DATE_OVERRIDE",TEXT(INDEX(MO_Common_QEndDate,0,COLUMN()),"YYYYMMDD")),"N/A")</f>
        <v>N/A</v>
      </c>
      <c r="AI1090" s="134" t="str">
        <f ca="1">IFERROR(BDP(MO.Ticker.Bloomberg&amp;" Equity","INTERVAL_AVG","MARKET_DATA_OVERRIDE=PX_LAST","START_DATE_OVERRIDE",TEXT(INDEX(MO_SNA_FPStartDate,0,COLUMN()),"YYYYMMDD"),"END_DATE_OVERRIDE",TEXT(INDEX(MO_Common_QEndDate,0,COLUMN()),"YYYYMMDD")),"N/A")</f>
        <v>N/A</v>
      </c>
      <c r="AJ1090" s="134" t="str">
        <f ca="1">IFERROR(BDP(MO.Ticker.Bloomberg&amp;" Equity","INTERVAL_AVG","MARKET_DATA_OVERRIDE=PX_LAST","START_DATE_OVERRIDE",TEXT(INDEX(MO_SNA_FPStartDate,0,COLUMN()),"YYYYMMDD"),"END_DATE_OVERRIDE",TEXT(INDEX(MO_Common_QEndDate,0,COLUMN()),"YYYYMMDD")),"N/A")</f>
        <v>N/A</v>
      </c>
      <c r="AK1090" s="134" t="str">
        <f ca="1">IFERROR(BDP(MO.Ticker.Bloomberg&amp;" Equity","INTERVAL_AVG","MARKET_DATA_OVERRIDE=PX_LAST","START_DATE_OVERRIDE",TEXT(INDEX(MO_SNA_FPStartDate,0,COLUMN()),"YYYYMMDD"),"END_DATE_OVERRIDE",TEXT(INDEX(MO_Common_QEndDate,0,COLUMN()),"YYYYMMDD")),"N/A")</f>
        <v>N/A</v>
      </c>
      <c r="AL1090" s="134" t="str">
        <f ca="1">IFERROR(BDP(MO.Ticker.Bloomberg&amp;" Equity","INTERVAL_AVG","MARKET_DATA_OVERRIDE=PX_LAST","START_DATE_OVERRIDE",TEXT(INDEX(MO_SNA_FPStartDate,0,COLUMN()),"YYYYMMDD"),"END_DATE_OVERRIDE",TEXT(INDEX(MO_Common_QEndDate,0,COLUMN()),"YYYYMMDD")),"N/A")</f>
        <v>N/A</v>
      </c>
      <c r="AM1090" s="134" t="str">
        <f ca="1">IFERROR(BDP(MO.Ticker.Bloomberg&amp;" Equity","INTERVAL_AVG","MARKET_DATA_OVERRIDE=PX_LAST","START_DATE_OVERRIDE",TEXT(INDEX(MO_SNA_FPStartDate,0,COLUMN()),"YYYYMMDD"),"END_DATE_OVERRIDE",TEXT(INDEX(MO_Common_QEndDate,0,COLUMN()),"YYYYMMDD")),"N/A")</f>
        <v>N/A</v>
      </c>
      <c r="AN1090" s="134" t="str">
        <f ca="1">IFERROR(BDP(MO.Ticker.Bloomberg&amp;" Equity","INTERVAL_AVG","MARKET_DATA_OVERRIDE=PX_LAST","START_DATE_OVERRIDE",TEXT(INDEX(MO_SNA_FPStartDate,0,COLUMN()),"YYYYMMDD"),"END_DATE_OVERRIDE",TEXT(INDEX(MO_Common_QEndDate,0,COLUMN()),"YYYYMMDD")),"N/A")</f>
        <v>N/A</v>
      </c>
      <c r="AO1090" s="134" t="str">
        <f ca="1">IFERROR(BDP(MO.Ticker.Bloomberg&amp;" Equity","INTERVAL_AVG","MARKET_DATA_OVERRIDE=PX_LAST","START_DATE_OVERRIDE",TEXT(INDEX(MO_SNA_FPStartDate,0,COLUMN()),"YYYYMMDD"),"END_DATE_OVERRIDE",TEXT(INDEX(MO_Common_QEndDate,0,COLUMN()),"YYYYMMDD")),"N/A")</f>
        <v>N/A</v>
      </c>
      <c r="AP1090" s="134" t="str">
        <f ca="1">IFERROR(BDP(MO.Ticker.Bloomberg&amp;" Equity","INTERVAL_AVG","MARKET_DATA_OVERRIDE=PX_LAST","START_DATE_OVERRIDE",TEXT(INDEX(MO_SNA_FPStartDate,0,COLUMN()),"YYYYMMDD"),"END_DATE_OVERRIDE",TEXT(INDEX(MO_Common_QEndDate,0,COLUMN()),"YYYYMMDD")),"N/A")</f>
        <v>N/A</v>
      </c>
      <c r="AQ1090" s="134" t="str">
        <f ca="1">IFERROR(BDP(MO.Ticker.Bloomberg&amp;" Equity","INTERVAL_AVG","MARKET_DATA_OVERRIDE=PX_LAST","START_DATE_OVERRIDE",TEXT(INDEX(MO_SNA_FPStartDate,0,COLUMN()),"YYYYMMDD"),"END_DATE_OVERRIDE",TEXT(INDEX(MO_Common_QEndDate,0,COLUMN()),"YYYYMMDD")),"N/A")</f>
        <v>N/A</v>
      </c>
      <c r="AR1090" s="134" t="str">
        <f ca="1">IFERROR(BDP(MO.Ticker.Bloomberg&amp;" Equity","INTERVAL_AVG","MARKET_DATA_OVERRIDE=PX_LAST","START_DATE_OVERRIDE",TEXT(INDEX(MO_SNA_FPStartDate,0,COLUMN()),"YYYYMMDD"),"END_DATE_OVERRIDE",TEXT(INDEX(MO_Common_QEndDate,0,COLUMN()),"YYYYMMDD")),"N/A")</f>
        <v>N/A</v>
      </c>
      <c r="AS1090" s="134" t="str">
        <f ca="1">IFERROR(BDP(MO.Ticker.Bloomberg&amp;" Equity","INTERVAL_AVG","MARKET_DATA_OVERRIDE=PX_LAST","START_DATE_OVERRIDE",TEXT(INDEX(MO_SNA_FPStartDate,0,COLUMN()),"YYYYMMDD"),"END_DATE_OVERRIDE",TEXT(INDEX(MO_Common_QEndDate,0,COLUMN()),"YYYYMMDD")),"N/A")</f>
        <v>N/A</v>
      </c>
      <c r="AT1090" s="134" t="str">
        <f ca="1">IFERROR(BDP(MO.Ticker.Bloomberg&amp;" Equity","INTERVAL_AVG","MARKET_DATA_OVERRIDE=PX_LAST","START_DATE_OVERRIDE",TEXT(INDEX(MO_SNA_FPStartDate,0,COLUMN()),"YYYYMMDD"),"END_DATE_OVERRIDE",TEXT(INDEX(MO_Common_QEndDate,0,COLUMN()),"YYYYMMDD")),"N/A")</f>
        <v>N/A</v>
      </c>
      <c r="AU1090" s="134" t="str">
        <f ca="1">IFERROR(BDP(MO.Ticker.Bloomberg&amp;" Equity","INTERVAL_AVG","MARKET_DATA_OVERRIDE=PX_LAST","START_DATE_OVERRIDE",TEXT(INDEX(MO_SNA_FPStartDate,0,COLUMN()),"YYYYMMDD"),"END_DATE_OVERRIDE",TEXT(INDEX(MO_Common_QEndDate,0,COLUMN()),"YYYYMMDD")),"N/A")</f>
        <v>N/A</v>
      </c>
      <c r="AV1090" s="134" t="str">
        <f ca="1">IFERROR(BDP(MO.Ticker.Bloomberg&amp;" Equity","INTERVAL_AVG","MARKET_DATA_OVERRIDE=PX_LAST","START_DATE_OVERRIDE",TEXT(INDEX(MO_SNA_FPStartDate,0,COLUMN()),"YYYYMMDD"),"END_DATE_OVERRIDE",TEXT(INDEX(MO_Common_QEndDate,0,COLUMN()),"YYYYMMDD")),"N/A")</f>
        <v>N/A</v>
      </c>
      <c r="AW1090" s="134" t="str">
        <f ca="1">IFERROR(BDP(MO.Ticker.Bloomberg&amp;" Equity","INTERVAL_AVG","MARKET_DATA_OVERRIDE=PX_LAST","START_DATE_OVERRIDE",TEXT(INDEX(MO_SNA_FPStartDate,0,COLUMN()),"YYYYMMDD"),"END_DATE_OVERRIDE",TEXT(INDEX(MO_Common_QEndDate,0,COLUMN()),"YYYYMMDD")),"N/A")</f>
        <v>N/A</v>
      </c>
      <c r="AX1090" s="134" t="str">
        <f ca="1">IFERROR(BDP(MO.Ticker.Bloomberg&amp;" Equity","INTERVAL_AVG","MARKET_DATA_OVERRIDE=PX_LAST","START_DATE_OVERRIDE",TEXT(INDEX(MO_SNA_FPStartDate,0,COLUMN()),"YYYYMMDD"),"END_DATE_OVERRIDE",TEXT(INDEX(MO_Common_QEndDate,0,COLUMN()),"YYYYMMDD")),"N/A")</f>
        <v>N/A</v>
      </c>
      <c r="AY1090" s="134" t="str">
        <f ca="1">IFERROR(BDP(MO.Ticker.Bloomberg&amp;" Equity","INTERVAL_AVG","MARKET_DATA_OVERRIDE=PX_LAST","START_DATE_OVERRIDE",TEXT(INDEX(MO_SNA_FPStartDate,0,COLUMN()),"YYYYMMDD"),"END_DATE_OVERRIDE",TEXT(INDEX(MO_Common_QEndDate,0,COLUMN()),"YYYYMMDD")),"N/A")</f>
        <v>N/A</v>
      </c>
      <c r="AZ1090" s="134" t="str">
        <f ca="1">IFERROR(BDP(MO.Ticker.Bloomberg&amp;" Equity","INTERVAL_AVG","MARKET_DATA_OVERRIDE=PX_LAST","START_DATE_OVERRIDE",TEXT(INDEX(MO_SNA_FPStartDate,0,COLUMN()),"YYYYMMDD"),"END_DATE_OVERRIDE",TEXT(INDEX(MO_Common_QEndDate,0,COLUMN()),"YYYYMMDD")),"N/A")</f>
        <v>N/A</v>
      </c>
      <c r="BA1090" s="134" t="str">
        <f ca="1">IFERROR(BDP(MO.Ticker.Bloomberg&amp;" Equity","INTERVAL_AVG","MARKET_DATA_OVERRIDE=PX_LAST","START_DATE_OVERRIDE",TEXT(INDEX(MO_SNA_FPStartDate,0,COLUMN()),"YYYYMMDD"),"END_DATE_OVERRIDE",TEXT(INDEX(MO_Common_QEndDate,0,COLUMN()),"YYYYMMDD")),"N/A")</f>
        <v>N/A</v>
      </c>
      <c r="BB1090" s="134" t="str">
        <f ca="1">IFERROR(BDP(MO.Ticker.Bloomberg&amp;" Equity","INTERVAL_AVG","MARKET_DATA_OVERRIDE=PX_LAST","START_DATE_OVERRIDE",TEXT(INDEX(MO_SNA_FPStartDate,0,COLUMN()),"YYYYMMDD"),"END_DATE_OVERRIDE",TEXT(INDEX(MO_Common_QEndDate,0,COLUMN()),"YYYYMMDD")),"N/A")</f>
        <v>N/A</v>
      </c>
      <c r="BC1090" s="134" t="str">
        <f ca="1">IFERROR(BDP(MO.Ticker.Bloomberg&amp;" Equity","INTERVAL_AVG","MARKET_DATA_OVERRIDE=PX_LAST","START_DATE_OVERRIDE",TEXT(INDEX(MO_SNA_FPStartDate,0,COLUMN()),"YYYYMMDD"),"END_DATE_OVERRIDE",TEXT(INDEX(MO_Common_QEndDate,0,COLUMN()),"YYYYMMDD")),"N/A")</f>
        <v>N/A</v>
      </c>
      <c r="BD1090" s="134" t="str">
        <f ca="1">IFERROR(BDP(MO.Ticker.Bloomberg&amp;" Equity","INTERVAL_AVG","MARKET_DATA_OVERRIDE=PX_LAST","START_DATE_OVERRIDE",TEXT(INDEX(MO_SNA_FPStartDate,0,COLUMN()),"YYYYMMDD"),"END_DATE_OVERRIDE",TEXT(INDEX(MO_Common_QEndDate,0,COLUMN()),"YYYYMMDD")),"N/A")</f>
        <v>N/A</v>
      </c>
      <c r="BE1090" s="134" t="str">
        <f ca="1">IFERROR(BDP(MO.Ticker.Bloomberg&amp;" Equity","INTERVAL_AVG","MARKET_DATA_OVERRIDE=PX_LAST","START_DATE_OVERRIDE",TEXT(INDEX(MO_SNA_FPStartDate,0,COLUMN()),"YYYYMMDD"),"END_DATE_OVERRIDE",TEXT(INDEX(MO_Common_QEndDate,0,COLUMN()),"YYYYMMDD")),"N/A")</f>
        <v>N/A</v>
      </c>
      <c r="BF1090" s="134" t="str">
        <f ca="1">IFERROR(BDP(MO.Ticker.Bloomberg&amp;" Equity","INTERVAL_AVG","MARKET_DATA_OVERRIDE=PX_LAST","START_DATE_OVERRIDE",TEXT(INDEX(MO_SNA_FPStartDate,0,COLUMN()),"YYYYMMDD"),"END_DATE_OVERRIDE",TEXT(INDEX(MO_Common_QEndDate,0,COLUMN()),"YYYYMMDD")),"N/A")</f>
        <v>N/A</v>
      </c>
      <c r="BG1090" s="134"/>
      <c r="BH1090" s="589" t="str">
        <f ca="1">IFERROR(BDP(MO.Ticker.Bloomberg&amp;" Equity","INTERVAL_AVG","MARKET_DATA_OVERRIDE=PX_LAST","START_DATE_OVERRIDE",TEXT(INDEX(MO_SNA_FPStartDate,0,COLUMN()),"YYYYMMDD"),"END_DATE_OVERRIDE",TEXT(INDEX(MO_Common_QEndDate,0,COLUMN()),"YYYYMMDD")),"N/A")</f>
        <v>N/A</v>
      </c>
      <c r="BI1090" s="589" t="str">
        <f ca="1">IFERROR(BDP(MO.Ticker.Bloomberg&amp;" Equity","INTERVAL_AVG","MARKET_DATA_OVERRIDE=PX_LAST","START_DATE_OVERRIDE",TEXT(INDEX(MO_SNA_FPStartDate,0,COLUMN()),"YYYYMMDD"),"END_DATE_OVERRIDE",TEXT(INDEX(MO_Common_QEndDate,0,COLUMN()),"YYYYMMDD")),"N/A")</f>
        <v>N/A</v>
      </c>
      <c r="BJ1090" s="589" t="str">
        <f ca="1">IFERROR(BDP(MO.Ticker.Bloomberg&amp;" Equity","INTERVAL_AVG","MARKET_DATA_OVERRIDE=PX_LAST","START_DATE_OVERRIDE",TEXT(INDEX(MO_SNA_FPStartDate,0,COLUMN()),"YYYYMMDD"),"END_DATE_OVERRIDE",TEXT(INDEX(MO_Common_QEndDate,0,COLUMN()),"YYYYMMDD")),"N/A")</f>
        <v>N/A</v>
      </c>
      <c r="BK1090" s="589" t="str">
        <f ca="1">IFERROR(BDP(MO.Ticker.Bloomberg&amp;" Equity","INTERVAL_AVG","MARKET_DATA_OVERRIDE=PX_LAST","START_DATE_OVERRIDE",TEXT(INDEX(MO_SNA_FPStartDate,0,COLUMN()),"YYYYMMDD"),"END_DATE_OVERRIDE",TEXT(INDEX(MO_Common_QEndDate,0,COLUMN()),"YYYYMMDD")),"N/A")</f>
        <v>N/A</v>
      </c>
      <c r="BL1090" s="134" t="str">
        <f ca="1">IFERROR(BDP(MO.Ticker.Bloomberg&amp;" Equity","INTERVAL_AVG","MARKET_DATA_OVERRIDE=PX_LAST","START_DATE_OVERRIDE",TEXT(INDEX(MO_SNA_FPStartDate,0,COLUMN()),"YYYYMMDD"),"END_DATE_OVERRIDE",TEXT(INDEX(MO_Common_QEndDate,0,COLUMN()),"YYYYMMDD")),"N/A")</f>
        <v>N/A</v>
      </c>
      <c r="BM1090" s="134" t="str">
        <f ca="1">IFERROR(BDP(MO.Ticker.Bloomberg&amp;" Equity","INTERVAL_AVG","MARKET_DATA_OVERRIDE=PX_LAST","START_DATE_OVERRIDE",TEXT(INDEX(MO_SNA_FPStartDate,0,COLUMN()),"YYYYMMDD"),"END_DATE_OVERRIDE",TEXT(INDEX(MO_Common_QEndDate,0,COLUMN()),"YYYYMMDD")),"N/A")</f>
        <v>N/A</v>
      </c>
      <c r="BN1090" s="134" t="str">
        <f ca="1">IFERROR(BDP(MO.Ticker.Bloomberg&amp;" Equity","INTERVAL_AVG","MARKET_DATA_OVERRIDE=PX_LAST","START_DATE_OVERRIDE",TEXT(INDEX(MO_SNA_FPStartDate,0,COLUMN()),"YYYYMMDD"),"END_DATE_OVERRIDE",TEXT(INDEX(MO_Common_QEndDate,0,COLUMN()),"YYYYMMDD")),"N/A")</f>
        <v>N/A</v>
      </c>
      <c r="BO1090" s="134" t="str">
        <f ca="1">IFERROR(BDP(MO.Ticker.Bloomberg&amp;" Equity","INTERVAL_AVG","MARKET_DATA_OVERRIDE=PX_LAST","START_DATE_OVERRIDE",TEXT(INDEX(MO_SNA_FPStartDate,0,COLUMN()),"YYYYMMDD"),"END_DATE_OVERRIDE",TEXT(INDEX(MO_Common_QEndDate,0,COLUMN()),"YYYYMMDD")),"N/A")</f>
        <v>N/A</v>
      </c>
      <c r="BP1090" s="134" t="str">
        <f ca="1">IFERROR(BDP(MO.Ticker.Bloomberg&amp;" Equity","INTERVAL_AVG","MARKET_DATA_OVERRIDE=PX_LAST","START_DATE_OVERRIDE",TEXT(INDEX(MO_SNA_FPStartDate,0,COLUMN()),"YYYYMMDD"),"END_DATE_OVERRIDE",TEXT(INDEX(MO_Common_QEndDate,0,COLUMN()),"YYYYMMDD")),"N/A")</f>
        <v>N/A</v>
      </c>
      <c r="BQ1090" s="134" t="str">
        <f ca="1">IFERROR(BDP(MO.Ticker.Bloomberg&amp;" Equity","INTERVAL_AVG","MARKET_DATA_OVERRIDE=PX_LAST","START_DATE_OVERRIDE",TEXT(INDEX(MO_SNA_FPStartDate,0,COLUMN()),"YYYYMMDD"),"END_DATE_OVERRIDE",TEXT(INDEX(MO_Common_QEndDate,0,COLUMN()),"YYYYMMDD")),"N/A")</f>
        <v>N/A</v>
      </c>
      <c r="BR1090" s="134" t="str">
        <f ca="1">IFERROR(BDP(MO.Ticker.Bloomberg&amp;" Equity","INTERVAL_AVG","MARKET_DATA_OVERRIDE=PX_LAST","START_DATE_OVERRIDE",TEXT(INDEX(MO_SNA_FPStartDate,0,COLUMN()),"YYYYMMDD"),"END_DATE_OVERRIDE",TEXT(INDEX(MO_Common_QEndDate,0,COLUMN()),"YYYYMMDD")),"N/A")</f>
        <v>N/A</v>
      </c>
      <c r="BS1090" s="134" t="str">
        <f ca="1">IFERROR(BDP(MO.Ticker.Bloomberg&amp;" Equity","INTERVAL_AVG","MARKET_DATA_OVERRIDE=PX_LAST","START_DATE_OVERRIDE",TEXT(INDEX(MO_SNA_FPStartDate,0,COLUMN()),"YYYYMMDD"),"END_DATE_OVERRIDE",TEXT(INDEX(MO_Common_QEndDate,0,COLUMN()),"YYYYMMDD")),"N/A")</f>
        <v>N/A</v>
      </c>
      <c r="BT1090" s="134" t="str">
        <f ca="1">IFERROR(BDP(MO.Ticker.Bloomberg&amp;" Equity","INTERVAL_AVG","MARKET_DATA_OVERRIDE=PX_LAST","START_DATE_OVERRIDE",TEXT(INDEX(MO_SNA_FPStartDate,0,COLUMN()),"YYYYMMDD"),"END_DATE_OVERRIDE",TEXT(INDEX(MO_Common_QEndDate,0,COLUMN()),"YYYYMMDD")),"N/A")</f>
        <v>N/A</v>
      </c>
      <c r="BU1090" s="134" t="str">
        <f ca="1">IFERROR(BDP(MO.Ticker.Bloomberg&amp;" Equity","INTERVAL_AVG","MARKET_DATA_OVERRIDE=PX_LAST","START_DATE_OVERRIDE",TEXT(INDEX(MO_SNA_FPStartDate,0,COLUMN()),"YYYYMMDD"),"END_DATE_OVERRIDE",TEXT(INDEX(MO_Common_QEndDate,0,COLUMN()),"YYYYMMDD")),"N/A")</f>
        <v>N/A</v>
      </c>
      <c r="BV1090" s="134" t="str">
        <f ca="1">IFERROR(BDP(MO.Ticker.Bloomberg&amp;" Equity","INTERVAL_AVG","MARKET_DATA_OVERRIDE=PX_LAST","START_DATE_OVERRIDE",TEXT(INDEX(MO_SNA_FPStartDate,0,COLUMN()),"YYYYMMDD"),"END_DATE_OVERRIDE",TEXT(INDEX(MO_Common_QEndDate,0,COLUMN()),"YYYYMMDD")),"N/A")</f>
        <v>N/A</v>
      </c>
      <c r="BW1090" s="134" t="str">
        <f ca="1">IFERROR(BDP(MO.Ticker.Bloomberg&amp;" Equity","INTERVAL_AVG","MARKET_DATA_OVERRIDE=PX_LAST","START_DATE_OVERRIDE",TEXT(INDEX(MO_SNA_FPStartDate,0,COLUMN()),"YYYYMMDD"),"END_DATE_OVERRIDE",TEXT(INDEX(MO_Common_QEndDate,0,COLUMN()),"YYYYMMDD")),"N/A")</f>
        <v>N/A</v>
      </c>
      <c r="BX1090" s="134" t="str">
        <f ca="1">IFERROR(BDP(MO.Ticker.Bloomberg&amp;" Equity","INTERVAL_AVG","MARKET_DATA_OVERRIDE=PX_LAST","START_DATE_OVERRIDE",TEXT(INDEX(MO_SNA_FPStartDate,0,COLUMN()),"YYYYMMDD"),"END_DATE_OVERRIDE",TEXT(INDEX(MO_Common_QEndDate,0,COLUMN()),"YYYYMMDD")),"N/A")</f>
        <v>N/A</v>
      </c>
      <c r="BY1090" s="134" t="str">
        <f ca="1">IFERROR(BDP(MO.Ticker.Bloomberg&amp;" Equity","INTERVAL_AVG","MARKET_DATA_OVERRIDE=PX_LAST","START_DATE_OVERRIDE",TEXT(INDEX(MO_SNA_FPStartDate,0,COLUMN()),"YYYYMMDD"),"END_DATE_OVERRIDE",TEXT(INDEX(MO_Common_QEndDate,0,COLUMN()),"YYYYMMDD")),"N/A")</f>
        <v>N/A</v>
      </c>
      <c r="BZ1090" s="134" t="str">
        <f ca="1">IFERROR(BDP(MO.Ticker.Bloomberg&amp;" Equity","INTERVAL_AVG","MARKET_DATA_OVERRIDE=PX_LAST","START_DATE_OVERRIDE",TEXT(INDEX(MO_SNA_FPStartDate,0,COLUMN()),"YYYYMMDD"),"END_DATE_OVERRIDE",TEXT(INDEX(MO_Common_QEndDate,0,COLUMN()),"YYYYMMDD")),"N/A")</f>
        <v>N/A</v>
      </c>
      <c r="CA1090" s="134" t="str">
        <f ca="1">IFERROR(BDP(MO.Ticker.Bloomberg&amp;" Equity","INTERVAL_AVG","MARKET_DATA_OVERRIDE=PX_LAST","START_DATE_OVERRIDE",TEXT(INDEX(MO_SNA_FPStartDate,0,COLUMN()),"YYYYMMDD"),"END_DATE_OVERRIDE",TEXT(INDEX(MO_Common_QEndDate,0,COLUMN()),"YYYYMMDD")),"N/A")</f>
        <v>N/A</v>
      </c>
      <c r="CB1090" s="134" t="str">
        <f ca="1">IFERROR(BDP(MO.Ticker.Bloomberg&amp;" Equity","INTERVAL_AVG","MARKET_DATA_OVERRIDE=PX_LAST","START_DATE_OVERRIDE",TEXT(INDEX(MO_SNA_FPStartDate,0,COLUMN()),"YYYYMMDD"),"END_DATE_OVERRIDE",TEXT(INDEX(MO_Common_QEndDate,0,COLUMN()),"YYYYMMDD")),"N/A")</f>
        <v>N/A</v>
      </c>
      <c r="CC1090" s="180"/>
    </row>
    <row r="1091" spans="1:81" outlineLevel="1" x14ac:dyDescent="0.55000000000000004">
      <c r="A1091" s="1157" t="s">
        <v>244</v>
      </c>
      <c r="B1091" s="134"/>
      <c r="C1091" s="589" t="str">
        <f ca="1">IFERROR(CIQAVG(MO.Ticker.CapIQ,"IQ_LASTSALEPRICE",INDEX(MO_SNA_FPStartDate,0,COLUMN()),INDEX(MO_Common_QEndDate,0,COLUMN())),"N/A")</f>
        <v>N/A</v>
      </c>
      <c r="D1091" s="134" t="str">
        <f ca="1">IFERROR(CIQAVG(MO.Ticker.CapIQ,"IQ_LASTSALEPRICE",INDEX(MO_SNA_FPStartDate,0,COLUMN()),INDEX(MO_Common_QEndDate,0,COLUMN())),"N/A")</f>
        <v>N/A</v>
      </c>
      <c r="E1091" s="134" t="str">
        <f ca="1">IFERROR(CIQAVG(MO.Ticker.CapIQ,"IQ_LASTSALEPRICE",INDEX(MO_SNA_FPStartDate,0,COLUMN()),INDEX(MO_Common_QEndDate,0,COLUMN())),"N/A")</f>
        <v>N/A</v>
      </c>
      <c r="F1091" s="134" t="str">
        <f ca="1">IFERROR(CIQAVG(MO.Ticker.CapIQ,"IQ_LASTSALEPRICE",INDEX(MO_SNA_FPStartDate,0,COLUMN()),INDEX(MO_Common_QEndDate,0,COLUMN())),"N/A")</f>
        <v>N/A</v>
      </c>
      <c r="G1091" s="134" t="str">
        <f ca="1">IFERROR(CIQAVG(MO.Ticker.CapIQ,"IQ_LASTSALEPRICE",INDEX(MO_SNA_FPStartDate,0,COLUMN()),INDEX(MO_Common_QEndDate,0,COLUMN())),"N/A")</f>
        <v>N/A</v>
      </c>
      <c r="H1091" s="134" t="str">
        <f ca="1">IFERROR(CIQAVG(MO.Ticker.CapIQ,"IQ_LASTSALEPRICE",INDEX(MO_SNA_FPStartDate,0,COLUMN()),INDEX(MO_Common_QEndDate,0,COLUMN())),"N/A")</f>
        <v>N/A</v>
      </c>
      <c r="I1091" s="134" t="str">
        <f ca="1">IFERROR(CIQAVG(MO.Ticker.CapIQ,"IQ_LASTSALEPRICE",INDEX(MO_SNA_FPStartDate,0,COLUMN()),INDEX(MO_Common_QEndDate,0,COLUMN())),"N/A")</f>
        <v>N/A</v>
      </c>
      <c r="J1091" s="134" t="str">
        <f ca="1">IFERROR(CIQAVG(MO.Ticker.CapIQ,"IQ_LASTSALEPRICE",INDEX(MO_SNA_FPStartDate,0,COLUMN()),INDEX(MO_Common_QEndDate,0,COLUMN())),"N/A")</f>
        <v>N/A</v>
      </c>
      <c r="K1091" s="134" t="str">
        <f ca="1">IFERROR(CIQAVG(MO.Ticker.CapIQ,"IQ_LASTSALEPRICE",INDEX(MO_SNA_FPStartDate,0,COLUMN()),INDEX(MO_Common_QEndDate,0,COLUMN())),"N/A")</f>
        <v>N/A</v>
      </c>
      <c r="L1091" s="134" t="str">
        <f ca="1">IFERROR(CIQAVG(MO.Ticker.CapIQ,"IQ_LASTSALEPRICE",INDEX(MO_SNA_FPStartDate,0,COLUMN()),INDEX(MO_Common_QEndDate,0,COLUMN())),"N/A")</f>
        <v>N/A</v>
      </c>
      <c r="M1091" s="134" t="str">
        <f ca="1">IFERROR(CIQAVG(MO.Ticker.CapIQ,"IQ_LASTSALEPRICE",INDEX(MO_SNA_FPStartDate,0,COLUMN()),INDEX(MO_Common_QEndDate,0,COLUMN())),"N/A")</f>
        <v>N/A</v>
      </c>
      <c r="N1091" s="134" t="str">
        <f ca="1">IFERROR(CIQAVG(MO.Ticker.CapIQ,"IQ_LASTSALEPRICE",INDEX(MO_SNA_FPStartDate,0,COLUMN()),INDEX(MO_Common_QEndDate,0,COLUMN())),"N/A")</f>
        <v>N/A</v>
      </c>
      <c r="O1091" s="134" t="str">
        <f ca="1">IFERROR(CIQAVG(MO.Ticker.CapIQ,"IQ_LASTSALEPRICE",INDEX(MO_SNA_FPStartDate,0,COLUMN()),INDEX(MO_Common_QEndDate,0,COLUMN())),"N/A")</f>
        <v>N/A</v>
      </c>
      <c r="P1091" s="134" t="str">
        <f ca="1">IFERROR(CIQAVG(MO.Ticker.CapIQ,"IQ_LASTSALEPRICE",INDEX(MO_SNA_FPStartDate,0,COLUMN()),INDEX(MO_Common_QEndDate,0,COLUMN())),"N/A")</f>
        <v>N/A</v>
      </c>
      <c r="Q1091" s="134" t="str">
        <f ca="1">IFERROR(CIQAVG(MO.Ticker.CapIQ,"IQ_LASTSALEPRICE",INDEX(MO_SNA_FPStartDate,0,COLUMN()),INDEX(MO_Common_QEndDate,0,COLUMN())),"N/A")</f>
        <v>N/A</v>
      </c>
      <c r="R1091" s="134" t="str">
        <f ca="1">IFERROR(CIQAVG(MO.Ticker.CapIQ,"IQ_LASTSALEPRICE",INDEX(MO_SNA_FPStartDate,0,COLUMN()),INDEX(MO_Common_QEndDate,0,COLUMN())),"N/A")</f>
        <v>N/A</v>
      </c>
      <c r="S1091" s="134" t="str">
        <f ca="1">IFERROR(CIQAVG(MO.Ticker.CapIQ,"IQ_LASTSALEPRICE",INDEX(MO_SNA_FPStartDate,0,COLUMN()),INDEX(MO_Common_QEndDate,0,COLUMN())),"N/A")</f>
        <v>N/A</v>
      </c>
      <c r="T1091" s="134" t="str">
        <f ca="1">IFERROR(CIQAVG(MO.Ticker.CapIQ,"IQ_LASTSALEPRICE",INDEX(MO_SNA_FPStartDate,0,COLUMN()),INDEX(MO_Common_QEndDate,0,COLUMN())),"N/A")</f>
        <v>N/A</v>
      </c>
      <c r="U1091" s="134" t="str">
        <f ca="1">IFERROR(CIQAVG(MO.Ticker.CapIQ,"IQ_LASTSALEPRICE",INDEX(MO_SNA_FPStartDate,0,COLUMN()),INDEX(MO_Common_QEndDate,0,COLUMN())),"N/A")</f>
        <v>N/A</v>
      </c>
      <c r="V1091" s="134" t="str">
        <f ca="1">IFERROR(CIQAVG(MO.Ticker.CapIQ,"IQ_LASTSALEPRICE",INDEX(MO_SNA_FPStartDate,0,COLUMN()),INDEX(MO_Common_QEndDate,0,COLUMN())),"N/A")</f>
        <v>N/A</v>
      </c>
      <c r="W1091" s="134" t="str">
        <f ca="1">IFERROR(CIQAVG(MO.Ticker.CapIQ,"IQ_LASTSALEPRICE",INDEX(MO_SNA_FPStartDate,0,COLUMN()),INDEX(MO_Common_QEndDate,0,COLUMN())),"N/A")</f>
        <v>N/A</v>
      </c>
      <c r="X1091" s="134" t="str">
        <f ca="1">IFERROR(CIQAVG(MO.Ticker.CapIQ,"IQ_LASTSALEPRICE",INDEX(MO_SNA_FPStartDate,0,COLUMN()),INDEX(MO_Common_QEndDate,0,COLUMN())),"N/A")</f>
        <v>N/A</v>
      </c>
      <c r="Y1091" s="134" t="str">
        <f ca="1">IFERROR(CIQAVG(MO.Ticker.CapIQ,"IQ_LASTSALEPRICE",INDEX(MO_SNA_FPStartDate,0,COLUMN()),INDEX(MO_Common_QEndDate,0,COLUMN())),"N/A")</f>
        <v>N/A</v>
      </c>
      <c r="Z1091" s="134" t="str">
        <f ca="1">IFERROR(CIQAVG(MO.Ticker.CapIQ,"IQ_LASTSALEPRICE",INDEX(MO_SNA_FPStartDate,0,COLUMN()),INDEX(MO_Common_QEndDate,0,COLUMN())),"N/A")</f>
        <v>N/A</v>
      </c>
      <c r="AA1091" s="134" t="str">
        <f ca="1">IFERROR(CIQAVG(MO.Ticker.CapIQ,"IQ_LASTSALEPRICE",INDEX(MO_SNA_FPStartDate,0,COLUMN()),INDEX(MO_Common_QEndDate,0,COLUMN())),"N/A")</f>
        <v>N/A</v>
      </c>
      <c r="AB1091" s="134" t="str">
        <f ca="1">IFERROR(CIQAVG(MO.Ticker.CapIQ,"IQ_LASTSALEPRICE",INDEX(MO_SNA_FPStartDate,0,COLUMN()),INDEX(MO_Common_QEndDate,0,COLUMN())),"N/A")</f>
        <v>N/A</v>
      </c>
      <c r="AC1091" s="134" t="str">
        <f ca="1">IFERROR(CIQAVG(MO.Ticker.CapIQ,"IQ_LASTSALEPRICE",INDEX(MO_SNA_FPStartDate,0,COLUMN()),INDEX(MO_Common_QEndDate,0,COLUMN())),"N/A")</f>
        <v>N/A</v>
      </c>
      <c r="AD1091" s="134" t="str">
        <f ca="1">IFERROR(CIQAVG(MO.Ticker.CapIQ,"IQ_LASTSALEPRICE",INDEX(MO_SNA_FPStartDate,0,COLUMN()),INDEX(MO_Common_QEndDate,0,COLUMN())),"N/A")</f>
        <v>N/A</v>
      </c>
      <c r="AE1091" s="134" t="str">
        <f ca="1">IFERROR(CIQAVG(MO.Ticker.CapIQ,"IQ_LASTSALEPRICE",INDEX(MO_SNA_FPStartDate,0,COLUMN()),INDEX(MO_Common_QEndDate,0,COLUMN())),"N/A")</f>
        <v>N/A</v>
      </c>
      <c r="AF1091" s="134" t="str">
        <f ca="1">IFERROR(CIQAVG(MO.Ticker.CapIQ,"IQ_LASTSALEPRICE",INDEX(MO_SNA_FPStartDate,0,COLUMN()),INDEX(MO_Common_QEndDate,0,COLUMN())),"N/A")</f>
        <v>N/A</v>
      </c>
      <c r="AG1091" s="134" t="str">
        <f ca="1">IFERROR(CIQAVG(MO.Ticker.CapIQ,"IQ_LASTSALEPRICE",INDEX(MO_SNA_FPStartDate,0,COLUMN()),INDEX(MO_Common_QEndDate,0,COLUMN())),"N/A")</f>
        <v>N/A</v>
      </c>
      <c r="AH1091" s="134" t="str">
        <f ca="1">IFERROR(CIQAVG(MO.Ticker.CapIQ,"IQ_LASTSALEPRICE",INDEX(MO_SNA_FPStartDate,0,COLUMN()),INDEX(MO_Common_QEndDate,0,COLUMN())),"N/A")</f>
        <v>N/A</v>
      </c>
      <c r="AI1091" s="134" t="str">
        <f ca="1">IFERROR(CIQAVG(MO.Ticker.CapIQ,"IQ_LASTSALEPRICE",INDEX(MO_SNA_FPStartDate,0,COLUMN()),INDEX(MO_Common_QEndDate,0,COLUMN())),"N/A")</f>
        <v>N/A</v>
      </c>
      <c r="AJ1091" s="134" t="str">
        <f ca="1">IFERROR(CIQAVG(MO.Ticker.CapIQ,"IQ_LASTSALEPRICE",INDEX(MO_SNA_FPStartDate,0,COLUMN()),INDEX(MO_Common_QEndDate,0,COLUMN())),"N/A")</f>
        <v>N/A</v>
      </c>
      <c r="AK1091" s="134" t="str">
        <f ca="1">IFERROR(CIQAVG(MO.Ticker.CapIQ,"IQ_LASTSALEPRICE",INDEX(MO_SNA_FPStartDate,0,COLUMN()),INDEX(MO_Common_QEndDate,0,COLUMN())),"N/A")</f>
        <v>N/A</v>
      </c>
      <c r="AL1091" s="134" t="str">
        <f ca="1">IFERROR(CIQAVG(MO.Ticker.CapIQ,"IQ_LASTSALEPRICE",INDEX(MO_SNA_FPStartDate,0,COLUMN()),INDEX(MO_Common_QEndDate,0,COLUMN())),"N/A")</f>
        <v>N/A</v>
      </c>
      <c r="AM1091" s="134" t="str">
        <f ca="1">IFERROR(CIQAVG(MO.Ticker.CapIQ,"IQ_LASTSALEPRICE",INDEX(MO_SNA_FPStartDate,0,COLUMN()),INDEX(MO_Common_QEndDate,0,COLUMN())),"N/A")</f>
        <v>N/A</v>
      </c>
      <c r="AN1091" s="134" t="str">
        <f ca="1">IFERROR(CIQAVG(MO.Ticker.CapIQ,"IQ_LASTSALEPRICE",INDEX(MO_SNA_FPStartDate,0,COLUMN()),INDEX(MO_Common_QEndDate,0,COLUMN())),"N/A")</f>
        <v>N/A</v>
      </c>
      <c r="AO1091" s="134" t="str">
        <f ca="1">IFERROR(CIQAVG(MO.Ticker.CapIQ,"IQ_LASTSALEPRICE",INDEX(MO_SNA_FPStartDate,0,COLUMN()),INDEX(MO_Common_QEndDate,0,COLUMN())),"N/A")</f>
        <v>N/A</v>
      </c>
      <c r="AP1091" s="134" t="str">
        <f ca="1">IFERROR(CIQAVG(MO.Ticker.CapIQ,"IQ_LASTSALEPRICE",INDEX(MO_SNA_FPStartDate,0,COLUMN()),INDEX(MO_Common_QEndDate,0,COLUMN())),"N/A")</f>
        <v>N/A</v>
      </c>
      <c r="AQ1091" s="134" t="str">
        <f ca="1">IFERROR(CIQAVG(MO.Ticker.CapIQ,"IQ_LASTSALEPRICE",INDEX(MO_SNA_FPStartDate,0,COLUMN()),INDEX(MO_Common_QEndDate,0,COLUMN())),"N/A")</f>
        <v>N/A</v>
      </c>
      <c r="AR1091" s="134" t="str">
        <f ca="1">IFERROR(CIQAVG(MO.Ticker.CapIQ,"IQ_LASTSALEPRICE",INDEX(MO_SNA_FPStartDate,0,COLUMN()),INDEX(MO_Common_QEndDate,0,COLUMN())),"N/A")</f>
        <v>N/A</v>
      </c>
      <c r="AS1091" s="134" t="str">
        <f ca="1">IFERROR(CIQAVG(MO.Ticker.CapIQ,"IQ_LASTSALEPRICE",INDEX(MO_SNA_FPStartDate,0,COLUMN()),INDEX(MO_Common_QEndDate,0,COLUMN())),"N/A")</f>
        <v>N/A</v>
      </c>
      <c r="AT1091" s="134" t="str">
        <f ca="1">IFERROR(CIQAVG(MO.Ticker.CapIQ,"IQ_LASTSALEPRICE",INDEX(MO_SNA_FPStartDate,0,COLUMN()),INDEX(MO_Common_QEndDate,0,COLUMN())),"N/A")</f>
        <v>N/A</v>
      </c>
      <c r="AU1091" s="134" t="str">
        <f ca="1">IFERROR(CIQAVG(MO.Ticker.CapIQ,"IQ_LASTSALEPRICE",INDEX(MO_SNA_FPStartDate,0,COLUMN()),INDEX(MO_Common_QEndDate,0,COLUMN())),"N/A")</f>
        <v>N/A</v>
      </c>
      <c r="AV1091" s="134" t="str">
        <f ca="1">IFERROR(CIQAVG(MO.Ticker.CapIQ,"IQ_LASTSALEPRICE",INDEX(MO_SNA_FPStartDate,0,COLUMN()),INDEX(MO_Common_QEndDate,0,COLUMN())),"N/A")</f>
        <v>N/A</v>
      </c>
      <c r="AW1091" s="134" t="str">
        <f ca="1">IFERROR(CIQAVG(MO.Ticker.CapIQ,"IQ_LASTSALEPRICE",INDEX(MO_SNA_FPStartDate,0,COLUMN()),INDEX(MO_Common_QEndDate,0,COLUMN())),"N/A")</f>
        <v>N/A</v>
      </c>
      <c r="AX1091" s="134" t="str">
        <f ca="1">IFERROR(CIQAVG(MO.Ticker.CapIQ,"IQ_LASTSALEPRICE",INDEX(MO_SNA_FPStartDate,0,COLUMN()),INDEX(MO_Common_QEndDate,0,COLUMN())),"N/A")</f>
        <v>N/A</v>
      </c>
      <c r="AY1091" s="134" t="str">
        <f ca="1">IFERROR(CIQAVG(MO.Ticker.CapIQ,"IQ_LASTSALEPRICE",INDEX(MO_SNA_FPStartDate,0,COLUMN()),INDEX(MO_Common_QEndDate,0,COLUMN())),"N/A")</f>
        <v>N/A</v>
      </c>
      <c r="AZ1091" s="134" t="str">
        <f ca="1">IFERROR(CIQAVG(MO.Ticker.CapIQ,"IQ_LASTSALEPRICE",INDEX(MO_SNA_FPStartDate,0,COLUMN()),INDEX(MO_Common_QEndDate,0,COLUMN())),"N/A")</f>
        <v>N/A</v>
      </c>
      <c r="BA1091" s="134" t="str">
        <f ca="1">IFERROR(CIQAVG(MO.Ticker.CapIQ,"IQ_LASTSALEPRICE",INDEX(MO_SNA_FPStartDate,0,COLUMN()),INDEX(MO_Common_QEndDate,0,COLUMN())),"N/A")</f>
        <v>N/A</v>
      </c>
      <c r="BB1091" s="134" t="str">
        <f ca="1">IFERROR(CIQAVG(MO.Ticker.CapIQ,"IQ_LASTSALEPRICE",INDEX(MO_SNA_FPStartDate,0,COLUMN()),INDEX(MO_Common_QEndDate,0,COLUMN())),"N/A")</f>
        <v>N/A</v>
      </c>
      <c r="BC1091" s="134" t="str">
        <f ca="1">IFERROR(CIQAVG(MO.Ticker.CapIQ,"IQ_LASTSALEPRICE",INDEX(MO_SNA_FPStartDate,0,COLUMN()),INDEX(MO_Common_QEndDate,0,COLUMN())),"N/A")</f>
        <v>N/A</v>
      </c>
      <c r="BD1091" s="134" t="str">
        <f ca="1">IFERROR(CIQAVG(MO.Ticker.CapIQ,"IQ_LASTSALEPRICE",INDEX(MO_SNA_FPStartDate,0,COLUMN()),INDEX(MO_Common_QEndDate,0,COLUMN())),"N/A")</f>
        <v>N/A</v>
      </c>
      <c r="BE1091" s="134" t="str">
        <f ca="1">IFERROR(CIQAVG(MO.Ticker.CapIQ,"IQ_LASTSALEPRICE",INDEX(MO_SNA_FPStartDate,0,COLUMN()),INDEX(MO_Common_QEndDate,0,COLUMN())),"N/A")</f>
        <v>N/A</v>
      </c>
      <c r="BF1091" s="134" t="str">
        <f ca="1">IFERROR(CIQAVG(MO.Ticker.CapIQ,"IQ_LASTSALEPRICE",INDEX(MO_SNA_FPStartDate,0,COLUMN()),INDEX(MO_Common_QEndDate,0,COLUMN())),"N/A")</f>
        <v>N/A</v>
      </c>
      <c r="BG1091" s="134"/>
      <c r="BH1091" s="589" t="str">
        <f ca="1">IFERROR(CIQAVG(MO.Ticker.CapIQ,"IQ_LASTSALEPRICE",INDEX(MO_SNA_FPStartDate,0,COLUMN()),INDEX(MO_Common_QEndDate,0,COLUMN())),"N/A")</f>
        <v>N/A</v>
      </c>
      <c r="BI1091" s="589" t="str">
        <f ca="1">IFERROR(CIQAVG(MO.Ticker.CapIQ,"IQ_LASTSALEPRICE",INDEX(MO_SNA_FPStartDate,0,COLUMN()),INDEX(MO_Common_QEndDate,0,COLUMN())),"N/A")</f>
        <v>N/A</v>
      </c>
      <c r="BJ1091" s="589" t="str">
        <f ca="1">IFERROR(CIQAVG(MO.Ticker.CapIQ,"IQ_LASTSALEPRICE",INDEX(MO_SNA_FPStartDate,0,COLUMN()),INDEX(MO_Common_QEndDate,0,COLUMN())),"N/A")</f>
        <v>N/A</v>
      </c>
      <c r="BK1091" s="589" t="str">
        <f ca="1">IFERROR(CIQAVG(MO.Ticker.CapIQ,"IQ_LASTSALEPRICE",INDEX(MO_SNA_FPStartDate,0,COLUMN()),INDEX(MO_Common_QEndDate,0,COLUMN())),"N/A")</f>
        <v>N/A</v>
      </c>
      <c r="BL1091" s="134" t="str">
        <f ca="1">IFERROR(CIQAVG(MO.Ticker.CapIQ,"IQ_LASTSALEPRICE",INDEX(MO_SNA_FPStartDate,0,COLUMN()),INDEX(MO_Common_QEndDate,0,COLUMN())),"N/A")</f>
        <v>N/A</v>
      </c>
      <c r="BM1091" s="134" t="str">
        <f ca="1">IFERROR(CIQAVG(MO.Ticker.CapIQ,"IQ_LASTSALEPRICE",INDEX(MO_SNA_FPStartDate,0,COLUMN()),INDEX(MO_Common_QEndDate,0,COLUMN())),"N/A")</f>
        <v>N/A</v>
      </c>
      <c r="BN1091" s="134" t="str">
        <f ca="1">IFERROR(CIQAVG(MO.Ticker.CapIQ,"IQ_LASTSALEPRICE",INDEX(MO_SNA_FPStartDate,0,COLUMN()),INDEX(MO_Common_QEndDate,0,COLUMN())),"N/A")</f>
        <v>N/A</v>
      </c>
      <c r="BO1091" s="134" t="str">
        <f ca="1">IFERROR(CIQAVG(MO.Ticker.CapIQ,"IQ_LASTSALEPRICE",INDEX(MO_SNA_FPStartDate,0,COLUMN()),INDEX(MO_Common_QEndDate,0,COLUMN())),"N/A")</f>
        <v>N/A</v>
      </c>
      <c r="BP1091" s="134" t="str">
        <f ca="1">IFERROR(CIQAVG(MO.Ticker.CapIQ,"IQ_LASTSALEPRICE",INDEX(MO_SNA_FPStartDate,0,COLUMN()),INDEX(MO_Common_QEndDate,0,COLUMN())),"N/A")</f>
        <v>N/A</v>
      </c>
      <c r="BQ1091" s="134" t="str">
        <f ca="1">IFERROR(CIQAVG(MO.Ticker.CapIQ,"IQ_LASTSALEPRICE",INDEX(MO_SNA_FPStartDate,0,COLUMN()),INDEX(MO_Common_QEndDate,0,COLUMN())),"N/A")</f>
        <v>N/A</v>
      </c>
      <c r="BR1091" s="134" t="str">
        <f ca="1">IFERROR(CIQAVG(MO.Ticker.CapIQ,"IQ_LASTSALEPRICE",INDEX(MO_SNA_FPStartDate,0,COLUMN()),INDEX(MO_Common_QEndDate,0,COLUMN())),"N/A")</f>
        <v>N/A</v>
      </c>
      <c r="BS1091" s="134" t="str">
        <f ca="1">IFERROR(CIQAVG(MO.Ticker.CapIQ,"IQ_LASTSALEPRICE",INDEX(MO_SNA_FPStartDate,0,COLUMN()),INDEX(MO_Common_QEndDate,0,COLUMN())),"N/A")</f>
        <v>N/A</v>
      </c>
      <c r="BT1091" s="134" t="str">
        <f ca="1">IFERROR(CIQAVG(MO.Ticker.CapIQ,"IQ_LASTSALEPRICE",INDEX(MO_SNA_FPStartDate,0,COLUMN()),INDEX(MO_Common_QEndDate,0,COLUMN())),"N/A")</f>
        <v>N/A</v>
      </c>
      <c r="BU1091" s="134" t="str">
        <f ca="1">IFERROR(CIQAVG(MO.Ticker.CapIQ,"IQ_LASTSALEPRICE",INDEX(MO_SNA_FPStartDate,0,COLUMN()),INDEX(MO_Common_QEndDate,0,COLUMN())),"N/A")</f>
        <v>N/A</v>
      </c>
      <c r="BV1091" s="134" t="str">
        <f ca="1">IFERROR(CIQAVG(MO.Ticker.CapIQ,"IQ_LASTSALEPRICE",INDEX(MO_SNA_FPStartDate,0,COLUMN()),INDEX(MO_Common_QEndDate,0,COLUMN())),"N/A")</f>
        <v>N/A</v>
      </c>
      <c r="BW1091" s="134" t="str">
        <f ca="1">IFERROR(CIQAVG(MO.Ticker.CapIQ,"IQ_LASTSALEPRICE",INDEX(MO_SNA_FPStartDate,0,COLUMN()),INDEX(MO_Common_QEndDate,0,COLUMN())),"N/A")</f>
        <v>N/A</v>
      </c>
      <c r="BX1091" s="134" t="str">
        <f ca="1">IFERROR(CIQAVG(MO.Ticker.CapIQ,"IQ_LASTSALEPRICE",INDEX(MO_SNA_FPStartDate,0,COLUMN()),INDEX(MO_Common_QEndDate,0,COLUMN())),"N/A")</f>
        <v>N/A</v>
      </c>
      <c r="BY1091" s="134" t="str">
        <f ca="1">IFERROR(CIQAVG(MO.Ticker.CapIQ,"IQ_LASTSALEPRICE",INDEX(MO_SNA_FPStartDate,0,COLUMN()),INDEX(MO_Common_QEndDate,0,COLUMN())),"N/A")</f>
        <v>N/A</v>
      </c>
      <c r="BZ1091" s="134" t="str">
        <f ca="1">IFERROR(CIQAVG(MO.Ticker.CapIQ,"IQ_LASTSALEPRICE",INDEX(MO_SNA_FPStartDate,0,COLUMN()),INDEX(MO_Common_QEndDate,0,COLUMN())),"N/A")</f>
        <v>N/A</v>
      </c>
      <c r="CA1091" s="134" t="str">
        <f ca="1">IFERROR(CIQAVG(MO.Ticker.CapIQ,"IQ_LASTSALEPRICE",INDEX(MO_SNA_FPStartDate,0,COLUMN()),INDEX(MO_Common_QEndDate,0,COLUMN())),"N/A")</f>
        <v>N/A</v>
      </c>
      <c r="CB1091" s="134" t="str">
        <f ca="1">IFERROR(CIQAVG(MO.Ticker.CapIQ,"IQ_LASTSALEPRICE",INDEX(MO_SNA_FPStartDate,0,COLUMN()),INDEX(MO_Common_QEndDate,0,COLUMN())),"N/A")</f>
        <v>N/A</v>
      </c>
      <c r="CC1091" s="180"/>
    </row>
    <row r="1092" spans="1:81" outlineLevel="1" x14ac:dyDescent="0.55000000000000004">
      <c r="A1092" s="1157" t="s">
        <v>245</v>
      </c>
      <c r="B1092" s="134"/>
      <c r="C1092" s="589" t="str">
        <f ca="1">IFERROR(FDS(MO.Ticker.FactSet,"P_PRICE_AVG"&amp;"("&amp;INDEX(MO_SNA_FPStartDate,0,COLUMN())&amp;","&amp;INDEX(MO_Common_QEndDate,0,COLUMN())&amp;",,,,""PRICE"",""CLOSE"")"),"N/A")</f>
        <v>N/A</v>
      </c>
      <c r="D1092" s="134" t="str">
        <f ca="1">IFERROR(FDS(MO.Ticker.FactSet,"P_PRICE_AVG"&amp;"("&amp;INDEX(MO_SNA_FPStartDate,0,COLUMN())&amp;","&amp;INDEX(MO_Common_QEndDate,0,COLUMN())&amp;",,,,""PRICE"",""CLOSE"")"),"N/A")</f>
        <v>N/A</v>
      </c>
      <c r="E1092" s="134" t="str">
        <f ca="1">IFERROR(FDS(MO.Ticker.FactSet,"P_PRICE_AVG"&amp;"("&amp;INDEX(MO_SNA_FPStartDate,0,COLUMN())&amp;","&amp;INDEX(MO_Common_QEndDate,0,COLUMN())&amp;",,,,""PRICE"",""CLOSE"")"),"N/A")</f>
        <v>N/A</v>
      </c>
      <c r="F1092" s="134" t="str">
        <f ca="1">IFERROR(FDS(MO.Ticker.FactSet,"P_PRICE_AVG"&amp;"("&amp;INDEX(MO_SNA_FPStartDate,0,COLUMN())&amp;","&amp;INDEX(MO_Common_QEndDate,0,COLUMN())&amp;",,,,""PRICE"",""CLOSE"")"),"N/A")</f>
        <v>N/A</v>
      </c>
      <c r="G1092" s="134" t="str">
        <f ca="1">IFERROR(FDS(MO.Ticker.FactSet,"P_PRICE_AVG"&amp;"("&amp;INDEX(MO_SNA_FPStartDate,0,COLUMN())&amp;","&amp;INDEX(MO_Common_QEndDate,0,COLUMN())&amp;",,,,""PRICE"",""CLOSE"")"),"N/A")</f>
        <v>N/A</v>
      </c>
      <c r="H1092" s="134" t="str">
        <f ca="1">IFERROR(FDS(MO.Ticker.FactSet,"P_PRICE_AVG"&amp;"("&amp;INDEX(MO_SNA_FPStartDate,0,COLUMN())&amp;","&amp;INDEX(MO_Common_QEndDate,0,COLUMN())&amp;",,,,""PRICE"",""CLOSE"")"),"N/A")</f>
        <v>N/A</v>
      </c>
      <c r="I1092" s="134" t="str">
        <f ca="1">IFERROR(FDS(MO.Ticker.FactSet,"P_PRICE_AVG"&amp;"("&amp;INDEX(MO_SNA_FPStartDate,0,COLUMN())&amp;","&amp;INDEX(MO_Common_QEndDate,0,COLUMN())&amp;",,,,""PRICE"",""CLOSE"")"),"N/A")</f>
        <v>N/A</v>
      </c>
      <c r="J1092" s="134" t="str">
        <f ca="1">IFERROR(FDS(MO.Ticker.FactSet,"P_PRICE_AVG"&amp;"("&amp;INDEX(MO_SNA_FPStartDate,0,COLUMN())&amp;","&amp;INDEX(MO_Common_QEndDate,0,COLUMN())&amp;",,,,""PRICE"",""CLOSE"")"),"N/A")</f>
        <v>N/A</v>
      </c>
      <c r="K1092" s="134" t="str">
        <f ca="1">IFERROR(FDS(MO.Ticker.FactSet,"P_PRICE_AVG"&amp;"("&amp;INDEX(MO_SNA_FPStartDate,0,COLUMN())&amp;","&amp;INDEX(MO_Common_QEndDate,0,COLUMN())&amp;",,,,""PRICE"",""CLOSE"")"),"N/A")</f>
        <v>N/A</v>
      </c>
      <c r="L1092" s="134" t="str">
        <f ca="1">IFERROR(FDS(MO.Ticker.FactSet,"P_PRICE_AVG"&amp;"("&amp;INDEX(MO_SNA_FPStartDate,0,COLUMN())&amp;","&amp;INDEX(MO_Common_QEndDate,0,COLUMN())&amp;",,,,""PRICE"",""CLOSE"")"),"N/A")</f>
        <v>N/A</v>
      </c>
      <c r="M1092" s="134" t="str">
        <f ca="1">IFERROR(FDS(MO.Ticker.FactSet,"P_PRICE_AVG"&amp;"("&amp;INDEX(MO_SNA_FPStartDate,0,COLUMN())&amp;","&amp;INDEX(MO_Common_QEndDate,0,COLUMN())&amp;",,,,""PRICE"",""CLOSE"")"),"N/A")</f>
        <v>N/A</v>
      </c>
      <c r="N1092" s="134" t="str">
        <f ca="1">IFERROR(FDS(MO.Ticker.FactSet,"P_PRICE_AVG"&amp;"("&amp;INDEX(MO_SNA_FPStartDate,0,COLUMN())&amp;","&amp;INDEX(MO_Common_QEndDate,0,COLUMN())&amp;",,,,""PRICE"",""CLOSE"")"),"N/A")</f>
        <v>N/A</v>
      </c>
      <c r="O1092" s="134" t="str">
        <f ca="1">IFERROR(FDS(MO.Ticker.FactSet,"P_PRICE_AVG"&amp;"("&amp;INDEX(MO_SNA_FPStartDate,0,COLUMN())&amp;","&amp;INDEX(MO_Common_QEndDate,0,COLUMN())&amp;",,,,""PRICE"",""CLOSE"")"),"N/A")</f>
        <v>N/A</v>
      </c>
      <c r="P1092" s="134" t="str">
        <f ca="1">IFERROR(FDS(MO.Ticker.FactSet,"P_PRICE_AVG"&amp;"("&amp;INDEX(MO_SNA_FPStartDate,0,COLUMN())&amp;","&amp;INDEX(MO_Common_QEndDate,0,COLUMN())&amp;",,,,""PRICE"",""CLOSE"")"),"N/A")</f>
        <v>N/A</v>
      </c>
      <c r="Q1092" s="134" t="str">
        <f ca="1">IFERROR(FDS(MO.Ticker.FactSet,"P_PRICE_AVG"&amp;"("&amp;INDEX(MO_SNA_FPStartDate,0,COLUMN())&amp;","&amp;INDEX(MO_Common_QEndDate,0,COLUMN())&amp;",,,,""PRICE"",""CLOSE"")"),"N/A")</f>
        <v>N/A</v>
      </c>
      <c r="R1092" s="134" t="str">
        <f ca="1">IFERROR(FDS(MO.Ticker.FactSet,"P_PRICE_AVG"&amp;"("&amp;INDEX(MO_SNA_FPStartDate,0,COLUMN())&amp;","&amp;INDEX(MO_Common_QEndDate,0,COLUMN())&amp;",,,,""PRICE"",""CLOSE"")"),"N/A")</f>
        <v>N/A</v>
      </c>
      <c r="S1092" s="134" t="str">
        <f ca="1">IFERROR(FDS(MO.Ticker.FactSet,"P_PRICE_AVG"&amp;"("&amp;INDEX(MO_SNA_FPStartDate,0,COLUMN())&amp;","&amp;INDEX(MO_Common_QEndDate,0,COLUMN())&amp;",,,,""PRICE"",""CLOSE"")"),"N/A")</f>
        <v>N/A</v>
      </c>
      <c r="T1092" s="134" t="str">
        <f ca="1">IFERROR(FDS(MO.Ticker.FactSet,"P_PRICE_AVG"&amp;"("&amp;INDEX(MO_SNA_FPStartDate,0,COLUMN())&amp;","&amp;INDEX(MO_Common_QEndDate,0,COLUMN())&amp;",,,,""PRICE"",""CLOSE"")"),"N/A")</f>
        <v>N/A</v>
      </c>
      <c r="U1092" s="134" t="str">
        <f ca="1">IFERROR(FDS(MO.Ticker.FactSet,"P_PRICE_AVG"&amp;"("&amp;INDEX(MO_SNA_FPStartDate,0,COLUMN())&amp;","&amp;INDEX(MO_Common_QEndDate,0,COLUMN())&amp;",,,,""PRICE"",""CLOSE"")"),"N/A")</f>
        <v>N/A</v>
      </c>
      <c r="V1092" s="134" t="str">
        <f ca="1">IFERROR(FDS(MO.Ticker.FactSet,"P_PRICE_AVG"&amp;"("&amp;INDEX(MO_SNA_FPStartDate,0,COLUMN())&amp;","&amp;INDEX(MO_Common_QEndDate,0,COLUMN())&amp;",,,,""PRICE"",""CLOSE"")"),"N/A")</f>
        <v>N/A</v>
      </c>
      <c r="W1092" s="134" t="str">
        <f ca="1">IFERROR(FDS(MO.Ticker.FactSet,"P_PRICE_AVG"&amp;"("&amp;INDEX(MO_SNA_FPStartDate,0,COLUMN())&amp;","&amp;INDEX(MO_Common_QEndDate,0,COLUMN())&amp;",,,,""PRICE"",""CLOSE"")"),"N/A")</f>
        <v>N/A</v>
      </c>
      <c r="X1092" s="134" t="str">
        <f ca="1">IFERROR(FDS(MO.Ticker.FactSet,"P_PRICE_AVG"&amp;"("&amp;INDEX(MO_SNA_FPStartDate,0,COLUMN())&amp;","&amp;INDEX(MO_Common_QEndDate,0,COLUMN())&amp;",,,,""PRICE"",""CLOSE"")"),"N/A")</f>
        <v>N/A</v>
      </c>
      <c r="Y1092" s="134" t="str">
        <f ca="1">IFERROR(FDS(MO.Ticker.FactSet,"P_PRICE_AVG"&amp;"("&amp;INDEX(MO_SNA_FPStartDate,0,COLUMN())&amp;","&amp;INDEX(MO_Common_QEndDate,0,COLUMN())&amp;",,,,""PRICE"",""CLOSE"")"),"N/A")</f>
        <v>N/A</v>
      </c>
      <c r="Z1092" s="134" t="str">
        <f ca="1">IFERROR(FDS(MO.Ticker.FactSet,"P_PRICE_AVG"&amp;"("&amp;INDEX(MO_SNA_FPStartDate,0,COLUMN())&amp;","&amp;INDEX(MO_Common_QEndDate,0,COLUMN())&amp;",,,,""PRICE"",""CLOSE"")"),"N/A")</f>
        <v>N/A</v>
      </c>
      <c r="AA1092" s="134" t="str">
        <f ca="1">IFERROR(FDS(MO.Ticker.FactSet,"P_PRICE_AVG"&amp;"("&amp;INDEX(MO_SNA_FPStartDate,0,COLUMN())&amp;","&amp;INDEX(MO_Common_QEndDate,0,COLUMN())&amp;",,,,""PRICE"",""CLOSE"")"),"N/A")</f>
        <v>N/A</v>
      </c>
      <c r="AB1092" s="134" t="str">
        <f ca="1">IFERROR(FDS(MO.Ticker.FactSet,"P_PRICE_AVG"&amp;"("&amp;INDEX(MO_SNA_FPStartDate,0,COLUMN())&amp;","&amp;INDEX(MO_Common_QEndDate,0,COLUMN())&amp;",,,,""PRICE"",""CLOSE"")"),"N/A")</f>
        <v>N/A</v>
      </c>
      <c r="AC1092" s="134" t="str">
        <f ca="1">IFERROR(FDS(MO.Ticker.FactSet,"P_PRICE_AVG"&amp;"("&amp;INDEX(MO_SNA_FPStartDate,0,COLUMN())&amp;","&amp;INDEX(MO_Common_QEndDate,0,COLUMN())&amp;",,,,""PRICE"",""CLOSE"")"),"N/A")</f>
        <v>N/A</v>
      </c>
      <c r="AD1092" s="134" t="str">
        <f ca="1">IFERROR(FDS(MO.Ticker.FactSet,"P_PRICE_AVG"&amp;"("&amp;INDEX(MO_SNA_FPStartDate,0,COLUMN())&amp;","&amp;INDEX(MO_Common_QEndDate,0,COLUMN())&amp;",,,,""PRICE"",""CLOSE"")"),"N/A")</f>
        <v>N/A</v>
      </c>
      <c r="AE1092" s="134" t="str">
        <f ca="1">IFERROR(FDS(MO.Ticker.FactSet,"P_PRICE_AVG"&amp;"("&amp;INDEX(MO_SNA_FPStartDate,0,COLUMN())&amp;","&amp;INDEX(MO_Common_QEndDate,0,COLUMN())&amp;",,,,""PRICE"",""CLOSE"")"),"N/A")</f>
        <v>N/A</v>
      </c>
      <c r="AF1092" s="134" t="str">
        <f ca="1">IFERROR(FDS(MO.Ticker.FactSet,"P_PRICE_AVG"&amp;"("&amp;INDEX(MO_SNA_FPStartDate,0,COLUMN())&amp;","&amp;INDEX(MO_Common_QEndDate,0,COLUMN())&amp;",,,,""PRICE"",""CLOSE"")"),"N/A")</f>
        <v>N/A</v>
      </c>
      <c r="AG1092" s="134" t="str">
        <f ca="1">IFERROR(FDS(MO.Ticker.FactSet,"P_PRICE_AVG"&amp;"("&amp;INDEX(MO_SNA_FPStartDate,0,COLUMN())&amp;","&amp;INDEX(MO_Common_QEndDate,0,COLUMN())&amp;",,,,""PRICE"",""CLOSE"")"),"N/A")</f>
        <v>N/A</v>
      </c>
      <c r="AH1092" s="134" t="str">
        <f ca="1">IFERROR(FDS(MO.Ticker.FactSet,"P_PRICE_AVG"&amp;"("&amp;INDEX(MO_SNA_FPStartDate,0,COLUMN())&amp;","&amp;INDEX(MO_Common_QEndDate,0,COLUMN())&amp;",,,,""PRICE"",""CLOSE"")"),"N/A")</f>
        <v>N/A</v>
      </c>
      <c r="AI1092" s="134" t="str">
        <f ca="1">IFERROR(FDS(MO.Ticker.FactSet,"P_PRICE_AVG"&amp;"("&amp;INDEX(MO_SNA_FPStartDate,0,COLUMN())&amp;","&amp;INDEX(MO_Common_QEndDate,0,COLUMN())&amp;",,,,""PRICE"",""CLOSE"")"),"N/A")</f>
        <v>N/A</v>
      </c>
      <c r="AJ1092" s="134" t="str">
        <f ca="1">IFERROR(FDS(MO.Ticker.FactSet,"P_PRICE_AVG"&amp;"("&amp;INDEX(MO_SNA_FPStartDate,0,COLUMN())&amp;","&amp;INDEX(MO_Common_QEndDate,0,COLUMN())&amp;",,,,""PRICE"",""CLOSE"")"),"N/A")</f>
        <v>N/A</v>
      </c>
      <c r="AK1092" s="134" t="str">
        <f ca="1">IFERROR(FDS(MO.Ticker.FactSet,"P_PRICE_AVG"&amp;"("&amp;INDEX(MO_SNA_FPStartDate,0,COLUMN())&amp;","&amp;INDEX(MO_Common_QEndDate,0,COLUMN())&amp;",,,,""PRICE"",""CLOSE"")"),"N/A")</f>
        <v>N/A</v>
      </c>
      <c r="AL1092" s="134" t="str">
        <f ca="1">IFERROR(FDS(MO.Ticker.FactSet,"P_PRICE_AVG"&amp;"("&amp;INDEX(MO_SNA_FPStartDate,0,COLUMN())&amp;","&amp;INDEX(MO_Common_QEndDate,0,COLUMN())&amp;",,,,""PRICE"",""CLOSE"")"),"N/A")</f>
        <v>N/A</v>
      </c>
      <c r="AM1092" s="134" t="str">
        <f ca="1">IFERROR(FDS(MO.Ticker.FactSet,"P_PRICE_AVG"&amp;"("&amp;INDEX(MO_SNA_FPStartDate,0,COLUMN())&amp;","&amp;INDEX(MO_Common_QEndDate,0,COLUMN())&amp;",,,,""PRICE"",""CLOSE"")"),"N/A")</f>
        <v>N/A</v>
      </c>
      <c r="AN1092" s="134" t="str">
        <f ca="1">IFERROR(FDS(MO.Ticker.FactSet,"P_PRICE_AVG"&amp;"("&amp;INDEX(MO_SNA_FPStartDate,0,COLUMN())&amp;","&amp;INDEX(MO_Common_QEndDate,0,COLUMN())&amp;",,,,""PRICE"",""CLOSE"")"),"N/A")</f>
        <v>N/A</v>
      </c>
      <c r="AO1092" s="134" t="str">
        <f ca="1">IFERROR(FDS(MO.Ticker.FactSet,"P_PRICE_AVG"&amp;"("&amp;INDEX(MO_SNA_FPStartDate,0,COLUMN())&amp;","&amp;INDEX(MO_Common_QEndDate,0,COLUMN())&amp;",,,,""PRICE"",""CLOSE"")"),"N/A")</f>
        <v>N/A</v>
      </c>
      <c r="AP1092" s="134" t="str">
        <f ca="1">IFERROR(FDS(MO.Ticker.FactSet,"P_PRICE_AVG"&amp;"("&amp;INDEX(MO_SNA_FPStartDate,0,COLUMN())&amp;","&amp;INDEX(MO_Common_QEndDate,0,COLUMN())&amp;",,,,""PRICE"",""CLOSE"")"),"N/A")</f>
        <v>N/A</v>
      </c>
      <c r="AQ1092" s="134" t="str">
        <f ca="1">IFERROR(FDS(MO.Ticker.FactSet,"P_PRICE_AVG"&amp;"("&amp;INDEX(MO_SNA_FPStartDate,0,COLUMN())&amp;","&amp;INDEX(MO_Common_QEndDate,0,COLUMN())&amp;",,,,""PRICE"",""CLOSE"")"),"N/A")</f>
        <v>N/A</v>
      </c>
      <c r="AR1092" s="134" t="str">
        <f ca="1">IFERROR(FDS(MO.Ticker.FactSet,"P_PRICE_AVG"&amp;"("&amp;INDEX(MO_SNA_FPStartDate,0,COLUMN())&amp;","&amp;INDEX(MO_Common_QEndDate,0,COLUMN())&amp;",,,,""PRICE"",""CLOSE"")"),"N/A")</f>
        <v>N/A</v>
      </c>
      <c r="AS1092" s="134" t="str">
        <f ca="1">IFERROR(FDS(MO.Ticker.FactSet,"P_PRICE_AVG"&amp;"("&amp;INDEX(MO_SNA_FPStartDate,0,COLUMN())&amp;","&amp;INDEX(MO_Common_QEndDate,0,COLUMN())&amp;",,,,""PRICE"",""CLOSE"")"),"N/A")</f>
        <v>N/A</v>
      </c>
      <c r="AT1092" s="134" t="str">
        <f ca="1">IFERROR(FDS(MO.Ticker.FactSet,"P_PRICE_AVG"&amp;"("&amp;INDEX(MO_SNA_FPStartDate,0,COLUMN())&amp;","&amp;INDEX(MO_Common_QEndDate,0,COLUMN())&amp;",,,,""PRICE"",""CLOSE"")"),"N/A")</f>
        <v>N/A</v>
      </c>
      <c r="AU1092" s="134" t="str">
        <f ca="1">IFERROR(FDS(MO.Ticker.FactSet,"P_PRICE_AVG"&amp;"("&amp;INDEX(MO_SNA_FPStartDate,0,COLUMN())&amp;","&amp;INDEX(MO_Common_QEndDate,0,COLUMN())&amp;",,,,""PRICE"",""CLOSE"")"),"N/A")</f>
        <v>N/A</v>
      </c>
      <c r="AV1092" s="134" t="str">
        <f ca="1">IFERROR(FDS(MO.Ticker.FactSet,"P_PRICE_AVG"&amp;"("&amp;INDEX(MO_SNA_FPStartDate,0,COLUMN())&amp;","&amp;INDEX(MO_Common_QEndDate,0,COLUMN())&amp;",,,,""PRICE"",""CLOSE"")"),"N/A")</f>
        <v>N/A</v>
      </c>
      <c r="AW1092" s="134" t="str">
        <f ca="1">IFERROR(FDS(MO.Ticker.FactSet,"P_PRICE_AVG"&amp;"("&amp;INDEX(MO_SNA_FPStartDate,0,COLUMN())&amp;","&amp;INDEX(MO_Common_QEndDate,0,COLUMN())&amp;",,,,""PRICE"",""CLOSE"")"),"N/A")</f>
        <v>N/A</v>
      </c>
      <c r="AX1092" s="134" t="str">
        <f ca="1">IFERROR(FDS(MO.Ticker.FactSet,"P_PRICE_AVG"&amp;"("&amp;INDEX(MO_SNA_FPStartDate,0,COLUMN())&amp;","&amp;INDEX(MO_Common_QEndDate,0,COLUMN())&amp;",,,,""PRICE"",""CLOSE"")"),"N/A")</f>
        <v>N/A</v>
      </c>
      <c r="AY1092" s="134" t="str">
        <f ca="1">IFERROR(FDS(MO.Ticker.FactSet,"P_PRICE_AVG"&amp;"("&amp;INDEX(MO_SNA_FPStartDate,0,COLUMN())&amp;","&amp;INDEX(MO_Common_QEndDate,0,COLUMN())&amp;",,,,""PRICE"",""CLOSE"")"),"N/A")</f>
        <v>N/A</v>
      </c>
      <c r="AZ1092" s="134" t="str">
        <f ca="1">IFERROR(FDS(MO.Ticker.FactSet,"P_PRICE_AVG"&amp;"("&amp;INDEX(MO_SNA_FPStartDate,0,COLUMN())&amp;","&amp;INDEX(MO_Common_QEndDate,0,COLUMN())&amp;",,,,""PRICE"",""CLOSE"")"),"N/A")</f>
        <v>N/A</v>
      </c>
      <c r="BA1092" s="134" t="str">
        <f ca="1">IFERROR(FDS(MO.Ticker.FactSet,"P_PRICE_AVG"&amp;"("&amp;INDEX(MO_SNA_FPStartDate,0,COLUMN())&amp;","&amp;INDEX(MO_Common_QEndDate,0,COLUMN())&amp;",,,,""PRICE"",""CLOSE"")"),"N/A")</f>
        <v>N/A</v>
      </c>
      <c r="BB1092" s="134" t="str">
        <f ca="1">IFERROR(FDS(MO.Ticker.FactSet,"P_PRICE_AVG"&amp;"("&amp;INDEX(MO_SNA_FPStartDate,0,COLUMN())&amp;","&amp;INDEX(MO_Common_QEndDate,0,COLUMN())&amp;",,,,""PRICE"",""CLOSE"")"),"N/A")</f>
        <v>N/A</v>
      </c>
      <c r="BC1092" s="134" t="str">
        <f ca="1">IFERROR(FDS(MO.Ticker.FactSet,"P_PRICE_AVG"&amp;"("&amp;INDEX(MO_SNA_FPStartDate,0,COLUMN())&amp;","&amp;INDEX(MO_Common_QEndDate,0,COLUMN())&amp;",,,,""PRICE"",""CLOSE"")"),"N/A")</f>
        <v>N/A</v>
      </c>
      <c r="BD1092" s="134" t="str">
        <f ca="1">IFERROR(FDS(MO.Ticker.FactSet,"P_PRICE_AVG"&amp;"("&amp;INDEX(MO_SNA_FPStartDate,0,COLUMN())&amp;","&amp;INDEX(MO_Common_QEndDate,0,COLUMN())&amp;",,,,""PRICE"",""CLOSE"")"),"N/A")</f>
        <v>N/A</v>
      </c>
      <c r="BE1092" s="134" t="str">
        <f ca="1">IFERROR(FDS(MO.Ticker.FactSet,"P_PRICE_AVG"&amp;"("&amp;INDEX(MO_SNA_FPStartDate,0,COLUMN())&amp;","&amp;INDEX(MO_Common_QEndDate,0,COLUMN())&amp;",,,,""PRICE"",""CLOSE"")"),"N/A")</f>
        <v>N/A</v>
      </c>
      <c r="BF1092" s="134" t="str">
        <f ca="1">IFERROR(FDS(MO.Ticker.FactSet,"P_PRICE_AVG"&amp;"("&amp;INDEX(MO_SNA_FPStartDate,0,COLUMN())&amp;","&amp;INDEX(MO_Common_QEndDate,0,COLUMN())&amp;",,,,""PRICE"",""CLOSE"")"),"N/A")</f>
        <v>N/A</v>
      </c>
      <c r="BG1092" s="134"/>
      <c r="BH1092" s="589" t="str">
        <f ca="1">IFERROR(FDS(MO.Ticker.FactSet,"P_PRICE_AVG"&amp;"("&amp;INDEX(MO_SNA_FPStartDate,0,COLUMN())&amp;","&amp;INDEX(MO_Common_QEndDate,0,COLUMN())&amp;",,,,""PRICE"",""CLOSE"")"),"N/A")</f>
        <v>N/A</v>
      </c>
      <c r="BI1092" s="589" t="str">
        <f ca="1">IFERROR(FDS(MO.Ticker.FactSet,"P_PRICE_AVG"&amp;"("&amp;INDEX(MO_SNA_FPStartDate,0,COLUMN())&amp;","&amp;INDEX(MO_Common_QEndDate,0,COLUMN())&amp;",,,,""PRICE"",""CLOSE"")"),"N/A")</f>
        <v>N/A</v>
      </c>
      <c r="BJ1092" s="589" t="str">
        <f ca="1">IFERROR(FDS(MO.Ticker.FactSet,"P_PRICE_AVG"&amp;"("&amp;INDEX(MO_SNA_FPStartDate,0,COLUMN())&amp;","&amp;INDEX(MO_Common_QEndDate,0,COLUMN())&amp;",,,,""PRICE"",""CLOSE"")"),"N/A")</f>
        <v>N/A</v>
      </c>
      <c r="BK1092" s="589" t="str">
        <f ca="1">IFERROR(FDS(MO.Ticker.FactSet,"P_PRICE_AVG"&amp;"("&amp;INDEX(MO_SNA_FPStartDate,0,COLUMN())&amp;","&amp;INDEX(MO_Common_QEndDate,0,COLUMN())&amp;",,,,""PRICE"",""CLOSE"")"),"N/A")</f>
        <v>N/A</v>
      </c>
      <c r="BL1092" s="134" t="str">
        <f ca="1">IFERROR(FDS(MO.Ticker.FactSet,"P_PRICE_AVG"&amp;"("&amp;INDEX(MO_SNA_FPStartDate,0,COLUMN())&amp;","&amp;INDEX(MO_Common_QEndDate,0,COLUMN())&amp;",,,,""PRICE"",""CLOSE"")"),"N/A")</f>
        <v>N/A</v>
      </c>
      <c r="BM1092" s="134" t="str">
        <f ca="1">IFERROR(FDS(MO.Ticker.FactSet,"P_PRICE_AVG"&amp;"("&amp;INDEX(MO_SNA_FPStartDate,0,COLUMN())&amp;","&amp;INDEX(MO_Common_QEndDate,0,COLUMN())&amp;",,,,""PRICE"",""CLOSE"")"),"N/A")</f>
        <v>N/A</v>
      </c>
      <c r="BN1092" s="134" t="str">
        <f ca="1">IFERROR(FDS(MO.Ticker.FactSet,"P_PRICE_AVG"&amp;"("&amp;INDEX(MO_SNA_FPStartDate,0,COLUMN())&amp;","&amp;INDEX(MO_Common_QEndDate,0,COLUMN())&amp;",,,,""PRICE"",""CLOSE"")"),"N/A")</f>
        <v>N/A</v>
      </c>
      <c r="BO1092" s="134" t="str">
        <f ca="1">IFERROR(FDS(MO.Ticker.FactSet,"P_PRICE_AVG"&amp;"("&amp;INDEX(MO_SNA_FPStartDate,0,COLUMN())&amp;","&amp;INDEX(MO_Common_QEndDate,0,COLUMN())&amp;",,,,""PRICE"",""CLOSE"")"),"N/A")</f>
        <v>N/A</v>
      </c>
      <c r="BP1092" s="134" t="str">
        <f ca="1">IFERROR(FDS(MO.Ticker.FactSet,"P_PRICE_AVG"&amp;"("&amp;INDEX(MO_SNA_FPStartDate,0,COLUMN())&amp;","&amp;INDEX(MO_Common_QEndDate,0,COLUMN())&amp;",,,,""PRICE"",""CLOSE"")"),"N/A")</f>
        <v>N/A</v>
      </c>
      <c r="BQ1092" s="134" t="str">
        <f ca="1">IFERROR(FDS(MO.Ticker.FactSet,"P_PRICE_AVG"&amp;"("&amp;INDEX(MO_SNA_FPStartDate,0,COLUMN())&amp;","&amp;INDEX(MO_Common_QEndDate,0,COLUMN())&amp;",,,,""PRICE"",""CLOSE"")"),"N/A")</f>
        <v>N/A</v>
      </c>
      <c r="BR1092" s="134" t="str">
        <f ca="1">IFERROR(FDS(MO.Ticker.FactSet,"P_PRICE_AVG"&amp;"("&amp;INDEX(MO_SNA_FPStartDate,0,COLUMN())&amp;","&amp;INDEX(MO_Common_QEndDate,0,COLUMN())&amp;",,,,""PRICE"",""CLOSE"")"),"N/A")</f>
        <v>N/A</v>
      </c>
      <c r="BS1092" s="134" t="str">
        <f ca="1">IFERROR(FDS(MO.Ticker.FactSet,"P_PRICE_AVG"&amp;"("&amp;INDEX(MO_SNA_FPStartDate,0,COLUMN())&amp;","&amp;INDEX(MO_Common_QEndDate,0,COLUMN())&amp;",,,,""PRICE"",""CLOSE"")"),"N/A")</f>
        <v>N/A</v>
      </c>
      <c r="BT1092" s="134" t="str">
        <f ca="1">IFERROR(FDS(MO.Ticker.FactSet,"P_PRICE_AVG"&amp;"("&amp;INDEX(MO_SNA_FPStartDate,0,COLUMN())&amp;","&amp;INDEX(MO_Common_QEndDate,0,COLUMN())&amp;",,,,""PRICE"",""CLOSE"")"),"N/A")</f>
        <v>N/A</v>
      </c>
      <c r="BU1092" s="134" t="str">
        <f ca="1">IFERROR(FDS(MO.Ticker.FactSet,"P_PRICE_AVG"&amp;"("&amp;INDEX(MO_SNA_FPStartDate,0,COLUMN())&amp;","&amp;INDEX(MO_Common_QEndDate,0,COLUMN())&amp;",,,,""PRICE"",""CLOSE"")"),"N/A")</f>
        <v>N/A</v>
      </c>
      <c r="BV1092" s="134" t="str">
        <f ca="1">IFERROR(FDS(MO.Ticker.FactSet,"P_PRICE_AVG"&amp;"("&amp;INDEX(MO_SNA_FPStartDate,0,COLUMN())&amp;","&amp;INDEX(MO_Common_QEndDate,0,COLUMN())&amp;",,,,""PRICE"",""CLOSE"")"),"N/A")</f>
        <v>N/A</v>
      </c>
      <c r="BW1092" s="134" t="str">
        <f ca="1">IFERROR(FDS(MO.Ticker.FactSet,"P_PRICE_AVG"&amp;"("&amp;INDEX(MO_SNA_FPStartDate,0,COLUMN())&amp;","&amp;INDEX(MO_Common_QEndDate,0,COLUMN())&amp;",,,,""PRICE"",""CLOSE"")"),"N/A")</f>
        <v>N/A</v>
      </c>
      <c r="BX1092" s="134" t="str">
        <f ca="1">IFERROR(FDS(MO.Ticker.FactSet,"P_PRICE_AVG"&amp;"("&amp;INDEX(MO_SNA_FPStartDate,0,COLUMN())&amp;","&amp;INDEX(MO_Common_QEndDate,0,COLUMN())&amp;",,,,""PRICE"",""CLOSE"")"),"N/A")</f>
        <v>N/A</v>
      </c>
      <c r="BY1092" s="134" t="str">
        <f ca="1">IFERROR(FDS(MO.Ticker.FactSet,"P_PRICE_AVG"&amp;"("&amp;INDEX(MO_SNA_FPStartDate,0,COLUMN())&amp;","&amp;INDEX(MO_Common_QEndDate,0,COLUMN())&amp;",,,,""PRICE"",""CLOSE"")"),"N/A")</f>
        <v>N/A</v>
      </c>
      <c r="BZ1092" s="134" t="str">
        <f ca="1">IFERROR(FDS(MO.Ticker.FactSet,"P_PRICE_AVG"&amp;"("&amp;INDEX(MO_SNA_FPStartDate,0,COLUMN())&amp;","&amp;INDEX(MO_Common_QEndDate,0,COLUMN())&amp;",,,,""PRICE"",""CLOSE"")"),"N/A")</f>
        <v>N/A</v>
      </c>
      <c r="CA1092" s="134" t="str">
        <f ca="1">IFERROR(FDS(MO.Ticker.FactSet,"P_PRICE_AVG"&amp;"("&amp;INDEX(MO_SNA_FPStartDate,0,COLUMN())&amp;","&amp;INDEX(MO_Common_QEndDate,0,COLUMN())&amp;",,,,""PRICE"",""CLOSE"")"),"N/A")</f>
        <v>N/A</v>
      </c>
      <c r="CB1092" s="134" t="str">
        <f ca="1">IFERROR(FDS(MO.Ticker.FactSet,"P_PRICE_AVG"&amp;"("&amp;INDEX(MO_SNA_FPStartDate,0,COLUMN())&amp;","&amp;INDEX(MO_Common_QEndDate,0,COLUMN())&amp;",,,,""PRICE"",""CLOSE"")"),"N/A")</f>
        <v>N/A</v>
      </c>
      <c r="CC1092" s="180"/>
    </row>
    <row r="1093" spans="1:81" outlineLevel="1" x14ac:dyDescent="0.55000000000000004">
      <c r="A1093" s="1157" t="s">
        <v>447</v>
      </c>
      <c r="B1093" s="134"/>
      <c r="C1093" s="589" t="str">
        <f ca="1">IFERROR(_xll.TR(MO.Ticker.Thomson,"AVG(TR.Priceclose)","sdate:#1 edate:#2",,INDEX(MO_SNA_FPStartDate,0,COLUMN()),INDEX(MO_Common_QEndDate,0,COLUMN())),"N/A")</f>
        <v>N/A</v>
      </c>
      <c r="D1093" s="134" t="str">
        <f ca="1">IFERROR(_xll.TR(MO.Ticker.Thomson,"AVG(TR.Priceclose)","sdate:#1 edate:#2",,INDEX(MO_SNA_FPStartDate,0,COLUMN()),INDEX(MO_Common_QEndDate,0,COLUMN())),"N/A")</f>
        <v>N/A</v>
      </c>
      <c r="E1093" s="134" t="str">
        <f ca="1">IFERROR(_xll.TR(MO.Ticker.Thomson,"AVG(TR.Priceclose)","sdate:#1 edate:#2",,INDEX(MO_SNA_FPStartDate,0,COLUMN()),INDEX(MO_Common_QEndDate,0,COLUMN())),"N/A")</f>
        <v>N/A</v>
      </c>
      <c r="F1093" s="134" t="str">
        <f ca="1">IFERROR(_xll.TR(MO.Ticker.Thomson,"AVG(TR.Priceclose)","sdate:#1 edate:#2",,INDEX(MO_SNA_FPStartDate,0,COLUMN()),INDEX(MO_Common_QEndDate,0,COLUMN())),"N/A")</f>
        <v>N/A</v>
      </c>
      <c r="G1093" s="134" t="str">
        <f ca="1">IFERROR(_xll.TR(MO.Ticker.Thomson,"AVG(TR.Priceclose)","sdate:#1 edate:#2",,INDEX(MO_SNA_FPStartDate,0,COLUMN()),INDEX(MO_Common_QEndDate,0,COLUMN())),"N/A")</f>
        <v>N/A</v>
      </c>
      <c r="H1093" s="134" t="str">
        <f ca="1">IFERROR(_xll.TR(MO.Ticker.Thomson,"AVG(TR.Priceclose)","sdate:#1 edate:#2",,INDEX(MO_SNA_FPStartDate,0,COLUMN()),INDEX(MO_Common_QEndDate,0,COLUMN())),"N/A")</f>
        <v>N/A</v>
      </c>
      <c r="I1093" s="134" t="str">
        <f ca="1">IFERROR(_xll.TR(MO.Ticker.Thomson,"AVG(TR.Priceclose)","sdate:#1 edate:#2",,INDEX(MO_SNA_FPStartDate,0,COLUMN()),INDEX(MO_Common_QEndDate,0,COLUMN())),"N/A")</f>
        <v>N/A</v>
      </c>
      <c r="J1093" s="134" t="str">
        <f ca="1">IFERROR(_xll.TR(MO.Ticker.Thomson,"AVG(TR.Priceclose)","sdate:#1 edate:#2",,INDEX(MO_SNA_FPStartDate,0,COLUMN()),INDEX(MO_Common_QEndDate,0,COLUMN())),"N/A")</f>
        <v>N/A</v>
      </c>
      <c r="K1093" s="134" t="str">
        <f ca="1">IFERROR(_xll.TR(MO.Ticker.Thomson,"AVG(TR.Priceclose)","sdate:#1 edate:#2",,INDEX(MO_SNA_FPStartDate,0,COLUMN()),INDEX(MO_Common_QEndDate,0,COLUMN())),"N/A")</f>
        <v>N/A</v>
      </c>
      <c r="L1093" s="134" t="str">
        <f ca="1">IFERROR(_xll.TR(MO.Ticker.Thomson,"AVG(TR.Priceclose)","sdate:#1 edate:#2",,INDEX(MO_SNA_FPStartDate,0,COLUMN()),INDEX(MO_Common_QEndDate,0,COLUMN())),"N/A")</f>
        <v>N/A</v>
      </c>
      <c r="M1093" s="134" t="str">
        <f ca="1">IFERROR(_xll.TR(MO.Ticker.Thomson,"AVG(TR.Priceclose)","sdate:#1 edate:#2",,INDEX(MO_SNA_FPStartDate,0,COLUMN()),INDEX(MO_Common_QEndDate,0,COLUMN())),"N/A")</f>
        <v>N/A</v>
      </c>
      <c r="N1093" s="134" t="str">
        <f ca="1">IFERROR(_xll.TR(MO.Ticker.Thomson,"AVG(TR.Priceclose)","sdate:#1 edate:#2",,INDEX(MO_SNA_FPStartDate,0,COLUMN()),INDEX(MO_Common_QEndDate,0,COLUMN())),"N/A")</f>
        <v>N/A</v>
      </c>
      <c r="O1093" s="134" t="str">
        <f ca="1">IFERROR(_xll.TR(MO.Ticker.Thomson,"AVG(TR.Priceclose)","sdate:#1 edate:#2",,INDEX(MO_SNA_FPStartDate,0,COLUMN()),INDEX(MO_Common_QEndDate,0,COLUMN())),"N/A")</f>
        <v>N/A</v>
      </c>
      <c r="P1093" s="134" t="str">
        <f ca="1">IFERROR(_xll.TR(MO.Ticker.Thomson,"AVG(TR.Priceclose)","sdate:#1 edate:#2",,INDEX(MO_SNA_FPStartDate,0,COLUMN()),INDEX(MO_Common_QEndDate,0,COLUMN())),"N/A")</f>
        <v>N/A</v>
      </c>
      <c r="Q1093" s="134" t="str">
        <f ca="1">IFERROR(_xll.TR(MO.Ticker.Thomson,"AVG(TR.Priceclose)","sdate:#1 edate:#2",,INDEX(MO_SNA_FPStartDate,0,COLUMN()),INDEX(MO_Common_QEndDate,0,COLUMN())),"N/A")</f>
        <v>N/A</v>
      </c>
      <c r="R1093" s="134" t="str">
        <f ca="1">IFERROR(_xll.TR(MO.Ticker.Thomson,"AVG(TR.Priceclose)","sdate:#1 edate:#2",,INDEX(MO_SNA_FPStartDate,0,COLUMN()),INDEX(MO_Common_QEndDate,0,COLUMN())),"N/A")</f>
        <v>N/A</v>
      </c>
      <c r="S1093" s="134" t="str">
        <f ca="1">IFERROR(_xll.TR(MO.Ticker.Thomson,"AVG(TR.Priceclose)","sdate:#1 edate:#2",,INDEX(MO_SNA_FPStartDate,0,COLUMN()),INDEX(MO_Common_QEndDate,0,COLUMN())),"N/A")</f>
        <v>N/A</v>
      </c>
      <c r="T1093" s="134" t="str">
        <f ca="1">IFERROR(_xll.TR(MO.Ticker.Thomson,"AVG(TR.Priceclose)","sdate:#1 edate:#2",,INDEX(MO_SNA_FPStartDate,0,COLUMN()),INDEX(MO_Common_QEndDate,0,COLUMN())),"N/A")</f>
        <v>N/A</v>
      </c>
      <c r="U1093" s="134" t="str">
        <f ca="1">IFERROR(_xll.TR(MO.Ticker.Thomson,"AVG(TR.Priceclose)","sdate:#1 edate:#2",,INDEX(MO_SNA_FPStartDate,0,COLUMN()),INDEX(MO_Common_QEndDate,0,COLUMN())),"N/A")</f>
        <v>N/A</v>
      </c>
      <c r="V1093" s="134" t="str">
        <f ca="1">IFERROR(_xll.TR(MO.Ticker.Thomson,"AVG(TR.Priceclose)","sdate:#1 edate:#2",,INDEX(MO_SNA_FPStartDate,0,COLUMN()),INDEX(MO_Common_QEndDate,0,COLUMN())),"N/A")</f>
        <v>N/A</v>
      </c>
      <c r="W1093" s="134" t="str">
        <f ca="1">IFERROR(_xll.TR(MO.Ticker.Thomson,"AVG(TR.Priceclose)","sdate:#1 edate:#2",,INDEX(MO_SNA_FPStartDate,0,COLUMN()),INDEX(MO_Common_QEndDate,0,COLUMN())),"N/A")</f>
        <v>N/A</v>
      </c>
      <c r="X1093" s="134" t="str">
        <f ca="1">IFERROR(_xll.TR(MO.Ticker.Thomson,"AVG(TR.Priceclose)","sdate:#1 edate:#2",,INDEX(MO_SNA_FPStartDate,0,COLUMN()),INDEX(MO_Common_QEndDate,0,COLUMN())),"N/A")</f>
        <v>N/A</v>
      </c>
      <c r="Y1093" s="134" t="str">
        <f ca="1">IFERROR(_xll.TR(MO.Ticker.Thomson,"AVG(TR.Priceclose)","sdate:#1 edate:#2",,INDEX(MO_SNA_FPStartDate,0,COLUMN()),INDEX(MO_Common_QEndDate,0,COLUMN())),"N/A")</f>
        <v>N/A</v>
      </c>
      <c r="Z1093" s="134" t="str">
        <f ca="1">IFERROR(_xll.TR(MO.Ticker.Thomson,"AVG(TR.Priceclose)","sdate:#1 edate:#2",,INDEX(MO_SNA_FPStartDate,0,COLUMN()),INDEX(MO_Common_QEndDate,0,COLUMN())),"N/A")</f>
        <v>N/A</v>
      </c>
      <c r="AA1093" s="134" t="str">
        <f ca="1">IFERROR(_xll.TR(MO.Ticker.Thomson,"AVG(TR.Priceclose)","sdate:#1 edate:#2",,INDEX(MO_SNA_FPStartDate,0,COLUMN()),INDEX(MO_Common_QEndDate,0,COLUMN())),"N/A")</f>
        <v>N/A</v>
      </c>
      <c r="AB1093" s="134" t="str">
        <f ca="1">IFERROR(_xll.TR(MO.Ticker.Thomson,"AVG(TR.Priceclose)","sdate:#1 edate:#2",,INDEX(MO_SNA_FPStartDate,0,COLUMN()),INDEX(MO_Common_QEndDate,0,COLUMN())),"N/A")</f>
        <v>N/A</v>
      </c>
      <c r="AC1093" s="134" t="str">
        <f ca="1">IFERROR(_xll.TR(MO.Ticker.Thomson,"AVG(TR.Priceclose)","sdate:#1 edate:#2",,INDEX(MO_SNA_FPStartDate,0,COLUMN()),INDEX(MO_Common_QEndDate,0,COLUMN())),"N/A")</f>
        <v>N/A</v>
      </c>
      <c r="AD1093" s="134" t="str">
        <f ca="1">IFERROR(_xll.TR(MO.Ticker.Thomson,"AVG(TR.Priceclose)","sdate:#1 edate:#2",,INDEX(MO_SNA_FPStartDate,0,COLUMN()),INDEX(MO_Common_QEndDate,0,COLUMN())),"N/A")</f>
        <v>N/A</v>
      </c>
      <c r="AE1093" s="134" t="str">
        <f ca="1">IFERROR(_xll.TR(MO.Ticker.Thomson,"AVG(TR.Priceclose)","sdate:#1 edate:#2",,INDEX(MO_SNA_FPStartDate,0,COLUMN()),INDEX(MO_Common_QEndDate,0,COLUMN())),"N/A")</f>
        <v>N/A</v>
      </c>
      <c r="AF1093" s="134" t="str">
        <f ca="1">IFERROR(_xll.TR(MO.Ticker.Thomson,"AVG(TR.Priceclose)","sdate:#1 edate:#2",,INDEX(MO_SNA_FPStartDate,0,COLUMN()),INDEX(MO_Common_QEndDate,0,COLUMN())),"N/A")</f>
        <v>N/A</v>
      </c>
      <c r="AG1093" s="134" t="str">
        <f ca="1">IFERROR(_xll.TR(MO.Ticker.Thomson,"AVG(TR.Priceclose)","sdate:#1 edate:#2",,INDEX(MO_SNA_FPStartDate,0,COLUMN()),INDEX(MO_Common_QEndDate,0,COLUMN())),"N/A")</f>
        <v>N/A</v>
      </c>
      <c r="AH1093" s="134" t="str">
        <f ca="1">IFERROR(_xll.TR(MO.Ticker.Thomson,"AVG(TR.Priceclose)","sdate:#1 edate:#2",,INDEX(MO_SNA_FPStartDate,0,COLUMN()),INDEX(MO_Common_QEndDate,0,COLUMN())),"N/A")</f>
        <v>N/A</v>
      </c>
      <c r="AI1093" s="134" t="str">
        <f ca="1">IFERROR(_xll.TR(MO.Ticker.Thomson,"AVG(TR.Priceclose)","sdate:#1 edate:#2",,INDEX(MO_SNA_FPStartDate,0,COLUMN()),INDEX(MO_Common_QEndDate,0,COLUMN())),"N/A")</f>
        <v>N/A</v>
      </c>
      <c r="AJ1093" s="134" t="str">
        <f ca="1">IFERROR(_xll.TR(MO.Ticker.Thomson,"AVG(TR.Priceclose)","sdate:#1 edate:#2",,INDEX(MO_SNA_FPStartDate,0,COLUMN()),INDEX(MO_Common_QEndDate,0,COLUMN())),"N/A")</f>
        <v>N/A</v>
      </c>
      <c r="AK1093" s="134" t="str">
        <f ca="1">IFERROR(_xll.TR(MO.Ticker.Thomson,"AVG(TR.Priceclose)","sdate:#1 edate:#2",,INDEX(MO_SNA_FPStartDate,0,COLUMN()),INDEX(MO_Common_QEndDate,0,COLUMN())),"N/A")</f>
        <v>N/A</v>
      </c>
      <c r="AL1093" s="134" t="str">
        <f ca="1">IFERROR(_xll.TR(MO.Ticker.Thomson,"AVG(TR.Priceclose)","sdate:#1 edate:#2",,INDEX(MO_SNA_FPStartDate,0,COLUMN()),INDEX(MO_Common_QEndDate,0,COLUMN())),"N/A")</f>
        <v>N/A</v>
      </c>
      <c r="AM1093" s="134" t="str">
        <f ca="1">IFERROR(_xll.TR(MO.Ticker.Thomson,"AVG(TR.Priceclose)","sdate:#1 edate:#2",,INDEX(MO_SNA_FPStartDate,0,COLUMN()),INDEX(MO_Common_QEndDate,0,COLUMN())),"N/A")</f>
        <v>N/A</v>
      </c>
      <c r="AN1093" s="134" t="str">
        <f ca="1">IFERROR(_xll.TR(MO.Ticker.Thomson,"AVG(TR.Priceclose)","sdate:#1 edate:#2",,INDEX(MO_SNA_FPStartDate,0,COLUMN()),INDEX(MO_Common_QEndDate,0,COLUMN())),"N/A")</f>
        <v>N/A</v>
      </c>
      <c r="AO1093" s="134" t="str">
        <f ca="1">IFERROR(_xll.TR(MO.Ticker.Thomson,"AVG(TR.Priceclose)","sdate:#1 edate:#2",,INDEX(MO_SNA_FPStartDate,0,COLUMN()),INDEX(MO_Common_QEndDate,0,COLUMN())),"N/A")</f>
        <v>N/A</v>
      </c>
      <c r="AP1093" s="134" t="str">
        <f ca="1">IFERROR(_xll.TR(MO.Ticker.Thomson,"AVG(TR.Priceclose)","sdate:#1 edate:#2",,INDEX(MO_SNA_FPStartDate,0,COLUMN()),INDEX(MO_Common_QEndDate,0,COLUMN())),"N/A")</f>
        <v>N/A</v>
      </c>
      <c r="AQ1093" s="134" t="str">
        <f ca="1">IFERROR(_xll.TR(MO.Ticker.Thomson,"AVG(TR.Priceclose)","sdate:#1 edate:#2",,INDEX(MO_SNA_FPStartDate,0,COLUMN()),INDEX(MO_Common_QEndDate,0,COLUMN())),"N/A")</f>
        <v>N/A</v>
      </c>
      <c r="AR1093" s="134" t="str">
        <f ca="1">IFERROR(_xll.TR(MO.Ticker.Thomson,"AVG(TR.Priceclose)","sdate:#1 edate:#2",,INDEX(MO_SNA_FPStartDate,0,COLUMN()),INDEX(MO_Common_QEndDate,0,COLUMN())),"N/A")</f>
        <v>N/A</v>
      </c>
      <c r="AS1093" s="134" t="str">
        <f ca="1">IFERROR(_xll.TR(MO.Ticker.Thomson,"AVG(TR.Priceclose)","sdate:#1 edate:#2",,INDEX(MO_SNA_FPStartDate,0,COLUMN()),INDEX(MO_Common_QEndDate,0,COLUMN())),"N/A")</f>
        <v>N/A</v>
      </c>
      <c r="AT1093" s="134" t="str">
        <f ca="1">IFERROR(_xll.TR(MO.Ticker.Thomson,"AVG(TR.Priceclose)","sdate:#1 edate:#2",,INDEX(MO_SNA_FPStartDate,0,COLUMN()),INDEX(MO_Common_QEndDate,0,COLUMN())),"N/A")</f>
        <v>N/A</v>
      </c>
      <c r="AU1093" s="134" t="str">
        <f ca="1">IFERROR(_xll.TR(MO.Ticker.Thomson,"AVG(TR.Priceclose)","sdate:#1 edate:#2",,INDEX(MO_SNA_FPStartDate,0,COLUMN()),INDEX(MO_Common_QEndDate,0,COLUMN())),"N/A")</f>
        <v>N/A</v>
      </c>
      <c r="AV1093" s="134" t="str">
        <f ca="1">IFERROR(_xll.TR(MO.Ticker.Thomson,"AVG(TR.Priceclose)","sdate:#1 edate:#2",,INDEX(MO_SNA_FPStartDate,0,COLUMN()),INDEX(MO_Common_QEndDate,0,COLUMN())),"N/A")</f>
        <v>N/A</v>
      </c>
      <c r="AW1093" s="134" t="str">
        <f ca="1">IFERROR(_xll.TR(MO.Ticker.Thomson,"AVG(TR.Priceclose)","sdate:#1 edate:#2",,INDEX(MO_SNA_FPStartDate,0,COLUMN()),INDEX(MO_Common_QEndDate,0,COLUMN())),"N/A")</f>
        <v>N/A</v>
      </c>
      <c r="AX1093" s="134" t="str">
        <f ca="1">IFERROR(_xll.TR(MO.Ticker.Thomson,"AVG(TR.Priceclose)","sdate:#1 edate:#2",,INDEX(MO_SNA_FPStartDate,0,COLUMN()),INDEX(MO_Common_QEndDate,0,COLUMN())),"N/A")</f>
        <v>N/A</v>
      </c>
      <c r="AY1093" s="134" t="str">
        <f ca="1">IFERROR(_xll.TR(MO.Ticker.Thomson,"AVG(TR.Priceclose)","sdate:#1 edate:#2",,INDEX(MO_SNA_FPStartDate,0,COLUMN()),INDEX(MO_Common_QEndDate,0,COLUMN())),"N/A")</f>
        <v>N/A</v>
      </c>
      <c r="AZ1093" s="134" t="str">
        <f ca="1">IFERROR(_xll.TR(MO.Ticker.Thomson,"AVG(TR.Priceclose)","sdate:#1 edate:#2",,INDEX(MO_SNA_FPStartDate,0,COLUMN()),INDEX(MO_Common_QEndDate,0,COLUMN())),"N/A")</f>
        <v>N/A</v>
      </c>
      <c r="BA1093" s="134" t="str">
        <f ca="1">IFERROR(_xll.TR(MO.Ticker.Thomson,"AVG(TR.Priceclose)","sdate:#1 edate:#2",,INDEX(MO_SNA_FPStartDate,0,COLUMN()),INDEX(MO_Common_QEndDate,0,COLUMN())),"N/A")</f>
        <v>N/A</v>
      </c>
      <c r="BB1093" s="134" t="str">
        <f ca="1">IFERROR(_xll.TR(MO.Ticker.Thomson,"AVG(TR.Priceclose)","sdate:#1 edate:#2",,INDEX(MO_SNA_FPStartDate,0,COLUMN()),INDEX(MO_Common_QEndDate,0,COLUMN())),"N/A")</f>
        <v>N/A</v>
      </c>
      <c r="BC1093" s="134" t="str">
        <f ca="1">IFERROR(_xll.TR(MO.Ticker.Thomson,"AVG(TR.Priceclose)","sdate:#1 edate:#2",,INDEX(MO_SNA_FPStartDate,0,COLUMN()),INDEX(MO_Common_QEndDate,0,COLUMN())),"N/A")</f>
        <v>N/A</v>
      </c>
      <c r="BD1093" s="134" t="str">
        <f ca="1">IFERROR(_xll.TR(MO.Ticker.Thomson,"AVG(TR.Priceclose)","sdate:#1 edate:#2",,INDEX(MO_SNA_FPStartDate,0,COLUMN()),INDEX(MO_Common_QEndDate,0,COLUMN())),"N/A")</f>
        <v>N/A</v>
      </c>
      <c r="BE1093" s="134" t="str">
        <f ca="1">IFERROR(_xll.TR(MO.Ticker.Thomson,"AVG(TR.Priceclose)","sdate:#1 edate:#2",,INDEX(MO_SNA_FPStartDate,0,COLUMN()),INDEX(MO_Common_QEndDate,0,COLUMN())),"N/A")</f>
        <v>N/A</v>
      </c>
      <c r="BF1093" s="134" t="str">
        <f ca="1">IFERROR(_xll.TR(MO.Ticker.Thomson,"AVG(TR.Priceclose)","sdate:#1 edate:#2",,INDEX(MO_SNA_FPStartDate,0,COLUMN()),INDEX(MO_Common_QEndDate,0,COLUMN())),"N/A")</f>
        <v>N/A</v>
      </c>
      <c r="BG1093" s="134"/>
      <c r="BH1093" s="589" t="str">
        <f ca="1">IFERROR(_xll.TR(MO.Ticker.Thomson,"AVG(TR.Priceclose)","sdate:#1 edate:#2",,INDEX(MO_SNA_FPStartDate,0,COLUMN()),INDEX(MO_Common_QEndDate,0,COLUMN())),"N/A")</f>
        <v>N/A</v>
      </c>
      <c r="BI1093" s="589" t="str">
        <f ca="1">IFERROR(_xll.TR(MO.Ticker.Thomson,"AVG(TR.Priceclose)","sdate:#1 edate:#2",,INDEX(MO_SNA_FPStartDate,0,COLUMN()),INDEX(MO_Common_QEndDate,0,COLUMN())),"N/A")</f>
        <v>N/A</v>
      </c>
      <c r="BJ1093" s="589" t="str">
        <f ca="1">IFERROR(_xll.TR(MO.Ticker.Thomson,"AVG(TR.Priceclose)","sdate:#1 edate:#2",,INDEX(MO_SNA_FPStartDate,0,COLUMN()),INDEX(MO_Common_QEndDate,0,COLUMN())),"N/A")</f>
        <v>N/A</v>
      </c>
      <c r="BK1093" s="589" t="str">
        <f ca="1">IFERROR(_xll.TR(MO.Ticker.Thomson,"AVG(TR.Priceclose)","sdate:#1 edate:#2",,INDEX(MO_SNA_FPStartDate,0,COLUMN()),INDEX(MO_Common_QEndDate,0,COLUMN())),"N/A")</f>
        <v>N/A</v>
      </c>
      <c r="BL1093" s="134" t="str">
        <f ca="1">IFERROR(_xll.TR(MO.Ticker.Thomson,"AVG(TR.Priceclose)","sdate:#1 edate:#2",,INDEX(MO_SNA_FPStartDate,0,COLUMN()),INDEX(MO_Common_QEndDate,0,COLUMN())),"N/A")</f>
        <v>N/A</v>
      </c>
      <c r="BM1093" s="134" t="str">
        <f ca="1">IFERROR(_xll.TR(MO.Ticker.Thomson,"AVG(TR.Priceclose)","sdate:#1 edate:#2",,INDEX(MO_SNA_FPStartDate,0,COLUMN()),INDEX(MO_Common_QEndDate,0,COLUMN())),"N/A")</f>
        <v>N/A</v>
      </c>
      <c r="BN1093" s="134" t="str">
        <f ca="1">IFERROR(_xll.TR(MO.Ticker.Thomson,"AVG(TR.Priceclose)","sdate:#1 edate:#2",,INDEX(MO_SNA_FPStartDate,0,COLUMN()),INDEX(MO_Common_QEndDate,0,COLUMN())),"N/A")</f>
        <v>N/A</v>
      </c>
      <c r="BO1093" s="134" t="str">
        <f ca="1">IFERROR(_xll.TR(MO.Ticker.Thomson,"AVG(TR.Priceclose)","sdate:#1 edate:#2",,INDEX(MO_SNA_FPStartDate,0,COLUMN()),INDEX(MO_Common_QEndDate,0,COLUMN())),"N/A")</f>
        <v>N/A</v>
      </c>
      <c r="BP1093" s="134" t="str">
        <f ca="1">IFERROR(_xll.TR(MO.Ticker.Thomson,"AVG(TR.Priceclose)","sdate:#1 edate:#2",,INDEX(MO_SNA_FPStartDate,0,COLUMN()),INDEX(MO_Common_QEndDate,0,COLUMN())),"N/A")</f>
        <v>N/A</v>
      </c>
      <c r="BQ1093" s="134" t="str">
        <f ca="1">IFERROR(_xll.TR(MO.Ticker.Thomson,"AVG(TR.Priceclose)","sdate:#1 edate:#2",,INDEX(MO_SNA_FPStartDate,0,COLUMN()),INDEX(MO_Common_QEndDate,0,COLUMN())),"N/A")</f>
        <v>N/A</v>
      </c>
      <c r="BR1093" s="134" t="str">
        <f ca="1">IFERROR(_xll.TR(MO.Ticker.Thomson,"AVG(TR.Priceclose)","sdate:#1 edate:#2",,INDEX(MO_SNA_FPStartDate,0,COLUMN()),INDEX(MO_Common_QEndDate,0,COLUMN())),"N/A")</f>
        <v>N/A</v>
      </c>
      <c r="BS1093" s="134" t="str">
        <f ca="1">IFERROR(_xll.TR(MO.Ticker.Thomson,"AVG(TR.Priceclose)","sdate:#1 edate:#2",,INDEX(MO_SNA_FPStartDate,0,COLUMN()),INDEX(MO_Common_QEndDate,0,COLUMN())),"N/A")</f>
        <v>N/A</v>
      </c>
      <c r="BT1093" s="134" t="str">
        <f ca="1">IFERROR(_xll.TR(MO.Ticker.Thomson,"AVG(TR.Priceclose)","sdate:#1 edate:#2",,INDEX(MO_SNA_FPStartDate,0,COLUMN()),INDEX(MO_Common_QEndDate,0,COLUMN())),"N/A")</f>
        <v>N/A</v>
      </c>
      <c r="BU1093" s="134" t="str">
        <f ca="1">IFERROR(_xll.TR(MO.Ticker.Thomson,"AVG(TR.Priceclose)","sdate:#1 edate:#2",,INDEX(MO_SNA_FPStartDate,0,COLUMN()),INDEX(MO_Common_QEndDate,0,COLUMN())),"N/A")</f>
        <v>N/A</v>
      </c>
      <c r="BV1093" s="134" t="str">
        <f ca="1">IFERROR(_xll.TR(MO.Ticker.Thomson,"AVG(TR.Priceclose)","sdate:#1 edate:#2",,INDEX(MO_SNA_FPStartDate,0,COLUMN()),INDEX(MO_Common_QEndDate,0,COLUMN())),"N/A")</f>
        <v>N/A</v>
      </c>
      <c r="BW1093" s="134" t="str">
        <f ca="1">IFERROR(_xll.TR(MO.Ticker.Thomson,"AVG(TR.Priceclose)","sdate:#1 edate:#2",,INDEX(MO_SNA_FPStartDate,0,COLUMN()),INDEX(MO_Common_QEndDate,0,COLUMN())),"N/A")</f>
        <v>N/A</v>
      </c>
      <c r="BX1093" s="134" t="str">
        <f ca="1">IFERROR(_xll.TR(MO.Ticker.Thomson,"AVG(TR.Priceclose)","sdate:#1 edate:#2",,INDEX(MO_SNA_FPStartDate,0,COLUMN()),INDEX(MO_Common_QEndDate,0,COLUMN())),"N/A")</f>
        <v>N/A</v>
      </c>
      <c r="BY1093" s="134" t="str">
        <f ca="1">IFERROR(_xll.TR(MO.Ticker.Thomson,"AVG(TR.Priceclose)","sdate:#1 edate:#2",,INDEX(MO_SNA_FPStartDate,0,COLUMN()),INDEX(MO_Common_QEndDate,0,COLUMN())),"N/A")</f>
        <v>N/A</v>
      </c>
      <c r="BZ1093" s="134" t="str">
        <f ca="1">IFERROR(_xll.TR(MO.Ticker.Thomson,"AVG(TR.Priceclose)","sdate:#1 edate:#2",,INDEX(MO_SNA_FPStartDate,0,COLUMN()),INDEX(MO_Common_QEndDate,0,COLUMN())),"N/A")</f>
        <v>N/A</v>
      </c>
      <c r="CA1093" s="134" t="str">
        <f ca="1">IFERROR(_xll.TR(MO.Ticker.Thomson,"AVG(TR.Priceclose)","sdate:#1 edate:#2",,INDEX(MO_SNA_FPStartDate,0,COLUMN()),INDEX(MO_Common_QEndDate,0,COLUMN())),"N/A")</f>
        <v>N/A</v>
      </c>
      <c r="CB1093" s="134" t="str">
        <f ca="1">IFERROR(_xll.TR(MO.Ticker.Thomson,"AVG(TR.Priceclose)","sdate:#1 edate:#2",,INDEX(MO_SNA_FPStartDate,0,COLUMN()),INDEX(MO_Common_QEndDate,0,COLUMN())),"N/A")</f>
        <v>N/A</v>
      </c>
      <c r="CC1093" s="180"/>
    </row>
    <row r="1094" spans="1:81" outlineLevel="1" x14ac:dyDescent="0.55000000000000004">
      <c r="A1094" s="377"/>
      <c r="B1094" s="600"/>
      <c r="C1094" s="558"/>
      <c r="D1094" s="600"/>
      <c r="E1094" s="600"/>
      <c r="F1094" s="600"/>
      <c r="G1094" s="600"/>
      <c r="H1094" s="600"/>
      <c r="I1094" s="600"/>
      <c r="J1094" s="600"/>
      <c r="K1094" s="600"/>
      <c r="L1094" s="600"/>
      <c r="M1094" s="600"/>
      <c r="N1094" s="600"/>
      <c r="O1094" s="600"/>
      <c r="P1094" s="600"/>
      <c r="Q1094" s="600"/>
      <c r="R1094" s="600"/>
      <c r="S1094" s="600"/>
      <c r="T1094" s="600"/>
      <c r="U1094" s="600"/>
      <c r="V1094" s="600"/>
      <c r="W1094" s="600"/>
      <c r="X1094" s="600"/>
      <c r="Y1094" s="600"/>
      <c r="Z1094" s="600"/>
      <c r="AA1094" s="600"/>
      <c r="AB1094" s="600"/>
      <c r="AC1094" s="600"/>
      <c r="AD1094" s="600"/>
      <c r="AE1094" s="600"/>
      <c r="AF1094" s="600"/>
      <c r="AG1094" s="600"/>
      <c r="AH1094" s="600"/>
      <c r="AI1094" s="600"/>
      <c r="AJ1094" s="600"/>
      <c r="AK1094" s="600"/>
      <c r="AL1094" s="600"/>
      <c r="AM1094" s="600"/>
      <c r="AN1094" s="600"/>
      <c r="AO1094" s="600"/>
      <c r="AP1094" s="600"/>
      <c r="AQ1094" s="600"/>
      <c r="AR1094" s="600"/>
      <c r="AS1094" s="600"/>
      <c r="AT1094" s="600"/>
      <c r="AU1094" s="600"/>
      <c r="AV1094" s="600"/>
      <c r="AW1094" s="600"/>
      <c r="AX1094" s="600"/>
      <c r="AY1094" s="600"/>
      <c r="AZ1094" s="600"/>
      <c r="BA1094" s="600"/>
      <c r="BB1094" s="600"/>
      <c r="BC1094" s="600"/>
      <c r="BD1094" s="600"/>
      <c r="BE1094" s="600"/>
      <c r="BF1094" s="600"/>
      <c r="BG1094" s="600"/>
      <c r="BH1094" s="558"/>
      <c r="BI1094" s="558"/>
      <c r="BJ1094" s="558"/>
      <c r="BK1094" s="558"/>
      <c r="BL1094" s="600"/>
      <c r="BM1094" s="600"/>
      <c r="BN1094" s="600"/>
      <c r="BO1094" s="600"/>
      <c r="BP1094" s="600"/>
      <c r="BQ1094" s="600"/>
      <c r="BR1094" s="600"/>
      <c r="BS1094" s="600"/>
      <c r="BT1094" s="600"/>
      <c r="BU1094" s="600"/>
      <c r="BV1094" s="600"/>
      <c r="BW1094" s="600"/>
      <c r="BX1094" s="600"/>
      <c r="BY1094" s="600"/>
      <c r="BZ1094" s="600"/>
      <c r="CA1094" s="600"/>
      <c r="CB1094" s="600"/>
      <c r="CC1094" s="176"/>
    </row>
    <row r="1095" spans="1:81" x14ac:dyDescent="0.55000000000000004">
      <c r="A1095" s="1158" t="str">
        <f ca="1">"FX Average: "&amp;IF(OR(MO.RealTimeStockPriceToggle=FALSE,VLOOKUP(MO.DataSourceName,MO_SPT_FXAverage_Sources,COLUMN()+2,FALSE)="N/A"),"Real-Time Off Source",MO.DataSourceName)</f>
        <v>FX Average: Real-Time Off Source</v>
      </c>
      <c r="B1095" s="361"/>
      <c r="C1095" s="590">
        <f t="shared" ref="C1095:AH1095" ca="1" si="1316">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D1095" s="361">
        <f t="shared" ca="1" si="1316"/>
        <v>1</v>
      </c>
      <c r="E1095" s="361">
        <f t="shared" ca="1" si="1316"/>
        <v>1</v>
      </c>
      <c r="F1095" s="361">
        <f t="shared" ca="1" si="1316"/>
        <v>1</v>
      </c>
      <c r="G1095" s="361">
        <f t="shared" ca="1" si="1316"/>
        <v>1</v>
      </c>
      <c r="H1095" s="361">
        <f t="shared" ca="1" si="1316"/>
        <v>1</v>
      </c>
      <c r="I1095" s="361">
        <f t="shared" ca="1" si="1316"/>
        <v>1</v>
      </c>
      <c r="J1095" s="361">
        <f t="shared" ca="1" si="1316"/>
        <v>1</v>
      </c>
      <c r="K1095" s="361">
        <f t="shared" ca="1" si="1316"/>
        <v>1</v>
      </c>
      <c r="L1095" s="361">
        <f t="shared" ca="1" si="1316"/>
        <v>1</v>
      </c>
      <c r="M1095" s="361">
        <f t="shared" ca="1" si="1316"/>
        <v>1</v>
      </c>
      <c r="N1095" s="361">
        <f t="shared" ca="1" si="1316"/>
        <v>1</v>
      </c>
      <c r="O1095" s="361">
        <f t="shared" ca="1" si="1316"/>
        <v>1</v>
      </c>
      <c r="P1095" s="361">
        <f t="shared" ca="1" si="1316"/>
        <v>1</v>
      </c>
      <c r="Q1095" s="361">
        <f t="shared" ca="1" si="1316"/>
        <v>1</v>
      </c>
      <c r="R1095" s="361">
        <f t="shared" ca="1" si="1316"/>
        <v>1</v>
      </c>
      <c r="S1095" s="361">
        <f t="shared" ca="1" si="1316"/>
        <v>1</v>
      </c>
      <c r="T1095" s="361">
        <f t="shared" ca="1" si="1316"/>
        <v>1</v>
      </c>
      <c r="U1095" s="361">
        <f t="shared" ca="1" si="1316"/>
        <v>1</v>
      </c>
      <c r="V1095" s="361">
        <f t="shared" ca="1" si="1316"/>
        <v>1</v>
      </c>
      <c r="W1095" s="361">
        <f t="shared" ca="1" si="1316"/>
        <v>1</v>
      </c>
      <c r="X1095" s="361">
        <f t="shared" ca="1" si="1316"/>
        <v>1</v>
      </c>
      <c r="Y1095" s="361">
        <f t="shared" ca="1" si="1316"/>
        <v>1</v>
      </c>
      <c r="Z1095" s="361">
        <f t="shared" ca="1" si="1316"/>
        <v>1</v>
      </c>
      <c r="AA1095" s="361">
        <f t="shared" ca="1" si="1316"/>
        <v>1</v>
      </c>
      <c r="AB1095" s="361">
        <f t="shared" ca="1" si="1316"/>
        <v>1</v>
      </c>
      <c r="AC1095" s="361">
        <f t="shared" ca="1" si="1316"/>
        <v>1</v>
      </c>
      <c r="AD1095" s="361">
        <f t="shared" ca="1" si="1316"/>
        <v>1</v>
      </c>
      <c r="AE1095" s="361">
        <f t="shared" ca="1" si="1316"/>
        <v>1</v>
      </c>
      <c r="AF1095" s="361">
        <f t="shared" ca="1" si="1316"/>
        <v>1</v>
      </c>
      <c r="AG1095" s="361">
        <f t="shared" ca="1" si="1316"/>
        <v>1</v>
      </c>
      <c r="AH1095" s="361">
        <f t="shared" ca="1" si="1316"/>
        <v>1</v>
      </c>
      <c r="AI1095" s="361">
        <f t="shared" ref="AI1095:BF1095" ca="1" si="1317">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AJ1095" s="361">
        <f t="shared" ca="1" si="1317"/>
        <v>1</v>
      </c>
      <c r="AK1095" s="361">
        <f t="shared" ca="1" si="1317"/>
        <v>1</v>
      </c>
      <c r="AL1095" s="361">
        <f t="shared" ca="1" si="1317"/>
        <v>1</v>
      </c>
      <c r="AM1095" s="361">
        <f t="shared" ca="1" si="1317"/>
        <v>1</v>
      </c>
      <c r="AN1095" s="361">
        <f t="shared" ca="1" si="1317"/>
        <v>1</v>
      </c>
      <c r="AO1095" s="361">
        <f t="shared" ca="1" si="1317"/>
        <v>1</v>
      </c>
      <c r="AP1095" s="361">
        <f t="shared" ca="1" si="1317"/>
        <v>1</v>
      </c>
      <c r="AQ1095" s="361">
        <f t="shared" ca="1" si="1317"/>
        <v>1</v>
      </c>
      <c r="AR1095" s="361">
        <f t="shared" ca="1" si="1317"/>
        <v>1</v>
      </c>
      <c r="AS1095" s="361">
        <f t="shared" ca="1" si="1317"/>
        <v>1</v>
      </c>
      <c r="AT1095" s="361">
        <f t="shared" ca="1" si="1317"/>
        <v>1</v>
      </c>
      <c r="AU1095" s="361">
        <f t="shared" ca="1" si="1317"/>
        <v>1</v>
      </c>
      <c r="AV1095" s="361">
        <f t="shared" ca="1" si="1317"/>
        <v>1</v>
      </c>
      <c r="AW1095" s="361">
        <f t="shared" ca="1" si="1317"/>
        <v>1</v>
      </c>
      <c r="AX1095" s="361">
        <f t="shared" ca="1" si="1317"/>
        <v>1</v>
      </c>
      <c r="AY1095" s="361">
        <f t="shared" ca="1" si="1317"/>
        <v>1</v>
      </c>
      <c r="AZ1095" s="361">
        <f t="shared" ca="1" si="1317"/>
        <v>1</v>
      </c>
      <c r="BA1095" s="361">
        <f t="shared" ca="1" si="1317"/>
        <v>1</v>
      </c>
      <c r="BB1095" s="361">
        <f t="shared" ca="1" si="1317"/>
        <v>1</v>
      </c>
      <c r="BC1095" s="361">
        <f t="shared" ca="1" si="1317"/>
        <v>1</v>
      </c>
      <c r="BD1095" s="361">
        <f t="shared" ca="1" si="1317"/>
        <v>1</v>
      </c>
      <c r="BE1095" s="361">
        <f t="shared" ca="1" si="1317"/>
        <v>1</v>
      </c>
      <c r="BF1095" s="361">
        <f t="shared" ca="1" si="1317"/>
        <v>1</v>
      </c>
      <c r="BG1095" s="361"/>
      <c r="BH1095" s="590">
        <f t="shared" ref="BH1095:CB1095" ca="1" si="1318">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BI1095" s="590">
        <f t="shared" ca="1" si="1318"/>
        <v>1</v>
      </c>
      <c r="BJ1095" s="590">
        <f t="shared" ca="1" si="1318"/>
        <v>1</v>
      </c>
      <c r="BK1095" s="590">
        <f t="shared" ca="1" si="1318"/>
        <v>1</v>
      </c>
      <c r="BL1095" s="361">
        <f t="shared" ca="1" si="1318"/>
        <v>1</v>
      </c>
      <c r="BM1095" s="361">
        <f t="shared" ca="1" si="1318"/>
        <v>1</v>
      </c>
      <c r="BN1095" s="361">
        <f t="shared" ca="1" si="1318"/>
        <v>1</v>
      </c>
      <c r="BO1095" s="361">
        <f t="shared" ca="1" si="1318"/>
        <v>1</v>
      </c>
      <c r="BP1095" s="361">
        <f t="shared" ca="1" si="1318"/>
        <v>1</v>
      </c>
      <c r="BQ1095" s="361">
        <f t="shared" ca="1" si="1318"/>
        <v>1</v>
      </c>
      <c r="BR1095" s="361">
        <f t="shared" ca="1" si="1318"/>
        <v>1</v>
      </c>
      <c r="BS1095" s="361">
        <f t="shared" ca="1" si="1318"/>
        <v>1</v>
      </c>
      <c r="BT1095" s="361">
        <f t="shared" ca="1" si="1318"/>
        <v>1</v>
      </c>
      <c r="BU1095" s="361">
        <f t="shared" ca="1" si="1318"/>
        <v>1</v>
      </c>
      <c r="BV1095" s="361">
        <f t="shared" ca="1" si="1318"/>
        <v>1</v>
      </c>
      <c r="BW1095" s="361">
        <f t="shared" ca="1" si="1318"/>
        <v>1</v>
      </c>
      <c r="BX1095" s="361">
        <f t="shared" ca="1" si="1318"/>
        <v>1</v>
      </c>
      <c r="BY1095" s="361">
        <f t="shared" ca="1" si="1318"/>
        <v>1</v>
      </c>
      <c r="BZ1095" s="361">
        <f t="shared" ca="1" si="1318"/>
        <v>1</v>
      </c>
      <c r="CA1095" s="361">
        <f t="shared" ca="1" si="1318"/>
        <v>1</v>
      </c>
      <c r="CB1095" s="361">
        <f t="shared" ca="1" si="1318"/>
        <v>1</v>
      </c>
      <c r="CC1095" s="181"/>
    </row>
    <row r="1096" spans="1:81" outlineLevel="1" x14ac:dyDescent="0.55000000000000004">
      <c r="A1096" s="1159" t="s">
        <v>243</v>
      </c>
      <c r="B1096" s="361"/>
      <c r="C1096" s="799">
        <v>1</v>
      </c>
      <c r="D1096" s="800">
        <v>1</v>
      </c>
      <c r="E1096" s="800">
        <v>1</v>
      </c>
      <c r="F1096" s="800">
        <v>1</v>
      </c>
      <c r="G1096" s="800">
        <v>1</v>
      </c>
      <c r="H1096" s="800">
        <v>1</v>
      </c>
      <c r="I1096" s="800">
        <v>1</v>
      </c>
      <c r="J1096" s="800">
        <v>1</v>
      </c>
      <c r="K1096" s="800">
        <v>1</v>
      </c>
      <c r="L1096" s="800">
        <v>1</v>
      </c>
      <c r="M1096" s="800">
        <v>1</v>
      </c>
      <c r="N1096" s="800">
        <v>1</v>
      </c>
      <c r="O1096" s="800">
        <v>1</v>
      </c>
      <c r="P1096" s="800">
        <v>1</v>
      </c>
      <c r="Q1096" s="800">
        <v>1</v>
      </c>
      <c r="R1096" s="800">
        <v>1</v>
      </c>
      <c r="S1096" s="800">
        <v>1</v>
      </c>
      <c r="T1096" s="800">
        <v>1</v>
      </c>
      <c r="U1096" s="800">
        <v>1</v>
      </c>
      <c r="V1096" s="800">
        <v>1</v>
      </c>
      <c r="W1096" s="800">
        <v>1</v>
      </c>
      <c r="X1096" s="800">
        <v>1</v>
      </c>
      <c r="Y1096" s="800">
        <v>1</v>
      </c>
      <c r="Z1096" s="800">
        <v>1</v>
      </c>
      <c r="AA1096" s="800">
        <v>1</v>
      </c>
      <c r="AB1096" s="800">
        <v>1</v>
      </c>
      <c r="AC1096" s="800">
        <v>1</v>
      </c>
      <c r="AD1096" s="800">
        <v>1</v>
      </c>
      <c r="AE1096" s="800">
        <v>1</v>
      </c>
      <c r="AF1096" s="800">
        <v>1</v>
      </c>
      <c r="AG1096" s="800">
        <v>1</v>
      </c>
      <c r="AH1096" s="800">
        <v>1</v>
      </c>
      <c r="AI1096" s="800">
        <v>1</v>
      </c>
      <c r="AJ1096" s="800">
        <v>1</v>
      </c>
      <c r="AK1096" s="800">
        <v>1</v>
      </c>
      <c r="AL1096" s="800">
        <v>1</v>
      </c>
      <c r="AM1096" s="800">
        <v>1</v>
      </c>
      <c r="AN1096" s="800">
        <v>1</v>
      </c>
      <c r="AO1096" s="800">
        <v>1</v>
      </c>
      <c r="AP1096" s="800">
        <v>1</v>
      </c>
      <c r="AQ1096" s="800">
        <v>1</v>
      </c>
      <c r="AR1096" s="800">
        <v>1</v>
      </c>
      <c r="AS1096" s="800">
        <v>1</v>
      </c>
      <c r="AT1096" s="800">
        <v>1</v>
      </c>
      <c r="AU1096" s="800">
        <v>1</v>
      </c>
      <c r="AV1096" s="800">
        <v>1</v>
      </c>
      <c r="AW1096" s="800">
        <v>1</v>
      </c>
      <c r="AX1096" s="800">
        <v>1</v>
      </c>
      <c r="AY1096" s="800">
        <v>1</v>
      </c>
      <c r="AZ1096" s="361">
        <f t="shared" ref="AZ1096:BF1096" si="1319">MO.MRFX.Hardcoded</f>
        <v>1</v>
      </c>
      <c r="BA1096" s="361">
        <f t="shared" si="1319"/>
        <v>1</v>
      </c>
      <c r="BB1096" s="361">
        <f t="shared" si="1319"/>
        <v>1</v>
      </c>
      <c r="BC1096" s="361">
        <f t="shared" si="1319"/>
        <v>1</v>
      </c>
      <c r="BD1096" s="361">
        <f t="shared" si="1319"/>
        <v>1</v>
      </c>
      <c r="BE1096" s="361">
        <f t="shared" si="1319"/>
        <v>1</v>
      </c>
      <c r="BF1096" s="361">
        <f t="shared" si="1319"/>
        <v>1</v>
      </c>
      <c r="BG1096" s="361"/>
      <c r="BH1096" s="799">
        <v>1</v>
      </c>
      <c r="BI1096" s="799">
        <v>1</v>
      </c>
      <c r="BJ1096" s="799">
        <v>1</v>
      </c>
      <c r="BK1096" s="799">
        <v>1</v>
      </c>
      <c r="BL1096" s="800">
        <v>1</v>
      </c>
      <c r="BM1096" s="800">
        <v>1</v>
      </c>
      <c r="BN1096" s="800">
        <v>1</v>
      </c>
      <c r="BO1096" s="800">
        <v>1</v>
      </c>
      <c r="BP1096" s="800">
        <v>1</v>
      </c>
      <c r="BQ1096" s="800">
        <v>1</v>
      </c>
      <c r="BR1096" s="800">
        <v>1</v>
      </c>
      <c r="BS1096" s="800">
        <v>1</v>
      </c>
      <c r="BT1096" s="800">
        <v>1</v>
      </c>
      <c r="BU1096" s="800">
        <v>1</v>
      </c>
      <c r="BV1096" s="800">
        <v>1</v>
      </c>
      <c r="BW1096" s="800">
        <v>1</v>
      </c>
      <c r="BX1096" s="361">
        <f>MO.MRFX.Hardcoded</f>
        <v>1</v>
      </c>
      <c r="BY1096" s="361">
        <f>MO.MRFX.Hardcoded</f>
        <v>1</v>
      </c>
      <c r="BZ1096" s="361">
        <f>MO.MRFX.Hardcoded</f>
        <v>1</v>
      </c>
      <c r="CA1096" s="361">
        <f>MO.MRFX.Hardcoded</f>
        <v>1</v>
      </c>
      <c r="CB1096" s="361">
        <f>MO.MRFX.Hardcoded</f>
        <v>1</v>
      </c>
      <c r="CC1096" s="181"/>
    </row>
    <row r="1097" spans="1:81" outlineLevel="1" x14ac:dyDescent="0.55000000000000004">
      <c r="A1097" s="1159" t="s">
        <v>7</v>
      </c>
      <c r="B1097" s="361"/>
      <c r="C1097" s="59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D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E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F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G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H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I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J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K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L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M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N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O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P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Q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R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S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T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U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V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W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X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Y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Z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A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B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C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D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E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F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G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H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I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J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K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L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M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N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O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P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Q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R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S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T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U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V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W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X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Y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Z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A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B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C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D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E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F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G1097" s="361"/>
      <c r="BH1097" s="59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I1097" s="59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J1097" s="59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K1097" s="59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L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M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N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O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P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Q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R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S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T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U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V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W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X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Y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Z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CA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CB1097" s="36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CC1097" s="181"/>
    </row>
    <row r="1098" spans="1:81" outlineLevel="1" x14ac:dyDescent="0.55000000000000004">
      <c r="A1098" s="1159" t="s">
        <v>244</v>
      </c>
      <c r="B1098" s="361"/>
      <c r="C1098" s="590" t="str">
        <f ca="1">IFERROR(IF(INDEX(MO_Common_QEndDate,0,COLUMN())&gt;TODAY(),CIQ("$"&amp;HP.TradeCurrency&amp;MO.ReportCurrency,"IQ_LASTSALEPRICE"),CIQAVG("$"&amp;HP.TradeCurrency&amp;MO.ReportCurrency,"IQ_LASTSALEPRICE",INDEX(MO_SNA_FPStartDate,0,COLUMN()),INDEX(MO_Common_QEndDate,0,COLUMN()))),"N/A")</f>
        <v>N/A</v>
      </c>
      <c r="D1098" s="361" t="str">
        <f ca="1">IFERROR(IF(INDEX(MO_Common_QEndDate,0,COLUMN())&gt;TODAY(),CIQ("$"&amp;HP.TradeCurrency&amp;MO.ReportCurrency,"IQ_LASTSALEPRICE"),CIQAVG("$"&amp;HP.TradeCurrency&amp;MO.ReportCurrency,"IQ_LASTSALEPRICE",INDEX(MO_SNA_FPStartDate,0,COLUMN()),INDEX(MO_Common_QEndDate,0,COLUMN()))),"N/A")</f>
        <v>N/A</v>
      </c>
      <c r="E1098" s="361" t="str">
        <f ca="1">IFERROR(IF(INDEX(MO_Common_QEndDate,0,COLUMN())&gt;TODAY(),CIQ("$"&amp;HP.TradeCurrency&amp;MO.ReportCurrency,"IQ_LASTSALEPRICE"),CIQAVG("$"&amp;HP.TradeCurrency&amp;MO.ReportCurrency,"IQ_LASTSALEPRICE",INDEX(MO_SNA_FPStartDate,0,COLUMN()),INDEX(MO_Common_QEndDate,0,COLUMN()))),"N/A")</f>
        <v>N/A</v>
      </c>
      <c r="F1098" s="361" t="str">
        <f ca="1">IFERROR(IF(INDEX(MO_Common_QEndDate,0,COLUMN())&gt;TODAY(),CIQ("$"&amp;HP.TradeCurrency&amp;MO.ReportCurrency,"IQ_LASTSALEPRICE"),CIQAVG("$"&amp;HP.TradeCurrency&amp;MO.ReportCurrency,"IQ_LASTSALEPRICE",INDEX(MO_SNA_FPStartDate,0,COLUMN()),INDEX(MO_Common_QEndDate,0,COLUMN()))),"N/A")</f>
        <v>N/A</v>
      </c>
      <c r="G1098" s="361" t="str">
        <f ca="1">IFERROR(IF(INDEX(MO_Common_QEndDate,0,COLUMN())&gt;TODAY(),CIQ("$"&amp;HP.TradeCurrency&amp;MO.ReportCurrency,"IQ_LASTSALEPRICE"),CIQAVG("$"&amp;HP.TradeCurrency&amp;MO.ReportCurrency,"IQ_LASTSALEPRICE",INDEX(MO_SNA_FPStartDate,0,COLUMN()),INDEX(MO_Common_QEndDate,0,COLUMN()))),"N/A")</f>
        <v>N/A</v>
      </c>
      <c r="H1098" s="361" t="str">
        <f ca="1">IFERROR(IF(INDEX(MO_Common_QEndDate,0,COLUMN())&gt;TODAY(),CIQ("$"&amp;HP.TradeCurrency&amp;MO.ReportCurrency,"IQ_LASTSALEPRICE"),CIQAVG("$"&amp;HP.TradeCurrency&amp;MO.ReportCurrency,"IQ_LASTSALEPRICE",INDEX(MO_SNA_FPStartDate,0,COLUMN()),INDEX(MO_Common_QEndDate,0,COLUMN()))),"N/A")</f>
        <v>N/A</v>
      </c>
      <c r="I1098" s="361" t="str">
        <f ca="1">IFERROR(IF(INDEX(MO_Common_QEndDate,0,COLUMN())&gt;TODAY(),CIQ("$"&amp;HP.TradeCurrency&amp;MO.ReportCurrency,"IQ_LASTSALEPRICE"),CIQAVG("$"&amp;HP.TradeCurrency&amp;MO.ReportCurrency,"IQ_LASTSALEPRICE",INDEX(MO_SNA_FPStartDate,0,COLUMN()),INDEX(MO_Common_QEndDate,0,COLUMN()))),"N/A")</f>
        <v>N/A</v>
      </c>
      <c r="J1098" s="361" t="str">
        <f ca="1">IFERROR(IF(INDEX(MO_Common_QEndDate,0,COLUMN())&gt;TODAY(),CIQ("$"&amp;HP.TradeCurrency&amp;MO.ReportCurrency,"IQ_LASTSALEPRICE"),CIQAVG("$"&amp;HP.TradeCurrency&amp;MO.ReportCurrency,"IQ_LASTSALEPRICE",INDEX(MO_SNA_FPStartDate,0,COLUMN()),INDEX(MO_Common_QEndDate,0,COLUMN()))),"N/A")</f>
        <v>N/A</v>
      </c>
      <c r="K1098" s="361" t="str">
        <f ca="1">IFERROR(IF(INDEX(MO_Common_QEndDate,0,COLUMN())&gt;TODAY(),CIQ("$"&amp;HP.TradeCurrency&amp;MO.ReportCurrency,"IQ_LASTSALEPRICE"),CIQAVG("$"&amp;HP.TradeCurrency&amp;MO.ReportCurrency,"IQ_LASTSALEPRICE",INDEX(MO_SNA_FPStartDate,0,COLUMN()),INDEX(MO_Common_QEndDate,0,COLUMN()))),"N/A")</f>
        <v>N/A</v>
      </c>
      <c r="L1098" s="361" t="str">
        <f ca="1">IFERROR(IF(INDEX(MO_Common_QEndDate,0,COLUMN())&gt;TODAY(),CIQ("$"&amp;HP.TradeCurrency&amp;MO.ReportCurrency,"IQ_LASTSALEPRICE"),CIQAVG("$"&amp;HP.TradeCurrency&amp;MO.ReportCurrency,"IQ_LASTSALEPRICE",INDEX(MO_SNA_FPStartDate,0,COLUMN()),INDEX(MO_Common_QEndDate,0,COLUMN()))),"N/A")</f>
        <v>N/A</v>
      </c>
      <c r="M1098" s="361" t="str">
        <f ca="1">IFERROR(IF(INDEX(MO_Common_QEndDate,0,COLUMN())&gt;TODAY(),CIQ("$"&amp;HP.TradeCurrency&amp;MO.ReportCurrency,"IQ_LASTSALEPRICE"),CIQAVG("$"&amp;HP.TradeCurrency&amp;MO.ReportCurrency,"IQ_LASTSALEPRICE",INDEX(MO_SNA_FPStartDate,0,COLUMN()),INDEX(MO_Common_QEndDate,0,COLUMN()))),"N/A")</f>
        <v>N/A</v>
      </c>
      <c r="N1098" s="361" t="str">
        <f ca="1">IFERROR(IF(INDEX(MO_Common_QEndDate,0,COLUMN())&gt;TODAY(),CIQ("$"&amp;HP.TradeCurrency&amp;MO.ReportCurrency,"IQ_LASTSALEPRICE"),CIQAVG("$"&amp;HP.TradeCurrency&amp;MO.ReportCurrency,"IQ_LASTSALEPRICE",INDEX(MO_SNA_FPStartDate,0,COLUMN()),INDEX(MO_Common_QEndDate,0,COLUMN()))),"N/A")</f>
        <v>N/A</v>
      </c>
      <c r="O1098" s="361" t="str">
        <f ca="1">IFERROR(IF(INDEX(MO_Common_QEndDate,0,COLUMN())&gt;TODAY(),CIQ("$"&amp;HP.TradeCurrency&amp;MO.ReportCurrency,"IQ_LASTSALEPRICE"),CIQAVG("$"&amp;HP.TradeCurrency&amp;MO.ReportCurrency,"IQ_LASTSALEPRICE",INDEX(MO_SNA_FPStartDate,0,COLUMN()),INDEX(MO_Common_QEndDate,0,COLUMN()))),"N/A")</f>
        <v>N/A</v>
      </c>
      <c r="P1098" s="361" t="str">
        <f ca="1">IFERROR(IF(INDEX(MO_Common_QEndDate,0,COLUMN())&gt;TODAY(),CIQ("$"&amp;HP.TradeCurrency&amp;MO.ReportCurrency,"IQ_LASTSALEPRICE"),CIQAVG("$"&amp;HP.TradeCurrency&amp;MO.ReportCurrency,"IQ_LASTSALEPRICE",INDEX(MO_SNA_FPStartDate,0,COLUMN()),INDEX(MO_Common_QEndDate,0,COLUMN()))),"N/A")</f>
        <v>N/A</v>
      </c>
      <c r="Q1098" s="361" t="str">
        <f ca="1">IFERROR(IF(INDEX(MO_Common_QEndDate,0,COLUMN())&gt;TODAY(),CIQ("$"&amp;HP.TradeCurrency&amp;MO.ReportCurrency,"IQ_LASTSALEPRICE"),CIQAVG("$"&amp;HP.TradeCurrency&amp;MO.ReportCurrency,"IQ_LASTSALEPRICE",INDEX(MO_SNA_FPStartDate,0,COLUMN()),INDEX(MO_Common_QEndDate,0,COLUMN()))),"N/A")</f>
        <v>N/A</v>
      </c>
      <c r="R1098" s="361" t="str">
        <f ca="1">IFERROR(IF(INDEX(MO_Common_QEndDate,0,COLUMN())&gt;TODAY(),CIQ("$"&amp;HP.TradeCurrency&amp;MO.ReportCurrency,"IQ_LASTSALEPRICE"),CIQAVG("$"&amp;HP.TradeCurrency&amp;MO.ReportCurrency,"IQ_LASTSALEPRICE",INDEX(MO_SNA_FPStartDate,0,COLUMN()),INDEX(MO_Common_QEndDate,0,COLUMN()))),"N/A")</f>
        <v>N/A</v>
      </c>
      <c r="S1098" s="361" t="str">
        <f ca="1">IFERROR(IF(INDEX(MO_Common_QEndDate,0,COLUMN())&gt;TODAY(),CIQ("$"&amp;HP.TradeCurrency&amp;MO.ReportCurrency,"IQ_LASTSALEPRICE"),CIQAVG("$"&amp;HP.TradeCurrency&amp;MO.ReportCurrency,"IQ_LASTSALEPRICE",INDEX(MO_SNA_FPStartDate,0,COLUMN()),INDEX(MO_Common_QEndDate,0,COLUMN()))),"N/A")</f>
        <v>N/A</v>
      </c>
      <c r="T1098" s="361" t="str">
        <f ca="1">IFERROR(IF(INDEX(MO_Common_QEndDate,0,COLUMN())&gt;TODAY(),CIQ("$"&amp;HP.TradeCurrency&amp;MO.ReportCurrency,"IQ_LASTSALEPRICE"),CIQAVG("$"&amp;HP.TradeCurrency&amp;MO.ReportCurrency,"IQ_LASTSALEPRICE",INDEX(MO_SNA_FPStartDate,0,COLUMN()),INDEX(MO_Common_QEndDate,0,COLUMN()))),"N/A")</f>
        <v>N/A</v>
      </c>
      <c r="U1098" s="361" t="str">
        <f ca="1">IFERROR(IF(INDEX(MO_Common_QEndDate,0,COLUMN())&gt;TODAY(),CIQ("$"&amp;HP.TradeCurrency&amp;MO.ReportCurrency,"IQ_LASTSALEPRICE"),CIQAVG("$"&amp;HP.TradeCurrency&amp;MO.ReportCurrency,"IQ_LASTSALEPRICE",INDEX(MO_SNA_FPStartDate,0,COLUMN()),INDEX(MO_Common_QEndDate,0,COLUMN()))),"N/A")</f>
        <v>N/A</v>
      </c>
      <c r="V1098" s="361" t="str">
        <f ca="1">IFERROR(IF(INDEX(MO_Common_QEndDate,0,COLUMN())&gt;TODAY(),CIQ("$"&amp;HP.TradeCurrency&amp;MO.ReportCurrency,"IQ_LASTSALEPRICE"),CIQAVG("$"&amp;HP.TradeCurrency&amp;MO.ReportCurrency,"IQ_LASTSALEPRICE",INDEX(MO_SNA_FPStartDate,0,COLUMN()),INDEX(MO_Common_QEndDate,0,COLUMN()))),"N/A")</f>
        <v>N/A</v>
      </c>
      <c r="W1098" s="361" t="str">
        <f ca="1">IFERROR(IF(INDEX(MO_Common_QEndDate,0,COLUMN())&gt;TODAY(),CIQ("$"&amp;HP.TradeCurrency&amp;MO.ReportCurrency,"IQ_LASTSALEPRICE"),CIQAVG("$"&amp;HP.TradeCurrency&amp;MO.ReportCurrency,"IQ_LASTSALEPRICE",INDEX(MO_SNA_FPStartDate,0,COLUMN()),INDEX(MO_Common_QEndDate,0,COLUMN()))),"N/A")</f>
        <v>N/A</v>
      </c>
      <c r="X1098" s="361" t="str">
        <f ca="1">IFERROR(IF(INDEX(MO_Common_QEndDate,0,COLUMN())&gt;TODAY(),CIQ("$"&amp;HP.TradeCurrency&amp;MO.ReportCurrency,"IQ_LASTSALEPRICE"),CIQAVG("$"&amp;HP.TradeCurrency&amp;MO.ReportCurrency,"IQ_LASTSALEPRICE",INDEX(MO_SNA_FPStartDate,0,COLUMN()),INDEX(MO_Common_QEndDate,0,COLUMN()))),"N/A")</f>
        <v>N/A</v>
      </c>
      <c r="Y1098" s="361" t="str">
        <f ca="1">IFERROR(IF(INDEX(MO_Common_QEndDate,0,COLUMN())&gt;TODAY(),CIQ("$"&amp;HP.TradeCurrency&amp;MO.ReportCurrency,"IQ_LASTSALEPRICE"),CIQAVG("$"&amp;HP.TradeCurrency&amp;MO.ReportCurrency,"IQ_LASTSALEPRICE",INDEX(MO_SNA_FPStartDate,0,COLUMN()),INDEX(MO_Common_QEndDate,0,COLUMN()))),"N/A")</f>
        <v>N/A</v>
      </c>
      <c r="Z1098" s="361" t="str">
        <f ca="1">IFERROR(IF(INDEX(MO_Common_QEndDate,0,COLUMN())&gt;TODAY(),CIQ("$"&amp;HP.TradeCurrency&amp;MO.ReportCurrency,"IQ_LASTSALEPRICE"),CIQAVG("$"&amp;HP.TradeCurrency&amp;MO.ReportCurrency,"IQ_LASTSALEPRICE",INDEX(MO_SNA_FPStartDate,0,COLUMN()),INDEX(MO_Common_QEndDate,0,COLUMN()))),"N/A")</f>
        <v>N/A</v>
      </c>
      <c r="AA1098" s="361" t="str">
        <f ca="1">IFERROR(IF(INDEX(MO_Common_QEndDate,0,COLUMN())&gt;TODAY(),CIQ("$"&amp;HP.TradeCurrency&amp;MO.ReportCurrency,"IQ_LASTSALEPRICE"),CIQAVG("$"&amp;HP.TradeCurrency&amp;MO.ReportCurrency,"IQ_LASTSALEPRICE",INDEX(MO_SNA_FPStartDate,0,COLUMN()),INDEX(MO_Common_QEndDate,0,COLUMN()))),"N/A")</f>
        <v>N/A</v>
      </c>
      <c r="AB1098" s="361" t="str">
        <f ca="1">IFERROR(IF(INDEX(MO_Common_QEndDate,0,COLUMN())&gt;TODAY(),CIQ("$"&amp;HP.TradeCurrency&amp;MO.ReportCurrency,"IQ_LASTSALEPRICE"),CIQAVG("$"&amp;HP.TradeCurrency&amp;MO.ReportCurrency,"IQ_LASTSALEPRICE",INDEX(MO_SNA_FPStartDate,0,COLUMN()),INDEX(MO_Common_QEndDate,0,COLUMN()))),"N/A")</f>
        <v>N/A</v>
      </c>
      <c r="AC1098" s="361" t="str">
        <f ca="1">IFERROR(IF(INDEX(MO_Common_QEndDate,0,COLUMN())&gt;TODAY(),CIQ("$"&amp;HP.TradeCurrency&amp;MO.ReportCurrency,"IQ_LASTSALEPRICE"),CIQAVG("$"&amp;HP.TradeCurrency&amp;MO.ReportCurrency,"IQ_LASTSALEPRICE",INDEX(MO_SNA_FPStartDate,0,COLUMN()),INDEX(MO_Common_QEndDate,0,COLUMN()))),"N/A")</f>
        <v>N/A</v>
      </c>
      <c r="AD1098" s="361" t="str">
        <f ca="1">IFERROR(IF(INDEX(MO_Common_QEndDate,0,COLUMN())&gt;TODAY(),CIQ("$"&amp;HP.TradeCurrency&amp;MO.ReportCurrency,"IQ_LASTSALEPRICE"),CIQAVG("$"&amp;HP.TradeCurrency&amp;MO.ReportCurrency,"IQ_LASTSALEPRICE",INDEX(MO_SNA_FPStartDate,0,COLUMN()),INDEX(MO_Common_QEndDate,0,COLUMN()))),"N/A")</f>
        <v>N/A</v>
      </c>
      <c r="AE1098" s="361" t="str">
        <f ca="1">IFERROR(IF(INDEX(MO_Common_QEndDate,0,COLUMN())&gt;TODAY(),CIQ("$"&amp;HP.TradeCurrency&amp;MO.ReportCurrency,"IQ_LASTSALEPRICE"),CIQAVG("$"&amp;HP.TradeCurrency&amp;MO.ReportCurrency,"IQ_LASTSALEPRICE",INDEX(MO_SNA_FPStartDate,0,COLUMN()),INDEX(MO_Common_QEndDate,0,COLUMN()))),"N/A")</f>
        <v>N/A</v>
      </c>
      <c r="AF1098" s="361" t="str">
        <f ca="1">IFERROR(IF(INDEX(MO_Common_QEndDate,0,COLUMN())&gt;TODAY(),CIQ("$"&amp;HP.TradeCurrency&amp;MO.ReportCurrency,"IQ_LASTSALEPRICE"),CIQAVG("$"&amp;HP.TradeCurrency&amp;MO.ReportCurrency,"IQ_LASTSALEPRICE",INDEX(MO_SNA_FPStartDate,0,COLUMN()),INDEX(MO_Common_QEndDate,0,COLUMN()))),"N/A")</f>
        <v>N/A</v>
      </c>
      <c r="AG1098" s="361" t="str">
        <f ca="1">IFERROR(IF(INDEX(MO_Common_QEndDate,0,COLUMN())&gt;TODAY(),CIQ("$"&amp;HP.TradeCurrency&amp;MO.ReportCurrency,"IQ_LASTSALEPRICE"),CIQAVG("$"&amp;HP.TradeCurrency&amp;MO.ReportCurrency,"IQ_LASTSALEPRICE",INDEX(MO_SNA_FPStartDate,0,COLUMN()),INDEX(MO_Common_QEndDate,0,COLUMN()))),"N/A")</f>
        <v>N/A</v>
      </c>
      <c r="AH1098" s="361" t="str">
        <f ca="1">IFERROR(IF(INDEX(MO_Common_QEndDate,0,COLUMN())&gt;TODAY(),CIQ("$"&amp;HP.TradeCurrency&amp;MO.ReportCurrency,"IQ_LASTSALEPRICE"),CIQAVG("$"&amp;HP.TradeCurrency&amp;MO.ReportCurrency,"IQ_LASTSALEPRICE",INDEX(MO_SNA_FPStartDate,0,COLUMN()),INDEX(MO_Common_QEndDate,0,COLUMN()))),"N/A")</f>
        <v>N/A</v>
      </c>
      <c r="AI1098" s="361" t="str">
        <f ca="1">IFERROR(IF(INDEX(MO_Common_QEndDate,0,COLUMN())&gt;TODAY(),CIQ("$"&amp;HP.TradeCurrency&amp;MO.ReportCurrency,"IQ_LASTSALEPRICE"),CIQAVG("$"&amp;HP.TradeCurrency&amp;MO.ReportCurrency,"IQ_LASTSALEPRICE",INDEX(MO_SNA_FPStartDate,0,COLUMN()),INDEX(MO_Common_QEndDate,0,COLUMN()))),"N/A")</f>
        <v>N/A</v>
      </c>
      <c r="AJ1098" s="361" t="str">
        <f ca="1">IFERROR(IF(INDEX(MO_Common_QEndDate,0,COLUMN())&gt;TODAY(),CIQ("$"&amp;HP.TradeCurrency&amp;MO.ReportCurrency,"IQ_LASTSALEPRICE"),CIQAVG("$"&amp;HP.TradeCurrency&amp;MO.ReportCurrency,"IQ_LASTSALEPRICE",INDEX(MO_SNA_FPStartDate,0,COLUMN()),INDEX(MO_Common_QEndDate,0,COLUMN()))),"N/A")</f>
        <v>N/A</v>
      </c>
      <c r="AK1098" s="361" t="str">
        <f ca="1">IFERROR(IF(INDEX(MO_Common_QEndDate,0,COLUMN())&gt;TODAY(),CIQ("$"&amp;HP.TradeCurrency&amp;MO.ReportCurrency,"IQ_LASTSALEPRICE"),CIQAVG("$"&amp;HP.TradeCurrency&amp;MO.ReportCurrency,"IQ_LASTSALEPRICE",INDEX(MO_SNA_FPStartDate,0,COLUMN()),INDEX(MO_Common_QEndDate,0,COLUMN()))),"N/A")</f>
        <v>N/A</v>
      </c>
      <c r="AL1098" s="361" t="str">
        <f ca="1">IFERROR(IF(INDEX(MO_Common_QEndDate,0,COLUMN())&gt;TODAY(),CIQ("$"&amp;HP.TradeCurrency&amp;MO.ReportCurrency,"IQ_LASTSALEPRICE"),CIQAVG("$"&amp;HP.TradeCurrency&amp;MO.ReportCurrency,"IQ_LASTSALEPRICE",INDEX(MO_SNA_FPStartDate,0,COLUMN()),INDEX(MO_Common_QEndDate,0,COLUMN()))),"N/A")</f>
        <v>N/A</v>
      </c>
      <c r="AM1098" s="361" t="str">
        <f ca="1">IFERROR(IF(INDEX(MO_Common_QEndDate,0,COLUMN())&gt;TODAY(),CIQ("$"&amp;HP.TradeCurrency&amp;MO.ReportCurrency,"IQ_LASTSALEPRICE"),CIQAVG("$"&amp;HP.TradeCurrency&amp;MO.ReportCurrency,"IQ_LASTSALEPRICE",INDEX(MO_SNA_FPStartDate,0,COLUMN()),INDEX(MO_Common_QEndDate,0,COLUMN()))),"N/A")</f>
        <v>N/A</v>
      </c>
      <c r="AN1098" s="361" t="str">
        <f ca="1">IFERROR(IF(INDEX(MO_Common_QEndDate,0,COLUMN())&gt;TODAY(),CIQ("$"&amp;HP.TradeCurrency&amp;MO.ReportCurrency,"IQ_LASTSALEPRICE"),CIQAVG("$"&amp;HP.TradeCurrency&amp;MO.ReportCurrency,"IQ_LASTSALEPRICE",INDEX(MO_SNA_FPStartDate,0,COLUMN()),INDEX(MO_Common_QEndDate,0,COLUMN()))),"N/A")</f>
        <v>N/A</v>
      </c>
      <c r="AO1098" s="361" t="str">
        <f ca="1">IFERROR(IF(INDEX(MO_Common_QEndDate,0,COLUMN())&gt;TODAY(),CIQ("$"&amp;HP.TradeCurrency&amp;MO.ReportCurrency,"IQ_LASTSALEPRICE"),CIQAVG("$"&amp;HP.TradeCurrency&amp;MO.ReportCurrency,"IQ_LASTSALEPRICE",INDEX(MO_SNA_FPStartDate,0,COLUMN()),INDEX(MO_Common_QEndDate,0,COLUMN()))),"N/A")</f>
        <v>N/A</v>
      </c>
      <c r="AP1098" s="361" t="str">
        <f ca="1">IFERROR(IF(INDEX(MO_Common_QEndDate,0,COLUMN())&gt;TODAY(),CIQ("$"&amp;HP.TradeCurrency&amp;MO.ReportCurrency,"IQ_LASTSALEPRICE"),CIQAVG("$"&amp;HP.TradeCurrency&amp;MO.ReportCurrency,"IQ_LASTSALEPRICE",INDEX(MO_SNA_FPStartDate,0,COLUMN()),INDEX(MO_Common_QEndDate,0,COLUMN()))),"N/A")</f>
        <v>N/A</v>
      </c>
      <c r="AQ1098" s="361" t="str">
        <f ca="1">IFERROR(IF(INDEX(MO_Common_QEndDate,0,COLUMN())&gt;TODAY(),CIQ("$"&amp;HP.TradeCurrency&amp;MO.ReportCurrency,"IQ_LASTSALEPRICE"),CIQAVG("$"&amp;HP.TradeCurrency&amp;MO.ReportCurrency,"IQ_LASTSALEPRICE",INDEX(MO_SNA_FPStartDate,0,COLUMN()),INDEX(MO_Common_QEndDate,0,COLUMN()))),"N/A")</f>
        <v>N/A</v>
      </c>
      <c r="AR1098" s="361" t="str">
        <f ca="1">IFERROR(IF(INDEX(MO_Common_QEndDate,0,COLUMN())&gt;TODAY(),CIQ("$"&amp;HP.TradeCurrency&amp;MO.ReportCurrency,"IQ_LASTSALEPRICE"),CIQAVG("$"&amp;HP.TradeCurrency&amp;MO.ReportCurrency,"IQ_LASTSALEPRICE",INDEX(MO_SNA_FPStartDate,0,COLUMN()),INDEX(MO_Common_QEndDate,0,COLUMN()))),"N/A")</f>
        <v>N/A</v>
      </c>
      <c r="AS1098" s="361" t="str">
        <f ca="1">IFERROR(IF(INDEX(MO_Common_QEndDate,0,COLUMN())&gt;TODAY(),CIQ("$"&amp;HP.TradeCurrency&amp;MO.ReportCurrency,"IQ_LASTSALEPRICE"),CIQAVG("$"&amp;HP.TradeCurrency&amp;MO.ReportCurrency,"IQ_LASTSALEPRICE",INDEX(MO_SNA_FPStartDate,0,COLUMN()),INDEX(MO_Common_QEndDate,0,COLUMN()))),"N/A")</f>
        <v>N/A</v>
      </c>
      <c r="AT1098" s="361" t="str">
        <f ca="1">IFERROR(IF(INDEX(MO_Common_QEndDate,0,COLUMN())&gt;TODAY(),CIQ("$"&amp;HP.TradeCurrency&amp;MO.ReportCurrency,"IQ_LASTSALEPRICE"),CIQAVG("$"&amp;HP.TradeCurrency&amp;MO.ReportCurrency,"IQ_LASTSALEPRICE",INDEX(MO_SNA_FPStartDate,0,COLUMN()),INDEX(MO_Common_QEndDate,0,COLUMN()))),"N/A")</f>
        <v>N/A</v>
      </c>
      <c r="AU1098" s="361" t="str">
        <f ca="1">IFERROR(IF(INDEX(MO_Common_QEndDate,0,COLUMN())&gt;TODAY(),CIQ("$"&amp;HP.TradeCurrency&amp;MO.ReportCurrency,"IQ_LASTSALEPRICE"),CIQAVG("$"&amp;HP.TradeCurrency&amp;MO.ReportCurrency,"IQ_LASTSALEPRICE",INDEX(MO_SNA_FPStartDate,0,COLUMN()),INDEX(MO_Common_QEndDate,0,COLUMN()))),"N/A")</f>
        <v>N/A</v>
      </c>
      <c r="AV1098" s="361" t="str">
        <f ca="1">IFERROR(IF(INDEX(MO_Common_QEndDate,0,COLUMN())&gt;TODAY(),CIQ("$"&amp;HP.TradeCurrency&amp;MO.ReportCurrency,"IQ_LASTSALEPRICE"),CIQAVG("$"&amp;HP.TradeCurrency&amp;MO.ReportCurrency,"IQ_LASTSALEPRICE",INDEX(MO_SNA_FPStartDate,0,COLUMN()),INDEX(MO_Common_QEndDate,0,COLUMN()))),"N/A")</f>
        <v>N/A</v>
      </c>
      <c r="AW1098" s="361" t="str">
        <f ca="1">IFERROR(IF(INDEX(MO_Common_QEndDate,0,COLUMN())&gt;TODAY(),CIQ("$"&amp;HP.TradeCurrency&amp;MO.ReportCurrency,"IQ_LASTSALEPRICE"),CIQAVG("$"&amp;HP.TradeCurrency&amp;MO.ReportCurrency,"IQ_LASTSALEPRICE",INDEX(MO_SNA_FPStartDate,0,COLUMN()),INDEX(MO_Common_QEndDate,0,COLUMN()))),"N/A")</f>
        <v>N/A</v>
      </c>
      <c r="AX1098" s="361" t="str">
        <f ca="1">IFERROR(IF(INDEX(MO_Common_QEndDate,0,COLUMN())&gt;TODAY(),CIQ("$"&amp;HP.TradeCurrency&amp;MO.ReportCurrency,"IQ_LASTSALEPRICE"),CIQAVG("$"&amp;HP.TradeCurrency&amp;MO.ReportCurrency,"IQ_LASTSALEPRICE",INDEX(MO_SNA_FPStartDate,0,COLUMN()),INDEX(MO_Common_QEndDate,0,COLUMN()))),"N/A")</f>
        <v>N/A</v>
      </c>
      <c r="AY1098" s="361" t="str">
        <f ca="1">IFERROR(IF(INDEX(MO_Common_QEndDate,0,COLUMN())&gt;TODAY(),CIQ("$"&amp;HP.TradeCurrency&amp;MO.ReportCurrency,"IQ_LASTSALEPRICE"),CIQAVG("$"&amp;HP.TradeCurrency&amp;MO.ReportCurrency,"IQ_LASTSALEPRICE",INDEX(MO_SNA_FPStartDate,0,COLUMN()),INDEX(MO_Common_QEndDate,0,COLUMN()))),"N/A")</f>
        <v>N/A</v>
      </c>
      <c r="AZ1098" s="361" t="str">
        <f ca="1">IFERROR(IF(INDEX(MO_Common_QEndDate,0,COLUMN())&gt;TODAY(),CIQ("$"&amp;HP.TradeCurrency&amp;MO.ReportCurrency,"IQ_LASTSALEPRICE"),CIQAVG("$"&amp;HP.TradeCurrency&amp;MO.ReportCurrency,"IQ_LASTSALEPRICE",INDEX(MO_SNA_FPStartDate,0,COLUMN()),INDEX(MO_Common_QEndDate,0,COLUMN()))),"N/A")</f>
        <v>N/A</v>
      </c>
      <c r="BA1098" s="361" t="str">
        <f ca="1">IFERROR(IF(INDEX(MO_Common_QEndDate,0,COLUMN())&gt;TODAY(),CIQ("$"&amp;HP.TradeCurrency&amp;MO.ReportCurrency,"IQ_LASTSALEPRICE"),CIQAVG("$"&amp;HP.TradeCurrency&amp;MO.ReportCurrency,"IQ_LASTSALEPRICE",INDEX(MO_SNA_FPStartDate,0,COLUMN()),INDEX(MO_Common_QEndDate,0,COLUMN()))),"N/A")</f>
        <v>N/A</v>
      </c>
      <c r="BB1098" s="361" t="str">
        <f ca="1">IFERROR(IF(INDEX(MO_Common_QEndDate,0,COLUMN())&gt;TODAY(),CIQ("$"&amp;HP.TradeCurrency&amp;MO.ReportCurrency,"IQ_LASTSALEPRICE"),CIQAVG("$"&amp;HP.TradeCurrency&amp;MO.ReportCurrency,"IQ_LASTSALEPRICE",INDEX(MO_SNA_FPStartDate,0,COLUMN()),INDEX(MO_Common_QEndDate,0,COLUMN()))),"N/A")</f>
        <v>N/A</v>
      </c>
      <c r="BC1098" s="361" t="str">
        <f ca="1">IFERROR(IF(INDEX(MO_Common_QEndDate,0,COLUMN())&gt;TODAY(),CIQ("$"&amp;HP.TradeCurrency&amp;MO.ReportCurrency,"IQ_LASTSALEPRICE"),CIQAVG("$"&amp;HP.TradeCurrency&amp;MO.ReportCurrency,"IQ_LASTSALEPRICE",INDEX(MO_SNA_FPStartDate,0,COLUMN()),INDEX(MO_Common_QEndDate,0,COLUMN()))),"N/A")</f>
        <v>N/A</v>
      </c>
      <c r="BD1098" s="361" t="str">
        <f ca="1">IFERROR(IF(INDEX(MO_Common_QEndDate,0,COLUMN())&gt;TODAY(),CIQ("$"&amp;HP.TradeCurrency&amp;MO.ReportCurrency,"IQ_LASTSALEPRICE"),CIQAVG("$"&amp;HP.TradeCurrency&amp;MO.ReportCurrency,"IQ_LASTSALEPRICE",INDEX(MO_SNA_FPStartDate,0,COLUMN()),INDEX(MO_Common_QEndDate,0,COLUMN()))),"N/A")</f>
        <v>N/A</v>
      </c>
      <c r="BE1098" s="361" t="str">
        <f ca="1">IFERROR(IF(INDEX(MO_Common_QEndDate,0,COLUMN())&gt;TODAY(),CIQ("$"&amp;HP.TradeCurrency&amp;MO.ReportCurrency,"IQ_LASTSALEPRICE"),CIQAVG("$"&amp;HP.TradeCurrency&amp;MO.ReportCurrency,"IQ_LASTSALEPRICE",INDEX(MO_SNA_FPStartDate,0,COLUMN()),INDEX(MO_Common_QEndDate,0,COLUMN()))),"N/A")</f>
        <v>N/A</v>
      </c>
      <c r="BF1098" s="361" t="str">
        <f ca="1">IFERROR(IF(INDEX(MO_Common_QEndDate,0,COLUMN())&gt;TODAY(),CIQ("$"&amp;HP.TradeCurrency&amp;MO.ReportCurrency,"IQ_LASTSALEPRICE"),CIQAVG("$"&amp;HP.TradeCurrency&amp;MO.ReportCurrency,"IQ_LASTSALEPRICE",INDEX(MO_SNA_FPStartDate,0,COLUMN()),INDEX(MO_Common_QEndDate,0,COLUMN()))),"N/A")</f>
        <v>N/A</v>
      </c>
      <c r="BG1098" s="361"/>
      <c r="BH1098" s="590" t="str">
        <f ca="1">IFERROR(IF(INDEX(MO_Common_QEndDate,0,COLUMN())&gt;TODAY(),CIQ("$"&amp;HP.TradeCurrency&amp;MO.ReportCurrency,"IQ_LASTSALEPRICE"),CIQAVG("$"&amp;HP.TradeCurrency&amp;MO.ReportCurrency,"IQ_LASTSALEPRICE",INDEX(MO_SNA_FPStartDate,0,COLUMN()),INDEX(MO_Common_QEndDate,0,COLUMN()))),"N/A")</f>
        <v>N/A</v>
      </c>
      <c r="BI1098" s="590" t="str">
        <f ca="1">IFERROR(IF(INDEX(MO_Common_QEndDate,0,COLUMN())&gt;TODAY(),CIQ("$"&amp;HP.TradeCurrency&amp;MO.ReportCurrency,"IQ_LASTSALEPRICE"),CIQAVG("$"&amp;HP.TradeCurrency&amp;MO.ReportCurrency,"IQ_LASTSALEPRICE",INDEX(MO_SNA_FPStartDate,0,COLUMN()),INDEX(MO_Common_QEndDate,0,COLUMN()))),"N/A")</f>
        <v>N/A</v>
      </c>
      <c r="BJ1098" s="590" t="str">
        <f ca="1">IFERROR(IF(INDEX(MO_Common_QEndDate,0,COLUMN())&gt;TODAY(),CIQ("$"&amp;HP.TradeCurrency&amp;MO.ReportCurrency,"IQ_LASTSALEPRICE"),CIQAVG("$"&amp;HP.TradeCurrency&amp;MO.ReportCurrency,"IQ_LASTSALEPRICE",INDEX(MO_SNA_FPStartDate,0,COLUMN()),INDEX(MO_Common_QEndDate,0,COLUMN()))),"N/A")</f>
        <v>N/A</v>
      </c>
      <c r="BK1098" s="590" t="str">
        <f ca="1">IFERROR(IF(INDEX(MO_Common_QEndDate,0,COLUMN())&gt;TODAY(),CIQ("$"&amp;HP.TradeCurrency&amp;MO.ReportCurrency,"IQ_LASTSALEPRICE"),CIQAVG("$"&amp;HP.TradeCurrency&amp;MO.ReportCurrency,"IQ_LASTSALEPRICE",INDEX(MO_SNA_FPStartDate,0,COLUMN()),INDEX(MO_Common_QEndDate,0,COLUMN()))),"N/A")</f>
        <v>N/A</v>
      </c>
      <c r="BL1098" s="361" t="str">
        <f ca="1">IFERROR(IF(INDEX(MO_Common_QEndDate,0,COLUMN())&gt;TODAY(),CIQ("$"&amp;HP.TradeCurrency&amp;MO.ReportCurrency,"IQ_LASTSALEPRICE"),CIQAVG("$"&amp;HP.TradeCurrency&amp;MO.ReportCurrency,"IQ_LASTSALEPRICE",INDEX(MO_SNA_FPStartDate,0,COLUMN()),INDEX(MO_Common_QEndDate,0,COLUMN()))),"N/A")</f>
        <v>N/A</v>
      </c>
      <c r="BM1098" s="361" t="str">
        <f ca="1">IFERROR(IF(INDEX(MO_Common_QEndDate,0,COLUMN())&gt;TODAY(),CIQ("$"&amp;HP.TradeCurrency&amp;MO.ReportCurrency,"IQ_LASTSALEPRICE"),CIQAVG("$"&amp;HP.TradeCurrency&amp;MO.ReportCurrency,"IQ_LASTSALEPRICE",INDEX(MO_SNA_FPStartDate,0,COLUMN()),INDEX(MO_Common_QEndDate,0,COLUMN()))),"N/A")</f>
        <v>N/A</v>
      </c>
      <c r="BN1098" s="361" t="str">
        <f ca="1">IFERROR(IF(INDEX(MO_Common_QEndDate,0,COLUMN())&gt;TODAY(),CIQ("$"&amp;HP.TradeCurrency&amp;MO.ReportCurrency,"IQ_LASTSALEPRICE"),CIQAVG("$"&amp;HP.TradeCurrency&amp;MO.ReportCurrency,"IQ_LASTSALEPRICE",INDEX(MO_SNA_FPStartDate,0,COLUMN()),INDEX(MO_Common_QEndDate,0,COLUMN()))),"N/A")</f>
        <v>N/A</v>
      </c>
      <c r="BO1098" s="361" t="str">
        <f ca="1">IFERROR(IF(INDEX(MO_Common_QEndDate,0,COLUMN())&gt;TODAY(),CIQ("$"&amp;HP.TradeCurrency&amp;MO.ReportCurrency,"IQ_LASTSALEPRICE"),CIQAVG("$"&amp;HP.TradeCurrency&amp;MO.ReportCurrency,"IQ_LASTSALEPRICE",INDEX(MO_SNA_FPStartDate,0,COLUMN()),INDEX(MO_Common_QEndDate,0,COLUMN()))),"N/A")</f>
        <v>N/A</v>
      </c>
      <c r="BP1098" s="361" t="str">
        <f ca="1">IFERROR(IF(INDEX(MO_Common_QEndDate,0,COLUMN())&gt;TODAY(),CIQ("$"&amp;HP.TradeCurrency&amp;MO.ReportCurrency,"IQ_LASTSALEPRICE"),CIQAVG("$"&amp;HP.TradeCurrency&amp;MO.ReportCurrency,"IQ_LASTSALEPRICE",INDEX(MO_SNA_FPStartDate,0,COLUMN()),INDEX(MO_Common_QEndDate,0,COLUMN()))),"N/A")</f>
        <v>N/A</v>
      </c>
      <c r="BQ1098" s="361" t="str">
        <f ca="1">IFERROR(IF(INDEX(MO_Common_QEndDate,0,COLUMN())&gt;TODAY(),CIQ("$"&amp;HP.TradeCurrency&amp;MO.ReportCurrency,"IQ_LASTSALEPRICE"),CIQAVG("$"&amp;HP.TradeCurrency&amp;MO.ReportCurrency,"IQ_LASTSALEPRICE",INDEX(MO_SNA_FPStartDate,0,COLUMN()),INDEX(MO_Common_QEndDate,0,COLUMN()))),"N/A")</f>
        <v>N/A</v>
      </c>
      <c r="BR1098" s="361" t="str">
        <f ca="1">IFERROR(IF(INDEX(MO_Common_QEndDate,0,COLUMN())&gt;TODAY(),CIQ("$"&amp;HP.TradeCurrency&amp;MO.ReportCurrency,"IQ_LASTSALEPRICE"),CIQAVG("$"&amp;HP.TradeCurrency&amp;MO.ReportCurrency,"IQ_LASTSALEPRICE",INDEX(MO_SNA_FPStartDate,0,COLUMN()),INDEX(MO_Common_QEndDate,0,COLUMN()))),"N/A")</f>
        <v>N/A</v>
      </c>
      <c r="BS1098" s="361" t="str">
        <f ca="1">IFERROR(IF(INDEX(MO_Common_QEndDate,0,COLUMN())&gt;TODAY(),CIQ("$"&amp;HP.TradeCurrency&amp;MO.ReportCurrency,"IQ_LASTSALEPRICE"),CIQAVG("$"&amp;HP.TradeCurrency&amp;MO.ReportCurrency,"IQ_LASTSALEPRICE",INDEX(MO_SNA_FPStartDate,0,COLUMN()),INDEX(MO_Common_QEndDate,0,COLUMN()))),"N/A")</f>
        <v>N/A</v>
      </c>
      <c r="BT1098" s="361" t="str">
        <f ca="1">IFERROR(IF(INDEX(MO_Common_QEndDate,0,COLUMN())&gt;TODAY(),CIQ("$"&amp;HP.TradeCurrency&amp;MO.ReportCurrency,"IQ_LASTSALEPRICE"),CIQAVG("$"&amp;HP.TradeCurrency&amp;MO.ReportCurrency,"IQ_LASTSALEPRICE",INDEX(MO_SNA_FPStartDate,0,COLUMN()),INDEX(MO_Common_QEndDate,0,COLUMN()))),"N/A")</f>
        <v>N/A</v>
      </c>
      <c r="BU1098" s="361" t="str">
        <f ca="1">IFERROR(IF(INDEX(MO_Common_QEndDate,0,COLUMN())&gt;TODAY(),CIQ("$"&amp;HP.TradeCurrency&amp;MO.ReportCurrency,"IQ_LASTSALEPRICE"),CIQAVG("$"&amp;HP.TradeCurrency&amp;MO.ReportCurrency,"IQ_LASTSALEPRICE",INDEX(MO_SNA_FPStartDate,0,COLUMN()),INDEX(MO_Common_QEndDate,0,COLUMN()))),"N/A")</f>
        <v>N/A</v>
      </c>
      <c r="BV1098" s="361" t="str">
        <f ca="1">IFERROR(IF(INDEX(MO_Common_QEndDate,0,COLUMN())&gt;TODAY(),CIQ("$"&amp;HP.TradeCurrency&amp;MO.ReportCurrency,"IQ_LASTSALEPRICE"),CIQAVG("$"&amp;HP.TradeCurrency&amp;MO.ReportCurrency,"IQ_LASTSALEPRICE",INDEX(MO_SNA_FPStartDate,0,COLUMN()),INDEX(MO_Common_QEndDate,0,COLUMN()))),"N/A")</f>
        <v>N/A</v>
      </c>
      <c r="BW1098" s="361" t="str">
        <f ca="1">IFERROR(IF(INDEX(MO_Common_QEndDate,0,COLUMN())&gt;TODAY(),CIQ("$"&amp;HP.TradeCurrency&amp;MO.ReportCurrency,"IQ_LASTSALEPRICE"),CIQAVG("$"&amp;HP.TradeCurrency&amp;MO.ReportCurrency,"IQ_LASTSALEPRICE",INDEX(MO_SNA_FPStartDate,0,COLUMN()),INDEX(MO_Common_QEndDate,0,COLUMN()))),"N/A")</f>
        <v>N/A</v>
      </c>
      <c r="BX1098" s="361" t="str">
        <f ca="1">IFERROR(IF(INDEX(MO_Common_QEndDate,0,COLUMN())&gt;TODAY(),CIQ("$"&amp;HP.TradeCurrency&amp;MO.ReportCurrency,"IQ_LASTSALEPRICE"),CIQAVG("$"&amp;HP.TradeCurrency&amp;MO.ReportCurrency,"IQ_LASTSALEPRICE",INDEX(MO_SNA_FPStartDate,0,COLUMN()),INDEX(MO_Common_QEndDate,0,COLUMN()))),"N/A")</f>
        <v>N/A</v>
      </c>
      <c r="BY1098" s="361" t="str">
        <f ca="1">IFERROR(IF(INDEX(MO_Common_QEndDate,0,COLUMN())&gt;TODAY(),CIQ("$"&amp;HP.TradeCurrency&amp;MO.ReportCurrency,"IQ_LASTSALEPRICE"),CIQAVG("$"&amp;HP.TradeCurrency&amp;MO.ReportCurrency,"IQ_LASTSALEPRICE",INDEX(MO_SNA_FPStartDate,0,COLUMN()),INDEX(MO_Common_QEndDate,0,COLUMN()))),"N/A")</f>
        <v>N/A</v>
      </c>
      <c r="BZ1098" s="361" t="str">
        <f ca="1">IFERROR(IF(INDEX(MO_Common_QEndDate,0,COLUMN())&gt;TODAY(),CIQ("$"&amp;HP.TradeCurrency&amp;MO.ReportCurrency,"IQ_LASTSALEPRICE"),CIQAVG("$"&amp;HP.TradeCurrency&amp;MO.ReportCurrency,"IQ_LASTSALEPRICE",INDEX(MO_SNA_FPStartDate,0,COLUMN()),INDEX(MO_Common_QEndDate,0,COLUMN()))),"N/A")</f>
        <v>N/A</v>
      </c>
      <c r="CA1098" s="361" t="str">
        <f ca="1">IFERROR(IF(INDEX(MO_Common_QEndDate,0,COLUMN())&gt;TODAY(),CIQ("$"&amp;HP.TradeCurrency&amp;MO.ReportCurrency,"IQ_LASTSALEPRICE"),CIQAVG("$"&amp;HP.TradeCurrency&amp;MO.ReportCurrency,"IQ_LASTSALEPRICE",INDEX(MO_SNA_FPStartDate,0,COLUMN()),INDEX(MO_Common_QEndDate,0,COLUMN()))),"N/A")</f>
        <v>N/A</v>
      </c>
      <c r="CB1098" s="361" t="str">
        <f ca="1">IFERROR(IF(INDEX(MO_Common_QEndDate,0,COLUMN())&gt;TODAY(),CIQ("$"&amp;HP.TradeCurrency&amp;MO.ReportCurrency,"IQ_LASTSALEPRICE"),CIQAVG("$"&amp;HP.TradeCurrency&amp;MO.ReportCurrency,"IQ_LASTSALEPRICE",INDEX(MO_SNA_FPStartDate,0,COLUMN()),INDEX(MO_Common_QEndDate,0,COLUMN()))),"N/A")</f>
        <v>N/A</v>
      </c>
      <c r="CC1098" s="181"/>
    </row>
    <row r="1099" spans="1:81" outlineLevel="1" x14ac:dyDescent="0.55000000000000004">
      <c r="A1099" s="1159" t="s">
        <v>245</v>
      </c>
      <c r="B1099" s="361"/>
      <c r="C1099" s="590" t="str">
        <f ca="1">IFERROR(IF(INDEX(MO_Common_QEndDate,0,COLUMN())&gt;TODAY(),FDS(MO.ReportCurrency&amp;HP.TradeCurrency,"FG_PRICE(NOW)"),FDS(MO.ReportCurrency&amp;HP.TradeCurrency,"P_PRICE_AVG("&amp;INDEX(MO_SNA_FPStartDate,0,COLUMN())&amp;","&amp;INDEX(MO_Common_QEndDate,0,COLUMN())&amp;",,,,0)")),"N/A")</f>
        <v>N/A</v>
      </c>
      <c r="D1099" s="361" t="str">
        <f ca="1">IFERROR(IF(INDEX(MO_Common_QEndDate,0,COLUMN())&gt;TODAY(),FDS(MO.ReportCurrency&amp;HP.TradeCurrency,"FG_PRICE(NOW)"),FDS(MO.ReportCurrency&amp;HP.TradeCurrency,"P_PRICE_AVG("&amp;INDEX(MO_SNA_FPStartDate,0,COLUMN())&amp;","&amp;INDEX(MO_Common_QEndDate,0,COLUMN())&amp;",,,,0)")),"N/A")</f>
        <v>N/A</v>
      </c>
      <c r="E1099" s="361" t="str">
        <f ca="1">IFERROR(IF(INDEX(MO_Common_QEndDate,0,COLUMN())&gt;TODAY(),FDS(MO.ReportCurrency&amp;HP.TradeCurrency,"FG_PRICE(NOW)"),FDS(MO.ReportCurrency&amp;HP.TradeCurrency,"P_PRICE_AVG("&amp;INDEX(MO_SNA_FPStartDate,0,COLUMN())&amp;","&amp;INDEX(MO_Common_QEndDate,0,COLUMN())&amp;",,,,0)")),"N/A")</f>
        <v>N/A</v>
      </c>
      <c r="F1099" s="361" t="str">
        <f ca="1">IFERROR(IF(INDEX(MO_Common_QEndDate,0,COLUMN())&gt;TODAY(),FDS(MO.ReportCurrency&amp;HP.TradeCurrency,"FG_PRICE(NOW)"),FDS(MO.ReportCurrency&amp;HP.TradeCurrency,"P_PRICE_AVG("&amp;INDEX(MO_SNA_FPStartDate,0,COLUMN())&amp;","&amp;INDEX(MO_Common_QEndDate,0,COLUMN())&amp;",,,,0)")),"N/A")</f>
        <v>N/A</v>
      </c>
      <c r="G1099" s="361" t="str">
        <f ca="1">IFERROR(IF(INDEX(MO_Common_QEndDate,0,COLUMN())&gt;TODAY(),FDS(MO.ReportCurrency&amp;HP.TradeCurrency,"FG_PRICE(NOW)"),FDS(MO.ReportCurrency&amp;HP.TradeCurrency,"P_PRICE_AVG("&amp;INDEX(MO_SNA_FPStartDate,0,COLUMN())&amp;","&amp;INDEX(MO_Common_QEndDate,0,COLUMN())&amp;",,,,0)")),"N/A")</f>
        <v>N/A</v>
      </c>
      <c r="H1099" s="361" t="str">
        <f ca="1">IFERROR(IF(INDEX(MO_Common_QEndDate,0,COLUMN())&gt;TODAY(),FDS(MO.ReportCurrency&amp;HP.TradeCurrency,"FG_PRICE(NOW)"),FDS(MO.ReportCurrency&amp;HP.TradeCurrency,"P_PRICE_AVG("&amp;INDEX(MO_SNA_FPStartDate,0,COLUMN())&amp;","&amp;INDEX(MO_Common_QEndDate,0,COLUMN())&amp;",,,,0)")),"N/A")</f>
        <v>N/A</v>
      </c>
      <c r="I1099" s="361" t="str">
        <f ca="1">IFERROR(IF(INDEX(MO_Common_QEndDate,0,COLUMN())&gt;TODAY(),FDS(MO.ReportCurrency&amp;HP.TradeCurrency,"FG_PRICE(NOW)"),FDS(MO.ReportCurrency&amp;HP.TradeCurrency,"P_PRICE_AVG("&amp;INDEX(MO_SNA_FPStartDate,0,COLUMN())&amp;","&amp;INDEX(MO_Common_QEndDate,0,COLUMN())&amp;",,,,0)")),"N/A")</f>
        <v>N/A</v>
      </c>
      <c r="J1099" s="361" t="str">
        <f ca="1">IFERROR(IF(INDEX(MO_Common_QEndDate,0,COLUMN())&gt;TODAY(),FDS(MO.ReportCurrency&amp;HP.TradeCurrency,"FG_PRICE(NOW)"),FDS(MO.ReportCurrency&amp;HP.TradeCurrency,"P_PRICE_AVG("&amp;INDEX(MO_SNA_FPStartDate,0,COLUMN())&amp;","&amp;INDEX(MO_Common_QEndDate,0,COLUMN())&amp;",,,,0)")),"N/A")</f>
        <v>N/A</v>
      </c>
      <c r="K1099" s="361" t="str">
        <f ca="1">IFERROR(IF(INDEX(MO_Common_QEndDate,0,COLUMN())&gt;TODAY(),FDS(MO.ReportCurrency&amp;HP.TradeCurrency,"FG_PRICE(NOW)"),FDS(MO.ReportCurrency&amp;HP.TradeCurrency,"P_PRICE_AVG("&amp;INDEX(MO_SNA_FPStartDate,0,COLUMN())&amp;","&amp;INDEX(MO_Common_QEndDate,0,COLUMN())&amp;",,,,0)")),"N/A")</f>
        <v>N/A</v>
      </c>
      <c r="L1099" s="361" t="str">
        <f ca="1">IFERROR(IF(INDEX(MO_Common_QEndDate,0,COLUMN())&gt;TODAY(),FDS(MO.ReportCurrency&amp;HP.TradeCurrency,"FG_PRICE(NOW)"),FDS(MO.ReportCurrency&amp;HP.TradeCurrency,"P_PRICE_AVG("&amp;INDEX(MO_SNA_FPStartDate,0,COLUMN())&amp;","&amp;INDEX(MO_Common_QEndDate,0,COLUMN())&amp;",,,,0)")),"N/A")</f>
        <v>N/A</v>
      </c>
      <c r="M1099" s="361" t="str">
        <f ca="1">IFERROR(IF(INDEX(MO_Common_QEndDate,0,COLUMN())&gt;TODAY(),FDS(MO.ReportCurrency&amp;HP.TradeCurrency,"FG_PRICE(NOW)"),FDS(MO.ReportCurrency&amp;HP.TradeCurrency,"P_PRICE_AVG("&amp;INDEX(MO_SNA_FPStartDate,0,COLUMN())&amp;","&amp;INDEX(MO_Common_QEndDate,0,COLUMN())&amp;",,,,0)")),"N/A")</f>
        <v>N/A</v>
      </c>
      <c r="N1099" s="361" t="str">
        <f ca="1">IFERROR(IF(INDEX(MO_Common_QEndDate,0,COLUMN())&gt;TODAY(),FDS(MO.ReportCurrency&amp;HP.TradeCurrency,"FG_PRICE(NOW)"),FDS(MO.ReportCurrency&amp;HP.TradeCurrency,"P_PRICE_AVG("&amp;INDEX(MO_SNA_FPStartDate,0,COLUMN())&amp;","&amp;INDEX(MO_Common_QEndDate,0,COLUMN())&amp;",,,,0)")),"N/A")</f>
        <v>N/A</v>
      </c>
      <c r="O1099" s="361" t="str">
        <f ca="1">IFERROR(IF(INDEX(MO_Common_QEndDate,0,COLUMN())&gt;TODAY(),FDS(MO.ReportCurrency&amp;HP.TradeCurrency,"FG_PRICE(NOW)"),FDS(MO.ReportCurrency&amp;HP.TradeCurrency,"P_PRICE_AVG("&amp;INDEX(MO_SNA_FPStartDate,0,COLUMN())&amp;","&amp;INDEX(MO_Common_QEndDate,0,COLUMN())&amp;",,,,0)")),"N/A")</f>
        <v>N/A</v>
      </c>
      <c r="P1099" s="361" t="str">
        <f ca="1">IFERROR(IF(INDEX(MO_Common_QEndDate,0,COLUMN())&gt;TODAY(),FDS(MO.ReportCurrency&amp;HP.TradeCurrency,"FG_PRICE(NOW)"),FDS(MO.ReportCurrency&amp;HP.TradeCurrency,"P_PRICE_AVG("&amp;INDEX(MO_SNA_FPStartDate,0,COLUMN())&amp;","&amp;INDEX(MO_Common_QEndDate,0,COLUMN())&amp;",,,,0)")),"N/A")</f>
        <v>N/A</v>
      </c>
      <c r="Q1099" s="361" t="str">
        <f ca="1">IFERROR(IF(INDEX(MO_Common_QEndDate,0,COLUMN())&gt;TODAY(),FDS(MO.ReportCurrency&amp;HP.TradeCurrency,"FG_PRICE(NOW)"),FDS(MO.ReportCurrency&amp;HP.TradeCurrency,"P_PRICE_AVG("&amp;INDEX(MO_SNA_FPStartDate,0,COLUMN())&amp;","&amp;INDEX(MO_Common_QEndDate,0,COLUMN())&amp;",,,,0)")),"N/A")</f>
        <v>N/A</v>
      </c>
      <c r="R1099" s="361" t="str">
        <f ca="1">IFERROR(IF(INDEX(MO_Common_QEndDate,0,COLUMN())&gt;TODAY(),FDS(MO.ReportCurrency&amp;HP.TradeCurrency,"FG_PRICE(NOW)"),FDS(MO.ReportCurrency&amp;HP.TradeCurrency,"P_PRICE_AVG("&amp;INDEX(MO_SNA_FPStartDate,0,COLUMN())&amp;","&amp;INDEX(MO_Common_QEndDate,0,COLUMN())&amp;",,,,0)")),"N/A")</f>
        <v>N/A</v>
      </c>
      <c r="S1099" s="361" t="str">
        <f ca="1">IFERROR(IF(INDEX(MO_Common_QEndDate,0,COLUMN())&gt;TODAY(),FDS(MO.ReportCurrency&amp;HP.TradeCurrency,"FG_PRICE(NOW)"),FDS(MO.ReportCurrency&amp;HP.TradeCurrency,"P_PRICE_AVG("&amp;INDEX(MO_SNA_FPStartDate,0,COLUMN())&amp;","&amp;INDEX(MO_Common_QEndDate,0,COLUMN())&amp;",,,,0)")),"N/A")</f>
        <v>N/A</v>
      </c>
      <c r="T1099" s="361" t="str">
        <f ca="1">IFERROR(IF(INDEX(MO_Common_QEndDate,0,COLUMN())&gt;TODAY(),FDS(MO.ReportCurrency&amp;HP.TradeCurrency,"FG_PRICE(NOW)"),FDS(MO.ReportCurrency&amp;HP.TradeCurrency,"P_PRICE_AVG("&amp;INDEX(MO_SNA_FPStartDate,0,COLUMN())&amp;","&amp;INDEX(MO_Common_QEndDate,0,COLUMN())&amp;",,,,0)")),"N/A")</f>
        <v>N/A</v>
      </c>
      <c r="U1099" s="361" t="str">
        <f ca="1">IFERROR(IF(INDEX(MO_Common_QEndDate,0,COLUMN())&gt;TODAY(),FDS(MO.ReportCurrency&amp;HP.TradeCurrency,"FG_PRICE(NOW)"),FDS(MO.ReportCurrency&amp;HP.TradeCurrency,"P_PRICE_AVG("&amp;INDEX(MO_SNA_FPStartDate,0,COLUMN())&amp;","&amp;INDEX(MO_Common_QEndDate,0,COLUMN())&amp;",,,,0)")),"N/A")</f>
        <v>N/A</v>
      </c>
      <c r="V1099" s="361" t="str">
        <f ca="1">IFERROR(IF(INDEX(MO_Common_QEndDate,0,COLUMN())&gt;TODAY(),FDS(MO.ReportCurrency&amp;HP.TradeCurrency,"FG_PRICE(NOW)"),FDS(MO.ReportCurrency&amp;HP.TradeCurrency,"P_PRICE_AVG("&amp;INDEX(MO_SNA_FPStartDate,0,COLUMN())&amp;","&amp;INDEX(MO_Common_QEndDate,0,COLUMN())&amp;",,,,0)")),"N/A")</f>
        <v>N/A</v>
      </c>
      <c r="W1099" s="361" t="str">
        <f ca="1">IFERROR(IF(INDEX(MO_Common_QEndDate,0,COLUMN())&gt;TODAY(),FDS(MO.ReportCurrency&amp;HP.TradeCurrency,"FG_PRICE(NOW)"),FDS(MO.ReportCurrency&amp;HP.TradeCurrency,"P_PRICE_AVG("&amp;INDEX(MO_SNA_FPStartDate,0,COLUMN())&amp;","&amp;INDEX(MO_Common_QEndDate,0,COLUMN())&amp;",,,,0)")),"N/A")</f>
        <v>N/A</v>
      </c>
      <c r="X1099" s="361" t="str">
        <f ca="1">IFERROR(IF(INDEX(MO_Common_QEndDate,0,COLUMN())&gt;TODAY(),FDS(MO.ReportCurrency&amp;HP.TradeCurrency,"FG_PRICE(NOW)"),FDS(MO.ReportCurrency&amp;HP.TradeCurrency,"P_PRICE_AVG("&amp;INDEX(MO_SNA_FPStartDate,0,COLUMN())&amp;","&amp;INDEX(MO_Common_QEndDate,0,COLUMN())&amp;",,,,0)")),"N/A")</f>
        <v>N/A</v>
      </c>
      <c r="Y1099" s="361" t="str">
        <f ca="1">IFERROR(IF(INDEX(MO_Common_QEndDate,0,COLUMN())&gt;TODAY(),FDS(MO.ReportCurrency&amp;HP.TradeCurrency,"FG_PRICE(NOW)"),FDS(MO.ReportCurrency&amp;HP.TradeCurrency,"P_PRICE_AVG("&amp;INDEX(MO_SNA_FPStartDate,0,COLUMN())&amp;","&amp;INDEX(MO_Common_QEndDate,0,COLUMN())&amp;",,,,0)")),"N/A")</f>
        <v>N/A</v>
      </c>
      <c r="Z1099" s="361" t="str">
        <f ca="1">IFERROR(IF(INDEX(MO_Common_QEndDate,0,COLUMN())&gt;TODAY(),FDS(MO.ReportCurrency&amp;HP.TradeCurrency,"FG_PRICE(NOW)"),FDS(MO.ReportCurrency&amp;HP.TradeCurrency,"P_PRICE_AVG("&amp;INDEX(MO_SNA_FPStartDate,0,COLUMN())&amp;","&amp;INDEX(MO_Common_QEndDate,0,COLUMN())&amp;",,,,0)")),"N/A")</f>
        <v>N/A</v>
      </c>
      <c r="AA1099" s="361" t="str">
        <f ca="1">IFERROR(IF(INDEX(MO_Common_QEndDate,0,COLUMN())&gt;TODAY(),FDS(MO.ReportCurrency&amp;HP.TradeCurrency,"FG_PRICE(NOW)"),FDS(MO.ReportCurrency&amp;HP.TradeCurrency,"P_PRICE_AVG("&amp;INDEX(MO_SNA_FPStartDate,0,COLUMN())&amp;","&amp;INDEX(MO_Common_QEndDate,0,COLUMN())&amp;",,,,0)")),"N/A")</f>
        <v>N/A</v>
      </c>
      <c r="AB1099" s="361" t="str">
        <f ca="1">IFERROR(IF(INDEX(MO_Common_QEndDate,0,COLUMN())&gt;TODAY(),FDS(MO.ReportCurrency&amp;HP.TradeCurrency,"FG_PRICE(NOW)"),FDS(MO.ReportCurrency&amp;HP.TradeCurrency,"P_PRICE_AVG("&amp;INDEX(MO_SNA_FPStartDate,0,COLUMN())&amp;","&amp;INDEX(MO_Common_QEndDate,0,COLUMN())&amp;",,,,0)")),"N/A")</f>
        <v>N/A</v>
      </c>
      <c r="AC1099" s="361" t="str">
        <f ca="1">IFERROR(IF(INDEX(MO_Common_QEndDate,0,COLUMN())&gt;TODAY(),FDS(MO.ReportCurrency&amp;HP.TradeCurrency,"FG_PRICE(NOW)"),FDS(MO.ReportCurrency&amp;HP.TradeCurrency,"P_PRICE_AVG("&amp;INDEX(MO_SNA_FPStartDate,0,COLUMN())&amp;","&amp;INDEX(MO_Common_QEndDate,0,COLUMN())&amp;",,,,0)")),"N/A")</f>
        <v>N/A</v>
      </c>
      <c r="AD1099" s="361" t="str">
        <f ca="1">IFERROR(IF(INDEX(MO_Common_QEndDate,0,COLUMN())&gt;TODAY(),FDS(MO.ReportCurrency&amp;HP.TradeCurrency,"FG_PRICE(NOW)"),FDS(MO.ReportCurrency&amp;HP.TradeCurrency,"P_PRICE_AVG("&amp;INDEX(MO_SNA_FPStartDate,0,COLUMN())&amp;","&amp;INDEX(MO_Common_QEndDate,0,COLUMN())&amp;",,,,0)")),"N/A")</f>
        <v>N/A</v>
      </c>
      <c r="AE1099" s="361" t="str">
        <f ca="1">IFERROR(IF(INDEX(MO_Common_QEndDate,0,COLUMN())&gt;TODAY(),FDS(MO.ReportCurrency&amp;HP.TradeCurrency,"FG_PRICE(NOW)"),FDS(MO.ReportCurrency&amp;HP.TradeCurrency,"P_PRICE_AVG("&amp;INDEX(MO_SNA_FPStartDate,0,COLUMN())&amp;","&amp;INDEX(MO_Common_QEndDate,0,COLUMN())&amp;",,,,0)")),"N/A")</f>
        <v>N/A</v>
      </c>
      <c r="AF1099" s="361" t="str">
        <f ca="1">IFERROR(IF(INDEX(MO_Common_QEndDate,0,COLUMN())&gt;TODAY(),FDS(MO.ReportCurrency&amp;HP.TradeCurrency,"FG_PRICE(NOW)"),FDS(MO.ReportCurrency&amp;HP.TradeCurrency,"P_PRICE_AVG("&amp;INDEX(MO_SNA_FPStartDate,0,COLUMN())&amp;","&amp;INDEX(MO_Common_QEndDate,0,COLUMN())&amp;",,,,0)")),"N/A")</f>
        <v>N/A</v>
      </c>
      <c r="AG1099" s="361" t="str">
        <f ca="1">IFERROR(IF(INDEX(MO_Common_QEndDate,0,COLUMN())&gt;TODAY(),FDS(MO.ReportCurrency&amp;HP.TradeCurrency,"FG_PRICE(NOW)"),FDS(MO.ReportCurrency&amp;HP.TradeCurrency,"P_PRICE_AVG("&amp;INDEX(MO_SNA_FPStartDate,0,COLUMN())&amp;","&amp;INDEX(MO_Common_QEndDate,0,COLUMN())&amp;",,,,0)")),"N/A")</f>
        <v>N/A</v>
      </c>
      <c r="AH1099" s="361" t="str">
        <f ca="1">IFERROR(IF(INDEX(MO_Common_QEndDate,0,COLUMN())&gt;TODAY(),FDS(MO.ReportCurrency&amp;HP.TradeCurrency,"FG_PRICE(NOW)"),FDS(MO.ReportCurrency&amp;HP.TradeCurrency,"P_PRICE_AVG("&amp;INDEX(MO_SNA_FPStartDate,0,COLUMN())&amp;","&amp;INDEX(MO_Common_QEndDate,0,COLUMN())&amp;",,,,0)")),"N/A")</f>
        <v>N/A</v>
      </c>
      <c r="AI1099" s="361" t="str">
        <f ca="1">IFERROR(IF(INDEX(MO_Common_QEndDate,0,COLUMN())&gt;TODAY(),FDS(MO.ReportCurrency&amp;HP.TradeCurrency,"FG_PRICE(NOW)"),FDS(MO.ReportCurrency&amp;HP.TradeCurrency,"P_PRICE_AVG("&amp;INDEX(MO_SNA_FPStartDate,0,COLUMN())&amp;","&amp;INDEX(MO_Common_QEndDate,0,COLUMN())&amp;",,,,0)")),"N/A")</f>
        <v>N/A</v>
      </c>
      <c r="AJ1099" s="361" t="str">
        <f ca="1">IFERROR(IF(INDEX(MO_Common_QEndDate,0,COLUMN())&gt;TODAY(),FDS(MO.ReportCurrency&amp;HP.TradeCurrency,"FG_PRICE(NOW)"),FDS(MO.ReportCurrency&amp;HP.TradeCurrency,"P_PRICE_AVG("&amp;INDEX(MO_SNA_FPStartDate,0,COLUMN())&amp;","&amp;INDEX(MO_Common_QEndDate,0,COLUMN())&amp;",,,,0)")),"N/A")</f>
        <v>N/A</v>
      </c>
      <c r="AK1099" s="361" t="str">
        <f ca="1">IFERROR(IF(INDEX(MO_Common_QEndDate,0,COLUMN())&gt;TODAY(),FDS(MO.ReportCurrency&amp;HP.TradeCurrency,"FG_PRICE(NOW)"),FDS(MO.ReportCurrency&amp;HP.TradeCurrency,"P_PRICE_AVG("&amp;INDEX(MO_SNA_FPStartDate,0,COLUMN())&amp;","&amp;INDEX(MO_Common_QEndDate,0,COLUMN())&amp;",,,,0)")),"N/A")</f>
        <v>N/A</v>
      </c>
      <c r="AL1099" s="361" t="str">
        <f ca="1">IFERROR(IF(INDEX(MO_Common_QEndDate,0,COLUMN())&gt;TODAY(),FDS(MO.ReportCurrency&amp;HP.TradeCurrency,"FG_PRICE(NOW)"),FDS(MO.ReportCurrency&amp;HP.TradeCurrency,"P_PRICE_AVG("&amp;INDEX(MO_SNA_FPStartDate,0,COLUMN())&amp;","&amp;INDEX(MO_Common_QEndDate,0,COLUMN())&amp;",,,,0)")),"N/A")</f>
        <v>N/A</v>
      </c>
      <c r="AM1099" s="361" t="str">
        <f ca="1">IFERROR(IF(INDEX(MO_Common_QEndDate,0,COLUMN())&gt;TODAY(),FDS(MO.ReportCurrency&amp;HP.TradeCurrency,"FG_PRICE(NOW)"),FDS(MO.ReportCurrency&amp;HP.TradeCurrency,"P_PRICE_AVG("&amp;INDEX(MO_SNA_FPStartDate,0,COLUMN())&amp;","&amp;INDEX(MO_Common_QEndDate,0,COLUMN())&amp;",,,,0)")),"N/A")</f>
        <v>N/A</v>
      </c>
      <c r="AN1099" s="361" t="str">
        <f ca="1">IFERROR(IF(INDEX(MO_Common_QEndDate,0,COLUMN())&gt;TODAY(),FDS(MO.ReportCurrency&amp;HP.TradeCurrency,"FG_PRICE(NOW)"),FDS(MO.ReportCurrency&amp;HP.TradeCurrency,"P_PRICE_AVG("&amp;INDEX(MO_SNA_FPStartDate,0,COLUMN())&amp;","&amp;INDEX(MO_Common_QEndDate,0,COLUMN())&amp;",,,,0)")),"N/A")</f>
        <v>N/A</v>
      </c>
      <c r="AO1099" s="361" t="str">
        <f ca="1">IFERROR(IF(INDEX(MO_Common_QEndDate,0,COLUMN())&gt;TODAY(),FDS(MO.ReportCurrency&amp;HP.TradeCurrency,"FG_PRICE(NOW)"),FDS(MO.ReportCurrency&amp;HP.TradeCurrency,"P_PRICE_AVG("&amp;INDEX(MO_SNA_FPStartDate,0,COLUMN())&amp;","&amp;INDEX(MO_Common_QEndDate,0,COLUMN())&amp;",,,,0)")),"N/A")</f>
        <v>N/A</v>
      </c>
      <c r="AP1099" s="361" t="str">
        <f ca="1">IFERROR(IF(INDEX(MO_Common_QEndDate,0,COLUMN())&gt;TODAY(),FDS(MO.ReportCurrency&amp;HP.TradeCurrency,"FG_PRICE(NOW)"),FDS(MO.ReportCurrency&amp;HP.TradeCurrency,"P_PRICE_AVG("&amp;INDEX(MO_SNA_FPStartDate,0,COLUMN())&amp;","&amp;INDEX(MO_Common_QEndDate,0,COLUMN())&amp;",,,,0)")),"N/A")</f>
        <v>N/A</v>
      </c>
      <c r="AQ1099" s="361" t="str">
        <f ca="1">IFERROR(IF(INDEX(MO_Common_QEndDate,0,COLUMN())&gt;TODAY(),FDS(MO.ReportCurrency&amp;HP.TradeCurrency,"FG_PRICE(NOW)"),FDS(MO.ReportCurrency&amp;HP.TradeCurrency,"P_PRICE_AVG("&amp;INDEX(MO_SNA_FPStartDate,0,COLUMN())&amp;","&amp;INDEX(MO_Common_QEndDate,0,COLUMN())&amp;",,,,0)")),"N/A")</f>
        <v>N/A</v>
      </c>
      <c r="AR1099" s="361" t="str">
        <f ca="1">IFERROR(IF(INDEX(MO_Common_QEndDate,0,COLUMN())&gt;TODAY(),FDS(MO.ReportCurrency&amp;HP.TradeCurrency,"FG_PRICE(NOW)"),FDS(MO.ReportCurrency&amp;HP.TradeCurrency,"P_PRICE_AVG("&amp;INDEX(MO_SNA_FPStartDate,0,COLUMN())&amp;","&amp;INDEX(MO_Common_QEndDate,0,COLUMN())&amp;",,,,0)")),"N/A")</f>
        <v>N/A</v>
      </c>
      <c r="AS1099" s="361" t="str">
        <f ca="1">IFERROR(IF(INDEX(MO_Common_QEndDate,0,COLUMN())&gt;TODAY(),FDS(MO.ReportCurrency&amp;HP.TradeCurrency,"FG_PRICE(NOW)"),FDS(MO.ReportCurrency&amp;HP.TradeCurrency,"P_PRICE_AVG("&amp;INDEX(MO_SNA_FPStartDate,0,COLUMN())&amp;","&amp;INDEX(MO_Common_QEndDate,0,COLUMN())&amp;",,,,0)")),"N/A")</f>
        <v>N/A</v>
      </c>
      <c r="AT1099" s="361" t="str">
        <f ca="1">IFERROR(IF(INDEX(MO_Common_QEndDate,0,COLUMN())&gt;TODAY(),FDS(MO.ReportCurrency&amp;HP.TradeCurrency,"FG_PRICE(NOW)"),FDS(MO.ReportCurrency&amp;HP.TradeCurrency,"P_PRICE_AVG("&amp;INDEX(MO_SNA_FPStartDate,0,COLUMN())&amp;","&amp;INDEX(MO_Common_QEndDate,0,COLUMN())&amp;",,,,0)")),"N/A")</f>
        <v>N/A</v>
      </c>
      <c r="AU1099" s="361" t="str">
        <f ca="1">IFERROR(IF(INDEX(MO_Common_QEndDate,0,COLUMN())&gt;TODAY(),FDS(MO.ReportCurrency&amp;HP.TradeCurrency,"FG_PRICE(NOW)"),FDS(MO.ReportCurrency&amp;HP.TradeCurrency,"P_PRICE_AVG("&amp;INDEX(MO_SNA_FPStartDate,0,COLUMN())&amp;","&amp;INDEX(MO_Common_QEndDate,0,COLUMN())&amp;",,,,0)")),"N/A")</f>
        <v>N/A</v>
      </c>
      <c r="AV1099" s="361" t="str">
        <f ca="1">IFERROR(IF(INDEX(MO_Common_QEndDate,0,COLUMN())&gt;TODAY(),FDS(MO.ReportCurrency&amp;HP.TradeCurrency,"FG_PRICE(NOW)"),FDS(MO.ReportCurrency&amp;HP.TradeCurrency,"P_PRICE_AVG("&amp;INDEX(MO_SNA_FPStartDate,0,COLUMN())&amp;","&amp;INDEX(MO_Common_QEndDate,0,COLUMN())&amp;",,,,0)")),"N/A")</f>
        <v>N/A</v>
      </c>
      <c r="AW1099" s="361" t="str">
        <f ca="1">IFERROR(IF(INDEX(MO_Common_QEndDate,0,COLUMN())&gt;TODAY(),FDS(MO.ReportCurrency&amp;HP.TradeCurrency,"FG_PRICE(NOW)"),FDS(MO.ReportCurrency&amp;HP.TradeCurrency,"P_PRICE_AVG("&amp;INDEX(MO_SNA_FPStartDate,0,COLUMN())&amp;","&amp;INDEX(MO_Common_QEndDate,0,COLUMN())&amp;",,,,0)")),"N/A")</f>
        <v>N/A</v>
      </c>
      <c r="AX1099" s="361" t="str">
        <f ca="1">IFERROR(IF(INDEX(MO_Common_QEndDate,0,COLUMN())&gt;TODAY(),FDS(MO.ReportCurrency&amp;HP.TradeCurrency,"FG_PRICE(NOW)"),FDS(MO.ReportCurrency&amp;HP.TradeCurrency,"P_PRICE_AVG("&amp;INDEX(MO_SNA_FPStartDate,0,COLUMN())&amp;","&amp;INDEX(MO_Common_QEndDate,0,COLUMN())&amp;",,,,0)")),"N/A")</f>
        <v>N/A</v>
      </c>
      <c r="AY1099" s="361" t="str">
        <f ca="1">IFERROR(IF(INDEX(MO_Common_QEndDate,0,COLUMN())&gt;TODAY(),FDS(MO.ReportCurrency&amp;HP.TradeCurrency,"FG_PRICE(NOW)"),FDS(MO.ReportCurrency&amp;HP.TradeCurrency,"P_PRICE_AVG("&amp;INDEX(MO_SNA_FPStartDate,0,COLUMN())&amp;","&amp;INDEX(MO_Common_QEndDate,0,COLUMN())&amp;",,,,0)")),"N/A")</f>
        <v>N/A</v>
      </c>
      <c r="AZ1099" s="361" t="str">
        <f ca="1">IFERROR(IF(INDEX(MO_Common_QEndDate,0,COLUMN())&gt;TODAY(),FDS(MO.ReportCurrency&amp;HP.TradeCurrency,"FG_PRICE(NOW)"),FDS(MO.ReportCurrency&amp;HP.TradeCurrency,"P_PRICE_AVG("&amp;INDEX(MO_SNA_FPStartDate,0,COLUMN())&amp;","&amp;INDEX(MO_Common_QEndDate,0,COLUMN())&amp;",,,,0)")),"N/A")</f>
        <v>N/A</v>
      </c>
      <c r="BA1099" s="361" t="str">
        <f ca="1">IFERROR(IF(INDEX(MO_Common_QEndDate,0,COLUMN())&gt;TODAY(),FDS(MO.ReportCurrency&amp;HP.TradeCurrency,"FG_PRICE(NOW)"),FDS(MO.ReportCurrency&amp;HP.TradeCurrency,"P_PRICE_AVG("&amp;INDEX(MO_SNA_FPStartDate,0,COLUMN())&amp;","&amp;INDEX(MO_Common_QEndDate,0,COLUMN())&amp;",,,,0)")),"N/A")</f>
        <v>N/A</v>
      </c>
      <c r="BB1099" s="361" t="str">
        <f ca="1">IFERROR(IF(INDEX(MO_Common_QEndDate,0,COLUMN())&gt;TODAY(),FDS(MO.ReportCurrency&amp;HP.TradeCurrency,"FG_PRICE(NOW)"),FDS(MO.ReportCurrency&amp;HP.TradeCurrency,"P_PRICE_AVG("&amp;INDEX(MO_SNA_FPStartDate,0,COLUMN())&amp;","&amp;INDEX(MO_Common_QEndDate,0,COLUMN())&amp;",,,,0)")),"N/A")</f>
        <v>N/A</v>
      </c>
      <c r="BC1099" s="361" t="str">
        <f ca="1">IFERROR(IF(INDEX(MO_Common_QEndDate,0,COLUMN())&gt;TODAY(),FDS(MO.ReportCurrency&amp;HP.TradeCurrency,"FG_PRICE(NOW)"),FDS(MO.ReportCurrency&amp;HP.TradeCurrency,"P_PRICE_AVG("&amp;INDEX(MO_SNA_FPStartDate,0,COLUMN())&amp;","&amp;INDEX(MO_Common_QEndDate,0,COLUMN())&amp;",,,,0)")),"N/A")</f>
        <v>N/A</v>
      </c>
      <c r="BD1099" s="361" t="str">
        <f ca="1">IFERROR(IF(INDEX(MO_Common_QEndDate,0,COLUMN())&gt;TODAY(),FDS(MO.ReportCurrency&amp;HP.TradeCurrency,"FG_PRICE(NOW)"),FDS(MO.ReportCurrency&amp;HP.TradeCurrency,"P_PRICE_AVG("&amp;INDEX(MO_SNA_FPStartDate,0,COLUMN())&amp;","&amp;INDEX(MO_Common_QEndDate,0,COLUMN())&amp;",,,,0)")),"N/A")</f>
        <v>N/A</v>
      </c>
      <c r="BE1099" s="361" t="str">
        <f ca="1">IFERROR(IF(INDEX(MO_Common_QEndDate,0,COLUMN())&gt;TODAY(),FDS(MO.ReportCurrency&amp;HP.TradeCurrency,"FG_PRICE(NOW)"),FDS(MO.ReportCurrency&amp;HP.TradeCurrency,"P_PRICE_AVG("&amp;INDEX(MO_SNA_FPStartDate,0,COLUMN())&amp;","&amp;INDEX(MO_Common_QEndDate,0,COLUMN())&amp;",,,,0)")),"N/A")</f>
        <v>N/A</v>
      </c>
      <c r="BF1099" s="361" t="str">
        <f ca="1">IFERROR(IF(INDEX(MO_Common_QEndDate,0,COLUMN())&gt;TODAY(),FDS(MO.ReportCurrency&amp;HP.TradeCurrency,"FG_PRICE(NOW)"),FDS(MO.ReportCurrency&amp;HP.TradeCurrency,"P_PRICE_AVG("&amp;INDEX(MO_SNA_FPStartDate,0,COLUMN())&amp;","&amp;INDEX(MO_Common_QEndDate,0,COLUMN())&amp;",,,,0)")),"N/A")</f>
        <v>N/A</v>
      </c>
      <c r="BG1099" s="361"/>
      <c r="BH1099" s="590" t="str">
        <f ca="1">IFERROR(IF(INDEX(MO_Common_QEndDate,0,COLUMN())&gt;TODAY(),FDS(MO.ReportCurrency&amp;HP.TradeCurrency,"FG_PRICE(NOW)"),FDS(MO.ReportCurrency&amp;HP.TradeCurrency,"P_PRICE_AVG("&amp;INDEX(MO_SNA_FPStartDate,0,COLUMN())&amp;","&amp;INDEX(MO_Common_QEndDate,0,COLUMN())&amp;",,,,0)")),"N/A")</f>
        <v>N/A</v>
      </c>
      <c r="BI1099" s="590" t="str">
        <f ca="1">IFERROR(IF(INDEX(MO_Common_QEndDate,0,COLUMN())&gt;TODAY(),FDS(MO.ReportCurrency&amp;HP.TradeCurrency,"FG_PRICE(NOW)"),FDS(MO.ReportCurrency&amp;HP.TradeCurrency,"P_PRICE_AVG("&amp;INDEX(MO_SNA_FPStartDate,0,COLUMN())&amp;","&amp;INDEX(MO_Common_QEndDate,0,COLUMN())&amp;",,,,0)")),"N/A")</f>
        <v>N/A</v>
      </c>
      <c r="BJ1099" s="590" t="str">
        <f ca="1">IFERROR(IF(INDEX(MO_Common_QEndDate,0,COLUMN())&gt;TODAY(),FDS(MO.ReportCurrency&amp;HP.TradeCurrency,"FG_PRICE(NOW)"),FDS(MO.ReportCurrency&amp;HP.TradeCurrency,"P_PRICE_AVG("&amp;INDEX(MO_SNA_FPStartDate,0,COLUMN())&amp;","&amp;INDEX(MO_Common_QEndDate,0,COLUMN())&amp;",,,,0)")),"N/A")</f>
        <v>N/A</v>
      </c>
      <c r="BK1099" s="590" t="str">
        <f ca="1">IFERROR(IF(INDEX(MO_Common_QEndDate,0,COLUMN())&gt;TODAY(),FDS(MO.ReportCurrency&amp;HP.TradeCurrency,"FG_PRICE(NOW)"),FDS(MO.ReportCurrency&amp;HP.TradeCurrency,"P_PRICE_AVG("&amp;INDEX(MO_SNA_FPStartDate,0,COLUMN())&amp;","&amp;INDEX(MO_Common_QEndDate,0,COLUMN())&amp;",,,,0)")),"N/A")</f>
        <v>N/A</v>
      </c>
      <c r="BL1099" s="361" t="str">
        <f ca="1">IFERROR(IF(INDEX(MO_Common_QEndDate,0,COLUMN())&gt;TODAY(),FDS(MO.ReportCurrency&amp;HP.TradeCurrency,"FG_PRICE(NOW)"),FDS(MO.ReportCurrency&amp;HP.TradeCurrency,"P_PRICE_AVG("&amp;INDEX(MO_SNA_FPStartDate,0,COLUMN())&amp;","&amp;INDEX(MO_Common_QEndDate,0,COLUMN())&amp;",,,,0)")),"N/A")</f>
        <v>N/A</v>
      </c>
      <c r="BM1099" s="361" t="str">
        <f ca="1">IFERROR(IF(INDEX(MO_Common_QEndDate,0,COLUMN())&gt;TODAY(),FDS(MO.ReportCurrency&amp;HP.TradeCurrency,"FG_PRICE(NOW)"),FDS(MO.ReportCurrency&amp;HP.TradeCurrency,"P_PRICE_AVG("&amp;INDEX(MO_SNA_FPStartDate,0,COLUMN())&amp;","&amp;INDEX(MO_Common_QEndDate,0,COLUMN())&amp;",,,,0)")),"N/A")</f>
        <v>N/A</v>
      </c>
      <c r="BN1099" s="361" t="str">
        <f ca="1">IFERROR(IF(INDEX(MO_Common_QEndDate,0,COLUMN())&gt;TODAY(),FDS(MO.ReportCurrency&amp;HP.TradeCurrency,"FG_PRICE(NOW)"),FDS(MO.ReportCurrency&amp;HP.TradeCurrency,"P_PRICE_AVG("&amp;INDEX(MO_SNA_FPStartDate,0,COLUMN())&amp;","&amp;INDEX(MO_Common_QEndDate,0,COLUMN())&amp;",,,,0)")),"N/A")</f>
        <v>N/A</v>
      </c>
      <c r="BO1099" s="361" t="str">
        <f ca="1">IFERROR(IF(INDEX(MO_Common_QEndDate,0,COLUMN())&gt;TODAY(),FDS(MO.ReportCurrency&amp;HP.TradeCurrency,"FG_PRICE(NOW)"),FDS(MO.ReportCurrency&amp;HP.TradeCurrency,"P_PRICE_AVG("&amp;INDEX(MO_SNA_FPStartDate,0,COLUMN())&amp;","&amp;INDEX(MO_Common_QEndDate,0,COLUMN())&amp;",,,,0)")),"N/A")</f>
        <v>N/A</v>
      </c>
      <c r="BP1099" s="361" t="str">
        <f ca="1">IFERROR(IF(INDEX(MO_Common_QEndDate,0,COLUMN())&gt;TODAY(),FDS(MO.ReportCurrency&amp;HP.TradeCurrency,"FG_PRICE(NOW)"),FDS(MO.ReportCurrency&amp;HP.TradeCurrency,"P_PRICE_AVG("&amp;INDEX(MO_SNA_FPStartDate,0,COLUMN())&amp;","&amp;INDEX(MO_Common_QEndDate,0,COLUMN())&amp;",,,,0)")),"N/A")</f>
        <v>N/A</v>
      </c>
      <c r="BQ1099" s="361" t="str">
        <f ca="1">IFERROR(IF(INDEX(MO_Common_QEndDate,0,COLUMN())&gt;TODAY(),FDS(MO.ReportCurrency&amp;HP.TradeCurrency,"FG_PRICE(NOW)"),FDS(MO.ReportCurrency&amp;HP.TradeCurrency,"P_PRICE_AVG("&amp;INDEX(MO_SNA_FPStartDate,0,COLUMN())&amp;","&amp;INDEX(MO_Common_QEndDate,0,COLUMN())&amp;",,,,0)")),"N/A")</f>
        <v>N/A</v>
      </c>
      <c r="BR1099" s="361" t="str">
        <f ca="1">IFERROR(IF(INDEX(MO_Common_QEndDate,0,COLUMN())&gt;TODAY(),FDS(MO.ReportCurrency&amp;HP.TradeCurrency,"FG_PRICE(NOW)"),FDS(MO.ReportCurrency&amp;HP.TradeCurrency,"P_PRICE_AVG("&amp;INDEX(MO_SNA_FPStartDate,0,COLUMN())&amp;","&amp;INDEX(MO_Common_QEndDate,0,COLUMN())&amp;",,,,0)")),"N/A")</f>
        <v>N/A</v>
      </c>
      <c r="BS1099" s="361" t="str">
        <f ca="1">IFERROR(IF(INDEX(MO_Common_QEndDate,0,COLUMN())&gt;TODAY(),FDS(MO.ReportCurrency&amp;HP.TradeCurrency,"FG_PRICE(NOW)"),FDS(MO.ReportCurrency&amp;HP.TradeCurrency,"P_PRICE_AVG("&amp;INDEX(MO_SNA_FPStartDate,0,COLUMN())&amp;","&amp;INDEX(MO_Common_QEndDate,0,COLUMN())&amp;",,,,0)")),"N/A")</f>
        <v>N/A</v>
      </c>
      <c r="BT1099" s="361" t="str">
        <f ca="1">IFERROR(IF(INDEX(MO_Common_QEndDate,0,COLUMN())&gt;TODAY(),FDS(MO.ReportCurrency&amp;HP.TradeCurrency,"FG_PRICE(NOW)"),FDS(MO.ReportCurrency&amp;HP.TradeCurrency,"P_PRICE_AVG("&amp;INDEX(MO_SNA_FPStartDate,0,COLUMN())&amp;","&amp;INDEX(MO_Common_QEndDate,0,COLUMN())&amp;",,,,0)")),"N/A")</f>
        <v>N/A</v>
      </c>
      <c r="BU1099" s="361" t="str">
        <f ca="1">IFERROR(IF(INDEX(MO_Common_QEndDate,0,COLUMN())&gt;TODAY(),FDS(MO.ReportCurrency&amp;HP.TradeCurrency,"FG_PRICE(NOW)"),FDS(MO.ReportCurrency&amp;HP.TradeCurrency,"P_PRICE_AVG("&amp;INDEX(MO_SNA_FPStartDate,0,COLUMN())&amp;","&amp;INDEX(MO_Common_QEndDate,0,COLUMN())&amp;",,,,0)")),"N/A")</f>
        <v>N/A</v>
      </c>
      <c r="BV1099" s="361" t="str">
        <f ca="1">IFERROR(IF(INDEX(MO_Common_QEndDate,0,COLUMN())&gt;TODAY(),FDS(MO.ReportCurrency&amp;HP.TradeCurrency,"FG_PRICE(NOW)"),FDS(MO.ReportCurrency&amp;HP.TradeCurrency,"P_PRICE_AVG("&amp;INDEX(MO_SNA_FPStartDate,0,COLUMN())&amp;","&amp;INDEX(MO_Common_QEndDate,0,COLUMN())&amp;",,,,0)")),"N/A")</f>
        <v>N/A</v>
      </c>
      <c r="BW1099" s="361" t="str">
        <f ca="1">IFERROR(IF(INDEX(MO_Common_QEndDate,0,COLUMN())&gt;TODAY(),FDS(MO.ReportCurrency&amp;HP.TradeCurrency,"FG_PRICE(NOW)"),FDS(MO.ReportCurrency&amp;HP.TradeCurrency,"P_PRICE_AVG("&amp;INDEX(MO_SNA_FPStartDate,0,COLUMN())&amp;","&amp;INDEX(MO_Common_QEndDate,0,COLUMN())&amp;",,,,0)")),"N/A")</f>
        <v>N/A</v>
      </c>
      <c r="BX1099" s="361" t="str">
        <f ca="1">IFERROR(IF(INDEX(MO_Common_QEndDate,0,COLUMN())&gt;TODAY(),FDS(MO.ReportCurrency&amp;HP.TradeCurrency,"FG_PRICE(NOW)"),FDS(MO.ReportCurrency&amp;HP.TradeCurrency,"P_PRICE_AVG("&amp;INDEX(MO_SNA_FPStartDate,0,COLUMN())&amp;","&amp;INDEX(MO_Common_QEndDate,0,COLUMN())&amp;",,,,0)")),"N/A")</f>
        <v>N/A</v>
      </c>
      <c r="BY1099" s="361" t="str">
        <f ca="1">IFERROR(IF(INDEX(MO_Common_QEndDate,0,COLUMN())&gt;TODAY(),FDS(MO.ReportCurrency&amp;HP.TradeCurrency,"FG_PRICE(NOW)"),FDS(MO.ReportCurrency&amp;HP.TradeCurrency,"P_PRICE_AVG("&amp;INDEX(MO_SNA_FPStartDate,0,COLUMN())&amp;","&amp;INDEX(MO_Common_QEndDate,0,COLUMN())&amp;",,,,0)")),"N/A")</f>
        <v>N/A</v>
      </c>
      <c r="BZ1099" s="361" t="str">
        <f ca="1">IFERROR(IF(INDEX(MO_Common_QEndDate,0,COLUMN())&gt;TODAY(),FDS(MO.ReportCurrency&amp;HP.TradeCurrency,"FG_PRICE(NOW)"),FDS(MO.ReportCurrency&amp;HP.TradeCurrency,"P_PRICE_AVG("&amp;INDEX(MO_SNA_FPStartDate,0,COLUMN())&amp;","&amp;INDEX(MO_Common_QEndDate,0,COLUMN())&amp;",,,,0)")),"N/A")</f>
        <v>N/A</v>
      </c>
      <c r="CA1099" s="361" t="str">
        <f ca="1">IFERROR(IF(INDEX(MO_Common_QEndDate,0,COLUMN())&gt;TODAY(),FDS(MO.ReportCurrency&amp;HP.TradeCurrency,"FG_PRICE(NOW)"),FDS(MO.ReportCurrency&amp;HP.TradeCurrency,"P_PRICE_AVG("&amp;INDEX(MO_SNA_FPStartDate,0,COLUMN())&amp;","&amp;INDEX(MO_Common_QEndDate,0,COLUMN())&amp;",,,,0)")),"N/A")</f>
        <v>N/A</v>
      </c>
      <c r="CB1099" s="361" t="str">
        <f ca="1">IFERROR(IF(INDEX(MO_Common_QEndDate,0,COLUMN())&gt;TODAY(),FDS(MO.ReportCurrency&amp;HP.TradeCurrency,"FG_PRICE(NOW)"),FDS(MO.ReportCurrency&amp;HP.TradeCurrency,"P_PRICE_AVG("&amp;INDEX(MO_SNA_FPStartDate,0,COLUMN())&amp;","&amp;INDEX(MO_Common_QEndDate,0,COLUMN())&amp;",,,,0)")),"N/A")</f>
        <v>N/A</v>
      </c>
      <c r="CC1099" s="181"/>
    </row>
    <row r="1100" spans="1:81" outlineLevel="1" x14ac:dyDescent="0.55000000000000004">
      <c r="A1100" s="1159" t="s">
        <v>447</v>
      </c>
      <c r="B1100" s="361"/>
      <c r="C1100" s="590" t="str">
        <f t="shared" ref="C1100:AH1100" si="1320">"N/A"</f>
        <v>N/A</v>
      </c>
      <c r="D1100" s="361" t="str">
        <f t="shared" si="1320"/>
        <v>N/A</v>
      </c>
      <c r="E1100" s="361" t="str">
        <f t="shared" si="1320"/>
        <v>N/A</v>
      </c>
      <c r="F1100" s="361" t="str">
        <f t="shared" si="1320"/>
        <v>N/A</v>
      </c>
      <c r="G1100" s="361" t="str">
        <f t="shared" si="1320"/>
        <v>N/A</v>
      </c>
      <c r="H1100" s="361" t="str">
        <f t="shared" si="1320"/>
        <v>N/A</v>
      </c>
      <c r="I1100" s="361" t="str">
        <f t="shared" si="1320"/>
        <v>N/A</v>
      </c>
      <c r="J1100" s="361" t="str">
        <f t="shared" si="1320"/>
        <v>N/A</v>
      </c>
      <c r="K1100" s="361" t="str">
        <f t="shared" si="1320"/>
        <v>N/A</v>
      </c>
      <c r="L1100" s="361" t="str">
        <f t="shared" si="1320"/>
        <v>N/A</v>
      </c>
      <c r="M1100" s="361" t="str">
        <f t="shared" si="1320"/>
        <v>N/A</v>
      </c>
      <c r="N1100" s="361" t="str">
        <f t="shared" si="1320"/>
        <v>N/A</v>
      </c>
      <c r="O1100" s="361" t="str">
        <f t="shared" si="1320"/>
        <v>N/A</v>
      </c>
      <c r="P1100" s="361" t="str">
        <f t="shared" si="1320"/>
        <v>N/A</v>
      </c>
      <c r="Q1100" s="361" t="str">
        <f t="shared" si="1320"/>
        <v>N/A</v>
      </c>
      <c r="R1100" s="361" t="str">
        <f t="shared" si="1320"/>
        <v>N/A</v>
      </c>
      <c r="S1100" s="361" t="str">
        <f t="shared" si="1320"/>
        <v>N/A</v>
      </c>
      <c r="T1100" s="361" t="str">
        <f t="shared" si="1320"/>
        <v>N/A</v>
      </c>
      <c r="U1100" s="361" t="str">
        <f t="shared" si="1320"/>
        <v>N/A</v>
      </c>
      <c r="V1100" s="361" t="str">
        <f t="shared" si="1320"/>
        <v>N/A</v>
      </c>
      <c r="W1100" s="361" t="str">
        <f t="shared" si="1320"/>
        <v>N/A</v>
      </c>
      <c r="X1100" s="361" t="str">
        <f t="shared" si="1320"/>
        <v>N/A</v>
      </c>
      <c r="Y1100" s="361" t="str">
        <f t="shared" si="1320"/>
        <v>N/A</v>
      </c>
      <c r="Z1100" s="361" t="str">
        <f t="shared" si="1320"/>
        <v>N/A</v>
      </c>
      <c r="AA1100" s="361" t="str">
        <f t="shared" si="1320"/>
        <v>N/A</v>
      </c>
      <c r="AB1100" s="361" t="str">
        <f t="shared" si="1320"/>
        <v>N/A</v>
      </c>
      <c r="AC1100" s="361" t="str">
        <f t="shared" si="1320"/>
        <v>N/A</v>
      </c>
      <c r="AD1100" s="361" t="str">
        <f t="shared" si="1320"/>
        <v>N/A</v>
      </c>
      <c r="AE1100" s="361" t="str">
        <f t="shared" si="1320"/>
        <v>N/A</v>
      </c>
      <c r="AF1100" s="361" t="str">
        <f t="shared" si="1320"/>
        <v>N/A</v>
      </c>
      <c r="AG1100" s="361" t="str">
        <f t="shared" si="1320"/>
        <v>N/A</v>
      </c>
      <c r="AH1100" s="361" t="str">
        <f t="shared" si="1320"/>
        <v>N/A</v>
      </c>
      <c r="AI1100" s="361" t="str">
        <f t="shared" ref="AI1100:BF1100" si="1321">"N/A"</f>
        <v>N/A</v>
      </c>
      <c r="AJ1100" s="361" t="str">
        <f t="shared" si="1321"/>
        <v>N/A</v>
      </c>
      <c r="AK1100" s="361" t="str">
        <f t="shared" si="1321"/>
        <v>N/A</v>
      </c>
      <c r="AL1100" s="361" t="str">
        <f t="shared" si="1321"/>
        <v>N/A</v>
      </c>
      <c r="AM1100" s="361" t="str">
        <f t="shared" si="1321"/>
        <v>N/A</v>
      </c>
      <c r="AN1100" s="361" t="str">
        <f t="shared" si="1321"/>
        <v>N/A</v>
      </c>
      <c r="AO1100" s="361" t="str">
        <f t="shared" si="1321"/>
        <v>N/A</v>
      </c>
      <c r="AP1100" s="361" t="str">
        <f t="shared" si="1321"/>
        <v>N/A</v>
      </c>
      <c r="AQ1100" s="361" t="str">
        <f t="shared" si="1321"/>
        <v>N/A</v>
      </c>
      <c r="AR1100" s="361" t="str">
        <f t="shared" si="1321"/>
        <v>N/A</v>
      </c>
      <c r="AS1100" s="361" t="str">
        <f t="shared" si="1321"/>
        <v>N/A</v>
      </c>
      <c r="AT1100" s="361" t="str">
        <f t="shared" si="1321"/>
        <v>N/A</v>
      </c>
      <c r="AU1100" s="361" t="str">
        <f t="shared" si="1321"/>
        <v>N/A</v>
      </c>
      <c r="AV1100" s="361" t="str">
        <f t="shared" si="1321"/>
        <v>N/A</v>
      </c>
      <c r="AW1100" s="361" t="str">
        <f t="shared" si="1321"/>
        <v>N/A</v>
      </c>
      <c r="AX1100" s="361" t="str">
        <f t="shared" si="1321"/>
        <v>N/A</v>
      </c>
      <c r="AY1100" s="361" t="str">
        <f t="shared" si="1321"/>
        <v>N/A</v>
      </c>
      <c r="AZ1100" s="361" t="str">
        <f t="shared" si="1321"/>
        <v>N/A</v>
      </c>
      <c r="BA1100" s="361" t="str">
        <f t="shared" si="1321"/>
        <v>N/A</v>
      </c>
      <c r="BB1100" s="361" t="str">
        <f t="shared" si="1321"/>
        <v>N/A</v>
      </c>
      <c r="BC1100" s="361" t="str">
        <f t="shared" si="1321"/>
        <v>N/A</v>
      </c>
      <c r="BD1100" s="361" t="str">
        <f t="shared" si="1321"/>
        <v>N/A</v>
      </c>
      <c r="BE1100" s="361" t="str">
        <f t="shared" si="1321"/>
        <v>N/A</v>
      </c>
      <c r="BF1100" s="361" t="str">
        <f t="shared" si="1321"/>
        <v>N/A</v>
      </c>
      <c r="BG1100" s="361"/>
      <c r="BH1100" s="590" t="str">
        <f t="shared" ref="BH1100:CB1100" si="1322">"N/A"</f>
        <v>N/A</v>
      </c>
      <c r="BI1100" s="590" t="str">
        <f t="shared" si="1322"/>
        <v>N/A</v>
      </c>
      <c r="BJ1100" s="590" t="str">
        <f t="shared" si="1322"/>
        <v>N/A</v>
      </c>
      <c r="BK1100" s="590" t="str">
        <f t="shared" si="1322"/>
        <v>N/A</v>
      </c>
      <c r="BL1100" s="361" t="str">
        <f t="shared" si="1322"/>
        <v>N/A</v>
      </c>
      <c r="BM1100" s="361" t="str">
        <f t="shared" si="1322"/>
        <v>N/A</v>
      </c>
      <c r="BN1100" s="361" t="str">
        <f t="shared" si="1322"/>
        <v>N/A</v>
      </c>
      <c r="BO1100" s="361" t="str">
        <f t="shared" si="1322"/>
        <v>N/A</v>
      </c>
      <c r="BP1100" s="361" t="str">
        <f t="shared" si="1322"/>
        <v>N/A</v>
      </c>
      <c r="BQ1100" s="361" t="str">
        <f t="shared" si="1322"/>
        <v>N/A</v>
      </c>
      <c r="BR1100" s="361" t="str">
        <f t="shared" si="1322"/>
        <v>N/A</v>
      </c>
      <c r="BS1100" s="361" t="str">
        <f t="shared" si="1322"/>
        <v>N/A</v>
      </c>
      <c r="BT1100" s="361" t="str">
        <f t="shared" si="1322"/>
        <v>N/A</v>
      </c>
      <c r="BU1100" s="361" t="str">
        <f t="shared" si="1322"/>
        <v>N/A</v>
      </c>
      <c r="BV1100" s="361" t="str">
        <f t="shared" si="1322"/>
        <v>N/A</v>
      </c>
      <c r="BW1100" s="361" t="str">
        <f t="shared" si="1322"/>
        <v>N/A</v>
      </c>
      <c r="BX1100" s="361" t="str">
        <f t="shared" si="1322"/>
        <v>N/A</v>
      </c>
      <c r="BY1100" s="361" t="str">
        <f t="shared" si="1322"/>
        <v>N/A</v>
      </c>
      <c r="BZ1100" s="361" t="str">
        <f t="shared" si="1322"/>
        <v>N/A</v>
      </c>
      <c r="CA1100" s="361" t="str">
        <f t="shared" si="1322"/>
        <v>N/A</v>
      </c>
      <c r="CB1100" s="361" t="str">
        <f t="shared" si="1322"/>
        <v>N/A</v>
      </c>
      <c r="CC1100" s="181"/>
    </row>
    <row r="1101" spans="1:81" outlineLevel="1" collapsed="1" x14ac:dyDescent="0.55000000000000004">
      <c r="A1101" s="377"/>
      <c r="B1101" s="600"/>
      <c r="C1101" s="558"/>
      <c r="D1101" s="600"/>
      <c r="E1101" s="600"/>
      <c r="F1101" s="600"/>
      <c r="G1101" s="600"/>
      <c r="H1101" s="600"/>
      <c r="I1101" s="600"/>
      <c r="J1101" s="600"/>
      <c r="K1101" s="600"/>
      <c r="L1101" s="600"/>
      <c r="M1101" s="600"/>
      <c r="N1101" s="600"/>
      <c r="O1101" s="600"/>
      <c r="P1101" s="600"/>
      <c r="Q1101" s="600"/>
      <c r="R1101" s="600"/>
      <c r="S1101" s="600"/>
      <c r="T1101" s="600"/>
      <c r="U1101" s="600"/>
      <c r="V1101" s="600"/>
      <c r="W1101" s="600"/>
      <c r="X1101" s="600"/>
      <c r="Y1101" s="600"/>
      <c r="Z1101" s="600"/>
      <c r="AA1101" s="600"/>
      <c r="AB1101" s="600"/>
      <c r="AC1101" s="600"/>
      <c r="AD1101" s="600"/>
      <c r="AE1101" s="600"/>
      <c r="AF1101" s="600"/>
      <c r="AG1101" s="600"/>
      <c r="AH1101" s="600"/>
      <c r="AI1101" s="600"/>
      <c r="AJ1101" s="600"/>
      <c r="AK1101" s="600"/>
      <c r="AL1101" s="600"/>
      <c r="AM1101" s="600"/>
      <c r="AN1101" s="600"/>
      <c r="AO1101" s="600"/>
      <c r="AP1101" s="600"/>
      <c r="AQ1101" s="600"/>
      <c r="AR1101" s="600"/>
      <c r="AS1101" s="600"/>
      <c r="AT1101" s="600"/>
      <c r="AU1101" s="600"/>
      <c r="AV1101" s="600"/>
      <c r="AW1101" s="600"/>
      <c r="AX1101" s="600"/>
      <c r="AY1101" s="600"/>
      <c r="AZ1101" s="600"/>
      <c r="BA1101" s="600"/>
      <c r="BB1101" s="600"/>
      <c r="BC1101" s="600"/>
      <c r="BD1101" s="600"/>
      <c r="BE1101" s="600"/>
      <c r="BF1101" s="600"/>
      <c r="BG1101" s="600"/>
      <c r="BH1101" s="558"/>
      <c r="BI1101" s="558"/>
      <c r="BJ1101" s="558"/>
      <c r="BK1101" s="558"/>
      <c r="BL1101" s="600"/>
      <c r="BM1101" s="600"/>
      <c r="BN1101" s="600"/>
      <c r="BO1101" s="600"/>
      <c r="BP1101" s="600"/>
      <c r="BQ1101" s="600"/>
      <c r="BR1101" s="600"/>
      <c r="BS1101" s="600"/>
      <c r="BT1101" s="600"/>
      <c r="BU1101" s="600"/>
      <c r="BV1101" s="600"/>
      <c r="BW1101" s="600"/>
      <c r="BX1101" s="600"/>
      <c r="BY1101" s="600"/>
      <c r="BZ1101" s="600"/>
      <c r="CA1101" s="600"/>
      <c r="CB1101" s="600"/>
      <c r="CC1101" s="176"/>
    </row>
    <row r="1102" spans="1:81" x14ac:dyDescent="0.55000000000000004">
      <c r="A1102" s="377" t="s">
        <v>596</v>
      </c>
      <c r="B1102" s="600"/>
      <c r="C1102" s="588">
        <f t="shared" ref="C1102:AH1102" si="1323">WORKDAY(INDEX(MO_Common_QEndDate,0,COLUMN()),-1)</f>
        <v>41362</v>
      </c>
      <c r="D1102" s="359">
        <f t="shared" si="1323"/>
        <v>41453</v>
      </c>
      <c r="E1102" s="359">
        <f t="shared" si="1323"/>
        <v>41544</v>
      </c>
      <c r="F1102" s="359">
        <f t="shared" si="1323"/>
        <v>41638</v>
      </c>
      <c r="G1102" s="359">
        <f t="shared" si="1323"/>
        <v>41726</v>
      </c>
      <c r="H1102" s="359">
        <f t="shared" si="1323"/>
        <v>41817</v>
      </c>
      <c r="I1102" s="359">
        <f t="shared" si="1323"/>
        <v>41911</v>
      </c>
      <c r="J1102" s="359">
        <f t="shared" si="1323"/>
        <v>42003</v>
      </c>
      <c r="K1102" s="359">
        <f t="shared" si="1323"/>
        <v>42093</v>
      </c>
      <c r="L1102" s="359">
        <f t="shared" si="1323"/>
        <v>42184</v>
      </c>
      <c r="M1102" s="359">
        <f t="shared" si="1323"/>
        <v>42276</v>
      </c>
      <c r="N1102" s="359">
        <f t="shared" si="1323"/>
        <v>42368</v>
      </c>
      <c r="O1102" s="359">
        <f t="shared" si="1323"/>
        <v>42459</v>
      </c>
      <c r="P1102" s="359">
        <f t="shared" si="1323"/>
        <v>42550</v>
      </c>
      <c r="Q1102" s="359">
        <f t="shared" si="1323"/>
        <v>42642</v>
      </c>
      <c r="R1102" s="359">
        <f t="shared" si="1323"/>
        <v>42734</v>
      </c>
      <c r="S1102" s="359">
        <f t="shared" si="1323"/>
        <v>42824</v>
      </c>
      <c r="T1102" s="359">
        <f t="shared" si="1323"/>
        <v>42915</v>
      </c>
      <c r="U1102" s="359">
        <f t="shared" si="1323"/>
        <v>43007</v>
      </c>
      <c r="V1102" s="359">
        <f t="shared" si="1323"/>
        <v>43098</v>
      </c>
      <c r="W1102" s="359">
        <f t="shared" si="1323"/>
        <v>43189</v>
      </c>
      <c r="X1102" s="359">
        <f t="shared" si="1323"/>
        <v>43280</v>
      </c>
      <c r="Y1102" s="359">
        <f t="shared" si="1323"/>
        <v>43371</v>
      </c>
      <c r="Z1102" s="359">
        <f t="shared" si="1323"/>
        <v>43462</v>
      </c>
      <c r="AA1102" s="359">
        <f t="shared" si="1323"/>
        <v>43553</v>
      </c>
      <c r="AB1102" s="359">
        <f t="shared" si="1323"/>
        <v>43644</v>
      </c>
      <c r="AC1102" s="359">
        <f t="shared" si="1323"/>
        <v>43735</v>
      </c>
      <c r="AD1102" s="359">
        <f t="shared" si="1323"/>
        <v>43829</v>
      </c>
      <c r="AE1102" s="359">
        <f t="shared" si="1323"/>
        <v>43920</v>
      </c>
      <c r="AF1102" s="359">
        <f t="shared" si="1323"/>
        <v>44011</v>
      </c>
      <c r="AG1102" s="359">
        <f t="shared" si="1323"/>
        <v>44103</v>
      </c>
      <c r="AH1102" s="359">
        <f t="shared" si="1323"/>
        <v>44195</v>
      </c>
      <c r="AI1102" s="359">
        <f t="shared" ref="AI1102:BF1102" si="1324">WORKDAY(INDEX(MO_Common_QEndDate,0,COLUMN()),-1)</f>
        <v>44285</v>
      </c>
      <c r="AJ1102" s="359">
        <f t="shared" si="1324"/>
        <v>44376</v>
      </c>
      <c r="AK1102" s="359">
        <f t="shared" si="1324"/>
        <v>44468</v>
      </c>
      <c r="AL1102" s="359">
        <f t="shared" si="1324"/>
        <v>44560</v>
      </c>
      <c r="AM1102" s="359">
        <f t="shared" si="1324"/>
        <v>44650</v>
      </c>
      <c r="AN1102" s="359">
        <f t="shared" si="1324"/>
        <v>44741</v>
      </c>
      <c r="AO1102" s="359">
        <f t="shared" si="1324"/>
        <v>44833</v>
      </c>
      <c r="AP1102" s="359">
        <f t="shared" si="1324"/>
        <v>44925</v>
      </c>
      <c r="AQ1102" s="359">
        <f t="shared" si="1324"/>
        <v>45015</v>
      </c>
      <c r="AR1102" s="359">
        <f t="shared" si="1324"/>
        <v>45106</v>
      </c>
      <c r="AS1102" s="359">
        <f t="shared" si="1324"/>
        <v>45198</v>
      </c>
      <c r="AT1102" s="359">
        <f t="shared" si="1324"/>
        <v>45289</v>
      </c>
      <c r="AU1102" s="359">
        <f t="shared" si="1324"/>
        <v>45380</v>
      </c>
      <c r="AV1102" s="359">
        <f t="shared" si="1324"/>
        <v>45471</v>
      </c>
      <c r="AW1102" s="359">
        <f t="shared" si="1324"/>
        <v>45562</v>
      </c>
      <c r="AX1102" s="359">
        <f t="shared" si="1324"/>
        <v>45656</v>
      </c>
      <c r="AY1102" s="359">
        <f t="shared" si="1324"/>
        <v>45744</v>
      </c>
      <c r="AZ1102" s="359">
        <f t="shared" si="1324"/>
        <v>45835</v>
      </c>
      <c r="BA1102" s="359">
        <f t="shared" si="1324"/>
        <v>45929</v>
      </c>
      <c r="BB1102" s="359">
        <f t="shared" si="1324"/>
        <v>46021</v>
      </c>
      <c r="BC1102" s="359">
        <f t="shared" si="1324"/>
        <v>46111</v>
      </c>
      <c r="BD1102" s="359">
        <f t="shared" si="1324"/>
        <v>46202</v>
      </c>
      <c r="BE1102" s="359">
        <f t="shared" si="1324"/>
        <v>46294</v>
      </c>
      <c r="BF1102" s="359">
        <f t="shared" si="1324"/>
        <v>46386</v>
      </c>
      <c r="BG1102" s="359"/>
      <c r="BH1102" s="588">
        <f t="shared" ref="BH1102:CB1102" si="1325">WORKDAY(INDEX(MO_Common_QEndDate,0,COLUMN()),-1)</f>
        <v>40177</v>
      </c>
      <c r="BI1102" s="588">
        <f t="shared" si="1325"/>
        <v>40542</v>
      </c>
      <c r="BJ1102" s="588">
        <f t="shared" si="1325"/>
        <v>40907</v>
      </c>
      <c r="BK1102" s="588">
        <f t="shared" si="1325"/>
        <v>41271</v>
      </c>
      <c r="BL1102" s="359">
        <f t="shared" si="1325"/>
        <v>41638</v>
      </c>
      <c r="BM1102" s="359">
        <f t="shared" si="1325"/>
        <v>42003</v>
      </c>
      <c r="BN1102" s="359">
        <f t="shared" si="1325"/>
        <v>42368</v>
      </c>
      <c r="BO1102" s="359">
        <f t="shared" si="1325"/>
        <v>42734</v>
      </c>
      <c r="BP1102" s="359">
        <f t="shared" si="1325"/>
        <v>43098</v>
      </c>
      <c r="BQ1102" s="359">
        <f t="shared" si="1325"/>
        <v>43462</v>
      </c>
      <c r="BR1102" s="359">
        <f t="shared" si="1325"/>
        <v>43829</v>
      </c>
      <c r="BS1102" s="359">
        <f t="shared" si="1325"/>
        <v>44195</v>
      </c>
      <c r="BT1102" s="359">
        <f t="shared" si="1325"/>
        <v>44560</v>
      </c>
      <c r="BU1102" s="359">
        <f t="shared" si="1325"/>
        <v>44925</v>
      </c>
      <c r="BV1102" s="359">
        <f t="shared" si="1325"/>
        <v>45289</v>
      </c>
      <c r="BW1102" s="359">
        <f t="shared" si="1325"/>
        <v>45656</v>
      </c>
      <c r="BX1102" s="359">
        <f t="shared" si="1325"/>
        <v>46021</v>
      </c>
      <c r="BY1102" s="359">
        <f t="shared" si="1325"/>
        <v>46386</v>
      </c>
      <c r="BZ1102" s="359">
        <f t="shared" si="1325"/>
        <v>46751</v>
      </c>
      <c r="CA1102" s="359">
        <f t="shared" si="1325"/>
        <v>47116</v>
      </c>
      <c r="CB1102" s="359">
        <f t="shared" si="1325"/>
        <v>47480</v>
      </c>
      <c r="CC1102" s="176"/>
    </row>
    <row r="1103" spans="1:81" collapsed="1" x14ac:dyDescent="0.55000000000000004">
      <c r="A1103" s="377" t="s">
        <v>597</v>
      </c>
      <c r="B1103" s="600"/>
      <c r="C1103" s="801">
        <v>25.58</v>
      </c>
      <c r="D1103" s="802">
        <v>24.88</v>
      </c>
      <c r="E1103" s="802">
        <v>51.24</v>
      </c>
      <c r="F1103" s="802">
        <v>53.71</v>
      </c>
      <c r="G1103" s="802">
        <v>60.01</v>
      </c>
      <c r="H1103" s="802">
        <v>67.599999999999994</v>
      </c>
      <c r="I1103" s="802">
        <v>79</v>
      </c>
      <c r="J1103" s="802">
        <v>79.22</v>
      </c>
      <c r="K1103" s="802">
        <v>83.194999999999993</v>
      </c>
      <c r="L1103" s="802">
        <v>85.8</v>
      </c>
      <c r="M1103" s="802">
        <v>86.67</v>
      </c>
      <c r="N1103" s="802">
        <v>106.22</v>
      </c>
      <c r="O1103" s="802">
        <v>114.7</v>
      </c>
      <c r="P1103" s="802">
        <v>114.16</v>
      </c>
      <c r="Q1103" s="802">
        <v>128.09</v>
      </c>
      <c r="R1103" s="802">
        <v>115.05</v>
      </c>
      <c r="S1103" s="802">
        <v>142.41</v>
      </c>
      <c r="T1103" s="802">
        <v>151.04</v>
      </c>
      <c r="U1103" s="802">
        <v>170.87</v>
      </c>
      <c r="V1103" s="802">
        <v>176.46</v>
      </c>
      <c r="W1103" s="802">
        <v>159.79</v>
      </c>
      <c r="X1103" s="802">
        <v>194.32</v>
      </c>
      <c r="Y1103" s="802">
        <v>164.46</v>
      </c>
      <c r="Z1103" s="802">
        <v>133.19999999999999</v>
      </c>
      <c r="AA1103" s="802">
        <v>166.69</v>
      </c>
      <c r="AB1103" s="802">
        <v>193</v>
      </c>
      <c r="AC1103" s="802">
        <v>177.1</v>
      </c>
      <c r="AD1103" s="802">
        <v>204.41</v>
      </c>
      <c r="AE1103" s="802">
        <v>165.95</v>
      </c>
      <c r="AF1103" s="802">
        <v>220.64</v>
      </c>
      <c r="AG1103" s="802">
        <v>261.79000000000002</v>
      </c>
      <c r="AH1103" s="802">
        <v>271.87</v>
      </c>
      <c r="AI1103" s="802">
        <v>288</v>
      </c>
      <c r="AJ1103" s="802">
        <v>351.89</v>
      </c>
      <c r="AK1103" s="802">
        <v>339.61</v>
      </c>
      <c r="AL1103" s="802">
        <v>344.36</v>
      </c>
      <c r="AM1103" s="802">
        <v>227.85</v>
      </c>
      <c r="AN1103" s="802">
        <v>163.94</v>
      </c>
      <c r="AO1103" s="802">
        <v>136.41</v>
      </c>
      <c r="AP1103" s="802">
        <v>120.34</v>
      </c>
      <c r="AQ1103" s="802">
        <v>207.84</v>
      </c>
      <c r="AR1103" s="802">
        <v>281.52999999999997</v>
      </c>
      <c r="AS1103" s="802">
        <v>300.20999999999998</v>
      </c>
      <c r="AT1103" s="802">
        <v>353.96</v>
      </c>
      <c r="AU1103" s="802">
        <v>485.58</v>
      </c>
      <c r="AV1103" s="802">
        <v>504.22</v>
      </c>
      <c r="AW1103" s="802">
        <v>567.36</v>
      </c>
      <c r="AX1103" s="802">
        <v>591.24</v>
      </c>
      <c r="AY1103" s="802">
        <v>576.74</v>
      </c>
      <c r="AZ1103" s="360"/>
      <c r="BA1103" s="360"/>
      <c r="BB1103" s="360"/>
      <c r="BC1103" s="360"/>
      <c r="BD1103" s="360"/>
      <c r="BE1103" s="360"/>
      <c r="BF1103" s="360"/>
      <c r="BG1103" s="360"/>
      <c r="BH1103" s="801">
        <v>0</v>
      </c>
      <c r="BI1103" s="801">
        <v>0</v>
      </c>
      <c r="BJ1103" s="801">
        <v>0</v>
      </c>
      <c r="BK1103" s="801">
        <v>25.911200000000001</v>
      </c>
      <c r="BL1103" s="802">
        <v>53.71</v>
      </c>
      <c r="BM1103" s="802">
        <v>79.22</v>
      </c>
      <c r="BN1103" s="802">
        <v>106.22</v>
      </c>
      <c r="BO1103" s="802">
        <v>115.05</v>
      </c>
      <c r="BP1103" s="802">
        <v>176.46</v>
      </c>
      <c r="BQ1103" s="802">
        <v>133.19999999999999</v>
      </c>
      <c r="BR1103" s="802">
        <v>204.41</v>
      </c>
      <c r="BS1103" s="802">
        <v>271.87</v>
      </c>
      <c r="BT1103" s="802">
        <v>344.36</v>
      </c>
      <c r="BU1103" s="802">
        <v>120.34</v>
      </c>
      <c r="BV1103" s="802">
        <v>353.96</v>
      </c>
      <c r="BW1103" s="802">
        <v>591.24</v>
      </c>
      <c r="BX1103" s="360"/>
      <c r="BY1103" s="360"/>
      <c r="BZ1103" s="360"/>
      <c r="CA1103" s="360"/>
      <c r="CB1103" s="360"/>
      <c r="CC1103" s="176"/>
    </row>
    <row r="1104" spans="1:81" collapsed="1" x14ac:dyDescent="0.55000000000000004">
      <c r="A1104" s="377" t="s">
        <v>598</v>
      </c>
      <c r="B1104" s="600"/>
      <c r="C1104" s="799">
        <v>1</v>
      </c>
      <c r="D1104" s="800">
        <v>1</v>
      </c>
      <c r="E1104" s="800">
        <v>1</v>
      </c>
      <c r="F1104" s="800">
        <v>1</v>
      </c>
      <c r="G1104" s="800">
        <v>1</v>
      </c>
      <c r="H1104" s="800">
        <v>1</v>
      </c>
      <c r="I1104" s="800">
        <v>1</v>
      </c>
      <c r="J1104" s="800">
        <v>1</v>
      </c>
      <c r="K1104" s="800">
        <v>1</v>
      </c>
      <c r="L1104" s="800">
        <v>1</v>
      </c>
      <c r="M1104" s="800">
        <v>1</v>
      </c>
      <c r="N1104" s="800">
        <v>1</v>
      </c>
      <c r="O1104" s="800">
        <v>1</v>
      </c>
      <c r="P1104" s="800">
        <v>1</v>
      </c>
      <c r="Q1104" s="800">
        <v>1</v>
      </c>
      <c r="R1104" s="800">
        <v>1</v>
      </c>
      <c r="S1104" s="800">
        <v>1</v>
      </c>
      <c r="T1104" s="800">
        <v>1</v>
      </c>
      <c r="U1104" s="800">
        <v>1</v>
      </c>
      <c r="V1104" s="800">
        <v>1</v>
      </c>
      <c r="W1104" s="800">
        <v>1</v>
      </c>
      <c r="X1104" s="800">
        <v>1</v>
      </c>
      <c r="Y1104" s="800">
        <v>1</v>
      </c>
      <c r="Z1104" s="800">
        <v>1</v>
      </c>
      <c r="AA1104" s="800">
        <v>1</v>
      </c>
      <c r="AB1104" s="800">
        <v>1</v>
      </c>
      <c r="AC1104" s="800">
        <v>1</v>
      </c>
      <c r="AD1104" s="800">
        <v>1</v>
      </c>
      <c r="AE1104" s="800">
        <v>1</v>
      </c>
      <c r="AF1104" s="800">
        <v>1</v>
      </c>
      <c r="AG1104" s="800">
        <v>1</v>
      </c>
      <c r="AH1104" s="800">
        <v>1</v>
      </c>
      <c r="AI1104" s="800">
        <v>1</v>
      </c>
      <c r="AJ1104" s="800">
        <v>1</v>
      </c>
      <c r="AK1104" s="800">
        <v>1</v>
      </c>
      <c r="AL1104" s="800">
        <v>1</v>
      </c>
      <c r="AM1104" s="800">
        <v>1</v>
      </c>
      <c r="AN1104" s="800">
        <v>1</v>
      </c>
      <c r="AO1104" s="800">
        <v>1</v>
      </c>
      <c r="AP1104" s="800">
        <v>1</v>
      </c>
      <c r="AQ1104" s="800">
        <v>1</v>
      </c>
      <c r="AR1104" s="800">
        <v>1</v>
      </c>
      <c r="AS1104" s="800">
        <v>1</v>
      </c>
      <c r="AT1104" s="800">
        <v>1</v>
      </c>
      <c r="AU1104" s="800">
        <v>1</v>
      </c>
      <c r="AV1104" s="800">
        <v>1</v>
      </c>
      <c r="AW1104" s="800">
        <v>1</v>
      </c>
      <c r="AX1104" s="800">
        <v>1</v>
      </c>
      <c r="AY1104" s="800">
        <v>1</v>
      </c>
      <c r="AZ1104" s="361"/>
      <c r="BA1104" s="361"/>
      <c r="BB1104" s="361"/>
      <c r="BC1104" s="361"/>
      <c r="BD1104" s="361"/>
      <c r="BE1104" s="361"/>
      <c r="BF1104" s="361"/>
      <c r="BG1104" s="361"/>
      <c r="BH1104" s="799">
        <v>1</v>
      </c>
      <c r="BI1104" s="799">
        <v>1</v>
      </c>
      <c r="BJ1104" s="799">
        <v>1</v>
      </c>
      <c r="BK1104" s="799">
        <v>1</v>
      </c>
      <c r="BL1104" s="800">
        <v>1</v>
      </c>
      <c r="BM1104" s="800">
        <v>1</v>
      </c>
      <c r="BN1104" s="800">
        <v>1</v>
      </c>
      <c r="BO1104" s="800">
        <v>1</v>
      </c>
      <c r="BP1104" s="800">
        <v>1</v>
      </c>
      <c r="BQ1104" s="800">
        <v>1</v>
      </c>
      <c r="BR1104" s="800">
        <v>1</v>
      </c>
      <c r="BS1104" s="800">
        <v>1</v>
      </c>
      <c r="BT1104" s="800">
        <v>1</v>
      </c>
      <c r="BU1104" s="800">
        <v>1</v>
      </c>
      <c r="BV1104" s="800">
        <v>1</v>
      </c>
      <c r="BW1104" s="800">
        <v>1</v>
      </c>
      <c r="BX1104" s="361"/>
      <c r="BY1104" s="361"/>
      <c r="BZ1104" s="361"/>
      <c r="CA1104" s="361"/>
      <c r="CB1104" s="361"/>
      <c r="CC1104" s="176"/>
    </row>
    <row r="1105" spans="1:81" collapsed="1" x14ac:dyDescent="0.55000000000000004">
      <c r="A1105" s="417"/>
      <c r="B1105" s="603"/>
      <c r="C1105" s="362"/>
      <c r="D1105" s="363"/>
      <c r="E1105" s="363"/>
      <c r="F1105" s="363"/>
      <c r="G1105" s="363"/>
      <c r="H1105" s="363"/>
      <c r="I1105" s="363"/>
      <c r="J1105" s="363"/>
      <c r="K1105" s="363"/>
      <c r="L1105" s="363"/>
      <c r="M1105" s="363"/>
      <c r="N1105" s="363"/>
      <c r="O1105" s="363"/>
      <c r="P1105" s="363"/>
      <c r="Q1105" s="363"/>
      <c r="R1105" s="363"/>
      <c r="S1105" s="363"/>
      <c r="T1105" s="363"/>
      <c r="U1105" s="363"/>
      <c r="V1105" s="363"/>
      <c r="W1105" s="363"/>
      <c r="X1105" s="363"/>
      <c r="Y1105" s="363"/>
      <c r="Z1105" s="363"/>
      <c r="AA1105" s="363"/>
      <c r="AB1105" s="363"/>
      <c r="AC1105" s="363"/>
      <c r="AD1105" s="363"/>
      <c r="AE1105" s="363"/>
      <c r="AF1105" s="363"/>
      <c r="AG1105" s="363"/>
      <c r="AH1105" s="363"/>
      <c r="AI1105" s="363"/>
      <c r="AJ1105" s="363"/>
      <c r="AK1105" s="363"/>
      <c r="AL1105" s="363"/>
      <c r="AM1105" s="363"/>
      <c r="AN1105" s="363"/>
      <c r="AO1105" s="363"/>
      <c r="AP1105" s="363"/>
      <c r="AQ1105" s="363"/>
      <c r="AR1105" s="363"/>
      <c r="AS1105" s="363"/>
      <c r="AT1105" s="363"/>
      <c r="AU1105" s="363"/>
      <c r="AV1105" s="363"/>
      <c r="AW1105" s="363"/>
      <c r="AX1105" s="363"/>
      <c r="AY1105" s="363"/>
      <c r="AZ1105" s="363"/>
      <c r="BA1105" s="363"/>
      <c r="BB1105" s="363"/>
      <c r="BC1105" s="363"/>
      <c r="BD1105" s="363"/>
      <c r="BE1105" s="363"/>
      <c r="BF1105" s="363"/>
      <c r="BG1105" s="363"/>
      <c r="BH1105" s="362"/>
      <c r="BI1105" s="362"/>
      <c r="BJ1105" s="362"/>
      <c r="BK1105" s="362"/>
      <c r="BL1105" s="363"/>
      <c r="BM1105" s="363"/>
      <c r="BN1105" s="363"/>
      <c r="BO1105" s="363"/>
      <c r="BP1105" s="363"/>
      <c r="BQ1105" s="363"/>
      <c r="BR1105" s="363"/>
      <c r="BS1105" s="363"/>
      <c r="BT1105" s="363"/>
      <c r="BU1105" s="363"/>
      <c r="BV1105" s="363"/>
      <c r="BW1105" s="363"/>
      <c r="BX1105" s="363"/>
      <c r="BY1105" s="363"/>
      <c r="BZ1105" s="363"/>
      <c r="CA1105" s="363"/>
      <c r="CB1105" s="363"/>
      <c r="CC1105" s="176"/>
    </row>
    <row r="1106" spans="1:81" x14ac:dyDescent="0.55000000000000004">
      <c r="A1106" s="178"/>
      <c r="B1106" s="167"/>
      <c r="C1106" s="602"/>
      <c r="D1106" s="602"/>
      <c r="E1106" s="602"/>
      <c r="F1106" s="602"/>
      <c r="G1106" s="602"/>
      <c r="H1106" s="602"/>
      <c r="I1106" s="602"/>
      <c r="J1106" s="602"/>
      <c r="K1106" s="602"/>
      <c r="L1106" s="602"/>
      <c r="M1106" s="602"/>
      <c r="N1106" s="602"/>
      <c r="O1106" s="602"/>
      <c r="P1106" s="602"/>
      <c r="Q1106" s="602"/>
      <c r="R1106" s="602"/>
      <c r="S1106" s="602"/>
      <c r="T1106" s="602"/>
      <c r="U1106" s="602"/>
      <c r="V1106" s="602"/>
      <c r="W1106" s="602"/>
      <c r="X1106" s="602"/>
      <c r="Y1106" s="602"/>
      <c r="Z1106" s="602"/>
      <c r="AA1106" s="602"/>
      <c r="AB1106" s="602"/>
      <c r="AC1106" s="602"/>
      <c r="AD1106" s="602"/>
      <c r="AE1106" s="602"/>
      <c r="AF1106" s="602"/>
      <c r="AG1106" s="602"/>
      <c r="AH1106" s="602"/>
      <c r="AI1106" s="602"/>
      <c r="AJ1106" s="602"/>
      <c r="AK1106" s="602"/>
      <c r="AL1106" s="602"/>
      <c r="AM1106" s="602"/>
      <c r="AN1106" s="602"/>
      <c r="AO1106" s="602"/>
      <c r="AP1106" s="602"/>
      <c r="AQ1106" s="602"/>
      <c r="AR1106" s="602"/>
      <c r="AS1106" s="602"/>
      <c r="AT1106" s="602"/>
      <c r="AU1106" s="602"/>
      <c r="AV1106" s="602"/>
      <c r="AW1106" s="602"/>
      <c r="AX1106" s="602"/>
      <c r="AY1106" s="602"/>
      <c r="AZ1106" s="602"/>
      <c r="BA1106" s="602"/>
      <c r="BB1106" s="602"/>
      <c r="BC1106" s="602"/>
      <c r="BD1106" s="602"/>
      <c r="BE1106" s="602"/>
      <c r="BF1106" s="602"/>
      <c r="BG1106" s="602"/>
      <c r="BH1106" s="133"/>
      <c r="BI1106" s="133"/>
      <c r="BJ1106" s="602"/>
      <c r="BK1106" s="602"/>
      <c r="BL1106" s="602"/>
      <c r="BM1106" s="602"/>
      <c r="BN1106" s="602"/>
      <c r="BO1106" s="602"/>
      <c r="BP1106" s="602"/>
      <c r="BQ1106" s="602"/>
      <c r="BR1106" s="602"/>
      <c r="BS1106" s="602"/>
      <c r="BT1106" s="602"/>
      <c r="BU1106" s="602"/>
      <c r="BV1106" s="602"/>
      <c r="BW1106" s="602"/>
      <c r="BX1106" s="602"/>
      <c r="BY1106" s="602"/>
      <c r="BZ1106" s="602"/>
      <c r="CA1106" s="602"/>
      <c r="CB1106" s="602"/>
      <c r="CC1106" s="358"/>
    </row>
    <row r="1107" spans="1:81" x14ac:dyDescent="0.55000000000000004">
      <c r="A1107" s="112" t="s">
        <v>246</v>
      </c>
      <c r="B1107" s="602"/>
      <c r="C1107" s="600"/>
      <c r="D1107" s="600"/>
      <c r="E1107" s="600"/>
      <c r="F1107" s="600"/>
      <c r="G1107" s="600"/>
      <c r="H1107" s="600"/>
      <c r="I1107" s="600"/>
      <c r="J1107" s="600"/>
      <c r="K1107" s="600"/>
      <c r="L1107" s="600"/>
      <c r="M1107" s="600"/>
      <c r="N1107" s="600"/>
      <c r="O1107" s="600"/>
      <c r="P1107" s="600"/>
      <c r="Q1107" s="600"/>
      <c r="R1107" s="600"/>
      <c r="S1107" s="600"/>
      <c r="T1107" s="600"/>
      <c r="U1107" s="600"/>
      <c r="V1107" s="600"/>
      <c r="W1107" s="600"/>
      <c r="X1107" s="600"/>
      <c r="Y1107" s="600"/>
      <c r="Z1107" s="600"/>
      <c r="AA1107" s="600"/>
      <c r="AB1107" s="600"/>
      <c r="AC1107" s="600"/>
      <c r="AD1107" s="600"/>
      <c r="AE1107" s="600"/>
      <c r="AF1107" s="600"/>
      <c r="AG1107" s="600"/>
      <c r="AH1107" s="600"/>
      <c r="AI1107" s="600"/>
      <c r="AJ1107" s="600"/>
      <c r="AK1107" s="600"/>
      <c r="AL1107" s="600"/>
      <c r="AM1107" s="600"/>
      <c r="AN1107" s="600"/>
      <c r="AO1107" s="600"/>
      <c r="AP1107" s="600"/>
      <c r="AQ1107" s="600"/>
      <c r="AR1107" s="600"/>
      <c r="AS1107" s="600"/>
      <c r="AT1107" s="600"/>
      <c r="AU1107" s="600"/>
      <c r="AV1107" s="600"/>
      <c r="AW1107" s="600"/>
      <c r="AX1107" s="600"/>
      <c r="AY1107" s="600"/>
      <c r="AZ1107" s="600"/>
      <c r="BA1107" s="600"/>
      <c r="BB1107" s="600"/>
      <c r="BC1107" s="600"/>
      <c r="BD1107" s="600"/>
      <c r="BE1107" s="600"/>
      <c r="BF1107" s="600"/>
      <c r="BG1107" s="600"/>
      <c r="BH1107" s="600"/>
      <c r="BI1107" s="600"/>
      <c r="BJ1107" s="600"/>
      <c r="BK1107" s="600"/>
      <c r="BL1107" s="600"/>
      <c r="BM1107" s="600"/>
      <c r="BN1107" s="600"/>
      <c r="BO1107" s="600"/>
      <c r="BP1107" s="600"/>
      <c r="BQ1107" s="600"/>
      <c r="BR1107" s="600"/>
      <c r="BS1107" s="600"/>
      <c r="BT1107" s="600"/>
      <c r="BU1107" s="600"/>
      <c r="BV1107" s="600"/>
      <c r="BW1107" s="600"/>
      <c r="BX1107" s="600"/>
      <c r="BY1107" s="600"/>
      <c r="BZ1107" s="600"/>
      <c r="CA1107" s="600"/>
      <c r="CB1107" s="600"/>
      <c r="CC1107" s="358"/>
    </row>
    <row r="1108" spans="1:81" x14ac:dyDescent="0.55000000000000004">
      <c r="A1108" s="136" t="s">
        <v>247</v>
      </c>
      <c r="B1108" s="134">
        <f>FP.LastPrice</f>
        <v>554.44000000000005</v>
      </c>
      <c r="C1108" s="134"/>
      <c r="D1108" s="134"/>
      <c r="E1108" s="134"/>
      <c r="F1108" s="134"/>
      <c r="G1108" s="134"/>
      <c r="H1108" s="134"/>
      <c r="I1108" s="134"/>
      <c r="J1108" s="134"/>
      <c r="K1108" s="134"/>
      <c r="L1108" s="134"/>
      <c r="M1108" s="134"/>
      <c r="N1108" s="134"/>
      <c r="O1108" s="134"/>
      <c r="P1108" s="134"/>
      <c r="Q1108" s="134"/>
      <c r="R1108" s="134"/>
      <c r="S1108" s="134"/>
      <c r="T1108" s="134"/>
      <c r="U1108" s="134"/>
      <c r="V1108" s="134"/>
      <c r="W1108" s="134"/>
      <c r="X1108" s="134"/>
      <c r="Y1108" s="134"/>
      <c r="Z1108" s="134"/>
      <c r="AA1108" s="134"/>
      <c r="AB1108" s="134"/>
      <c r="AC1108" s="134"/>
      <c r="AD1108" s="134"/>
      <c r="AE1108" s="134"/>
      <c r="AF1108" s="134"/>
      <c r="AG1108" s="134"/>
      <c r="AH1108" s="134"/>
      <c r="AI1108" s="134"/>
      <c r="AJ1108" s="134"/>
      <c r="AK1108" s="134"/>
      <c r="AL1108" s="134"/>
      <c r="AM1108" s="134"/>
      <c r="AN1108" s="134"/>
      <c r="AO1108" s="134"/>
      <c r="AP1108" s="134"/>
      <c r="AQ1108" s="134"/>
      <c r="AR1108" s="134"/>
      <c r="AS1108" s="134"/>
      <c r="AT1108" s="134"/>
      <c r="AU1108" s="134"/>
      <c r="AV1108" s="134"/>
      <c r="AW1108" s="134"/>
      <c r="AX1108" s="134"/>
      <c r="AY1108" s="134"/>
      <c r="AZ1108" s="134"/>
      <c r="BA1108" s="134"/>
      <c r="BB1108" s="134"/>
      <c r="BC1108" s="134"/>
      <c r="BD1108" s="134"/>
      <c r="BE1108" s="134"/>
      <c r="BF1108" s="134"/>
      <c r="BG1108" s="134"/>
      <c r="BH1108" s="134"/>
      <c r="BI1108" s="134"/>
      <c r="BJ1108" s="134"/>
      <c r="BK1108" s="134"/>
      <c r="BL1108" s="134"/>
      <c r="BM1108" s="134"/>
      <c r="BN1108" s="134"/>
      <c r="BO1108" s="134"/>
      <c r="BP1108" s="134"/>
      <c r="BQ1108" s="134"/>
      <c r="BR1108" s="134"/>
      <c r="BS1108" s="134"/>
      <c r="BT1108" s="134"/>
      <c r="BU1108" s="134"/>
      <c r="BV1108" s="134"/>
      <c r="BW1108" s="134"/>
      <c r="BX1108" s="134"/>
      <c r="BY1108" s="134"/>
      <c r="BZ1108" s="134"/>
      <c r="CA1108" s="134"/>
      <c r="CB1108" s="134"/>
      <c r="CC1108" s="113"/>
    </row>
    <row r="1109" spans="1:81" x14ac:dyDescent="0.55000000000000004">
      <c r="A1109" s="114" t="s">
        <v>248</v>
      </c>
      <c r="B1109" s="282">
        <f>FP.LastPriceDate</f>
        <v>45776</v>
      </c>
      <c r="C1109" s="126"/>
      <c r="D1109" s="126"/>
      <c r="E1109" s="126"/>
      <c r="F1109" s="126"/>
      <c r="G1109" s="126"/>
      <c r="H1109" s="126"/>
      <c r="I1109" s="126"/>
      <c r="J1109" s="126"/>
      <c r="K1109" s="126"/>
      <c r="L1109" s="126"/>
      <c r="M1109" s="126"/>
      <c r="N1109" s="126"/>
      <c r="O1109" s="126"/>
      <c r="P1109" s="126"/>
      <c r="Q1109" s="126"/>
      <c r="R1109" s="126"/>
      <c r="S1109" s="126"/>
      <c r="T1109" s="126"/>
      <c r="U1109" s="126"/>
      <c r="V1109" s="126"/>
      <c r="W1109" s="126"/>
      <c r="X1109" s="126"/>
      <c r="Y1109" s="126"/>
      <c r="Z1109" s="126"/>
      <c r="AA1109" s="126"/>
      <c r="AB1109" s="126"/>
      <c r="AC1109" s="126"/>
      <c r="AD1109" s="126"/>
      <c r="AE1109" s="126"/>
      <c r="AF1109" s="126"/>
      <c r="AG1109" s="126"/>
      <c r="AH1109" s="126"/>
      <c r="AI1109" s="126"/>
      <c r="AJ1109" s="126"/>
      <c r="AK1109" s="126"/>
      <c r="AL1109" s="126"/>
      <c r="AM1109" s="126"/>
      <c r="AN1109" s="126"/>
      <c r="AO1109" s="126"/>
      <c r="AP1109" s="126"/>
      <c r="AQ1109" s="126"/>
      <c r="AR1109" s="126"/>
      <c r="AS1109" s="126"/>
      <c r="AT1109" s="126"/>
      <c r="AU1109" s="126"/>
      <c r="AV1109" s="126"/>
      <c r="AW1109" s="126"/>
      <c r="AX1109" s="126"/>
      <c r="AY1109" s="126"/>
      <c r="AZ1109" s="126"/>
      <c r="BA1109" s="126"/>
      <c r="BB1109" s="126"/>
      <c r="BC1109" s="126"/>
      <c r="BD1109" s="126"/>
      <c r="BE1109" s="126"/>
      <c r="BF1109" s="126"/>
      <c r="BG1109" s="126"/>
      <c r="BH1109" s="126"/>
      <c r="BI1109" s="126"/>
      <c r="BJ1109" s="126"/>
      <c r="BK1109" s="126"/>
      <c r="BL1109" s="126"/>
      <c r="BM1109" s="126"/>
      <c r="BN1109" s="126"/>
      <c r="BO1109" s="126"/>
      <c r="BP1109" s="126"/>
      <c r="BQ1109" s="126"/>
      <c r="BR1109" s="126"/>
      <c r="BS1109" s="126"/>
      <c r="BT1109" s="126"/>
      <c r="BU1109" s="126"/>
      <c r="BV1109" s="126"/>
      <c r="BW1109" s="126"/>
      <c r="BX1109" s="126"/>
      <c r="BY1109" s="126"/>
      <c r="BZ1109" s="126"/>
      <c r="CA1109" s="126"/>
      <c r="CB1109" s="126"/>
      <c r="CC1109" s="115"/>
    </row>
    <row r="1110" spans="1:81" x14ac:dyDescent="0.55000000000000004">
      <c r="A1110" s="114" t="s">
        <v>249</v>
      </c>
      <c r="B1110" s="115" t="b">
        <f>IF(FP.RealTimeToggle="ON",TRUE,FALSE)</f>
        <v>0</v>
      </c>
      <c r="C1110" s="126"/>
      <c r="D1110" s="126"/>
      <c r="E1110" s="126"/>
      <c r="F1110" s="126"/>
      <c r="G1110" s="126"/>
      <c r="H1110" s="126"/>
      <c r="I1110" s="126"/>
      <c r="J1110" s="126"/>
      <c r="K1110" s="126"/>
      <c r="L1110" s="126"/>
      <c r="M1110" s="126"/>
      <c r="N1110" s="126"/>
      <c r="O1110" s="126"/>
      <c r="P1110" s="126"/>
      <c r="Q1110" s="126"/>
      <c r="R1110" s="126"/>
      <c r="S1110" s="126"/>
      <c r="T1110" s="126"/>
      <c r="U1110" s="126"/>
      <c r="V1110" s="126"/>
      <c r="W1110" s="126"/>
      <c r="X1110" s="126"/>
      <c r="Y1110" s="126"/>
      <c r="Z1110" s="126"/>
      <c r="AA1110" s="126"/>
      <c r="AB1110" s="126"/>
      <c r="AC1110" s="126"/>
      <c r="AD1110" s="126"/>
      <c r="AE1110" s="126"/>
      <c r="AF1110" s="126"/>
      <c r="AG1110" s="126"/>
      <c r="AH1110" s="126"/>
      <c r="AI1110" s="126"/>
      <c r="AJ1110" s="126"/>
      <c r="AK1110" s="126"/>
      <c r="AL1110" s="126"/>
      <c r="AM1110" s="126"/>
      <c r="AN1110" s="126"/>
      <c r="AO1110" s="126"/>
      <c r="AP1110" s="126"/>
      <c r="AQ1110" s="126"/>
      <c r="AR1110" s="126"/>
      <c r="AS1110" s="126"/>
      <c r="AT1110" s="126"/>
      <c r="AU1110" s="126"/>
      <c r="AV1110" s="126"/>
      <c r="AW1110" s="126"/>
      <c r="AX1110" s="126"/>
      <c r="AY1110" s="126"/>
      <c r="AZ1110" s="126"/>
      <c r="BA1110" s="126"/>
      <c r="BB1110" s="126"/>
      <c r="BC1110" s="126"/>
      <c r="BD1110" s="126"/>
      <c r="BE1110" s="126"/>
      <c r="BF1110" s="126"/>
      <c r="BG1110" s="126"/>
      <c r="BH1110" s="126"/>
      <c r="BI1110" s="126"/>
      <c r="BJ1110" s="126"/>
      <c r="BK1110" s="126"/>
      <c r="BL1110" s="126"/>
      <c r="BM1110" s="126"/>
      <c r="BN1110" s="126"/>
      <c r="BO1110" s="126"/>
      <c r="BP1110" s="126"/>
      <c r="BQ1110" s="126"/>
      <c r="BR1110" s="126"/>
      <c r="BS1110" s="126"/>
      <c r="BT1110" s="126"/>
      <c r="BU1110" s="126"/>
      <c r="BV1110" s="126"/>
      <c r="BW1110" s="126"/>
      <c r="BX1110" s="126"/>
      <c r="BY1110" s="126"/>
      <c r="BZ1110" s="126"/>
      <c r="CA1110" s="126"/>
      <c r="CB1110" s="126"/>
      <c r="CC1110" s="115"/>
    </row>
    <row r="1111" spans="1:81" x14ac:dyDescent="0.55000000000000004">
      <c r="A1111" s="136" t="s">
        <v>250</v>
      </c>
      <c r="B1111" s="113" t="str">
        <f ca="1">IFERROR(CHOOSE(MO.DataSourceIndex,BDP(MO.Ticker.Bloomberg&amp;" EQUITY","LAST_PRICE"),CIQ(MO.Ticker.CapIQ,"IQ_LASTSALEPRICE"),FDS(MO.Ticker.FactSet,"FG_PRICE(NOW)"),_xll.TR(MO.Ticker.Thomson,"TRDPRC_1")),"N/A")</f>
        <v>N/A</v>
      </c>
      <c r="C1111" s="134"/>
      <c r="D1111" s="134"/>
      <c r="E1111" s="134"/>
      <c r="F1111" s="134"/>
      <c r="G1111" s="134"/>
      <c r="H1111" s="134"/>
      <c r="I1111" s="134"/>
      <c r="J1111" s="134"/>
      <c r="K1111" s="134"/>
      <c r="L1111" s="134"/>
      <c r="M1111" s="134"/>
      <c r="N1111" s="134"/>
      <c r="O1111" s="134"/>
      <c r="P1111" s="134"/>
      <c r="Q1111" s="134"/>
      <c r="R1111" s="134"/>
      <c r="S1111" s="134"/>
      <c r="T1111" s="134"/>
      <c r="U1111" s="134"/>
      <c r="V1111" s="134"/>
      <c r="W1111" s="134"/>
      <c r="X1111" s="134"/>
      <c r="Y1111" s="134"/>
      <c r="Z1111" s="134"/>
      <c r="AA1111" s="134"/>
      <c r="AB1111" s="134"/>
      <c r="AC1111" s="134"/>
      <c r="AD1111" s="134"/>
      <c r="AE1111" s="134"/>
      <c r="AF1111" s="134"/>
      <c r="AG1111" s="134"/>
      <c r="AH1111" s="134"/>
      <c r="AI1111" s="134"/>
      <c r="AJ1111" s="134"/>
      <c r="AK1111" s="134"/>
      <c r="AL1111" s="134"/>
      <c r="AM1111" s="134"/>
      <c r="AN1111" s="134"/>
      <c r="AO1111" s="134"/>
      <c r="AP1111" s="134"/>
      <c r="AQ1111" s="134"/>
      <c r="AR1111" s="134"/>
      <c r="AS1111" s="134"/>
      <c r="AT1111" s="134"/>
      <c r="AU1111" s="134"/>
      <c r="AV1111" s="134"/>
      <c r="AW1111" s="134"/>
      <c r="AX1111" s="134"/>
      <c r="AY1111" s="134"/>
      <c r="AZ1111" s="134"/>
      <c r="BA1111" s="134"/>
      <c r="BB1111" s="134"/>
      <c r="BC1111" s="134"/>
      <c r="BD1111" s="134"/>
      <c r="BE1111" s="134"/>
      <c r="BF1111" s="134"/>
      <c r="BG1111" s="134"/>
      <c r="BH1111" s="134"/>
      <c r="BI1111" s="134"/>
      <c r="BJ1111" s="134"/>
      <c r="BK1111" s="134"/>
      <c r="BL1111" s="134"/>
      <c r="BM1111" s="134"/>
      <c r="BN1111" s="134"/>
      <c r="BO1111" s="134"/>
      <c r="BP1111" s="134"/>
      <c r="BQ1111" s="134"/>
      <c r="BR1111" s="134"/>
      <c r="BS1111" s="134"/>
      <c r="BT1111" s="134"/>
      <c r="BU1111" s="134"/>
      <c r="BV1111" s="134"/>
      <c r="BW1111" s="134"/>
      <c r="BX1111" s="134"/>
      <c r="BY1111" s="134"/>
      <c r="BZ1111" s="134"/>
      <c r="CA1111" s="134"/>
      <c r="CB1111" s="134"/>
      <c r="CC1111" s="113"/>
    </row>
    <row r="1112" spans="1:81" x14ac:dyDescent="0.55000000000000004">
      <c r="A1112" s="136" t="s">
        <v>692</v>
      </c>
      <c r="B1112" s="113" t="b">
        <f>OR(AND(OR(EXACT(HP.TradeCurrency.HardCoded,"GBp"),EXACT(HP.TradeCurrency.HardCoded,"GBX")),EXACT(HP.ReportCurrency,"GBP")),AND(OR(EXACT(HP.TradeCurrency.HardCoded,"ZAc"),EXACT(HP.TradeCurrency.HardCoded,"ZAC")),EXACT(HP.ReportCurrency,"ZAR")))</f>
        <v>0</v>
      </c>
      <c r="C1112" s="134"/>
      <c r="D1112" s="134"/>
      <c r="E1112" s="134"/>
      <c r="F1112" s="134"/>
      <c r="G1112" s="134"/>
      <c r="H1112" s="134"/>
      <c r="I1112" s="134"/>
      <c r="J1112" s="134"/>
      <c r="K1112" s="134"/>
      <c r="L1112" s="134"/>
      <c r="M1112" s="134"/>
      <c r="N1112" s="134"/>
      <c r="O1112" s="134"/>
      <c r="P1112" s="134"/>
      <c r="Q1112" s="134"/>
      <c r="R1112" s="134"/>
      <c r="S1112" s="134"/>
      <c r="T1112" s="134"/>
      <c r="U1112" s="134"/>
      <c r="V1112" s="134"/>
      <c r="W1112" s="134"/>
      <c r="X1112" s="134"/>
      <c r="Y1112" s="134"/>
      <c r="Z1112" s="134"/>
      <c r="AA1112" s="134"/>
      <c r="AB1112" s="134"/>
      <c r="AC1112" s="134"/>
      <c r="AD1112" s="134"/>
      <c r="AE1112" s="134"/>
      <c r="AF1112" s="134"/>
      <c r="AG1112" s="134"/>
      <c r="AH1112" s="134"/>
      <c r="AI1112" s="134"/>
      <c r="AJ1112" s="134"/>
      <c r="AK1112" s="134"/>
      <c r="AL1112" s="134"/>
      <c r="AM1112" s="134"/>
      <c r="AN1112" s="134"/>
      <c r="AO1112" s="134"/>
      <c r="AP1112" s="134"/>
      <c r="AQ1112" s="134"/>
      <c r="AR1112" s="134"/>
      <c r="AS1112" s="134"/>
      <c r="AT1112" s="134"/>
      <c r="AU1112" s="134"/>
      <c r="AV1112" s="134"/>
      <c r="AW1112" s="134"/>
      <c r="AX1112" s="134"/>
      <c r="AY1112" s="134"/>
      <c r="AZ1112" s="134"/>
      <c r="BA1112" s="134"/>
      <c r="BB1112" s="134"/>
      <c r="BC1112" s="134"/>
      <c r="BD1112" s="134"/>
      <c r="BE1112" s="134"/>
      <c r="BF1112" s="134"/>
      <c r="BG1112" s="134"/>
      <c r="BH1112" s="134"/>
      <c r="BI1112" s="134"/>
      <c r="BJ1112" s="134"/>
      <c r="BK1112" s="134"/>
      <c r="BL1112" s="134"/>
      <c r="BM1112" s="134"/>
      <c r="BN1112" s="134"/>
      <c r="BO1112" s="134"/>
      <c r="BP1112" s="134"/>
      <c r="BQ1112" s="134"/>
      <c r="BR1112" s="134"/>
      <c r="BS1112" s="134"/>
      <c r="BT1112" s="134"/>
      <c r="BU1112" s="134"/>
      <c r="BV1112" s="134"/>
      <c r="BW1112" s="134"/>
      <c r="BX1112" s="134"/>
      <c r="BY1112" s="134"/>
      <c r="BZ1112" s="134"/>
      <c r="CA1112" s="134"/>
      <c r="CB1112" s="134"/>
      <c r="CC1112" s="113"/>
    </row>
    <row r="1113" spans="1:81" x14ac:dyDescent="0.55000000000000004">
      <c r="A1113" s="136" t="s">
        <v>251</v>
      </c>
      <c r="B1113" s="113" t="str">
        <f ca="1">IFERROR(CHOOSE(MO.DataSourceIndex,BDP(HP.Ticker&amp;" Equity","CRNCY"),CIQ(HP.Ticker,"IQ_TRADING_CURRENCY"),FDS(HP.Ticker,"P_CURRENCY(""ISO"")"),_xll.TR(HP.Ticker,"Currency")),HP.TradeCurrency.HardCoded)</f>
        <v>USD</v>
      </c>
      <c r="C1113" s="134"/>
      <c r="D1113" s="134"/>
      <c r="E1113" s="134"/>
      <c r="F1113" s="134"/>
      <c r="G1113" s="134"/>
      <c r="H1113" s="134"/>
      <c r="I1113" s="134"/>
      <c r="J1113" s="134"/>
      <c r="K1113" s="134"/>
      <c r="L1113" s="134"/>
      <c r="M1113" s="134"/>
      <c r="N1113" s="134"/>
      <c r="O1113" s="134"/>
      <c r="P1113" s="134"/>
      <c r="Q1113" s="134"/>
      <c r="R1113" s="134"/>
      <c r="S1113" s="134"/>
      <c r="T1113" s="134"/>
      <c r="U1113" s="134"/>
      <c r="V1113" s="134"/>
      <c r="W1113" s="134"/>
      <c r="X1113" s="134"/>
      <c r="Y1113" s="134"/>
      <c r="Z1113" s="134"/>
      <c r="AA1113" s="134"/>
      <c r="AB1113" s="134"/>
      <c r="AC1113" s="134"/>
      <c r="AD1113" s="134"/>
      <c r="AE1113" s="134"/>
      <c r="AF1113" s="134"/>
      <c r="AG1113" s="134"/>
      <c r="AH1113" s="134"/>
      <c r="AI1113" s="134"/>
      <c r="AJ1113" s="134"/>
      <c r="AK1113" s="134"/>
      <c r="AL1113" s="134"/>
      <c r="AM1113" s="134"/>
      <c r="AN1113" s="134"/>
      <c r="AO1113" s="134"/>
      <c r="AP1113" s="134"/>
      <c r="AQ1113" s="134"/>
      <c r="AR1113" s="134"/>
      <c r="AS1113" s="134"/>
      <c r="AT1113" s="134"/>
      <c r="AU1113" s="134"/>
      <c r="AV1113" s="134"/>
      <c r="AW1113" s="134"/>
      <c r="AX1113" s="134"/>
      <c r="AY1113" s="134"/>
      <c r="AZ1113" s="134"/>
      <c r="BA1113" s="134"/>
      <c r="BB1113" s="134"/>
      <c r="BC1113" s="134"/>
      <c r="BD1113" s="134"/>
      <c r="BE1113" s="134"/>
      <c r="BF1113" s="134"/>
      <c r="BG1113" s="134"/>
      <c r="BH1113" s="134"/>
      <c r="BI1113" s="134"/>
      <c r="BJ1113" s="134"/>
      <c r="BK1113" s="134"/>
      <c r="BL1113" s="134"/>
      <c r="BM1113" s="134"/>
      <c r="BN1113" s="134"/>
      <c r="BO1113" s="134"/>
      <c r="BP1113" s="134"/>
      <c r="BQ1113" s="134"/>
      <c r="BR1113" s="134"/>
      <c r="BS1113" s="134"/>
      <c r="BT1113" s="134"/>
      <c r="BU1113" s="134"/>
      <c r="BV1113" s="134"/>
      <c r="BW1113" s="134"/>
      <c r="BX1113" s="134"/>
      <c r="BY1113" s="134"/>
      <c r="BZ1113" s="134"/>
      <c r="CA1113" s="134"/>
      <c r="CB1113" s="134"/>
      <c r="CC1113" s="113"/>
    </row>
    <row r="1114" spans="1:81" x14ac:dyDescent="0.55000000000000004">
      <c r="A1114" s="136" t="s">
        <v>252</v>
      </c>
      <c r="B1114" s="798" t="s">
        <v>10</v>
      </c>
      <c r="C1114" s="134"/>
      <c r="D1114" s="134"/>
      <c r="E1114" s="134"/>
      <c r="F1114" s="134"/>
      <c r="G1114" s="134"/>
      <c r="H1114" s="134"/>
      <c r="I1114" s="134"/>
      <c r="J1114" s="134"/>
      <c r="K1114" s="134"/>
      <c r="L1114" s="134"/>
      <c r="M1114" s="134"/>
      <c r="N1114" s="134"/>
      <c r="O1114" s="134"/>
      <c r="P1114" s="134"/>
      <c r="Q1114" s="134"/>
      <c r="R1114" s="134"/>
      <c r="S1114" s="134"/>
      <c r="T1114" s="134"/>
      <c r="U1114" s="134"/>
      <c r="V1114" s="134"/>
      <c r="W1114" s="134"/>
      <c r="X1114" s="134"/>
      <c r="Y1114" s="134"/>
      <c r="Z1114" s="134"/>
      <c r="AA1114" s="134"/>
      <c r="AB1114" s="134"/>
      <c r="AC1114" s="134"/>
      <c r="AD1114" s="134"/>
      <c r="AE1114" s="134"/>
      <c r="AF1114" s="134"/>
      <c r="AG1114" s="134"/>
      <c r="AH1114" s="134"/>
      <c r="AI1114" s="134"/>
      <c r="AJ1114" s="134"/>
      <c r="AK1114" s="134"/>
      <c r="AL1114" s="134"/>
      <c r="AM1114" s="134"/>
      <c r="AN1114" s="134"/>
      <c r="AO1114" s="134"/>
      <c r="AP1114" s="134"/>
      <c r="AQ1114" s="134"/>
      <c r="AR1114" s="134"/>
      <c r="AS1114" s="134"/>
      <c r="AT1114" s="134"/>
      <c r="AU1114" s="134"/>
      <c r="AV1114" s="134"/>
      <c r="AW1114" s="134"/>
      <c r="AX1114" s="134"/>
      <c r="AY1114" s="134"/>
      <c r="AZ1114" s="134"/>
      <c r="BA1114" s="134"/>
      <c r="BB1114" s="134"/>
      <c r="BC1114" s="134"/>
      <c r="BD1114" s="134"/>
      <c r="BE1114" s="134"/>
      <c r="BF1114" s="134"/>
      <c r="BG1114" s="134"/>
      <c r="BH1114" s="134"/>
      <c r="BI1114" s="134"/>
      <c r="BJ1114" s="134"/>
      <c r="BK1114" s="134"/>
      <c r="BL1114" s="134"/>
      <c r="BM1114" s="134"/>
      <c r="BN1114" s="134"/>
      <c r="BO1114" s="134"/>
      <c r="BP1114" s="134"/>
      <c r="BQ1114" s="134"/>
      <c r="BR1114" s="134"/>
      <c r="BS1114" s="134"/>
      <c r="BT1114" s="134"/>
      <c r="BU1114" s="134"/>
      <c r="BV1114" s="134"/>
      <c r="BW1114" s="134"/>
      <c r="BX1114" s="134"/>
      <c r="BY1114" s="134"/>
      <c r="BZ1114" s="134"/>
      <c r="CA1114" s="134"/>
      <c r="CB1114" s="134"/>
      <c r="CC1114" s="113"/>
    </row>
    <row r="1115" spans="1:81" x14ac:dyDescent="0.55000000000000004">
      <c r="A1115" s="136" t="s">
        <v>253</v>
      </c>
      <c r="B1115" s="798" t="s">
        <v>10</v>
      </c>
      <c r="C1115" s="134"/>
      <c r="D1115" s="134"/>
      <c r="E1115" s="134"/>
      <c r="F1115" s="134"/>
      <c r="G1115" s="134"/>
      <c r="H1115" s="134"/>
      <c r="I1115" s="134"/>
      <c r="J1115" s="134"/>
      <c r="K1115" s="134"/>
      <c r="L1115" s="134"/>
      <c r="M1115" s="134"/>
      <c r="N1115" s="134"/>
      <c r="O1115" s="134"/>
      <c r="P1115" s="134"/>
      <c r="Q1115" s="134"/>
      <c r="R1115" s="134"/>
      <c r="S1115" s="134"/>
      <c r="T1115" s="134"/>
      <c r="U1115" s="134"/>
      <c r="V1115" s="134"/>
      <c r="W1115" s="134"/>
      <c r="X1115" s="134"/>
      <c r="Y1115" s="134"/>
      <c r="Z1115" s="134"/>
      <c r="AA1115" s="134"/>
      <c r="AB1115" s="134"/>
      <c r="AC1115" s="134"/>
      <c r="AD1115" s="134"/>
      <c r="AE1115" s="134"/>
      <c r="AF1115" s="134"/>
      <c r="AG1115" s="134"/>
      <c r="AH1115" s="134"/>
      <c r="AI1115" s="134"/>
      <c r="AJ1115" s="134"/>
      <c r="AK1115" s="134"/>
      <c r="AL1115" s="134"/>
      <c r="AM1115" s="134"/>
      <c r="AN1115" s="134"/>
      <c r="AO1115" s="134"/>
      <c r="AP1115" s="134"/>
      <c r="AQ1115" s="134"/>
      <c r="AR1115" s="134"/>
      <c r="AS1115" s="134"/>
      <c r="AT1115" s="134"/>
      <c r="AU1115" s="134"/>
      <c r="AV1115" s="134"/>
      <c r="AW1115" s="134"/>
      <c r="AX1115" s="134"/>
      <c r="AY1115" s="134"/>
      <c r="AZ1115" s="134"/>
      <c r="BA1115" s="134"/>
      <c r="BB1115" s="134"/>
      <c r="BC1115" s="134"/>
      <c r="BD1115" s="134"/>
      <c r="BE1115" s="134"/>
      <c r="BF1115" s="134"/>
      <c r="BG1115" s="134"/>
      <c r="BH1115" s="134"/>
      <c r="BI1115" s="134"/>
      <c r="BJ1115" s="134"/>
      <c r="BK1115" s="134"/>
      <c r="BL1115" s="134"/>
      <c r="BM1115" s="134"/>
      <c r="BN1115" s="134"/>
      <c r="BO1115" s="134"/>
      <c r="BP1115" s="134"/>
      <c r="BQ1115" s="134"/>
      <c r="BR1115" s="134"/>
      <c r="BS1115" s="134"/>
      <c r="BT1115" s="134"/>
      <c r="BU1115" s="134"/>
      <c r="BV1115" s="134"/>
      <c r="BW1115" s="134"/>
      <c r="BX1115" s="134"/>
      <c r="BY1115" s="134"/>
      <c r="BZ1115" s="134"/>
      <c r="CA1115" s="134"/>
      <c r="CB1115" s="134"/>
      <c r="CC1115" s="113"/>
    </row>
    <row r="1116" spans="1:81" x14ac:dyDescent="0.55000000000000004">
      <c r="A1116" s="136" t="s">
        <v>254</v>
      </c>
      <c r="B1116" s="135">
        <f ca="1">IF(EXACT(MO.ReportFX,HP.TradeCurrency),1,IF(OR(INDEX(MO_SPT_FXAverage,1,MO.MRFPColumnNumber+1)="N/A",ISERROR(INDEX(MO_SPT_FXAverage,1,MO.MRFPColumnNumber+1))),MO.MRFX.Hardcoded,INDEX(MO_SPT_FXAverage,1,MO.MRFPColumnNumber+1)))</f>
        <v>1</v>
      </c>
      <c r="C1116" s="134"/>
      <c r="D1116" s="134"/>
      <c r="E1116" s="134"/>
      <c r="F1116" s="134"/>
      <c r="G1116" s="134"/>
      <c r="H1116" s="134"/>
      <c r="I1116" s="134"/>
      <c r="J1116" s="134"/>
      <c r="K1116" s="134"/>
      <c r="L1116" s="134"/>
      <c r="M1116" s="134"/>
      <c r="N1116" s="134"/>
      <c r="O1116" s="134"/>
      <c r="P1116" s="134"/>
      <c r="Q1116" s="134"/>
      <c r="R1116" s="134"/>
      <c r="S1116" s="134"/>
      <c r="T1116" s="134"/>
      <c r="U1116" s="134"/>
      <c r="V1116" s="134"/>
      <c r="W1116" s="134"/>
      <c r="X1116" s="134"/>
      <c r="Y1116" s="134"/>
      <c r="Z1116" s="134"/>
      <c r="AA1116" s="134"/>
      <c r="AB1116" s="134"/>
      <c r="AC1116" s="134"/>
      <c r="AD1116" s="134"/>
      <c r="AE1116" s="134"/>
      <c r="AF1116" s="134"/>
      <c r="AG1116" s="134"/>
      <c r="AH1116" s="134"/>
      <c r="AI1116" s="134"/>
      <c r="AJ1116" s="134"/>
      <c r="AK1116" s="134"/>
      <c r="AL1116" s="134"/>
      <c r="AM1116" s="134"/>
      <c r="AN1116" s="134"/>
      <c r="AO1116" s="134"/>
      <c r="AP1116" s="134"/>
      <c r="AQ1116" s="134"/>
      <c r="AR1116" s="134"/>
      <c r="AS1116" s="134"/>
      <c r="AT1116" s="134"/>
      <c r="AU1116" s="134"/>
      <c r="AV1116" s="134"/>
      <c r="AW1116" s="134"/>
      <c r="AX1116" s="134"/>
      <c r="AY1116" s="134"/>
      <c r="AZ1116" s="134"/>
      <c r="BA1116" s="134"/>
      <c r="BB1116" s="134"/>
      <c r="BC1116" s="134"/>
      <c r="BD1116" s="134"/>
      <c r="BE1116" s="134"/>
      <c r="BF1116" s="134"/>
      <c r="BG1116" s="134"/>
      <c r="BH1116" s="134"/>
      <c r="BI1116" s="134"/>
      <c r="BJ1116" s="134"/>
      <c r="BK1116" s="134"/>
      <c r="BL1116" s="134"/>
      <c r="BM1116" s="134"/>
      <c r="BN1116" s="134"/>
      <c r="BO1116" s="134"/>
      <c r="BP1116" s="134"/>
      <c r="BQ1116" s="134"/>
      <c r="BR1116" s="134"/>
      <c r="BS1116" s="134"/>
      <c r="BT1116" s="134"/>
      <c r="BU1116" s="134"/>
      <c r="BV1116" s="134"/>
      <c r="BW1116" s="134"/>
      <c r="BX1116" s="134"/>
      <c r="BY1116" s="134"/>
      <c r="BZ1116" s="134"/>
      <c r="CA1116" s="134"/>
      <c r="CB1116" s="134"/>
      <c r="CC1116" s="113"/>
    </row>
    <row r="1117" spans="1:81" x14ac:dyDescent="0.55000000000000004">
      <c r="A1117" s="136" t="s">
        <v>255</v>
      </c>
      <c r="B1117" s="800">
        <v>1</v>
      </c>
      <c r="C1117" s="134"/>
      <c r="D1117" s="134"/>
      <c r="E1117" s="134"/>
      <c r="F1117" s="134"/>
      <c r="G1117" s="134"/>
      <c r="H1117" s="134"/>
      <c r="I1117" s="134"/>
      <c r="J1117" s="134"/>
      <c r="K1117" s="134"/>
      <c r="L1117" s="134"/>
      <c r="M1117" s="134"/>
      <c r="N1117" s="134"/>
      <c r="O1117" s="134"/>
      <c r="P1117" s="134"/>
      <c r="Q1117" s="134"/>
      <c r="R1117" s="134"/>
      <c r="S1117" s="134"/>
      <c r="T1117" s="134"/>
      <c r="U1117" s="134"/>
      <c r="V1117" s="134"/>
      <c r="W1117" s="134"/>
      <c r="X1117" s="134"/>
      <c r="Y1117" s="134"/>
      <c r="Z1117" s="134"/>
      <c r="AA1117" s="134"/>
      <c r="AB1117" s="134"/>
      <c r="AC1117" s="134"/>
      <c r="AD1117" s="134"/>
      <c r="AE1117" s="134"/>
      <c r="AF1117" s="134"/>
      <c r="AG1117" s="134"/>
      <c r="AH1117" s="134"/>
      <c r="AI1117" s="134"/>
      <c r="AJ1117" s="134"/>
      <c r="AK1117" s="134"/>
      <c r="AL1117" s="134"/>
      <c r="AM1117" s="134"/>
      <c r="AN1117" s="134"/>
      <c r="AO1117" s="134"/>
      <c r="AP1117" s="134"/>
      <c r="AQ1117" s="134"/>
      <c r="AR1117" s="134"/>
      <c r="AS1117" s="134"/>
      <c r="AT1117" s="134"/>
      <c r="AU1117" s="134"/>
      <c r="AV1117" s="134"/>
      <c r="AW1117" s="134"/>
      <c r="AX1117" s="134"/>
      <c r="AY1117" s="134"/>
      <c r="AZ1117" s="134"/>
      <c r="BA1117" s="134"/>
      <c r="BB1117" s="134"/>
      <c r="BC1117" s="134"/>
      <c r="BD1117" s="134"/>
      <c r="BE1117" s="134"/>
      <c r="BF1117" s="134"/>
      <c r="BG1117" s="134"/>
      <c r="BH1117" s="134"/>
      <c r="BI1117" s="134"/>
      <c r="BJ1117" s="134"/>
      <c r="BK1117" s="134"/>
      <c r="BL1117" s="134"/>
      <c r="BM1117" s="134"/>
      <c r="BN1117" s="134"/>
      <c r="BO1117" s="134"/>
      <c r="BP1117" s="134"/>
      <c r="BQ1117" s="134"/>
      <c r="BR1117" s="134"/>
      <c r="BS1117" s="134"/>
      <c r="BT1117" s="134"/>
      <c r="BU1117" s="134"/>
      <c r="BV1117" s="134"/>
      <c r="BW1117" s="134"/>
      <c r="BX1117" s="134"/>
      <c r="BY1117" s="134"/>
      <c r="BZ1117" s="134"/>
      <c r="CA1117" s="134"/>
      <c r="CB1117" s="134"/>
      <c r="CC1117" s="113"/>
    </row>
    <row r="1118" spans="1:81" x14ac:dyDescent="0.55000000000000004">
      <c r="A1118" s="116" t="s">
        <v>256</v>
      </c>
      <c r="B1118" s="117">
        <f>MATCH(MO.MRFP,MO_Common_ColumnHeader,0)</f>
        <v>51</v>
      </c>
      <c r="C1118" s="37"/>
      <c r="D1118" s="37"/>
      <c r="E1118" s="37"/>
      <c r="F1118" s="37"/>
      <c r="G1118" s="37"/>
      <c r="H1118" s="37"/>
      <c r="I1118" s="37"/>
      <c r="J1118" s="37"/>
      <c r="K1118" s="37"/>
      <c r="L1118" s="37"/>
      <c r="M1118" s="37"/>
      <c r="N1118" s="37"/>
      <c r="O1118" s="37"/>
      <c r="P1118" s="37"/>
      <c r="Q1118" s="37"/>
      <c r="R1118" s="37"/>
      <c r="S1118" s="37"/>
      <c r="T1118" s="37"/>
      <c r="U1118" s="37"/>
      <c r="V1118" s="37"/>
      <c r="W1118" s="37"/>
      <c r="X1118" s="37"/>
      <c r="Y1118" s="37"/>
      <c r="Z1118" s="37"/>
      <c r="AA1118" s="37"/>
      <c r="AB1118" s="37"/>
      <c r="AC1118" s="37"/>
      <c r="AD1118" s="37"/>
      <c r="AE1118" s="37"/>
      <c r="AF1118" s="37"/>
      <c r="AG1118" s="37"/>
      <c r="AH1118" s="37"/>
      <c r="AI1118" s="37"/>
      <c r="AJ1118" s="37"/>
      <c r="AK1118" s="37"/>
      <c r="AL1118" s="37"/>
      <c r="AM1118" s="37"/>
      <c r="AN1118" s="37"/>
      <c r="AO1118" s="37"/>
      <c r="AP1118" s="37"/>
      <c r="AQ1118" s="37"/>
      <c r="AR1118" s="37"/>
      <c r="AS1118" s="37"/>
      <c r="AT1118" s="37"/>
      <c r="AU1118" s="37"/>
      <c r="AV1118" s="37"/>
      <c r="AW1118" s="37"/>
      <c r="AX1118" s="37"/>
      <c r="AY1118" s="37"/>
      <c r="AZ1118" s="37"/>
      <c r="BA1118" s="37"/>
      <c r="BB1118" s="37"/>
      <c r="BC1118" s="37"/>
      <c r="BD1118" s="37"/>
      <c r="BE1118" s="37"/>
      <c r="BF1118" s="37"/>
      <c r="BG1118" s="37"/>
      <c r="BH1118" s="37"/>
      <c r="BI1118" s="37"/>
      <c r="BJ1118" s="37"/>
      <c r="BK1118" s="37"/>
      <c r="BL1118" s="37"/>
      <c r="BM1118" s="37"/>
      <c r="BN1118" s="37"/>
      <c r="BO1118" s="37"/>
      <c r="BP1118" s="37"/>
      <c r="BQ1118" s="37"/>
      <c r="BR1118" s="37"/>
      <c r="BS1118" s="37"/>
      <c r="BT1118" s="37"/>
      <c r="BU1118" s="37"/>
      <c r="BV1118" s="37"/>
      <c r="BW1118" s="37"/>
      <c r="BX1118" s="37"/>
      <c r="BY1118" s="37"/>
      <c r="BZ1118" s="37"/>
      <c r="CA1118" s="37"/>
      <c r="CB1118" s="37"/>
      <c r="CC1118" s="117"/>
    </row>
    <row r="1119" spans="1:81" x14ac:dyDescent="0.55000000000000004">
      <c r="A1119" s="116" t="s">
        <v>257</v>
      </c>
      <c r="B1119" s="759" t="s">
        <v>1082</v>
      </c>
      <c r="C1119" s="37"/>
      <c r="D1119" s="37"/>
      <c r="E1119" s="37"/>
      <c r="F1119" s="37"/>
      <c r="G1119" s="37"/>
      <c r="H1119" s="37"/>
      <c r="I1119" s="37"/>
      <c r="J1119" s="37"/>
      <c r="K1119" s="37"/>
      <c r="L1119" s="37"/>
      <c r="M1119" s="37"/>
      <c r="N1119" s="37"/>
      <c r="O1119" s="37"/>
      <c r="P1119" s="37"/>
      <c r="Q1119" s="37"/>
      <c r="R1119" s="37"/>
      <c r="S1119" s="37"/>
      <c r="T1119" s="37"/>
      <c r="U1119" s="37"/>
      <c r="V1119" s="37"/>
      <c r="W1119" s="37"/>
      <c r="X1119" s="37"/>
      <c r="Y1119" s="37"/>
      <c r="Z1119" s="37"/>
      <c r="AA1119" s="37"/>
      <c r="AB1119" s="37"/>
      <c r="AC1119" s="37"/>
      <c r="AD1119" s="37"/>
      <c r="AE1119" s="37"/>
      <c r="AF1119" s="37"/>
      <c r="AG1119" s="37"/>
      <c r="AH1119" s="37"/>
      <c r="AI1119" s="37"/>
      <c r="AJ1119" s="37"/>
      <c r="AK1119" s="37"/>
      <c r="AL1119" s="37"/>
      <c r="AM1119" s="37"/>
      <c r="AN1119" s="37"/>
      <c r="AO1119" s="37"/>
      <c r="AP1119" s="37"/>
      <c r="AQ1119" s="37"/>
      <c r="AR1119" s="37"/>
      <c r="AS1119" s="37"/>
      <c r="AT1119" s="37"/>
      <c r="AU1119" s="37"/>
      <c r="AV1119" s="37"/>
      <c r="AW1119" s="37"/>
      <c r="AX1119" s="37"/>
      <c r="AY1119" s="37"/>
      <c r="AZ1119" s="37"/>
      <c r="BA1119" s="37"/>
      <c r="BB1119" s="37"/>
      <c r="BC1119" s="37"/>
      <c r="BD1119" s="37"/>
      <c r="BE1119" s="37"/>
      <c r="BF1119" s="37"/>
      <c r="BG1119" s="37"/>
      <c r="BH1119" s="37"/>
      <c r="BI1119" s="37"/>
      <c r="BJ1119" s="37"/>
      <c r="BK1119" s="37"/>
      <c r="BL1119" s="37"/>
      <c r="BM1119" s="37"/>
      <c r="BN1119" s="37"/>
      <c r="BO1119" s="37"/>
      <c r="BP1119" s="37"/>
      <c r="BQ1119" s="37"/>
      <c r="BR1119" s="37"/>
      <c r="BS1119" s="37"/>
      <c r="BT1119" s="37"/>
      <c r="BU1119" s="37"/>
      <c r="BV1119" s="37"/>
      <c r="BW1119" s="37"/>
      <c r="BX1119" s="37"/>
      <c r="BY1119" s="37"/>
      <c r="BZ1119" s="37"/>
      <c r="CA1119" s="37"/>
      <c r="CB1119" s="37"/>
      <c r="CC1119" s="117"/>
    </row>
    <row r="1120" spans="1:81" x14ac:dyDescent="0.55000000000000004">
      <c r="A1120" s="116" t="s">
        <v>258</v>
      </c>
      <c r="B1120" s="117" t="str">
        <f>"FY"&amp;RIGHT(MO.MRFP,4)</f>
        <v>FY2025</v>
      </c>
      <c r="C1120" s="37"/>
      <c r="D1120" s="37"/>
      <c r="E1120" s="37"/>
      <c r="F1120" s="37"/>
      <c r="G1120" s="37"/>
      <c r="H1120" s="37"/>
      <c r="I1120" s="37"/>
      <c r="J1120" s="37"/>
      <c r="K1120" s="37"/>
      <c r="L1120" s="37"/>
      <c r="M1120" s="37"/>
      <c r="N1120" s="37"/>
      <c r="O1120" s="37"/>
      <c r="P1120" s="37"/>
      <c r="Q1120" s="37"/>
      <c r="R1120" s="37"/>
      <c r="S1120" s="37"/>
      <c r="T1120" s="37"/>
      <c r="U1120" s="37"/>
      <c r="V1120" s="37"/>
      <c r="W1120" s="37"/>
      <c r="X1120" s="37"/>
      <c r="Y1120" s="37"/>
      <c r="Z1120" s="37"/>
      <c r="AA1120" s="37"/>
      <c r="AB1120" s="37"/>
      <c r="AC1120" s="37"/>
      <c r="AD1120" s="37"/>
      <c r="AE1120" s="37"/>
      <c r="AF1120" s="37"/>
      <c r="AG1120" s="37"/>
      <c r="AH1120" s="37"/>
      <c r="AI1120" s="37"/>
      <c r="AJ1120" s="37"/>
      <c r="AK1120" s="37"/>
      <c r="AL1120" s="37"/>
      <c r="AM1120" s="37"/>
      <c r="AN1120" s="37"/>
      <c r="AO1120" s="37"/>
      <c r="AP1120" s="37"/>
      <c r="AQ1120" s="37"/>
      <c r="AR1120" s="37"/>
      <c r="AS1120" s="37"/>
      <c r="AT1120" s="37"/>
      <c r="AU1120" s="37"/>
      <c r="AV1120" s="37"/>
      <c r="AW1120" s="37"/>
      <c r="AX1120" s="37"/>
      <c r="AY1120" s="37"/>
      <c r="AZ1120" s="37"/>
      <c r="BA1120" s="37"/>
      <c r="BB1120" s="37"/>
      <c r="BC1120" s="37"/>
      <c r="BD1120" s="37"/>
      <c r="BE1120" s="37"/>
      <c r="BF1120" s="37"/>
      <c r="BG1120" s="37"/>
      <c r="BH1120" s="37"/>
      <c r="BI1120" s="37"/>
      <c r="BJ1120" s="37"/>
      <c r="BK1120" s="37"/>
      <c r="BL1120" s="37"/>
      <c r="BM1120" s="37"/>
      <c r="BN1120" s="37"/>
      <c r="BO1120" s="37"/>
      <c r="BP1120" s="37"/>
      <c r="BQ1120" s="37"/>
      <c r="BR1120" s="37"/>
      <c r="BS1120" s="37"/>
      <c r="BT1120" s="37"/>
      <c r="BU1120" s="37"/>
      <c r="BV1120" s="37"/>
      <c r="BW1120" s="37"/>
      <c r="BX1120" s="37"/>
      <c r="BY1120" s="37"/>
      <c r="BZ1120" s="37"/>
      <c r="CA1120" s="37"/>
      <c r="CB1120" s="37"/>
      <c r="CC1120" s="117"/>
    </row>
    <row r="1121" spans="1:81" x14ac:dyDescent="0.55000000000000004">
      <c r="A1121" s="116" t="s">
        <v>377</v>
      </c>
      <c r="B1121" s="117" t="str">
        <f>"FY"&amp;RIGHT(MO.MRFP,4)+IF(LEFT(MO.MRFP,2)="FY",1,0)</f>
        <v>FY2025</v>
      </c>
      <c r="C1121" s="37"/>
      <c r="D1121" s="37"/>
      <c r="E1121" s="37"/>
      <c r="F1121" s="37"/>
      <c r="G1121" s="37"/>
      <c r="H1121" s="37"/>
      <c r="I1121" s="37"/>
      <c r="J1121" s="37"/>
      <c r="K1121" s="37"/>
      <c r="L1121" s="37"/>
      <c r="M1121" s="37"/>
      <c r="N1121" s="37"/>
      <c r="O1121" s="37"/>
      <c r="P1121" s="37"/>
      <c r="Q1121" s="37"/>
      <c r="R1121" s="37"/>
      <c r="S1121" s="37"/>
      <c r="T1121" s="37"/>
      <c r="U1121" s="37"/>
      <c r="V1121" s="37"/>
      <c r="W1121" s="37"/>
      <c r="X1121" s="37"/>
      <c r="Y1121" s="37"/>
      <c r="Z1121" s="37"/>
      <c r="AA1121" s="37"/>
      <c r="AB1121" s="37"/>
      <c r="AC1121" s="37"/>
      <c r="AD1121" s="37"/>
      <c r="AE1121" s="37"/>
      <c r="AF1121" s="37"/>
      <c r="AG1121" s="37"/>
      <c r="AH1121" s="37"/>
      <c r="AI1121" s="37"/>
      <c r="AJ1121" s="37"/>
      <c r="AK1121" s="37"/>
      <c r="AL1121" s="37"/>
      <c r="AM1121" s="37"/>
      <c r="AN1121" s="37"/>
      <c r="AO1121" s="37"/>
      <c r="AP1121" s="37"/>
      <c r="AQ1121" s="37"/>
      <c r="AR1121" s="37"/>
      <c r="AS1121" s="37"/>
      <c r="AT1121" s="37"/>
      <c r="AU1121" s="37"/>
      <c r="AV1121" s="37"/>
      <c r="AW1121" s="37"/>
      <c r="AX1121" s="37"/>
      <c r="AY1121" s="37"/>
      <c r="AZ1121" s="37"/>
      <c r="BA1121" s="37"/>
      <c r="BB1121" s="37"/>
      <c r="BC1121" s="37"/>
      <c r="BD1121" s="37"/>
      <c r="BE1121" s="37"/>
      <c r="BF1121" s="37"/>
      <c r="BG1121" s="37"/>
      <c r="BH1121" s="37"/>
      <c r="BI1121" s="37"/>
      <c r="BJ1121" s="37"/>
      <c r="BK1121" s="37"/>
      <c r="BL1121" s="37"/>
      <c r="BM1121" s="37"/>
      <c r="BN1121" s="37"/>
      <c r="BO1121" s="37"/>
      <c r="BP1121" s="37"/>
      <c r="BQ1121" s="37"/>
      <c r="BR1121" s="37"/>
      <c r="BS1121" s="37"/>
      <c r="BT1121" s="37"/>
      <c r="BU1121" s="37"/>
      <c r="BV1121" s="37"/>
      <c r="BW1121" s="37"/>
      <c r="BX1121" s="37"/>
      <c r="BY1121" s="37"/>
      <c r="BZ1121" s="37"/>
      <c r="CA1121" s="37"/>
      <c r="CB1121" s="37"/>
      <c r="CC1121" s="117"/>
    </row>
    <row r="1122" spans="1:81" x14ac:dyDescent="0.55000000000000004">
      <c r="A1122" s="116" t="s">
        <v>691</v>
      </c>
      <c r="B1122" s="117">
        <f>COUNTA(tb_KPIs)-1</f>
        <v>17</v>
      </c>
      <c r="C1122" s="37"/>
      <c r="D1122" s="37"/>
      <c r="E1122" s="37"/>
      <c r="F1122" s="37"/>
      <c r="G1122" s="37"/>
      <c r="H1122" s="37"/>
      <c r="I1122" s="37"/>
      <c r="J1122" s="37"/>
      <c r="K1122" s="37"/>
      <c r="L1122" s="37"/>
      <c r="M1122" s="37"/>
      <c r="N1122" s="37"/>
      <c r="O1122" s="37"/>
      <c r="P1122" s="37"/>
      <c r="Q1122" s="37"/>
      <c r="R1122" s="37"/>
      <c r="S1122" s="37"/>
      <c r="T1122" s="37"/>
      <c r="U1122" s="37"/>
      <c r="V1122" s="37"/>
      <c r="W1122" s="37"/>
      <c r="X1122" s="37"/>
      <c r="Y1122" s="37"/>
      <c r="Z1122" s="37"/>
      <c r="AA1122" s="37"/>
      <c r="AB1122" s="37"/>
      <c r="AC1122" s="37"/>
      <c r="AD1122" s="37"/>
      <c r="AE1122" s="37"/>
      <c r="AF1122" s="37"/>
      <c r="AG1122" s="37"/>
      <c r="AH1122" s="37"/>
      <c r="AI1122" s="37"/>
      <c r="AJ1122" s="37"/>
      <c r="AK1122" s="37"/>
      <c r="AL1122" s="37"/>
      <c r="AM1122" s="37"/>
      <c r="AN1122" s="37"/>
      <c r="AO1122" s="37"/>
      <c r="AP1122" s="37"/>
      <c r="AQ1122" s="37"/>
      <c r="AR1122" s="37"/>
      <c r="AS1122" s="37"/>
      <c r="AT1122" s="37"/>
      <c r="AU1122" s="37"/>
      <c r="AV1122" s="37"/>
      <c r="AW1122" s="37"/>
      <c r="AX1122" s="37"/>
      <c r="AY1122" s="37"/>
      <c r="AZ1122" s="37"/>
      <c r="BA1122" s="37"/>
      <c r="BB1122" s="37"/>
      <c r="BC1122" s="37"/>
      <c r="BD1122" s="37"/>
      <c r="BE1122" s="37"/>
      <c r="BF1122" s="37"/>
      <c r="BG1122" s="37"/>
      <c r="BH1122" s="37"/>
      <c r="BI1122" s="37"/>
      <c r="BJ1122" s="37"/>
      <c r="BK1122" s="37"/>
      <c r="BL1122" s="37"/>
      <c r="BM1122" s="37"/>
      <c r="BN1122" s="37"/>
      <c r="BO1122" s="37"/>
      <c r="BP1122" s="37"/>
      <c r="BQ1122" s="37"/>
      <c r="BR1122" s="37"/>
      <c r="BS1122" s="37"/>
      <c r="BT1122" s="37"/>
      <c r="BU1122" s="37"/>
      <c r="BV1122" s="37"/>
      <c r="BW1122" s="37"/>
      <c r="BX1122" s="37"/>
      <c r="BY1122" s="37"/>
      <c r="BZ1122" s="37"/>
      <c r="CA1122" s="37"/>
      <c r="CB1122" s="37"/>
      <c r="CC1122" s="117"/>
    </row>
    <row r="1123" spans="1:81" x14ac:dyDescent="0.55000000000000004">
      <c r="A1123" s="118" t="s">
        <v>259</v>
      </c>
      <c r="B1123" s="119">
        <f>IF(MO.DataSourceName="Bloomberg",1,IF(MO.DataSourceName="Capital IQ",2,IF(MO.DataSourceName="FactSet",3,IF(MO.DataSourceName="Refinitiv",4,1))))</f>
        <v>1</v>
      </c>
      <c r="C1123" s="37"/>
      <c r="D1123" s="37"/>
      <c r="E1123" s="37"/>
      <c r="F1123" s="37"/>
      <c r="G1123" s="37"/>
      <c r="H1123" s="37"/>
      <c r="I1123" s="37"/>
      <c r="J1123" s="37"/>
      <c r="K1123" s="37"/>
      <c r="L1123" s="37"/>
      <c r="M1123" s="37"/>
      <c r="N1123" s="37"/>
      <c r="O1123" s="37"/>
      <c r="P1123" s="37"/>
      <c r="Q1123" s="37"/>
      <c r="R1123" s="37"/>
      <c r="S1123" s="37"/>
      <c r="T1123" s="37"/>
      <c r="U1123" s="37"/>
      <c r="V1123" s="37"/>
      <c r="W1123" s="37"/>
      <c r="X1123" s="37"/>
      <c r="Y1123" s="37"/>
      <c r="Z1123" s="37"/>
      <c r="AA1123" s="37"/>
      <c r="AB1123" s="37"/>
      <c r="AC1123" s="37"/>
      <c r="AD1123" s="37"/>
      <c r="AE1123" s="37"/>
      <c r="AF1123" s="37"/>
      <c r="AG1123" s="37"/>
      <c r="AH1123" s="37"/>
      <c r="AI1123" s="37"/>
      <c r="AJ1123" s="37"/>
      <c r="AK1123" s="37"/>
      <c r="AL1123" s="37"/>
      <c r="AM1123" s="37"/>
      <c r="AN1123" s="37"/>
      <c r="AO1123" s="37"/>
      <c r="AP1123" s="37"/>
      <c r="AQ1123" s="37"/>
      <c r="AR1123" s="37"/>
      <c r="AS1123" s="37"/>
      <c r="AT1123" s="37"/>
      <c r="AU1123" s="37"/>
      <c r="AV1123" s="37"/>
      <c r="AW1123" s="37"/>
      <c r="AX1123" s="37"/>
      <c r="AY1123" s="37"/>
      <c r="AZ1123" s="37"/>
      <c r="BA1123" s="37"/>
      <c r="BB1123" s="37"/>
      <c r="BC1123" s="37"/>
      <c r="BD1123" s="37"/>
      <c r="BE1123" s="37"/>
      <c r="BF1123" s="37"/>
      <c r="BG1123" s="37"/>
      <c r="BH1123" s="37"/>
      <c r="BI1123" s="37"/>
      <c r="BJ1123" s="37"/>
      <c r="BK1123" s="37"/>
      <c r="BL1123" s="37"/>
      <c r="BM1123" s="37"/>
      <c r="BN1123" s="37"/>
      <c r="BO1123" s="37"/>
      <c r="BP1123" s="37"/>
      <c r="BQ1123" s="37"/>
      <c r="BR1123" s="37"/>
      <c r="BS1123" s="37"/>
      <c r="BT1123" s="37"/>
      <c r="BU1123" s="37"/>
      <c r="BV1123" s="37"/>
      <c r="BW1123" s="37"/>
      <c r="BX1123" s="37"/>
      <c r="BY1123" s="37"/>
      <c r="BZ1123" s="37"/>
      <c r="CA1123" s="37"/>
      <c r="CB1123" s="37"/>
      <c r="CC1123" s="117"/>
    </row>
    <row r="1124" spans="1:81" x14ac:dyDescent="0.55000000000000004">
      <c r="A1124" s="270"/>
      <c r="B1124" s="270"/>
      <c r="C1124" s="126"/>
      <c r="D1124" s="126"/>
      <c r="E1124" s="126"/>
      <c r="F1124" s="126"/>
      <c r="G1124" s="126"/>
      <c r="H1124" s="126"/>
      <c r="I1124" s="126"/>
      <c r="J1124" s="126"/>
      <c r="K1124" s="126"/>
      <c r="L1124" s="126"/>
      <c r="M1124" s="126"/>
      <c r="N1124" s="126"/>
      <c r="O1124" s="126"/>
      <c r="P1124" s="126"/>
      <c r="Q1124" s="126"/>
      <c r="R1124" s="126"/>
      <c r="S1124" s="126"/>
      <c r="T1124" s="126"/>
      <c r="U1124" s="126"/>
      <c r="V1124" s="126"/>
      <c r="W1124" s="126"/>
      <c r="X1124" s="126"/>
      <c r="Y1124" s="126"/>
      <c r="Z1124" s="126"/>
      <c r="AA1124" s="126"/>
      <c r="AB1124" s="126"/>
      <c r="AC1124" s="126"/>
      <c r="AD1124" s="126"/>
      <c r="AE1124" s="126"/>
      <c r="AF1124" s="126"/>
      <c r="AG1124" s="126"/>
      <c r="AH1124" s="126"/>
      <c r="AI1124" s="126"/>
      <c r="AJ1124" s="126"/>
      <c r="AK1124" s="126"/>
      <c r="AL1124" s="126"/>
      <c r="AM1124" s="126"/>
      <c r="AN1124" s="126"/>
      <c r="AO1124" s="126"/>
      <c r="AP1124" s="126"/>
      <c r="AQ1124" s="126"/>
      <c r="AR1124" s="126"/>
      <c r="AS1124" s="126"/>
      <c r="AT1124" s="126"/>
      <c r="AU1124" s="126"/>
      <c r="AV1124" s="126"/>
      <c r="AW1124" s="126"/>
      <c r="AX1124" s="126"/>
      <c r="AY1124" s="126"/>
      <c r="AZ1124" s="126"/>
      <c r="BA1124" s="126"/>
      <c r="BB1124" s="126"/>
      <c r="BC1124" s="126"/>
      <c r="BD1124" s="126"/>
      <c r="BE1124" s="126"/>
      <c r="BF1124" s="126"/>
      <c r="BG1124" s="126"/>
      <c r="BH1124" s="126"/>
      <c r="BI1124" s="126"/>
      <c r="BJ1124" s="126"/>
      <c r="BK1124" s="126"/>
      <c r="BL1124" s="126"/>
      <c r="BM1124" s="126"/>
      <c r="BN1124" s="126"/>
      <c r="BO1124" s="126"/>
      <c r="BP1124" s="126"/>
      <c r="BQ1124" s="126"/>
      <c r="BR1124" s="126"/>
      <c r="BS1124" s="126"/>
      <c r="BT1124" s="126"/>
      <c r="BU1124" s="126"/>
      <c r="BV1124" s="126"/>
      <c r="BW1124" s="126"/>
      <c r="BX1124" s="126"/>
      <c r="BY1124" s="126"/>
      <c r="BZ1124" s="126"/>
      <c r="CA1124" s="126"/>
      <c r="CB1124" s="126"/>
      <c r="CC1124" s="115"/>
    </row>
    <row r="1125" spans="1:81" x14ac:dyDescent="0.55000000000000004">
      <c r="A1125" s="207" t="s">
        <v>1025</v>
      </c>
      <c r="B1125" s="120"/>
      <c r="C1125" s="120"/>
      <c r="D1125" s="120"/>
      <c r="E1125" s="120"/>
      <c r="F1125" s="120"/>
      <c r="G1125" s="120"/>
      <c r="H1125" s="120"/>
      <c r="I1125" s="120"/>
      <c r="J1125" s="120"/>
      <c r="K1125" s="120"/>
      <c r="L1125" s="120"/>
      <c r="M1125" s="120"/>
      <c r="N1125" s="120"/>
      <c r="O1125" s="120"/>
      <c r="P1125" s="120"/>
      <c r="Q1125" s="120"/>
      <c r="R1125" s="120"/>
      <c r="S1125" s="120"/>
      <c r="T1125" s="120"/>
      <c r="U1125" s="120"/>
      <c r="V1125" s="120"/>
      <c r="W1125" s="120"/>
      <c r="X1125" s="120"/>
      <c r="Y1125" s="120"/>
      <c r="Z1125" s="120"/>
      <c r="AA1125" s="120"/>
      <c r="AB1125" s="120"/>
      <c r="AC1125" s="120"/>
      <c r="AD1125" s="120"/>
      <c r="AE1125" s="120"/>
      <c r="AF1125" s="120"/>
      <c r="AG1125" s="120"/>
      <c r="AH1125" s="120"/>
      <c r="AI1125" s="120"/>
      <c r="AJ1125" s="120"/>
      <c r="AK1125" s="120"/>
      <c r="AL1125" s="120"/>
      <c r="AM1125" s="120"/>
      <c r="AN1125" s="120"/>
      <c r="AO1125" s="120"/>
      <c r="AP1125" s="120"/>
      <c r="AQ1125" s="120"/>
      <c r="AR1125" s="120"/>
      <c r="AS1125" s="120"/>
      <c r="AT1125" s="120"/>
      <c r="AU1125" s="120"/>
      <c r="AV1125" s="120"/>
      <c r="AW1125" s="120"/>
      <c r="AX1125" s="120"/>
      <c r="AY1125" s="120"/>
      <c r="AZ1125" s="120"/>
      <c r="BA1125" s="120"/>
      <c r="BB1125" s="120"/>
      <c r="BC1125" s="120"/>
      <c r="BD1125" s="120"/>
      <c r="BE1125" s="120"/>
      <c r="BF1125" s="120"/>
      <c r="BG1125" s="120"/>
      <c r="BH1125" s="120"/>
      <c r="BI1125" s="120"/>
      <c r="BJ1125" s="120"/>
      <c r="BK1125" s="120"/>
      <c r="BL1125" s="120"/>
      <c r="BM1125" s="120"/>
      <c r="BN1125" s="120"/>
      <c r="BO1125" s="120"/>
      <c r="BP1125" s="120"/>
      <c r="BQ1125" s="120"/>
      <c r="BR1125" s="120"/>
      <c r="BS1125" s="120"/>
      <c r="BT1125" s="120"/>
      <c r="BU1125" s="120"/>
      <c r="BV1125" s="120"/>
      <c r="BW1125" s="120"/>
      <c r="BX1125" s="120"/>
      <c r="BY1125" s="120"/>
      <c r="BZ1125" s="120"/>
      <c r="CA1125" s="120"/>
      <c r="CB1125" s="120"/>
      <c r="CC1125" s="115"/>
    </row>
  </sheetData>
  <conditionalFormatting sqref="C357:M357 O357:Q357 S357 W357 Y357 AA357:AE357 AG357:AI357 AM357:AO357 AQ357 AS357:CB357">
    <cfRule type="cellIs" dxfId="9" priority="1526" operator="notEqual">
      <formula>0</formula>
    </cfRule>
    <cfRule type="cellIs" dxfId="8" priority="1527" operator="equal">
      <formula>0</formula>
    </cfRule>
  </conditionalFormatting>
  <conditionalFormatting sqref="C870:BG870 BI870:CB870">
    <cfRule type="cellIs" dxfId="7" priority="1524" operator="notEqual">
      <formula>0</formula>
    </cfRule>
    <cfRule type="cellIs" dxfId="6" priority="1525" operator="equal">
      <formula>0</formula>
    </cfRule>
  </conditionalFormatting>
  <conditionalFormatting sqref="C955:CB955">
    <cfRule type="cellIs" dxfId="5" priority="1522" operator="notEqual">
      <formula>0</formula>
    </cfRule>
    <cfRule type="cellIs" dxfId="4" priority="1523" operator="equal">
      <formula>0</formula>
    </cfRule>
  </conditionalFormatting>
  <conditionalFormatting sqref="K958:M958 O958:Q958 S958 W958 Y958 AE958 AG958:AI958 AM958:AO958 AQ958 AS958:AT958 AU958:AX961 BH958:BN961 BS958:BS961 BV958:BV961 BT958:BU962 AA958:AD967 BO958:BP971 BQ958:BR973 C958:J978 AY958:BG978 BW958:CB978 K959:N961 AE959:AH961 AQ959:AT961 O959:Z978 AI959:AP978 K962:M962 AE962:AG962 AQ962:AS962 AU962:AW962 BK962:BM962 BH963:BK965 BL963:BN969 BS963:BV971 K963:N978 AE963:AH978 AQ963:AX978 BI966:BK966 BH967:BK970 AB968:AD968 AA969:AD978 BI971:BN971 BL972:BM972 BH972:BK978 BO973:BP973 BL974:BV978">
    <cfRule type="cellIs" dxfId="3" priority="1520" operator="notEqual">
      <formula>0</formula>
    </cfRule>
    <cfRule type="cellIs" dxfId="2" priority="1521" operator="equal">
      <formula>0</formula>
    </cfRule>
  </conditionalFormatting>
  <dataValidations disablePrompts="1" count="1">
    <dataValidation type="list" allowBlank="1" showInputMessage="1" showErrorMessage="1" sqref="B709" xr:uid="{00000000-0002-0000-0100-000000000000}">
      <formula1>OFFSET(tb_ValuationToggle,1,0,4,1)</formula1>
    </dataValidation>
  </dataValidations>
  <hyperlinks>
    <hyperlink ref="A1" r:id="rId1" xr:uid="{00000000-0004-0000-0100-000000000000}"/>
  </hyperlinks>
  <pageMargins left="0" right="0" top="0.39370078740157499" bottom="0" header="0.196850393700787" footer="0"/>
  <pageSetup scale="19" fitToHeight="0" orientation="landscape" r:id="rId2"/>
  <headerFooter>
    <oddHeader>&amp;CMeta Platforms, Inc.&amp;RPage &amp;P</oddHeader>
  </headerFooter>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06823-1AB1-4E70-919E-4EFECA4C5AB2}">
  <sheetPr codeName="Sheet6"/>
  <dimension ref="A1:CC39"/>
  <sheetViews>
    <sheetView zoomScale="85" zoomScaleNormal="85" workbookViewId="0">
      <pane xSplit="2" ySplit="5" topLeftCell="C6" activePane="bottomRight" state="frozenSplit"/>
      <selection pane="topRight" activeCell="C1" sqref="C1"/>
      <selection pane="bottomLeft" activeCell="A6" sqref="A6"/>
      <selection pane="bottomRight"/>
    </sheetView>
  </sheetViews>
  <sheetFormatPr defaultColWidth="8.734375" defaultRowHeight="14.65" customHeight="1" outlineLevelCol="2" x14ac:dyDescent="0.55000000000000004"/>
  <cols>
    <col min="1" max="1" width="46.734375" style="727" customWidth="1"/>
    <col min="2" max="2" width="9.734375" style="727" customWidth="1"/>
    <col min="3" max="6" width="0" style="727" hidden="1" customWidth="1" outlineLevel="1"/>
    <col min="7" max="10" width="0" hidden="1" customWidth="1" outlineLevel="1"/>
    <col min="11" max="11" width="0" style="727" hidden="1" customWidth="1" outlineLevel="1"/>
    <col min="12" max="15" width="0" hidden="1" customWidth="1" outlineLevel="1"/>
    <col min="16" max="16" width="0" style="727" hidden="1" customWidth="1" outlineLevel="1"/>
    <col min="17" max="20" width="0" hidden="1" customWidth="1" outlineLevel="1"/>
    <col min="21" max="21" width="0" style="727" hidden="1" customWidth="1" outlineLevel="1"/>
    <col min="22" max="25" width="0" hidden="1" customWidth="1" outlineLevel="1"/>
    <col min="26" max="26" width="0" style="727" hidden="1" customWidth="1" outlineLevel="1"/>
    <col min="27" max="30" width="0" hidden="1" customWidth="1" outlineLevel="1"/>
    <col min="31" max="31" width="0" style="727" hidden="1" customWidth="1" outlineLevel="1"/>
    <col min="32" max="35" width="0" hidden="1" customWidth="1" outlineLevel="1"/>
    <col min="36" max="36" width="0" style="727" hidden="1" customWidth="1" outlineLevel="1"/>
    <col min="37" max="40" width="0" hidden="1" customWidth="1" outlineLevel="1"/>
    <col min="41" max="41" width="0" style="727" hidden="1" customWidth="1" outlineLevel="1"/>
    <col min="42" max="45" width="0" hidden="1" customWidth="1" outlineLevel="1"/>
    <col min="46" max="46" width="0" style="727" hidden="1" customWidth="1" outlineLevel="1"/>
    <col min="47" max="47" width="10.5234375" customWidth="1" collapsed="1"/>
    <col min="48" max="50" width="10.5234375" customWidth="1"/>
    <col min="51" max="51" width="10.5234375" style="727" customWidth="1"/>
    <col min="52" max="55" width="10.5234375" customWidth="1"/>
    <col min="56" max="58" width="10.5234375" style="727" customWidth="1"/>
    <col min="59" max="59" width="10.5234375" style="727" customWidth="1" outlineLevel="1"/>
    <col min="60" max="72" width="0" style="727" hidden="1" customWidth="1" outlineLevel="2"/>
    <col min="73" max="80" width="10.5234375" style="727" customWidth="1"/>
    <col min="81" max="100" width="8.68359375" style="727" customWidth="1"/>
    <col min="101" max="16384" width="8.734375" style="727"/>
  </cols>
  <sheetData>
    <row r="1" spans="1:81" s="741" customFormat="1" ht="28.5" customHeight="1" x14ac:dyDescent="1.05">
      <c r="A1" s="299" t="str">
        <f>MO.CompanyName</f>
        <v>Meta Platforms, Inc.</v>
      </c>
      <c r="B1" s="309"/>
      <c r="C1" s="610"/>
      <c r="D1" s="610"/>
      <c r="E1" s="610"/>
      <c r="F1" s="610"/>
      <c r="G1" s="610"/>
      <c r="H1" s="610"/>
      <c r="I1" s="610"/>
      <c r="J1" s="610"/>
      <c r="K1" s="610"/>
      <c r="L1" s="610"/>
      <c r="M1" s="610"/>
      <c r="N1" s="610"/>
      <c r="O1" s="610"/>
      <c r="P1" s="610"/>
      <c r="Q1" s="610"/>
      <c r="R1" s="610"/>
      <c r="S1" s="610"/>
      <c r="T1" s="610"/>
      <c r="U1" s="610"/>
      <c r="V1" s="610"/>
      <c r="W1" s="610"/>
      <c r="X1" s="610"/>
      <c r="Y1" s="610"/>
      <c r="Z1" s="610"/>
      <c r="AA1" s="610"/>
      <c r="AB1" s="610"/>
      <c r="AC1" s="610"/>
      <c r="AD1" s="610"/>
      <c r="AE1" s="610"/>
      <c r="AF1" s="610"/>
      <c r="AG1" s="610"/>
      <c r="AH1" s="610"/>
      <c r="AI1" s="610"/>
      <c r="AJ1" s="610"/>
      <c r="AK1" s="610"/>
      <c r="AL1" s="610"/>
      <c r="AM1" s="610"/>
      <c r="AN1" s="610"/>
      <c r="AO1" s="610"/>
      <c r="AP1" s="610"/>
      <c r="AQ1" s="610"/>
      <c r="AR1" s="610"/>
      <c r="AS1" s="610"/>
      <c r="AT1" s="610"/>
      <c r="AU1" s="610"/>
      <c r="AV1" s="610"/>
      <c r="AW1" s="610"/>
      <c r="AX1" s="610"/>
      <c r="AY1" s="597"/>
      <c r="AZ1" s="610"/>
      <c r="BA1" s="610"/>
      <c r="BB1" s="610"/>
      <c r="BC1" s="610"/>
      <c r="BD1" s="610"/>
      <c r="BE1" s="610"/>
      <c r="BF1" s="610"/>
      <c r="BG1" s="610"/>
      <c r="BH1" s="610"/>
      <c r="BI1" s="610"/>
      <c r="BJ1" s="610"/>
      <c r="BK1" s="610"/>
      <c r="BL1" s="610"/>
      <c r="BM1" s="610"/>
      <c r="BN1" s="610"/>
      <c r="BO1" s="610"/>
      <c r="BP1" s="610"/>
      <c r="BQ1" s="610"/>
      <c r="BR1" s="610"/>
      <c r="BS1" s="610"/>
      <c r="BT1" s="610"/>
      <c r="BU1" s="610"/>
      <c r="BV1" s="610"/>
      <c r="BW1" s="597"/>
      <c r="BX1" s="610"/>
      <c r="BY1" s="610"/>
      <c r="BZ1" s="610"/>
      <c r="CA1" s="610"/>
      <c r="CB1" s="610"/>
      <c r="CC1" s="307"/>
    </row>
    <row r="2" spans="1:81" s="741" customFormat="1" ht="15" customHeight="1" x14ac:dyDescent="0.55000000000000004">
      <c r="A2" s="300" t="str">
        <f>MO.Ticker</f>
        <v>META US</v>
      </c>
      <c r="B2" s="301"/>
      <c r="C2" s="311">
        <f>Model!C2</f>
        <v>0</v>
      </c>
      <c r="D2" s="311">
        <f>Model!D2</f>
        <v>0</v>
      </c>
      <c r="E2" s="311">
        <f>Model!E2</f>
        <v>0</v>
      </c>
      <c r="F2" s="311">
        <f>Model!F2</f>
        <v>0</v>
      </c>
      <c r="G2" s="311">
        <f>Model!G2</f>
        <v>0</v>
      </c>
      <c r="H2" s="311">
        <f>Model!H2</f>
        <v>0</v>
      </c>
      <c r="I2" s="311">
        <f>Model!I2</f>
        <v>0</v>
      </c>
      <c r="J2" s="311">
        <f>Model!J2</f>
        <v>0</v>
      </c>
      <c r="K2" s="311">
        <f>Model!K2</f>
        <v>0</v>
      </c>
      <c r="L2" s="311">
        <f>Model!L2</f>
        <v>0</v>
      </c>
      <c r="M2" s="311">
        <f>Model!M2</f>
        <v>0</v>
      </c>
      <c r="N2" s="311">
        <f>Model!N2</f>
        <v>0</v>
      </c>
      <c r="O2" s="311">
        <f>Model!O2</f>
        <v>0</v>
      </c>
      <c r="P2" s="311">
        <f>Model!P2</f>
        <v>0</v>
      </c>
      <c r="Q2" s="311">
        <f>Model!Q2</f>
        <v>0</v>
      </c>
      <c r="R2" s="311">
        <f>Model!R2</f>
        <v>0</v>
      </c>
      <c r="S2" s="311">
        <f>Model!S2</f>
        <v>0</v>
      </c>
      <c r="T2" s="311">
        <f>Model!T2</f>
        <v>0</v>
      </c>
      <c r="U2" s="311">
        <f>Model!U2</f>
        <v>0</v>
      </c>
      <c r="V2" s="311">
        <f>Model!V2</f>
        <v>0</v>
      </c>
      <c r="W2" s="311">
        <f>Model!W2</f>
        <v>0</v>
      </c>
      <c r="X2" s="311">
        <f>Model!X2</f>
        <v>0</v>
      </c>
      <c r="Y2" s="311">
        <f>Model!Y2</f>
        <v>0</v>
      </c>
      <c r="Z2" s="311">
        <f>Model!Z2</f>
        <v>0</v>
      </c>
      <c r="AA2" s="311">
        <f>Model!AA2</f>
        <v>0</v>
      </c>
      <c r="AB2" s="311">
        <f>Model!AB2</f>
        <v>0</v>
      </c>
      <c r="AC2" s="311">
        <f>Model!AC2</f>
        <v>0</v>
      </c>
      <c r="AD2" s="311">
        <f>Model!AD2</f>
        <v>0</v>
      </c>
      <c r="AE2" s="311">
        <f>Model!AE2</f>
        <v>0</v>
      </c>
      <c r="AF2" s="311">
        <f>Model!AF2</f>
        <v>0</v>
      </c>
      <c r="AG2" s="311">
        <f>Model!AG2</f>
        <v>0</v>
      </c>
      <c r="AH2" s="311">
        <f>Model!AH2</f>
        <v>0</v>
      </c>
      <c r="AI2" s="311">
        <f>Model!AI2</f>
        <v>0</v>
      </c>
      <c r="AJ2" s="311">
        <f>Model!AJ2</f>
        <v>0</v>
      </c>
      <c r="AK2" s="311">
        <f>Model!AK2</f>
        <v>0</v>
      </c>
      <c r="AL2" s="311">
        <f>Model!AL2</f>
        <v>0</v>
      </c>
      <c r="AM2" s="311">
        <f>Model!AM2</f>
        <v>0</v>
      </c>
      <c r="AN2" s="311">
        <f>Model!AN2</f>
        <v>0</v>
      </c>
      <c r="AO2" s="311">
        <f>Model!AO2</f>
        <v>0</v>
      </c>
      <c r="AP2" s="311">
        <f>Model!AP2</f>
        <v>0</v>
      </c>
      <c r="AQ2" s="311">
        <f>Model!AQ2</f>
        <v>0</v>
      </c>
      <c r="AR2" s="311">
        <f>Model!AR2</f>
        <v>0</v>
      </c>
      <c r="AS2" s="311">
        <f>Model!AS2</f>
        <v>0</v>
      </c>
      <c r="AT2" s="311">
        <f>Model!AT2</f>
        <v>0</v>
      </c>
      <c r="AU2" s="311">
        <f>Model!AU2</f>
        <v>0</v>
      </c>
      <c r="AV2" s="311">
        <f>Model!AV2</f>
        <v>0</v>
      </c>
      <c r="AW2" s="311">
        <f>Model!AW2</f>
        <v>0</v>
      </c>
      <c r="AX2" s="311">
        <f>Model!AX2</f>
        <v>0</v>
      </c>
      <c r="AY2" s="312" t="str">
        <f>Model!AY2</f>
        <v>Partial</v>
      </c>
      <c r="AZ2" s="372">
        <f>Model!AZ2</f>
        <v>0</v>
      </c>
      <c r="BA2" s="372">
        <f>Model!BA2</f>
        <v>0</v>
      </c>
      <c r="BB2" s="372">
        <f>Model!BB2</f>
        <v>0</v>
      </c>
      <c r="BC2" s="372">
        <f>Model!BC2</f>
        <v>0</v>
      </c>
      <c r="BD2" s="372">
        <f>Model!BD2</f>
        <v>0</v>
      </c>
      <c r="BE2" s="372">
        <f>Model!BE2</f>
        <v>0</v>
      </c>
      <c r="BF2" s="372">
        <f>Model!BF2</f>
        <v>0</v>
      </c>
      <c r="BG2" s="372"/>
      <c r="BH2" s="311">
        <f>Model!BH2</f>
        <v>39813</v>
      </c>
      <c r="BI2" s="311">
        <f>Model!BI2</f>
        <v>0</v>
      </c>
      <c r="BJ2" s="311">
        <f>Model!BJ2</f>
        <v>0</v>
      </c>
      <c r="BK2" s="311">
        <f>Model!BK2</f>
        <v>0</v>
      </c>
      <c r="BL2" s="311">
        <f>Model!BL2</f>
        <v>0</v>
      </c>
      <c r="BM2" s="311">
        <f>Model!BM2</f>
        <v>0</v>
      </c>
      <c r="BN2" s="311">
        <f>Model!BN2</f>
        <v>0</v>
      </c>
      <c r="BO2" s="311">
        <f>Model!BO2</f>
        <v>0</v>
      </c>
      <c r="BP2" s="311">
        <f>Model!BP2</f>
        <v>0</v>
      </c>
      <c r="BQ2" s="311">
        <f>Model!BQ2</f>
        <v>0</v>
      </c>
      <c r="BR2" s="311">
        <f>Model!BR2</f>
        <v>0</v>
      </c>
      <c r="BS2" s="311">
        <f>Model!BS2</f>
        <v>0</v>
      </c>
      <c r="BT2" s="311">
        <f>Model!BT2</f>
        <v>0</v>
      </c>
      <c r="BU2" s="311">
        <f>Model!BU2</f>
        <v>0</v>
      </c>
      <c r="BV2" s="311">
        <f>Model!BV2</f>
        <v>0</v>
      </c>
      <c r="BW2" s="312">
        <f>Model!BW2</f>
        <v>0</v>
      </c>
      <c r="BX2" s="372">
        <f>Model!BX2</f>
        <v>0</v>
      </c>
      <c r="BY2" s="372">
        <f>Model!BY2</f>
        <v>0</v>
      </c>
      <c r="BZ2" s="372">
        <f>Model!BZ2</f>
        <v>0</v>
      </c>
      <c r="CA2" s="372">
        <f>Model!CA2</f>
        <v>0</v>
      </c>
      <c r="CB2" s="372">
        <f>Model!CB2</f>
        <v>0</v>
      </c>
      <c r="CC2" s="307"/>
    </row>
    <row r="3" spans="1:81" s="741" customFormat="1" ht="15" customHeight="1" x14ac:dyDescent="0.55000000000000004">
      <c r="A3" s="302" t="str">
        <f ca="1">MO.TradingCurrency</f>
        <v>USD</v>
      </c>
      <c r="B3" s="1160">
        <f ca="1">MO.LastPrice</f>
        <v>554.44000000000005</v>
      </c>
      <c r="C3" s="304">
        <f t="shared" ref="C3:AH3" si="0">INDEX(MO_Common_FPDays,0,MATCH(C$5,MO_Common_ColumnHeader,0))</f>
        <v>90</v>
      </c>
      <c r="D3" s="304">
        <f t="shared" si="0"/>
        <v>91</v>
      </c>
      <c r="E3" s="304">
        <f t="shared" si="0"/>
        <v>92</v>
      </c>
      <c r="F3" s="304">
        <f t="shared" si="0"/>
        <v>92</v>
      </c>
      <c r="G3" s="304">
        <f t="shared" si="0"/>
        <v>90</v>
      </c>
      <c r="H3" s="304">
        <f t="shared" si="0"/>
        <v>91</v>
      </c>
      <c r="I3" s="304">
        <f t="shared" si="0"/>
        <v>92</v>
      </c>
      <c r="J3" s="304">
        <f t="shared" si="0"/>
        <v>92</v>
      </c>
      <c r="K3" s="304">
        <f t="shared" si="0"/>
        <v>90</v>
      </c>
      <c r="L3" s="304">
        <f t="shared" si="0"/>
        <v>91</v>
      </c>
      <c r="M3" s="304">
        <f t="shared" si="0"/>
        <v>92</v>
      </c>
      <c r="N3" s="304">
        <f t="shared" si="0"/>
        <v>92</v>
      </c>
      <c r="O3" s="304">
        <f t="shared" si="0"/>
        <v>91</v>
      </c>
      <c r="P3" s="304">
        <f t="shared" si="0"/>
        <v>91</v>
      </c>
      <c r="Q3" s="304">
        <f t="shared" si="0"/>
        <v>92</v>
      </c>
      <c r="R3" s="304">
        <f t="shared" si="0"/>
        <v>92</v>
      </c>
      <c r="S3" s="304">
        <f t="shared" si="0"/>
        <v>90</v>
      </c>
      <c r="T3" s="304">
        <f t="shared" si="0"/>
        <v>91</v>
      </c>
      <c r="U3" s="304">
        <f t="shared" si="0"/>
        <v>92</v>
      </c>
      <c r="V3" s="304">
        <f t="shared" si="0"/>
        <v>92</v>
      </c>
      <c r="W3" s="304">
        <f t="shared" si="0"/>
        <v>90</v>
      </c>
      <c r="X3" s="304">
        <f t="shared" si="0"/>
        <v>91</v>
      </c>
      <c r="Y3" s="304">
        <f t="shared" si="0"/>
        <v>92</v>
      </c>
      <c r="Z3" s="304">
        <f t="shared" si="0"/>
        <v>92</v>
      </c>
      <c r="AA3" s="304">
        <f t="shared" si="0"/>
        <v>90</v>
      </c>
      <c r="AB3" s="304">
        <f t="shared" si="0"/>
        <v>91</v>
      </c>
      <c r="AC3" s="304">
        <f t="shared" si="0"/>
        <v>92</v>
      </c>
      <c r="AD3" s="304">
        <f t="shared" si="0"/>
        <v>92</v>
      </c>
      <c r="AE3" s="304">
        <f t="shared" si="0"/>
        <v>91</v>
      </c>
      <c r="AF3" s="304">
        <f t="shared" si="0"/>
        <v>91</v>
      </c>
      <c r="AG3" s="304">
        <f t="shared" si="0"/>
        <v>92</v>
      </c>
      <c r="AH3" s="304">
        <f t="shared" si="0"/>
        <v>92</v>
      </c>
      <c r="AI3" s="304">
        <f t="shared" ref="AI3:BF3" si="1">INDEX(MO_Common_FPDays,0,MATCH(AI$5,MO_Common_ColumnHeader,0))</f>
        <v>90</v>
      </c>
      <c r="AJ3" s="304">
        <f t="shared" si="1"/>
        <v>91</v>
      </c>
      <c r="AK3" s="304">
        <f t="shared" si="1"/>
        <v>92</v>
      </c>
      <c r="AL3" s="304">
        <f t="shared" si="1"/>
        <v>92</v>
      </c>
      <c r="AM3" s="304">
        <f t="shared" si="1"/>
        <v>90</v>
      </c>
      <c r="AN3" s="304">
        <f t="shared" si="1"/>
        <v>91</v>
      </c>
      <c r="AO3" s="304">
        <f t="shared" si="1"/>
        <v>92</v>
      </c>
      <c r="AP3" s="304">
        <f t="shared" si="1"/>
        <v>92</v>
      </c>
      <c r="AQ3" s="304">
        <f t="shared" si="1"/>
        <v>90</v>
      </c>
      <c r="AR3" s="304">
        <f t="shared" si="1"/>
        <v>91</v>
      </c>
      <c r="AS3" s="304">
        <f t="shared" si="1"/>
        <v>92</v>
      </c>
      <c r="AT3" s="304">
        <f t="shared" si="1"/>
        <v>92</v>
      </c>
      <c r="AU3" s="304">
        <f t="shared" si="1"/>
        <v>91</v>
      </c>
      <c r="AV3" s="304">
        <f t="shared" si="1"/>
        <v>91</v>
      </c>
      <c r="AW3" s="304">
        <f t="shared" si="1"/>
        <v>92</v>
      </c>
      <c r="AX3" s="304">
        <f t="shared" si="1"/>
        <v>92</v>
      </c>
      <c r="AY3" s="1169">
        <f t="shared" si="1"/>
        <v>90</v>
      </c>
      <c r="AZ3" s="373">
        <f t="shared" si="1"/>
        <v>91</v>
      </c>
      <c r="BA3" s="373">
        <f t="shared" si="1"/>
        <v>92</v>
      </c>
      <c r="BB3" s="373">
        <f t="shared" si="1"/>
        <v>92</v>
      </c>
      <c r="BC3" s="373">
        <f t="shared" si="1"/>
        <v>90</v>
      </c>
      <c r="BD3" s="373">
        <f t="shared" si="1"/>
        <v>91</v>
      </c>
      <c r="BE3" s="373">
        <f t="shared" si="1"/>
        <v>92</v>
      </c>
      <c r="BF3" s="373">
        <f t="shared" si="1"/>
        <v>92</v>
      </c>
      <c r="BG3" s="373"/>
      <c r="BH3" s="1105">
        <f t="shared" ref="BH3:CB3" si="2">INDEX(MO_Common_FPDays,0,MATCH(BH$5,MO_Common_ColumnHeader,0))</f>
        <v>365</v>
      </c>
      <c r="BI3" s="1105">
        <f t="shared" si="2"/>
        <v>365</v>
      </c>
      <c r="BJ3" s="1105">
        <f t="shared" si="2"/>
        <v>365</v>
      </c>
      <c r="BK3" s="1105">
        <f t="shared" si="2"/>
        <v>366</v>
      </c>
      <c r="BL3" s="1105">
        <f t="shared" si="2"/>
        <v>365</v>
      </c>
      <c r="BM3" s="1105">
        <f t="shared" si="2"/>
        <v>365</v>
      </c>
      <c r="BN3" s="1105">
        <f t="shared" si="2"/>
        <v>365</v>
      </c>
      <c r="BO3" s="1105">
        <f t="shared" si="2"/>
        <v>366</v>
      </c>
      <c r="BP3" s="1105">
        <f t="shared" si="2"/>
        <v>365</v>
      </c>
      <c r="BQ3" s="1105">
        <f t="shared" si="2"/>
        <v>365</v>
      </c>
      <c r="BR3" s="1105">
        <f t="shared" si="2"/>
        <v>365</v>
      </c>
      <c r="BS3" s="1105">
        <f t="shared" si="2"/>
        <v>366</v>
      </c>
      <c r="BT3" s="1105">
        <f t="shared" si="2"/>
        <v>365</v>
      </c>
      <c r="BU3" s="1105">
        <f t="shared" si="2"/>
        <v>365</v>
      </c>
      <c r="BV3" s="1105">
        <f t="shared" si="2"/>
        <v>365</v>
      </c>
      <c r="BW3" s="1106">
        <f t="shared" si="2"/>
        <v>366</v>
      </c>
      <c r="BX3" s="1107">
        <f t="shared" si="2"/>
        <v>365</v>
      </c>
      <c r="BY3" s="1107">
        <f t="shared" si="2"/>
        <v>365</v>
      </c>
      <c r="BZ3" s="1107">
        <f t="shared" si="2"/>
        <v>365</v>
      </c>
      <c r="CA3" s="1107">
        <f t="shared" si="2"/>
        <v>366</v>
      </c>
      <c r="CB3" s="1107">
        <f t="shared" si="2"/>
        <v>365</v>
      </c>
      <c r="CC3" s="307"/>
    </row>
    <row r="4" spans="1:81" s="741" customFormat="1" ht="15" customHeight="1" x14ac:dyDescent="0.55000000000000004">
      <c r="A4" s="303" t="str">
        <f>MO.DataSourceName</f>
        <v>Bloomberg</v>
      </c>
      <c r="B4" s="304" t="str">
        <f ca="1">MO.RealTime</f>
        <v>OFF</v>
      </c>
      <c r="C4" s="593">
        <f t="shared" ref="C4:AH4" si="3">INDEX(MO_Common_QEndDate,0,MATCH(C$5,MO_Common_ColumnHeader,0))</f>
        <v>41364</v>
      </c>
      <c r="D4" s="593">
        <f t="shared" si="3"/>
        <v>41455</v>
      </c>
      <c r="E4" s="593">
        <f t="shared" si="3"/>
        <v>41547</v>
      </c>
      <c r="F4" s="593">
        <f t="shared" si="3"/>
        <v>41639</v>
      </c>
      <c r="G4" s="593">
        <f t="shared" si="3"/>
        <v>41729</v>
      </c>
      <c r="H4" s="593">
        <f t="shared" si="3"/>
        <v>41820</v>
      </c>
      <c r="I4" s="593">
        <f t="shared" si="3"/>
        <v>41912</v>
      </c>
      <c r="J4" s="593">
        <f t="shared" si="3"/>
        <v>42004</v>
      </c>
      <c r="K4" s="593">
        <f t="shared" si="3"/>
        <v>42094</v>
      </c>
      <c r="L4" s="593">
        <f t="shared" si="3"/>
        <v>42185</v>
      </c>
      <c r="M4" s="593">
        <f t="shared" si="3"/>
        <v>42277</v>
      </c>
      <c r="N4" s="593">
        <f t="shared" si="3"/>
        <v>42369</v>
      </c>
      <c r="O4" s="593">
        <f t="shared" si="3"/>
        <v>42460</v>
      </c>
      <c r="P4" s="593">
        <f t="shared" si="3"/>
        <v>42551</v>
      </c>
      <c r="Q4" s="593">
        <f t="shared" si="3"/>
        <v>42643</v>
      </c>
      <c r="R4" s="593">
        <f t="shared" si="3"/>
        <v>42735</v>
      </c>
      <c r="S4" s="593">
        <f t="shared" si="3"/>
        <v>42825</v>
      </c>
      <c r="T4" s="593">
        <f t="shared" si="3"/>
        <v>42916</v>
      </c>
      <c r="U4" s="593">
        <f t="shared" si="3"/>
        <v>43008</v>
      </c>
      <c r="V4" s="593">
        <f t="shared" si="3"/>
        <v>43100</v>
      </c>
      <c r="W4" s="593">
        <f t="shared" si="3"/>
        <v>43190</v>
      </c>
      <c r="X4" s="593">
        <f t="shared" si="3"/>
        <v>43281</v>
      </c>
      <c r="Y4" s="593">
        <f t="shared" si="3"/>
        <v>43373</v>
      </c>
      <c r="Z4" s="593">
        <f t="shared" si="3"/>
        <v>43465</v>
      </c>
      <c r="AA4" s="593">
        <f t="shared" si="3"/>
        <v>43555</v>
      </c>
      <c r="AB4" s="593">
        <f t="shared" si="3"/>
        <v>43646</v>
      </c>
      <c r="AC4" s="593">
        <f t="shared" si="3"/>
        <v>43738</v>
      </c>
      <c r="AD4" s="593">
        <f t="shared" si="3"/>
        <v>43830</v>
      </c>
      <c r="AE4" s="593">
        <f t="shared" si="3"/>
        <v>43921</v>
      </c>
      <c r="AF4" s="593">
        <f t="shared" si="3"/>
        <v>44012</v>
      </c>
      <c r="AG4" s="593">
        <f t="shared" si="3"/>
        <v>44104</v>
      </c>
      <c r="AH4" s="593">
        <f t="shared" si="3"/>
        <v>44196</v>
      </c>
      <c r="AI4" s="593">
        <f t="shared" ref="AI4:BF4" si="4">INDEX(MO_Common_QEndDate,0,MATCH(AI$5,MO_Common_ColumnHeader,0))</f>
        <v>44286</v>
      </c>
      <c r="AJ4" s="593">
        <f t="shared" si="4"/>
        <v>44377</v>
      </c>
      <c r="AK4" s="593">
        <f t="shared" si="4"/>
        <v>44469</v>
      </c>
      <c r="AL4" s="593">
        <f t="shared" si="4"/>
        <v>44561</v>
      </c>
      <c r="AM4" s="593">
        <f t="shared" si="4"/>
        <v>44651</v>
      </c>
      <c r="AN4" s="593">
        <f t="shared" si="4"/>
        <v>44742</v>
      </c>
      <c r="AO4" s="593">
        <f t="shared" si="4"/>
        <v>44834</v>
      </c>
      <c r="AP4" s="593">
        <f t="shared" si="4"/>
        <v>44926</v>
      </c>
      <c r="AQ4" s="593">
        <f t="shared" si="4"/>
        <v>45016</v>
      </c>
      <c r="AR4" s="593">
        <f t="shared" si="4"/>
        <v>45107</v>
      </c>
      <c r="AS4" s="593">
        <f t="shared" si="4"/>
        <v>45199</v>
      </c>
      <c r="AT4" s="593">
        <f t="shared" si="4"/>
        <v>45291</v>
      </c>
      <c r="AU4" s="593">
        <f t="shared" si="4"/>
        <v>45382</v>
      </c>
      <c r="AV4" s="593">
        <f t="shared" si="4"/>
        <v>45473</v>
      </c>
      <c r="AW4" s="593">
        <f t="shared" si="4"/>
        <v>45565</v>
      </c>
      <c r="AX4" s="593">
        <f t="shared" si="4"/>
        <v>45657</v>
      </c>
      <c r="AY4" s="1170">
        <f t="shared" si="4"/>
        <v>45747</v>
      </c>
      <c r="AZ4" s="374">
        <f t="shared" si="4"/>
        <v>45838</v>
      </c>
      <c r="BA4" s="374">
        <f t="shared" si="4"/>
        <v>45930</v>
      </c>
      <c r="BB4" s="374">
        <f t="shared" si="4"/>
        <v>46022</v>
      </c>
      <c r="BC4" s="374">
        <f t="shared" si="4"/>
        <v>46112</v>
      </c>
      <c r="BD4" s="374">
        <f t="shared" si="4"/>
        <v>46203</v>
      </c>
      <c r="BE4" s="374">
        <f t="shared" si="4"/>
        <v>46295</v>
      </c>
      <c r="BF4" s="374">
        <f t="shared" si="4"/>
        <v>46387</v>
      </c>
      <c r="BG4" s="374"/>
      <c r="BH4" s="1108">
        <f t="shared" ref="BH4:CB4" si="5">INDEX(MO_Common_QEndDate,0,MATCH(BH$5,MO_Common_ColumnHeader,0))</f>
        <v>40178</v>
      </c>
      <c r="BI4" s="1108">
        <f t="shared" si="5"/>
        <v>40543</v>
      </c>
      <c r="BJ4" s="1108">
        <f t="shared" si="5"/>
        <v>40908</v>
      </c>
      <c r="BK4" s="1108">
        <f t="shared" si="5"/>
        <v>41274</v>
      </c>
      <c r="BL4" s="1108">
        <f t="shared" si="5"/>
        <v>41639</v>
      </c>
      <c r="BM4" s="1108">
        <f t="shared" si="5"/>
        <v>42004</v>
      </c>
      <c r="BN4" s="1108">
        <f t="shared" si="5"/>
        <v>42369</v>
      </c>
      <c r="BO4" s="1108">
        <f t="shared" si="5"/>
        <v>42735</v>
      </c>
      <c r="BP4" s="1108">
        <f t="shared" si="5"/>
        <v>43100</v>
      </c>
      <c r="BQ4" s="1108">
        <f t="shared" si="5"/>
        <v>43465</v>
      </c>
      <c r="BR4" s="1108">
        <f t="shared" si="5"/>
        <v>43830</v>
      </c>
      <c r="BS4" s="1108">
        <f t="shared" si="5"/>
        <v>44196</v>
      </c>
      <c r="BT4" s="1108">
        <f t="shared" si="5"/>
        <v>44561</v>
      </c>
      <c r="BU4" s="1108">
        <f t="shared" si="5"/>
        <v>44926</v>
      </c>
      <c r="BV4" s="1108">
        <f t="shared" si="5"/>
        <v>45291</v>
      </c>
      <c r="BW4" s="1109">
        <f t="shared" si="5"/>
        <v>45657</v>
      </c>
      <c r="BX4" s="1040">
        <f t="shared" si="5"/>
        <v>46022</v>
      </c>
      <c r="BY4" s="1040">
        <f t="shared" si="5"/>
        <v>46387</v>
      </c>
      <c r="BZ4" s="1040">
        <f t="shared" si="5"/>
        <v>46752</v>
      </c>
      <c r="CA4" s="1040">
        <f t="shared" si="5"/>
        <v>47118</v>
      </c>
      <c r="CB4" s="1040">
        <f t="shared" si="5"/>
        <v>47483</v>
      </c>
      <c r="CC4" s="307"/>
    </row>
    <row r="5" spans="1:81" s="741" customFormat="1" ht="15" customHeight="1" x14ac:dyDescent="0.55000000000000004">
      <c r="A5" s="305" t="str">
        <f>MO.ReportFX</f>
        <v>USD</v>
      </c>
      <c r="B5" s="306"/>
      <c r="C5" s="1094" t="s">
        <v>1096</v>
      </c>
      <c r="D5" s="1094" t="s">
        <v>1097</v>
      </c>
      <c r="E5" s="1094" t="s">
        <v>1098</v>
      </c>
      <c r="F5" s="1094" t="s">
        <v>1099</v>
      </c>
      <c r="G5" s="1094" t="s">
        <v>1100</v>
      </c>
      <c r="H5" s="1094" t="s">
        <v>1101</v>
      </c>
      <c r="I5" s="1094" t="s">
        <v>1102</v>
      </c>
      <c r="J5" s="1094" t="s">
        <v>1103</v>
      </c>
      <c r="K5" s="1094" t="s">
        <v>1104</v>
      </c>
      <c r="L5" s="1094" t="s">
        <v>1105</v>
      </c>
      <c r="M5" s="1094" t="s">
        <v>1106</v>
      </c>
      <c r="N5" s="1094" t="s">
        <v>1107</v>
      </c>
      <c r="O5" s="1094" t="s">
        <v>392</v>
      </c>
      <c r="P5" s="1094" t="s">
        <v>341</v>
      </c>
      <c r="Q5" s="1094" t="s">
        <v>339</v>
      </c>
      <c r="R5" s="1094" t="s">
        <v>1108</v>
      </c>
      <c r="S5" s="1094" t="s">
        <v>335</v>
      </c>
      <c r="T5" s="1094" t="s">
        <v>333</v>
      </c>
      <c r="U5" s="1094" t="s">
        <v>331</v>
      </c>
      <c r="V5" s="1094" t="s">
        <v>1109</v>
      </c>
      <c r="W5" s="1094" t="s">
        <v>327</v>
      </c>
      <c r="X5" s="1094" t="s">
        <v>325</v>
      </c>
      <c r="Y5" s="1094" t="s">
        <v>323</v>
      </c>
      <c r="Z5" s="1094" t="s">
        <v>1110</v>
      </c>
      <c r="AA5" s="1094" t="s">
        <v>349</v>
      </c>
      <c r="AB5" s="1094" t="s">
        <v>354</v>
      </c>
      <c r="AC5" s="1094" t="s">
        <v>371</v>
      </c>
      <c r="AD5" s="1094" t="s">
        <v>379</v>
      </c>
      <c r="AE5" s="1094" t="s">
        <v>401</v>
      </c>
      <c r="AF5" s="1094" t="s">
        <v>421</v>
      </c>
      <c r="AG5" s="1094" t="s">
        <v>423</v>
      </c>
      <c r="AH5" s="1094" t="s">
        <v>446</v>
      </c>
      <c r="AI5" s="1094" t="s">
        <v>449</v>
      </c>
      <c r="AJ5" s="1094" t="s">
        <v>451</v>
      </c>
      <c r="AK5" s="1094" t="s">
        <v>491</v>
      </c>
      <c r="AL5" s="1094" t="s">
        <v>495</v>
      </c>
      <c r="AM5" s="1094" t="s">
        <v>536</v>
      </c>
      <c r="AN5" s="1094" t="s">
        <v>570</v>
      </c>
      <c r="AO5" s="1094" t="s">
        <v>600</v>
      </c>
      <c r="AP5" s="1094" t="s">
        <v>608</v>
      </c>
      <c r="AQ5" s="1094" t="s">
        <v>617</v>
      </c>
      <c r="AR5" s="1094" t="s">
        <v>697</v>
      </c>
      <c r="AS5" s="1094" t="s">
        <v>841</v>
      </c>
      <c r="AT5" s="1094" t="s">
        <v>868</v>
      </c>
      <c r="AU5" s="1094" t="s">
        <v>875</v>
      </c>
      <c r="AV5" s="1094" t="s">
        <v>1010</v>
      </c>
      <c r="AW5" s="1094" t="s">
        <v>1053</v>
      </c>
      <c r="AX5" s="1094" t="s">
        <v>1058</v>
      </c>
      <c r="AY5" s="1095" t="s">
        <v>1082</v>
      </c>
      <c r="AZ5" s="1094" t="s">
        <v>1095</v>
      </c>
      <c r="BA5" s="1094" t="s">
        <v>1111</v>
      </c>
      <c r="BB5" s="1094" t="s">
        <v>1112</v>
      </c>
      <c r="BC5" s="1094" t="str">
        <f>CONCATENATE("Q1","-",RIGHT(BX5,4)+1)</f>
        <v>Q1-2026</v>
      </c>
      <c r="BD5" s="1094" t="str">
        <f>CONCATENATE("Q2","-",RIGHT(BC5,4))</f>
        <v>Q2-2026</v>
      </c>
      <c r="BE5" s="1094" t="str">
        <f>CONCATENATE("Q3","-",RIGHT(BD5,4))</f>
        <v>Q3-2026</v>
      </c>
      <c r="BF5" s="1094" t="str">
        <f>CONCATENATE("Q4","-",RIGHT(BE5,4))</f>
        <v>Q4-2026</v>
      </c>
      <c r="BG5" s="373"/>
      <c r="BH5" s="1110" t="s">
        <v>11</v>
      </c>
      <c r="BI5" s="1110" t="s">
        <v>1117</v>
      </c>
      <c r="BJ5" s="1110" t="s">
        <v>1118</v>
      </c>
      <c r="BK5" s="1110" t="s">
        <v>1119</v>
      </c>
      <c r="BL5" s="1110" t="s">
        <v>1120</v>
      </c>
      <c r="BM5" s="1110" t="s">
        <v>1121</v>
      </c>
      <c r="BN5" s="1110" t="s">
        <v>1122</v>
      </c>
      <c r="BO5" s="1110" t="s">
        <v>337</v>
      </c>
      <c r="BP5" s="1110" t="s">
        <v>329</v>
      </c>
      <c r="BQ5" s="1110" t="s">
        <v>391</v>
      </c>
      <c r="BR5" s="1110" t="s">
        <v>373</v>
      </c>
      <c r="BS5" s="1110" t="s">
        <v>382</v>
      </c>
      <c r="BT5" s="1110" t="s">
        <v>445</v>
      </c>
      <c r="BU5" s="1110" t="s">
        <v>493</v>
      </c>
      <c r="BV5" s="1110" t="s">
        <v>609</v>
      </c>
      <c r="BW5" s="1111" t="s">
        <v>869</v>
      </c>
      <c r="BX5" s="1110" t="s">
        <v>1084</v>
      </c>
      <c r="BY5" s="1110" t="str">
        <f>CONCATENATE("FY",RIGHT(BX5,4)+1)</f>
        <v>FY2026</v>
      </c>
      <c r="BZ5" s="1110" t="s">
        <v>1124</v>
      </c>
      <c r="CA5" s="1110" t="s">
        <v>1125</v>
      </c>
      <c r="CB5" s="1110" t="str">
        <f>CONCATENATE("FY",RIGHT(CA5,4)+1)</f>
        <v>FY2029</v>
      </c>
      <c r="CC5" s="307"/>
    </row>
    <row r="6" spans="1:81" customFormat="1" ht="14.4" customHeight="1" x14ac:dyDescent="0.55000000000000004">
      <c r="A6" s="598" t="s">
        <v>31</v>
      </c>
      <c r="B6" s="196"/>
      <c r="C6" s="598"/>
      <c r="D6" s="598"/>
      <c r="E6" s="598"/>
      <c r="F6" s="598"/>
      <c r="G6" s="598"/>
      <c r="H6" s="598"/>
      <c r="I6" s="598"/>
      <c r="J6" s="598"/>
      <c r="K6" s="598"/>
      <c r="L6" s="598"/>
      <c r="M6" s="598"/>
      <c r="N6" s="598"/>
      <c r="O6" s="598"/>
      <c r="P6" s="598"/>
      <c r="Q6" s="598"/>
      <c r="R6" s="598"/>
      <c r="S6" s="598"/>
      <c r="T6" s="598"/>
      <c r="U6" s="598"/>
      <c r="V6" s="598"/>
      <c r="W6" s="598"/>
      <c r="X6" s="598"/>
      <c r="Y6" s="598"/>
      <c r="Z6" s="598"/>
      <c r="AA6" s="598"/>
      <c r="AB6" s="598"/>
      <c r="AC6" s="598"/>
      <c r="AD6" s="598"/>
      <c r="AE6" s="598"/>
      <c r="AF6" s="598"/>
      <c r="AG6" s="598"/>
      <c r="AH6" s="598"/>
      <c r="AI6" s="598"/>
      <c r="AJ6" s="598"/>
      <c r="AK6" s="598"/>
      <c r="AL6" s="598"/>
      <c r="AM6" s="598"/>
      <c r="AN6" s="598"/>
      <c r="AO6" s="598"/>
      <c r="AP6" s="598"/>
      <c r="AQ6" s="598"/>
      <c r="AR6" s="598"/>
      <c r="AS6" s="598"/>
      <c r="AT6" s="598"/>
      <c r="AU6" s="598"/>
      <c r="AV6" s="598"/>
      <c r="AW6" s="598"/>
      <c r="AX6" s="598"/>
      <c r="AY6" s="599"/>
      <c r="AZ6" s="598"/>
      <c r="BA6" s="598"/>
      <c r="BB6" s="598"/>
      <c r="BC6" s="598"/>
      <c r="BD6" s="598"/>
      <c r="BE6" s="598"/>
      <c r="BF6" s="598"/>
      <c r="BG6" s="598"/>
      <c r="BH6" s="598"/>
      <c r="BI6" s="598"/>
      <c r="BJ6" s="598"/>
      <c r="BK6" s="598"/>
      <c r="BL6" s="598"/>
      <c r="BM6" s="598"/>
      <c r="BN6" s="598"/>
      <c r="BO6" s="598"/>
      <c r="BP6" s="598"/>
      <c r="BQ6" s="598"/>
      <c r="BR6" s="598"/>
      <c r="BS6" s="598"/>
      <c r="BT6" s="598"/>
      <c r="BU6" s="598"/>
      <c r="BV6" s="598"/>
      <c r="BW6" s="599"/>
      <c r="BX6" s="598"/>
      <c r="BY6" s="598"/>
      <c r="BZ6" s="598"/>
      <c r="CA6" s="598"/>
      <c r="CB6" s="598"/>
      <c r="CC6" s="217"/>
    </row>
    <row r="7" spans="1:81" customFormat="1" ht="14.4" customHeight="1" x14ac:dyDescent="0.55000000000000004">
      <c r="A7" s="19" t="s">
        <v>486</v>
      </c>
      <c r="B7" s="232"/>
      <c r="C7" s="1096">
        <f>+Model!C38</f>
        <v>1245</v>
      </c>
      <c r="D7" s="1096">
        <f>+Model!D38</f>
        <v>1599</v>
      </c>
      <c r="E7" s="1096">
        <f>+Model!E38</f>
        <v>1798</v>
      </c>
      <c r="F7" s="1096">
        <f>+Model!F38</f>
        <v>2344</v>
      </c>
      <c r="G7" s="1096">
        <f>+Model!G38</f>
        <v>2265</v>
      </c>
      <c r="H7" s="1096">
        <f>+Model!H38</f>
        <v>2676</v>
      </c>
      <c r="I7" s="1096">
        <f>+Model!I38</f>
        <v>2957</v>
      </c>
      <c r="J7" s="1096">
        <f>+Model!J38</f>
        <v>3594</v>
      </c>
      <c r="K7" s="1096">
        <f>+Model!K38</f>
        <v>3317</v>
      </c>
      <c r="L7" s="1096">
        <f>+Model!L38</f>
        <v>3827</v>
      </c>
      <c r="M7" s="1096">
        <f>+Model!M38</f>
        <v>4299</v>
      </c>
      <c r="N7" s="1096">
        <f>+Model!N38</f>
        <v>5637</v>
      </c>
      <c r="O7" s="1096">
        <f>+Model!O38</f>
        <v>5201</v>
      </c>
      <c r="P7" s="1096">
        <f>+Model!P38</f>
        <v>6239</v>
      </c>
      <c r="Q7" s="1096">
        <f>+Model!Q38</f>
        <v>6816</v>
      </c>
      <c r="R7" s="1096">
        <f>+Model!R38</f>
        <v>8629</v>
      </c>
      <c r="S7" s="1096">
        <f>+Model!S38</f>
        <v>7857</v>
      </c>
      <c r="T7" s="1096">
        <f>+Model!T38</f>
        <v>9164</v>
      </c>
      <c r="U7" s="1096">
        <f>+Model!U38</f>
        <v>10142</v>
      </c>
      <c r="V7" s="1096">
        <f>+Model!V38</f>
        <v>12779</v>
      </c>
      <c r="W7" s="1096">
        <f>+Model!W38</f>
        <v>11795</v>
      </c>
      <c r="X7" s="1096">
        <f>+Model!X38</f>
        <v>13038</v>
      </c>
      <c r="Y7" s="1096">
        <f>+Model!Y38</f>
        <v>13539</v>
      </c>
      <c r="Z7" s="1096">
        <f>+Model!Z38</f>
        <v>16640</v>
      </c>
      <c r="AA7" s="1096">
        <f>+Model!AA38</f>
        <v>14912</v>
      </c>
      <c r="AB7" s="1096">
        <f>+Model!AB38</f>
        <v>16624</v>
      </c>
      <c r="AC7" s="1096">
        <f>+Model!AC38</f>
        <v>17383</v>
      </c>
      <c r="AD7" s="1096">
        <f>+Model!AD38</f>
        <v>20736</v>
      </c>
      <c r="AE7" s="1096">
        <f>+Model!AE38</f>
        <v>17440</v>
      </c>
      <c r="AF7" s="1096">
        <f>+Model!AF38</f>
        <v>18321</v>
      </c>
      <c r="AG7" s="1096">
        <f>+Model!AG38</f>
        <v>21221</v>
      </c>
      <c r="AH7" s="1096">
        <f>+Model!AH38</f>
        <v>27187</v>
      </c>
      <c r="AI7" s="1096">
        <f>+Model!AI38</f>
        <v>25439</v>
      </c>
      <c r="AJ7" s="1096">
        <f>+Model!AJ38</f>
        <v>28580</v>
      </c>
      <c r="AK7" s="1096">
        <f>+Model!AK38</f>
        <v>28276</v>
      </c>
      <c r="AL7" s="1096">
        <f>+Model!AL38</f>
        <v>32639</v>
      </c>
      <c r="AM7" s="1096">
        <f>+Model!AM38</f>
        <v>26998</v>
      </c>
      <c r="AN7" s="1096">
        <f>+Model!AN38</f>
        <v>28152</v>
      </c>
      <c r="AO7" s="1096">
        <f>+Model!AO38</f>
        <v>27237</v>
      </c>
      <c r="AP7" s="1096">
        <f>+Model!AP38</f>
        <v>31254</v>
      </c>
      <c r="AQ7" s="1096">
        <f>+Model!AQ38</f>
        <v>28101</v>
      </c>
      <c r="AR7" s="1096">
        <f>+Model!AR38</f>
        <v>31498</v>
      </c>
      <c r="AS7" s="1096">
        <f>+Model!AS38</f>
        <v>33643</v>
      </c>
      <c r="AT7" s="1096">
        <f>+Model!AT38</f>
        <v>38706</v>
      </c>
      <c r="AU7" s="1096">
        <f>+Model!AU38</f>
        <v>35635</v>
      </c>
      <c r="AV7" s="1096">
        <f>+Model!AV38</f>
        <v>38329</v>
      </c>
      <c r="AW7" s="1096">
        <f>+Model!AW38</f>
        <v>39885</v>
      </c>
      <c r="AX7" s="1096">
        <f>+Model!AX38</f>
        <v>46783</v>
      </c>
      <c r="AY7" s="1097">
        <f>+Model!AY38</f>
        <v>41392</v>
      </c>
      <c r="AZ7" s="35"/>
      <c r="BA7" s="35"/>
      <c r="BB7" s="35"/>
      <c r="BC7" s="35"/>
      <c r="BD7" s="35"/>
      <c r="BE7" s="35"/>
      <c r="BF7" s="35"/>
      <c r="BG7" s="35"/>
      <c r="BH7" s="812"/>
      <c r="BI7" s="812"/>
      <c r="BJ7" s="812"/>
      <c r="BK7" s="1112">
        <f>+Model!BK38</f>
        <v>4278</v>
      </c>
      <c r="BL7" s="1112">
        <f>+Model!BL38</f>
        <v>6986</v>
      </c>
      <c r="BM7" s="1112">
        <f>+Model!BM38</f>
        <v>11492</v>
      </c>
      <c r="BN7" s="1112">
        <f>+Model!BN38</f>
        <v>17080</v>
      </c>
      <c r="BO7" s="1112">
        <f>+Model!BO38</f>
        <v>26885</v>
      </c>
      <c r="BP7" s="1112">
        <f>+Model!BP38</f>
        <v>39942</v>
      </c>
      <c r="BQ7" s="869">
        <v>55013</v>
      </c>
      <c r="BR7" s="1112">
        <f>+Model!BR38</f>
        <v>69655</v>
      </c>
      <c r="BS7" s="1112">
        <f>+Model!BS38</f>
        <v>84169</v>
      </c>
      <c r="BT7" s="1112">
        <f>+Model!BT38</f>
        <v>114934</v>
      </c>
      <c r="BU7" s="1112">
        <f>+Model!BU38</f>
        <v>113642</v>
      </c>
      <c r="BV7" s="1112">
        <f>+Model!BV38</f>
        <v>131948</v>
      </c>
      <c r="BW7" s="1113">
        <f>+Model!BW38</f>
        <v>160633</v>
      </c>
      <c r="BX7" s="812"/>
      <c r="BY7" s="812"/>
      <c r="BZ7" s="812"/>
      <c r="CA7" s="812"/>
      <c r="CB7" s="812"/>
      <c r="CC7" s="6"/>
    </row>
    <row r="8" spans="1:81" customFormat="1" ht="14.4" customHeight="1" x14ac:dyDescent="0.55000000000000004">
      <c r="A8" s="116" t="s">
        <v>1042</v>
      </c>
      <c r="B8" s="229"/>
      <c r="C8" s="759">
        <v>3</v>
      </c>
      <c r="D8" s="759">
        <v>13</v>
      </c>
      <c r="E8" s="759">
        <v>3</v>
      </c>
      <c r="F8" s="759">
        <v>2</v>
      </c>
      <c r="G8" s="759">
        <v>9</v>
      </c>
      <c r="H8" s="759">
        <v>-30</v>
      </c>
      <c r="I8" s="759">
        <v>-21</v>
      </c>
      <c r="J8" s="759">
        <v>103</v>
      </c>
      <c r="K8" s="759">
        <v>188</v>
      </c>
      <c r="L8" s="759">
        <v>332</v>
      </c>
      <c r="M8" s="759">
        <v>342</v>
      </c>
      <c r="N8" s="759">
        <v>322</v>
      </c>
      <c r="O8" s="759">
        <v>202</v>
      </c>
      <c r="P8" s="759">
        <v>1</v>
      </c>
      <c r="Q8" s="759">
        <v>31</v>
      </c>
      <c r="R8" s="759">
        <v>35</v>
      </c>
      <c r="S8" s="759">
        <v>22</v>
      </c>
      <c r="T8" s="759">
        <v>141</v>
      </c>
      <c r="U8" s="759">
        <v>-128</v>
      </c>
      <c r="V8" s="759">
        <v>-327</v>
      </c>
      <c r="W8" s="759">
        <v>-535</v>
      </c>
      <c r="X8" s="759">
        <v>-371</v>
      </c>
      <c r="Y8" s="759">
        <v>159</v>
      </c>
      <c r="Z8" s="759">
        <v>348</v>
      </c>
      <c r="AA8" s="759">
        <v>503</v>
      </c>
      <c r="AB8" s="759">
        <v>572</v>
      </c>
      <c r="AC8" s="759">
        <v>295</v>
      </c>
      <c r="AD8" s="37">
        <f>BR8-AC8-AB8-AA8</f>
        <v>294</v>
      </c>
      <c r="AE8" s="759">
        <v>274</v>
      </c>
      <c r="AF8" s="759">
        <v>295</v>
      </c>
      <c r="AG8" s="759">
        <v>-109</v>
      </c>
      <c r="AH8" s="759">
        <v>-332</v>
      </c>
      <c r="AI8" s="759">
        <v>-695</v>
      </c>
      <c r="AJ8" s="759">
        <v>-975</v>
      </c>
      <c r="AK8" s="759">
        <v>-256</v>
      </c>
      <c r="AL8" s="759">
        <v>306</v>
      </c>
      <c r="AM8" s="759">
        <v>888</v>
      </c>
      <c r="AN8" s="759">
        <v>1255</v>
      </c>
      <c r="AO8" s="759">
        <v>1776</v>
      </c>
      <c r="AP8" s="759">
        <v>1977</v>
      </c>
      <c r="AQ8" s="759">
        <v>806</v>
      </c>
      <c r="AR8" s="759">
        <v>269</v>
      </c>
      <c r="AS8" s="759">
        <v>-645</v>
      </c>
      <c r="AT8" s="759">
        <v>-809</v>
      </c>
      <c r="AU8" s="759">
        <v>-105</v>
      </c>
      <c r="AV8" s="759">
        <v>367</v>
      </c>
      <c r="AW8" s="759">
        <v>538</v>
      </c>
      <c r="AX8" s="759">
        <v>81</v>
      </c>
      <c r="AY8" s="762">
        <v>1224</v>
      </c>
      <c r="AZ8" s="37"/>
      <c r="BA8" s="37"/>
      <c r="BB8" s="37"/>
      <c r="BC8" s="37"/>
      <c r="BD8" s="37"/>
      <c r="BE8" s="37"/>
      <c r="BF8" s="37"/>
      <c r="BG8" s="37"/>
      <c r="BH8" s="158"/>
      <c r="BI8" s="158"/>
      <c r="BJ8" s="158"/>
      <c r="BK8" s="857">
        <v>123</v>
      </c>
      <c r="BL8" s="857">
        <v>22</v>
      </c>
      <c r="BM8" s="857">
        <v>61</v>
      </c>
      <c r="BN8" s="857">
        <v>1185</v>
      </c>
      <c r="BO8" s="857">
        <v>269</v>
      </c>
      <c r="BP8" s="857">
        <v>-292</v>
      </c>
      <c r="BQ8" s="857">
        <v>-401</v>
      </c>
      <c r="BR8" s="857">
        <v>1664</v>
      </c>
      <c r="BS8" s="857">
        <v>129</v>
      </c>
      <c r="BT8" s="857">
        <v>-1620</v>
      </c>
      <c r="BU8" s="857">
        <v>5896</v>
      </c>
      <c r="BV8" s="857">
        <v>-379</v>
      </c>
      <c r="BW8" s="862">
        <v>880</v>
      </c>
      <c r="BX8" s="158"/>
      <c r="BY8" s="158"/>
      <c r="BZ8" s="158"/>
      <c r="CA8" s="158"/>
      <c r="CB8" s="158"/>
      <c r="CC8" s="117"/>
    </row>
    <row r="9" spans="1:81" customFormat="1" ht="14.4" customHeight="1" x14ac:dyDescent="0.55000000000000004">
      <c r="A9" s="20" t="s">
        <v>1040</v>
      </c>
      <c r="B9" s="231"/>
      <c r="C9" s="5">
        <f t="shared" ref="C9:AH9" si="6">+SUM(C7:C8)</f>
        <v>1248</v>
      </c>
      <c r="D9" s="5">
        <f t="shared" si="6"/>
        <v>1612</v>
      </c>
      <c r="E9" s="5">
        <f t="shared" si="6"/>
        <v>1801</v>
      </c>
      <c r="F9" s="5">
        <f t="shared" si="6"/>
        <v>2346</v>
      </c>
      <c r="G9" s="5">
        <f t="shared" si="6"/>
        <v>2274</v>
      </c>
      <c r="H9" s="5">
        <f t="shared" si="6"/>
        <v>2646</v>
      </c>
      <c r="I9" s="5">
        <f t="shared" si="6"/>
        <v>2936</v>
      </c>
      <c r="J9" s="5">
        <f t="shared" si="6"/>
        <v>3697</v>
      </c>
      <c r="K9" s="5">
        <f t="shared" si="6"/>
        <v>3505</v>
      </c>
      <c r="L9" s="5">
        <f t="shared" si="6"/>
        <v>4159</v>
      </c>
      <c r="M9" s="5">
        <f t="shared" si="6"/>
        <v>4641</v>
      </c>
      <c r="N9" s="5">
        <f t="shared" si="6"/>
        <v>5959</v>
      </c>
      <c r="O9" s="5">
        <f t="shared" si="6"/>
        <v>5403</v>
      </c>
      <c r="P9" s="5">
        <f t="shared" si="6"/>
        <v>6240</v>
      </c>
      <c r="Q9" s="5">
        <f t="shared" si="6"/>
        <v>6847</v>
      </c>
      <c r="R9" s="33">
        <f t="shared" si="6"/>
        <v>8664</v>
      </c>
      <c r="S9" s="5">
        <f t="shared" si="6"/>
        <v>7879</v>
      </c>
      <c r="T9" s="5">
        <f t="shared" si="6"/>
        <v>9305</v>
      </c>
      <c r="U9" s="5">
        <f t="shared" si="6"/>
        <v>10014</v>
      </c>
      <c r="V9" s="33">
        <f t="shared" si="6"/>
        <v>12452</v>
      </c>
      <c r="W9" s="5">
        <f t="shared" si="6"/>
        <v>11260</v>
      </c>
      <c r="X9" s="5">
        <f t="shared" si="6"/>
        <v>12667</v>
      </c>
      <c r="Y9" s="5">
        <f t="shared" si="6"/>
        <v>13698</v>
      </c>
      <c r="Z9" s="33">
        <f t="shared" si="6"/>
        <v>16988</v>
      </c>
      <c r="AA9" s="5">
        <f t="shared" si="6"/>
        <v>15415</v>
      </c>
      <c r="AB9" s="5">
        <f t="shared" si="6"/>
        <v>17196</v>
      </c>
      <c r="AC9" s="5">
        <f t="shared" si="6"/>
        <v>17678</v>
      </c>
      <c r="AD9" s="33">
        <f t="shared" si="6"/>
        <v>21030</v>
      </c>
      <c r="AE9" s="5">
        <f t="shared" si="6"/>
        <v>17714</v>
      </c>
      <c r="AF9" s="5">
        <f t="shared" si="6"/>
        <v>18616</v>
      </c>
      <c r="AG9" s="5">
        <f t="shared" si="6"/>
        <v>21112</v>
      </c>
      <c r="AH9" s="33">
        <f t="shared" si="6"/>
        <v>26855</v>
      </c>
      <c r="AI9" s="5">
        <f t="shared" ref="AI9:AY9" si="7">+SUM(AI7:AI8)</f>
        <v>24744</v>
      </c>
      <c r="AJ9" s="5">
        <f t="shared" si="7"/>
        <v>27605</v>
      </c>
      <c r="AK9" s="5">
        <f t="shared" si="7"/>
        <v>28020</v>
      </c>
      <c r="AL9" s="33">
        <f t="shared" si="7"/>
        <v>32945</v>
      </c>
      <c r="AM9" s="5">
        <f t="shared" si="7"/>
        <v>27886</v>
      </c>
      <c r="AN9" s="5">
        <f t="shared" si="7"/>
        <v>29407</v>
      </c>
      <c r="AO9" s="5">
        <f t="shared" si="7"/>
        <v>29013</v>
      </c>
      <c r="AP9" s="33">
        <f t="shared" si="7"/>
        <v>33231</v>
      </c>
      <c r="AQ9" s="5">
        <f t="shared" si="7"/>
        <v>28907</v>
      </c>
      <c r="AR9" s="5">
        <f t="shared" si="7"/>
        <v>31767</v>
      </c>
      <c r="AS9" s="5">
        <f t="shared" si="7"/>
        <v>32998</v>
      </c>
      <c r="AT9" s="33">
        <f t="shared" si="7"/>
        <v>37897</v>
      </c>
      <c r="AU9" s="5">
        <f t="shared" si="7"/>
        <v>35530</v>
      </c>
      <c r="AV9" s="5">
        <f t="shared" si="7"/>
        <v>38696</v>
      </c>
      <c r="AW9" s="5">
        <f t="shared" si="7"/>
        <v>40423</v>
      </c>
      <c r="AX9" s="33">
        <f t="shared" si="7"/>
        <v>46864</v>
      </c>
      <c r="AY9" s="409">
        <f t="shared" si="7"/>
        <v>42616</v>
      </c>
      <c r="AZ9" s="33"/>
      <c r="BA9" s="33"/>
      <c r="BB9" s="33"/>
      <c r="BC9" s="33"/>
      <c r="BD9" s="33"/>
      <c r="BE9" s="33"/>
      <c r="BF9" s="33"/>
      <c r="BG9" s="33"/>
      <c r="BH9" s="833"/>
      <c r="BI9" s="833"/>
      <c r="BJ9" s="833"/>
      <c r="BK9" s="834">
        <f t="shared" ref="BK9:BW9" si="8">+SUM(BK7:BK8)</f>
        <v>4401</v>
      </c>
      <c r="BL9" s="834">
        <f t="shared" si="8"/>
        <v>7008</v>
      </c>
      <c r="BM9" s="834">
        <f t="shared" si="8"/>
        <v>11553</v>
      </c>
      <c r="BN9" s="834">
        <f t="shared" si="8"/>
        <v>18265</v>
      </c>
      <c r="BO9" s="833">
        <f t="shared" si="8"/>
        <v>27154</v>
      </c>
      <c r="BP9" s="833">
        <f t="shared" si="8"/>
        <v>39650</v>
      </c>
      <c r="BQ9" s="833">
        <f t="shared" si="8"/>
        <v>54612</v>
      </c>
      <c r="BR9" s="833">
        <f t="shared" si="8"/>
        <v>71319</v>
      </c>
      <c r="BS9" s="833">
        <f t="shared" si="8"/>
        <v>84298</v>
      </c>
      <c r="BT9" s="833">
        <f t="shared" si="8"/>
        <v>113314</v>
      </c>
      <c r="BU9" s="833">
        <f t="shared" si="8"/>
        <v>119538</v>
      </c>
      <c r="BV9" s="833">
        <f t="shared" si="8"/>
        <v>131569</v>
      </c>
      <c r="BW9" s="835">
        <f t="shared" si="8"/>
        <v>161513</v>
      </c>
      <c r="BX9" s="833"/>
      <c r="BY9" s="833"/>
      <c r="BZ9" s="833"/>
      <c r="CA9" s="833"/>
      <c r="CB9" s="833"/>
      <c r="CC9" s="6"/>
    </row>
    <row r="10" spans="1:81" s="705" customFormat="1" ht="14.4" customHeight="1" x14ac:dyDescent="0.55000000000000004">
      <c r="A10" s="48" t="s">
        <v>478</v>
      </c>
      <c r="B10" s="298"/>
      <c r="C10" s="83">
        <f>+C9/872-1</f>
        <v>0.4311926605504588</v>
      </c>
      <c r="D10" s="83">
        <f>+D9/992-1</f>
        <v>0.625</v>
      </c>
      <c r="E10" s="83">
        <f>+E9/1086-1</f>
        <v>0.65837937384898715</v>
      </c>
      <c r="F10" s="83">
        <f>+F9/1329-1</f>
        <v>0.76523702031602703</v>
      </c>
      <c r="G10" s="83">
        <f t="shared" ref="G10:AY10" si="9">+G9/C7-1</f>
        <v>0.82650602409638552</v>
      </c>
      <c r="H10" s="83">
        <f t="shared" si="9"/>
        <v>0.65478424015009384</v>
      </c>
      <c r="I10" s="83">
        <f t="shared" si="9"/>
        <v>0.63292547274749711</v>
      </c>
      <c r="J10" s="83">
        <f t="shared" si="9"/>
        <v>0.57721843003412965</v>
      </c>
      <c r="K10" s="83">
        <f t="shared" si="9"/>
        <v>0.54746136865342154</v>
      </c>
      <c r="L10" s="83">
        <f t="shared" si="9"/>
        <v>0.55418535127055302</v>
      </c>
      <c r="M10" s="83">
        <f t="shared" si="9"/>
        <v>0.56949611092323305</v>
      </c>
      <c r="N10" s="83">
        <f t="shared" si="9"/>
        <v>0.65804117974401777</v>
      </c>
      <c r="O10" s="83">
        <f t="shared" si="9"/>
        <v>0.62888151944528192</v>
      </c>
      <c r="P10" s="83">
        <f t="shared" si="9"/>
        <v>0.63051998954794874</v>
      </c>
      <c r="Q10" s="83">
        <f t="shared" si="9"/>
        <v>0.59269597580832745</v>
      </c>
      <c r="R10" s="54">
        <f t="shared" si="9"/>
        <v>0.536987759446514</v>
      </c>
      <c r="S10" s="83">
        <f t="shared" si="9"/>
        <v>0.51490098058065747</v>
      </c>
      <c r="T10" s="83">
        <f t="shared" si="9"/>
        <v>0.49142490783779458</v>
      </c>
      <c r="U10" s="83">
        <f t="shared" si="9"/>
        <v>0.46919014084507049</v>
      </c>
      <c r="V10" s="54">
        <f t="shared" si="9"/>
        <v>0.44304090856414424</v>
      </c>
      <c r="W10" s="83">
        <f t="shared" si="9"/>
        <v>0.43311696576301384</v>
      </c>
      <c r="X10" s="83">
        <f t="shared" si="9"/>
        <v>0.38225665648188567</v>
      </c>
      <c r="Y10" s="83">
        <f t="shared" si="9"/>
        <v>0.3506211792545848</v>
      </c>
      <c r="Z10" s="54">
        <f t="shared" si="9"/>
        <v>0.32936849518741695</v>
      </c>
      <c r="AA10" s="83">
        <f t="shared" si="9"/>
        <v>0.30690970750317925</v>
      </c>
      <c r="AB10" s="83">
        <f t="shared" si="9"/>
        <v>0.31891394385641969</v>
      </c>
      <c r="AC10" s="83">
        <f t="shared" si="9"/>
        <v>0.3057094320112268</v>
      </c>
      <c r="AD10" s="54">
        <f t="shared" si="9"/>
        <v>0.26382211538461542</v>
      </c>
      <c r="AE10" s="83">
        <f t="shared" si="9"/>
        <v>0.1879023605150214</v>
      </c>
      <c r="AF10" s="83">
        <f t="shared" si="9"/>
        <v>0.11982675649663133</v>
      </c>
      <c r="AG10" s="83">
        <f t="shared" si="9"/>
        <v>0.21451993326813557</v>
      </c>
      <c r="AH10" s="54">
        <f t="shared" si="9"/>
        <v>0.29509066358024683</v>
      </c>
      <c r="AI10" s="83">
        <f t="shared" si="9"/>
        <v>0.41880733944954129</v>
      </c>
      <c r="AJ10" s="83">
        <f t="shared" si="9"/>
        <v>0.50674089842257519</v>
      </c>
      <c r="AK10" s="83">
        <f t="shared" si="9"/>
        <v>0.32039017953913573</v>
      </c>
      <c r="AL10" s="54">
        <f t="shared" si="9"/>
        <v>0.21179240077978445</v>
      </c>
      <c r="AM10" s="83">
        <f t="shared" si="9"/>
        <v>9.6190888006604025E-2</v>
      </c>
      <c r="AN10" s="83">
        <f t="shared" si="9"/>
        <v>2.8936319104268637E-2</v>
      </c>
      <c r="AO10" s="83">
        <f t="shared" si="9"/>
        <v>2.6064507002404813E-2</v>
      </c>
      <c r="AP10" s="54">
        <f t="shared" si="9"/>
        <v>1.8137810594687442E-2</v>
      </c>
      <c r="AQ10" s="83">
        <f t="shared" si="9"/>
        <v>7.0708941403066827E-2</v>
      </c>
      <c r="AR10" s="83">
        <f t="shared" si="9"/>
        <v>0.12841005967604424</v>
      </c>
      <c r="AS10" s="83">
        <f t="shared" si="9"/>
        <v>0.21151374967874581</v>
      </c>
      <c r="AT10" s="54">
        <f t="shared" si="9"/>
        <v>0.2125487937543995</v>
      </c>
      <c r="AU10" s="83">
        <f t="shared" si="9"/>
        <v>0.26436781609195403</v>
      </c>
      <c r="AV10" s="83">
        <f t="shared" si="9"/>
        <v>0.22852244586957893</v>
      </c>
      <c r="AW10" s="83">
        <f t="shared" si="9"/>
        <v>0.20152780667598025</v>
      </c>
      <c r="AX10" s="54">
        <f t="shared" si="9"/>
        <v>0.21076835632718449</v>
      </c>
      <c r="AY10" s="623">
        <f t="shared" si="9"/>
        <v>0.19590290444787417</v>
      </c>
      <c r="AZ10" s="54"/>
      <c r="BA10" s="54"/>
      <c r="BB10" s="54"/>
      <c r="BC10" s="54"/>
      <c r="BD10" s="54"/>
      <c r="BE10" s="54"/>
      <c r="BF10" s="54"/>
      <c r="BG10" s="54"/>
      <c r="BH10" s="815"/>
      <c r="BI10" s="815"/>
      <c r="BJ10" s="815"/>
      <c r="BK10" s="1114">
        <f>BK9/1-1</f>
        <v>4400</v>
      </c>
      <c r="BL10" s="1114">
        <f t="shared" ref="BL10:BW10" si="10">+BL9/BK7-1</f>
        <v>0.63814866760168298</v>
      </c>
      <c r="BM10" s="1114">
        <f t="shared" si="10"/>
        <v>0.65373604351560255</v>
      </c>
      <c r="BN10" s="1114">
        <f t="shared" si="10"/>
        <v>0.58936651583710398</v>
      </c>
      <c r="BO10" s="815">
        <f t="shared" si="10"/>
        <v>0.58981264637002351</v>
      </c>
      <c r="BP10" s="815">
        <f t="shared" si="10"/>
        <v>0.4748000743909242</v>
      </c>
      <c r="BQ10" s="815">
        <f t="shared" si="10"/>
        <v>0.36728255971158186</v>
      </c>
      <c r="BR10" s="815">
        <f t="shared" si="10"/>
        <v>0.29640266846018215</v>
      </c>
      <c r="BS10" s="815">
        <f t="shared" si="10"/>
        <v>0.21022180747972152</v>
      </c>
      <c r="BT10" s="815">
        <f t="shared" si="10"/>
        <v>0.34626762822416812</v>
      </c>
      <c r="BU10" s="815">
        <f t="shared" si="10"/>
        <v>4.0057772286703708E-2</v>
      </c>
      <c r="BV10" s="815">
        <f t="shared" si="10"/>
        <v>0.15774977561112968</v>
      </c>
      <c r="BW10" s="816">
        <f t="shared" si="10"/>
        <v>0.22406554097068532</v>
      </c>
      <c r="BX10" s="815"/>
      <c r="BY10" s="815"/>
      <c r="BZ10" s="815"/>
      <c r="CA10" s="815"/>
      <c r="CB10" s="815"/>
      <c r="CC10" s="83"/>
    </row>
    <row r="11" spans="1:81" customFormat="1" ht="14.4" customHeight="1" x14ac:dyDescent="0.55000000000000004">
      <c r="A11" s="192"/>
      <c r="B11" s="232"/>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272"/>
      <c r="AZ11" s="35"/>
      <c r="BA11" s="35"/>
      <c r="BB11" s="35"/>
      <c r="BC11" s="35"/>
      <c r="BD11" s="35"/>
      <c r="BE11" s="35"/>
      <c r="BF11" s="35"/>
      <c r="BG11" s="35"/>
      <c r="BH11" s="812"/>
      <c r="BI11" s="812"/>
      <c r="BJ11" s="812"/>
      <c r="BK11" s="812"/>
      <c r="BL11" s="812"/>
      <c r="BM11" s="812"/>
      <c r="BN11" s="812"/>
      <c r="BO11" s="812"/>
      <c r="BP11" s="812"/>
      <c r="BQ11" s="812"/>
      <c r="BR11" s="812"/>
      <c r="BS11" s="812"/>
      <c r="BT11" s="812"/>
      <c r="BU11" s="812"/>
      <c r="BV11" s="812"/>
      <c r="BW11" s="814"/>
      <c r="BX11" s="812"/>
      <c r="BY11" s="812"/>
      <c r="BZ11" s="812"/>
      <c r="CA11" s="812"/>
      <c r="CB11" s="812"/>
      <c r="CC11" s="6"/>
    </row>
    <row r="12" spans="1:81" customFormat="1" ht="14.4" customHeight="1" x14ac:dyDescent="0.55000000000000004">
      <c r="A12" s="19" t="s">
        <v>488</v>
      </c>
      <c r="B12" s="232"/>
      <c r="C12" s="6">
        <f t="shared" ref="C12:AL12" si="11">+C26</f>
        <v>213</v>
      </c>
      <c r="D12" s="6">
        <f t="shared" si="11"/>
        <v>214</v>
      </c>
      <c r="E12" s="6">
        <f t="shared" si="11"/>
        <v>218</v>
      </c>
      <c r="F12" s="6">
        <f t="shared" si="11"/>
        <v>241</v>
      </c>
      <c r="G12" s="6">
        <f t="shared" si="11"/>
        <v>237</v>
      </c>
      <c r="H12" s="6">
        <f t="shared" si="11"/>
        <v>234</v>
      </c>
      <c r="I12" s="6">
        <f t="shared" si="11"/>
        <v>246</v>
      </c>
      <c r="J12" s="6">
        <f t="shared" si="11"/>
        <v>257</v>
      </c>
      <c r="K12" s="6">
        <f t="shared" si="11"/>
        <v>226</v>
      </c>
      <c r="L12" s="6">
        <f t="shared" si="11"/>
        <v>215</v>
      </c>
      <c r="M12" s="6">
        <f t="shared" si="11"/>
        <v>202</v>
      </c>
      <c r="N12" s="6">
        <f t="shared" si="11"/>
        <v>204</v>
      </c>
      <c r="O12" s="6">
        <f t="shared" si="11"/>
        <v>181</v>
      </c>
      <c r="P12" s="6">
        <f t="shared" si="11"/>
        <v>197</v>
      </c>
      <c r="Q12" s="6">
        <f t="shared" si="11"/>
        <v>195</v>
      </c>
      <c r="R12" s="35">
        <f t="shared" si="11"/>
        <v>180</v>
      </c>
      <c r="S12" s="6">
        <f t="shared" si="11"/>
        <v>175</v>
      </c>
      <c r="T12" s="6">
        <f t="shared" si="11"/>
        <v>157</v>
      </c>
      <c r="U12" s="6">
        <f t="shared" si="11"/>
        <v>186</v>
      </c>
      <c r="V12" s="35">
        <f t="shared" si="11"/>
        <v>193</v>
      </c>
      <c r="W12" s="6">
        <f t="shared" si="11"/>
        <v>171</v>
      </c>
      <c r="X12" s="6">
        <f t="shared" si="11"/>
        <v>193</v>
      </c>
      <c r="Y12" s="6">
        <f t="shared" si="11"/>
        <v>188</v>
      </c>
      <c r="Z12" s="35">
        <f t="shared" si="11"/>
        <v>274</v>
      </c>
      <c r="AA12" s="6">
        <f t="shared" si="11"/>
        <v>165</v>
      </c>
      <c r="AB12" s="6">
        <f t="shared" si="11"/>
        <v>262</v>
      </c>
      <c r="AC12" s="6">
        <f t="shared" si="11"/>
        <v>269</v>
      </c>
      <c r="AD12" s="35">
        <f t="shared" si="11"/>
        <v>346</v>
      </c>
      <c r="AE12" s="6">
        <f t="shared" si="11"/>
        <v>297</v>
      </c>
      <c r="AF12" s="6">
        <f t="shared" si="11"/>
        <v>366</v>
      </c>
      <c r="AG12" s="6">
        <f t="shared" si="11"/>
        <v>249</v>
      </c>
      <c r="AH12" s="35">
        <f t="shared" si="11"/>
        <v>885</v>
      </c>
      <c r="AI12" s="6">
        <f t="shared" si="11"/>
        <v>732</v>
      </c>
      <c r="AJ12" s="6">
        <f t="shared" si="11"/>
        <v>497</v>
      </c>
      <c r="AK12" s="6">
        <f t="shared" si="11"/>
        <v>734</v>
      </c>
      <c r="AL12" s="35">
        <f t="shared" si="11"/>
        <v>1032</v>
      </c>
      <c r="AM12" s="6">
        <f t="shared" ref="AM12:AY12" si="12">AM17-AM7</f>
        <v>910</v>
      </c>
      <c r="AN12" s="6">
        <f t="shared" si="12"/>
        <v>670</v>
      </c>
      <c r="AO12" s="6">
        <f t="shared" si="12"/>
        <v>477</v>
      </c>
      <c r="AP12" s="35">
        <f t="shared" si="12"/>
        <v>911</v>
      </c>
      <c r="AQ12" s="6">
        <f t="shared" si="12"/>
        <v>544</v>
      </c>
      <c r="AR12" s="6">
        <f t="shared" si="12"/>
        <v>501</v>
      </c>
      <c r="AS12" s="6">
        <f t="shared" si="12"/>
        <v>503</v>
      </c>
      <c r="AT12" s="35">
        <f t="shared" si="12"/>
        <v>1405</v>
      </c>
      <c r="AU12" s="6">
        <f t="shared" si="12"/>
        <v>820</v>
      </c>
      <c r="AV12" s="6">
        <f t="shared" si="12"/>
        <v>742</v>
      </c>
      <c r="AW12" s="6">
        <f t="shared" si="12"/>
        <v>704</v>
      </c>
      <c r="AX12" s="35">
        <f t="shared" si="12"/>
        <v>1602</v>
      </c>
      <c r="AY12" s="272">
        <f t="shared" si="12"/>
        <v>922</v>
      </c>
      <c r="AZ12" s="35"/>
      <c r="BA12" s="35"/>
      <c r="BB12" s="35"/>
      <c r="BC12" s="35"/>
      <c r="BD12" s="35"/>
      <c r="BE12" s="35"/>
      <c r="BF12" s="35"/>
      <c r="BG12" s="35"/>
      <c r="BH12" s="812"/>
      <c r="BI12" s="812"/>
      <c r="BJ12" s="812"/>
      <c r="BK12" s="813">
        <f t="shared" ref="BK12:BT12" si="13">+BK26</f>
        <v>811</v>
      </c>
      <c r="BL12" s="813">
        <f t="shared" si="13"/>
        <v>886</v>
      </c>
      <c r="BM12" s="813">
        <f t="shared" si="13"/>
        <v>974</v>
      </c>
      <c r="BN12" s="813">
        <f t="shared" si="13"/>
        <v>847</v>
      </c>
      <c r="BO12" s="812">
        <f t="shared" si="13"/>
        <v>753</v>
      </c>
      <c r="BP12" s="812">
        <f t="shared" si="13"/>
        <v>711</v>
      </c>
      <c r="BQ12" s="812">
        <f t="shared" si="13"/>
        <v>826</v>
      </c>
      <c r="BR12" s="812">
        <f t="shared" si="13"/>
        <v>1042</v>
      </c>
      <c r="BS12" s="812">
        <f t="shared" si="13"/>
        <v>1797</v>
      </c>
      <c r="BT12" s="812">
        <f t="shared" si="13"/>
        <v>2995</v>
      </c>
      <c r="BU12" s="812">
        <f t="shared" ref="BU12:BW13" si="14">BU17-BU7</f>
        <v>2967</v>
      </c>
      <c r="BV12" s="812">
        <f t="shared" si="14"/>
        <v>2954</v>
      </c>
      <c r="BW12" s="814">
        <f t="shared" si="14"/>
        <v>3868</v>
      </c>
      <c r="BX12" s="812"/>
      <c r="BY12" s="812"/>
      <c r="BZ12" s="812"/>
      <c r="CA12" s="812"/>
      <c r="CB12" s="812"/>
      <c r="CC12" s="6"/>
    </row>
    <row r="13" spans="1:81" customFormat="1" ht="14.4" customHeight="1" x14ac:dyDescent="0.55000000000000004">
      <c r="A13" s="116" t="s">
        <v>1043</v>
      </c>
      <c r="B13" s="229"/>
      <c r="C13" s="117">
        <f t="shared" ref="C13:AL13" si="15">C18-C8</f>
        <v>1</v>
      </c>
      <c r="D13" s="117">
        <f t="shared" si="15"/>
        <v>0</v>
      </c>
      <c r="E13" s="117">
        <f t="shared" si="15"/>
        <v>-1</v>
      </c>
      <c r="F13" s="117">
        <f t="shared" si="15"/>
        <v>0</v>
      </c>
      <c r="G13" s="117">
        <f t="shared" si="15"/>
        <v>0</v>
      </c>
      <c r="H13" s="117">
        <f t="shared" si="15"/>
        <v>0</v>
      </c>
      <c r="I13" s="117">
        <f t="shared" si="15"/>
        <v>0</v>
      </c>
      <c r="J13" s="117">
        <f t="shared" si="15"/>
        <v>0</v>
      </c>
      <c r="K13" s="117">
        <f t="shared" si="15"/>
        <v>0</v>
      </c>
      <c r="L13" s="117">
        <f t="shared" si="15"/>
        <v>0</v>
      </c>
      <c r="M13" s="117">
        <f t="shared" si="15"/>
        <v>0</v>
      </c>
      <c r="N13" s="117">
        <f t="shared" si="15"/>
        <v>0</v>
      </c>
      <c r="O13" s="117">
        <f t="shared" si="15"/>
        <v>0</v>
      </c>
      <c r="P13" s="117">
        <f t="shared" si="15"/>
        <v>0</v>
      </c>
      <c r="Q13" s="117">
        <f t="shared" si="15"/>
        <v>0</v>
      </c>
      <c r="R13" s="37">
        <f t="shared" si="15"/>
        <v>1</v>
      </c>
      <c r="S13" s="117">
        <f t="shared" si="15"/>
        <v>0</v>
      </c>
      <c r="T13" s="117">
        <f t="shared" si="15"/>
        <v>0</v>
      </c>
      <c r="U13" s="117">
        <f t="shared" si="15"/>
        <v>0</v>
      </c>
      <c r="V13" s="37">
        <f t="shared" si="15"/>
        <v>-2</v>
      </c>
      <c r="W13" s="117">
        <f t="shared" si="15"/>
        <v>-1</v>
      </c>
      <c r="X13" s="117">
        <f t="shared" si="15"/>
        <v>-2</v>
      </c>
      <c r="Y13" s="117">
        <f t="shared" si="15"/>
        <v>0</v>
      </c>
      <c r="Z13" s="37">
        <f t="shared" si="15"/>
        <v>1</v>
      </c>
      <c r="AA13" s="117">
        <f t="shared" si="15"/>
        <v>0</v>
      </c>
      <c r="AB13" s="117">
        <f t="shared" si="15"/>
        <v>2</v>
      </c>
      <c r="AC13" s="117">
        <f t="shared" si="15"/>
        <v>2</v>
      </c>
      <c r="AD13" s="37">
        <f t="shared" si="15"/>
        <v>1</v>
      </c>
      <c r="AE13" s="117">
        <f t="shared" si="15"/>
        <v>1</v>
      </c>
      <c r="AF13" s="117">
        <f t="shared" si="15"/>
        <v>2</v>
      </c>
      <c r="AG13" s="117">
        <f t="shared" si="15"/>
        <v>-5</v>
      </c>
      <c r="AH13" s="37">
        <f t="shared" si="15"/>
        <v>-7</v>
      </c>
      <c r="AI13" s="117">
        <f t="shared" si="15"/>
        <v>-11</v>
      </c>
      <c r="AJ13" s="117">
        <f t="shared" si="15"/>
        <v>-7</v>
      </c>
      <c r="AK13" s="117">
        <f t="shared" si="15"/>
        <v>-3</v>
      </c>
      <c r="AL13" s="37">
        <f t="shared" si="15"/>
        <v>1</v>
      </c>
      <c r="AM13" s="117">
        <f t="shared" ref="AM13:AY13" si="16">AM18-AM8</f>
        <v>5</v>
      </c>
      <c r="AN13" s="117">
        <f t="shared" si="16"/>
        <v>8</v>
      </c>
      <c r="AO13" s="117">
        <f t="shared" si="16"/>
        <v>13</v>
      </c>
      <c r="AP13" s="37">
        <f t="shared" si="16"/>
        <v>35</v>
      </c>
      <c r="AQ13" s="117">
        <f t="shared" si="16"/>
        <v>10</v>
      </c>
      <c r="AR13" s="117">
        <f t="shared" si="16"/>
        <v>5</v>
      </c>
      <c r="AS13" s="117">
        <f t="shared" si="16"/>
        <v>-2</v>
      </c>
      <c r="AT13" s="37">
        <f t="shared" si="16"/>
        <v>-7</v>
      </c>
      <c r="AU13" s="117">
        <f t="shared" si="16"/>
        <v>-1</v>
      </c>
      <c r="AV13" s="117">
        <f t="shared" si="16"/>
        <v>4</v>
      </c>
      <c r="AW13" s="117">
        <f t="shared" si="16"/>
        <v>6</v>
      </c>
      <c r="AX13" s="37">
        <f t="shared" si="16"/>
        <v>-16</v>
      </c>
      <c r="AY13" s="273">
        <f t="shared" si="16"/>
        <v>13</v>
      </c>
      <c r="AZ13" s="37"/>
      <c r="BA13" s="37"/>
      <c r="BB13" s="37"/>
      <c r="BC13" s="37"/>
      <c r="BD13" s="37"/>
      <c r="BE13" s="37"/>
      <c r="BF13" s="37"/>
      <c r="BG13" s="37"/>
      <c r="BH13" s="158"/>
      <c r="BI13" s="158"/>
      <c r="BJ13" s="158"/>
      <c r="BK13" s="876">
        <f t="shared" ref="BK13:BT13" si="17">BK18-BK8</f>
        <v>0</v>
      </c>
      <c r="BL13" s="876">
        <f t="shared" si="17"/>
        <v>0</v>
      </c>
      <c r="BM13" s="876">
        <f t="shared" si="17"/>
        <v>0</v>
      </c>
      <c r="BN13" s="876">
        <f t="shared" si="17"/>
        <v>0</v>
      </c>
      <c r="BO13" s="158">
        <f t="shared" si="17"/>
        <v>1</v>
      </c>
      <c r="BP13" s="158">
        <f t="shared" si="17"/>
        <v>-1</v>
      </c>
      <c r="BQ13" s="158">
        <f t="shared" si="17"/>
        <v>0</v>
      </c>
      <c r="BR13" s="158">
        <f t="shared" si="17"/>
        <v>5</v>
      </c>
      <c r="BS13" s="158">
        <f t="shared" si="17"/>
        <v>-9</v>
      </c>
      <c r="BT13" s="158">
        <f t="shared" si="17"/>
        <v>-20</v>
      </c>
      <c r="BU13" s="158">
        <f t="shared" si="14"/>
        <v>60</v>
      </c>
      <c r="BV13" s="158">
        <f t="shared" si="14"/>
        <v>5</v>
      </c>
      <c r="BW13" s="846">
        <f t="shared" si="14"/>
        <v>-6</v>
      </c>
      <c r="BX13" s="158"/>
      <c r="BY13" s="158"/>
      <c r="BZ13" s="158"/>
      <c r="CA13" s="158"/>
      <c r="CB13" s="158"/>
      <c r="CC13" s="117"/>
    </row>
    <row r="14" spans="1:81" customFormat="1" ht="14.4" customHeight="1" x14ac:dyDescent="0.55000000000000004">
      <c r="A14" s="20" t="s">
        <v>1039</v>
      </c>
      <c r="B14" s="231"/>
      <c r="C14" s="5">
        <f t="shared" ref="C14:AH14" si="18">C12+C13</f>
        <v>214</v>
      </c>
      <c r="D14" s="5">
        <f t="shared" si="18"/>
        <v>214</v>
      </c>
      <c r="E14" s="5">
        <f t="shared" si="18"/>
        <v>217</v>
      </c>
      <c r="F14" s="5">
        <f t="shared" si="18"/>
        <v>241</v>
      </c>
      <c r="G14" s="5">
        <f t="shared" si="18"/>
        <v>237</v>
      </c>
      <c r="H14" s="5">
        <f t="shared" si="18"/>
        <v>234</v>
      </c>
      <c r="I14" s="5">
        <f t="shared" si="18"/>
        <v>246</v>
      </c>
      <c r="J14" s="5">
        <f t="shared" si="18"/>
        <v>257</v>
      </c>
      <c r="K14" s="5">
        <f t="shared" si="18"/>
        <v>226</v>
      </c>
      <c r="L14" s="5">
        <f t="shared" si="18"/>
        <v>215</v>
      </c>
      <c r="M14" s="5">
        <f t="shared" si="18"/>
        <v>202</v>
      </c>
      <c r="N14" s="5">
        <f t="shared" si="18"/>
        <v>204</v>
      </c>
      <c r="O14" s="5">
        <f t="shared" si="18"/>
        <v>181</v>
      </c>
      <c r="P14" s="5">
        <f t="shared" si="18"/>
        <v>197</v>
      </c>
      <c r="Q14" s="5">
        <f t="shared" si="18"/>
        <v>195</v>
      </c>
      <c r="R14" s="33">
        <f t="shared" si="18"/>
        <v>181</v>
      </c>
      <c r="S14" s="5">
        <f t="shared" si="18"/>
        <v>175</v>
      </c>
      <c r="T14" s="5">
        <f t="shared" si="18"/>
        <v>157</v>
      </c>
      <c r="U14" s="5">
        <f t="shared" si="18"/>
        <v>186</v>
      </c>
      <c r="V14" s="33">
        <f t="shared" si="18"/>
        <v>191</v>
      </c>
      <c r="W14" s="5">
        <f t="shared" si="18"/>
        <v>170</v>
      </c>
      <c r="X14" s="5">
        <f t="shared" si="18"/>
        <v>191</v>
      </c>
      <c r="Y14" s="5">
        <f t="shared" si="18"/>
        <v>188</v>
      </c>
      <c r="Z14" s="33">
        <f t="shared" si="18"/>
        <v>275</v>
      </c>
      <c r="AA14" s="5">
        <f t="shared" si="18"/>
        <v>165</v>
      </c>
      <c r="AB14" s="5">
        <f t="shared" si="18"/>
        <v>264</v>
      </c>
      <c r="AC14" s="5">
        <f t="shared" si="18"/>
        <v>271</v>
      </c>
      <c r="AD14" s="33">
        <f t="shared" si="18"/>
        <v>347</v>
      </c>
      <c r="AE14" s="5">
        <f t="shared" si="18"/>
        <v>298</v>
      </c>
      <c r="AF14" s="5">
        <f t="shared" si="18"/>
        <v>368</v>
      </c>
      <c r="AG14" s="5">
        <f t="shared" si="18"/>
        <v>244</v>
      </c>
      <c r="AH14" s="33">
        <f t="shared" si="18"/>
        <v>878</v>
      </c>
      <c r="AI14" s="5">
        <f t="shared" ref="AI14:AY14" si="19">AI12+AI13</f>
        <v>721</v>
      </c>
      <c r="AJ14" s="5">
        <f t="shared" si="19"/>
        <v>490</v>
      </c>
      <c r="AK14" s="5">
        <f t="shared" si="19"/>
        <v>731</v>
      </c>
      <c r="AL14" s="33">
        <f t="shared" si="19"/>
        <v>1033</v>
      </c>
      <c r="AM14" s="5">
        <f t="shared" si="19"/>
        <v>915</v>
      </c>
      <c r="AN14" s="5">
        <f t="shared" si="19"/>
        <v>678</v>
      </c>
      <c r="AO14" s="5">
        <f t="shared" si="19"/>
        <v>490</v>
      </c>
      <c r="AP14" s="33">
        <f t="shared" si="19"/>
        <v>946</v>
      </c>
      <c r="AQ14" s="5">
        <f t="shared" si="19"/>
        <v>554</v>
      </c>
      <c r="AR14" s="5">
        <f t="shared" si="19"/>
        <v>506</v>
      </c>
      <c r="AS14" s="5">
        <f t="shared" si="19"/>
        <v>501</v>
      </c>
      <c r="AT14" s="33">
        <f t="shared" si="19"/>
        <v>1398</v>
      </c>
      <c r="AU14" s="5">
        <f t="shared" si="19"/>
        <v>819</v>
      </c>
      <c r="AV14" s="5">
        <f t="shared" si="19"/>
        <v>746</v>
      </c>
      <c r="AW14" s="5">
        <f t="shared" si="19"/>
        <v>710</v>
      </c>
      <c r="AX14" s="33">
        <f t="shared" si="19"/>
        <v>1586</v>
      </c>
      <c r="AY14" s="409">
        <f t="shared" si="19"/>
        <v>935</v>
      </c>
      <c r="AZ14" s="33"/>
      <c r="BA14" s="33"/>
      <c r="BB14" s="33"/>
      <c r="BC14" s="33"/>
      <c r="BD14" s="33"/>
      <c r="BE14" s="33"/>
      <c r="BF14" s="33"/>
      <c r="BG14" s="33"/>
      <c r="BH14" s="833"/>
      <c r="BI14" s="833"/>
      <c r="BJ14" s="833"/>
      <c r="BK14" s="834">
        <f t="shared" ref="BK14:BW14" si="20">BK12+BK13</f>
        <v>811</v>
      </c>
      <c r="BL14" s="834">
        <f t="shared" si="20"/>
        <v>886</v>
      </c>
      <c r="BM14" s="834">
        <f t="shared" si="20"/>
        <v>974</v>
      </c>
      <c r="BN14" s="834">
        <f t="shared" si="20"/>
        <v>847</v>
      </c>
      <c r="BO14" s="833">
        <f t="shared" si="20"/>
        <v>754</v>
      </c>
      <c r="BP14" s="833">
        <f t="shared" si="20"/>
        <v>710</v>
      </c>
      <c r="BQ14" s="833">
        <f t="shared" si="20"/>
        <v>826</v>
      </c>
      <c r="BR14" s="833">
        <f t="shared" si="20"/>
        <v>1047</v>
      </c>
      <c r="BS14" s="833">
        <f t="shared" si="20"/>
        <v>1788</v>
      </c>
      <c r="BT14" s="833">
        <f t="shared" si="20"/>
        <v>2975</v>
      </c>
      <c r="BU14" s="833">
        <f t="shared" si="20"/>
        <v>3027</v>
      </c>
      <c r="BV14" s="833">
        <f t="shared" si="20"/>
        <v>2959</v>
      </c>
      <c r="BW14" s="835">
        <f t="shared" si="20"/>
        <v>3862</v>
      </c>
      <c r="BX14" s="833"/>
      <c r="BY14" s="833"/>
      <c r="BZ14" s="833"/>
      <c r="CA14" s="833"/>
      <c r="CB14" s="833"/>
      <c r="CC14" s="6"/>
    </row>
    <row r="15" spans="1:81" s="704" customFormat="1" ht="14.4" customHeight="1" x14ac:dyDescent="0.55000000000000004">
      <c r="A15" s="48" t="s">
        <v>477</v>
      </c>
      <c r="B15" s="298"/>
      <c r="C15" s="83">
        <f>C14/(1058-872)-1</f>
        <v>0.15053763440860224</v>
      </c>
      <c r="D15" s="83">
        <f>D14/(1184-992)-1</f>
        <v>0.11458333333333326</v>
      </c>
      <c r="E15" s="83">
        <f>E14/(1262-1086)-1</f>
        <v>0.23295454545454541</v>
      </c>
      <c r="F15" s="83">
        <f>F14/(1058-872)-1</f>
        <v>0.29569892473118276</v>
      </c>
      <c r="G15" s="83">
        <f t="shared" ref="G15:AY15" si="21">G14/C12-1</f>
        <v>0.11267605633802824</v>
      </c>
      <c r="H15" s="83">
        <f t="shared" si="21"/>
        <v>9.3457943925233655E-2</v>
      </c>
      <c r="I15" s="83">
        <f t="shared" si="21"/>
        <v>0.12844036697247696</v>
      </c>
      <c r="J15" s="83">
        <f t="shared" si="21"/>
        <v>6.639004149377592E-2</v>
      </c>
      <c r="K15" s="83">
        <f t="shared" si="21"/>
        <v>-4.641350210970463E-2</v>
      </c>
      <c r="L15" s="83">
        <f t="shared" si="21"/>
        <v>-8.1196581196581241E-2</v>
      </c>
      <c r="M15" s="83">
        <f t="shared" si="21"/>
        <v>-0.17886178861788615</v>
      </c>
      <c r="N15" s="83">
        <f t="shared" si="21"/>
        <v>-0.20622568093385218</v>
      </c>
      <c r="O15" s="83">
        <f t="shared" si="21"/>
        <v>-0.19911504424778759</v>
      </c>
      <c r="P15" s="83">
        <f t="shared" si="21"/>
        <v>-8.3720930232558111E-2</v>
      </c>
      <c r="Q15" s="83">
        <f t="shared" si="21"/>
        <v>-3.4653465346534684E-2</v>
      </c>
      <c r="R15" s="54">
        <f t="shared" si="21"/>
        <v>-0.11274509803921573</v>
      </c>
      <c r="S15" s="83">
        <f t="shared" si="21"/>
        <v>-3.3149171270718258E-2</v>
      </c>
      <c r="T15" s="83">
        <f t="shared" si="21"/>
        <v>-0.20304568527918787</v>
      </c>
      <c r="U15" s="83">
        <f t="shared" si="21"/>
        <v>-4.6153846153846101E-2</v>
      </c>
      <c r="V15" s="54">
        <f t="shared" si="21"/>
        <v>6.1111111111111116E-2</v>
      </c>
      <c r="W15" s="83">
        <f t="shared" si="21"/>
        <v>-2.8571428571428581E-2</v>
      </c>
      <c r="X15" s="83">
        <f t="shared" si="21"/>
        <v>0.21656050955414008</v>
      </c>
      <c r="Y15" s="83">
        <f t="shared" si="21"/>
        <v>1.0752688172043001E-2</v>
      </c>
      <c r="Z15" s="54">
        <f t="shared" si="21"/>
        <v>0.42487046632124348</v>
      </c>
      <c r="AA15" s="83">
        <f t="shared" si="21"/>
        <v>-3.5087719298245612E-2</v>
      </c>
      <c r="AB15" s="83">
        <f t="shared" si="21"/>
        <v>0.36787564766839376</v>
      </c>
      <c r="AC15" s="83">
        <f t="shared" si="21"/>
        <v>0.4414893617021276</v>
      </c>
      <c r="AD15" s="54">
        <f t="shared" si="21"/>
        <v>0.26642335766423364</v>
      </c>
      <c r="AE15" s="83">
        <f t="shared" si="21"/>
        <v>0.80606060606060614</v>
      </c>
      <c r="AF15" s="83">
        <f t="shared" si="21"/>
        <v>0.40458015267175562</v>
      </c>
      <c r="AG15" s="83">
        <f t="shared" si="21"/>
        <v>-9.2936802973977661E-2</v>
      </c>
      <c r="AH15" s="54">
        <f t="shared" si="21"/>
        <v>1.5375722543352599</v>
      </c>
      <c r="AI15" s="83">
        <f t="shared" si="21"/>
        <v>1.4276094276094278</v>
      </c>
      <c r="AJ15" s="83">
        <f t="shared" si="21"/>
        <v>0.33879781420765021</v>
      </c>
      <c r="AK15" s="83">
        <f t="shared" si="21"/>
        <v>1.9357429718875503</v>
      </c>
      <c r="AL15" s="54">
        <f t="shared" si="21"/>
        <v>0.1672316384180792</v>
      </c>
      <c r="AM15" s="83">
        <f t="shared" si="21"/>
        <v>0.25</v>
      </c>
      <c r="AN15" s="83">
        <f t="shared" si="21"/>
        <v>0.36418511066398396</v>
      </c>
      <c r="AO15" s="83">
        <f t="shared" si="21"/>
        <v>-0.33242506811989103</v>
      </c>
      <c r="AP15" s="54">
        <f t="shared" si="21"/>
        <v>-8.333333333333337E-2</v>
      </c>
      <c r="AQ15" s="83">
        <f t="shared" si="21"/>
        <v>-0.39120879120879126</v>
      </c>
      <c r="AR15" s="83">
        <f t="shared" si="21"/>
        <v>-0.24477611940298505</v>
      </c>
      <c r="AS15" s="83">
        <f t="shared" si="21"/>
        <v>5.031446540880502E-2</v>
      </c>
      <c r="AT15" s="54">
        <f t="shared" si="21"/>
        <v>0.53457738748627892</v>
      </c>
      <c r="AU15" s="83">
        <f t="shared" si="21"/>
        <v>0.50551470588235303</v>
      </c>
      <c r="AV15" s="83">
        <f t="shared" si="21"/>
        <v>0.48902195608782439</v>
      </c>
      <c r="AW15" s="83">
        <f t="shared" si="21"/>
        <v>0.41153081510934397</v>
      </c>
      <c r="AX15" s="54">
        <f t="shared" si="21"/>
        <v>0.12882562277580067</v>
      </c>
      <c r="AY15" s="623">
        <f t="shared" si="21"/>
        <v>0.14024390243902429</v>
      </c>
      <c r="AZ15" s="54"/>
      <c r="BA15" s="54"/>
      <c r="BB15" s="54"/>
      <c r="BC15" s="54"/>
      <c r="BD15" s="54"/>
      <c r="BE15" s="54"/>
      <c r="BF15" s="54"/>
      <c r="BG15" s="54"/>
      <c r="BH15" s="815"/>
      <c r="BI15" s="815"/>
      <c r="BJ15" s="815"/>
      <c r="BK15" s="1114">
        <f>BK14/BJ26-1</f>
        <v>0.45863309352517989</v>
      </c>
      <c r="BL15" s="1114">
        <f t="shared" ref="BL15:BW15" si="22">BL14/BK12-1</f>
        <v>9.2478421701603031E-2</v>
      </c>
      <c r="BM15" s="1114">
        <f t="shared" si="22"/>
        <v>9.9322799097065539E-2</v>
      </c>
      <c r="BN15" s="1114">
        <f t="shared" si="22"/>
        <v>-0.13039014373716629</v>
      </c>
      <c r="BO15" s="815">
        <f t="shared" si="22"/>
        <v>-0.10979929161747348</v>
      </c>
      <c r="BP15" s="815">
        <f t="shared" si="22"/>
        <v>-5.7104913678618807E-2</v>
      </c>
      <c r="BQ15" s="815">
        <f t="shared" si="22"/>
        <v>0.16174402250351627</v>
      </c>
      <c r="BR15" s="815">
        <f t="shared" si="22"/>
        <v>0.26755447941888622</v>
      </c>
      <c r="BS15" s="815">
        <f t="shared" si="22"/>
        <v>0.71593090211132449</v>
      </c>
      <c r="BT15" s="815">
        <f t="shared" si="22"/>
        <v>0.65553700612131327</v>
      </c>
      <c r="BU15" s="815">
        <f t="shared" si="22"/>
        <v>1.0684474123539234E-2</v>
      </c>
      <c r="BV15" s="815">
        <f t="shared" si="22"/>
        <v>-2.6963262554768885E-3</v>
      </c>
      <c r="BW15" s="816">
        <f t="shared" si="22"/>
        <v>0.30737982396750163</v>
      </c>
      <c r="BX15" s="815"/>
      <c r="BY15" s="815"/>
      <c r="BZ15" s="815"/>
      <c r="CA15" s="815"/>
      <c r="CB15" s="815"/>
      <c r="CC15" s="83"/>
    </row>
    <row r="16" spans="1:81" customFormat="1" ht="14.4" customHeight="1" x14ac:dyDescent="0.55000000000000004">
      <c r="A16" s="192"/>
      <c r="B16" s="232"/>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272"/>
      <c r="AZ16" s="35"/>
      <c r="BA16" s="35"/>
      <c r="BB16" s="35"/>
      <c r="BC16" s="35"/>
      <c r="BD16" s="35"/>
      <c r="BE16" s="35"/>
      <c r="BF16" s="35"/>
      <c r="BG16" s="35"/>
      <c r="BH16" s="812"/>
      <c r="BI16" s="812"/>
      <c r="BJ16" s="812"/>
      <c r="BK16" s="812"/>
      <c r="BL16" s="812"/>
      <c r="BM16" s="812"/>
      <c r="BN16" s="812"/>
      <c r="BO16" s="812"/>
      <c r="BP16" s="812"/>
      <c r="BQ16" s="812"/>
      <c r="BR16" s="812"/>
      <c r="BS16" s="812"/>
      <c r="BT16" s="812"/>
      <c r="BU16" s="812"/>
      <c r="BV16" s="812"/>
      <c r="BW16" s="814"/>
      <c r="BX16" s="812"/>
      <c r="BY16" s="812"/>
      <c r="BZ16" s="812"/>
      <c r="CA16" s="812"/>
      <c r="CB16" s="812"/>
      <c r="CC16" s="6"/>
    </row>
    <row r="17" spans="1:81" customFormat="1" ht="14.4" customHeight="1" x14ac:dyDescent="0.55000000000000004">
      <c r="A17" s="19" t="s">
        <v>487</v>
      </c>
      <c r="B17" s="232"/>
      <c r="C17" s="1096">
        <f>+Model!C85</f>
        <v>1458</v>
      </c>
      <c r="D17" s="1096">
        <f>+Model!D85</f>
        <v>1813</v>
      </c>
      <c r="E17" s="1096">
        <f>+Model!E85</f>
        <v>2016</v>
      </c>
      <c r="F17" s="1096">
        <f>+Model!F85</f>
        <v>2585</v>
      </c>
      <c r="G17" s="1096">
        <f>+Model!G85</f>
        <v>2502</v>
      </c>
      <c r="H17" s="1096">
        <f>+Model!H85</f>
        <v>2910</v>
      </c>
      <c r="I17" s="1096">
        <f>+Model!I85</f>
        <v>3203</v>
      </c>
      <c r="J17" s="1096">
        <f>+Model!J85</f>
        <v>3851</v>
      </c>
      <c r="K17" s="1096">
        <f>+Model!K85</f>
        <v>3543</v>
      </c>
      <c r="L17" s="1096">
        <f>+Model!L85</f>
        <v>4042</v>
      </c>
      <c r="M17" s="1096">
        <f>+Model!M85</f>
        <v>4501</v>
      </c>
      <c r="N17" s="1096">
        <f>+Model!N85</f>
        <v>5842</v>
      </c>
      <c r="O17" s="1096">
        <f>+Model!O85</f>
        <v>5382</v>
      </c>
      <c r="P17" s="1096">
        <f>+Model!P85</f>
        <v>6436</v>
      </c>
      <c r="Q17" s="1096">
        <f>+Model!Q85</f>
        <v>7011</v>
      </c>
      <c r="R17" s="1096">
        <f>+Model!R85</f>
        <v>8809</v>
      </c>
      <c r="S17" s="1096">
        <f>+Model!S85</f>
        <v>8032</v>
      </c>
      <c r="T17" s="1096">
        <f>+Model!T85</f>
        <v>9321</v>
      </c>
      <c r="U17" s="1096">
        <f>+Model!U85</f>
        <v>10328</v>
      </c>
      <c r="V17" s="1096">
        <f>+Model!V85</f>
        <v>12972</v>
      </c>
      <c r="W17" s="1096">
        <f>+Model!W85</f>
        <v>11966</v>
      </c>
      <c r="X17" s="1096">
        <f>+Model!X85</f>
        <v>13231</v>
      </c>
      <c r="Y17" s="1096">
        <f>+Model!Y85</f>
        <v>13727</v>
      </c>
      <c r="Z17" s="1096">
        <f>+Model!Z85</f>
        <v>16914</v>
      </c>
      <c r="AA17" s="1096">
        <f>+Model!AA85</f>
        <v>15077</v>
      </c>
      <c r="AB17" s="1096">
        <f>+Model!AB85</f>
        <v>16886</v>
      </c>
      <c r="AC17" s="1096">
        <f>+Model!AC85</f>
        <v>17652</v>
      </c>
      <c r="AD17" s="1096">
        <f>+Model!AD85</f>
        <v>21082</v>
      </c>
      <c r="AE17" s="1096">
        <f>+Model!AE85</f>
        <v>17737</v>
      </c>
      <c r="AF17" s="1096">
        <f>+Model!AF85</f>
        <v>18687</v>
      </c>
      <c r="AG17" s="1096">
        <f>+Model!AG85</f>
        <v>21470</v>
      </c>
      <c r="AH17" s="1096">
        <f>+Model!AH85</f>
        <v>28072</v>
      </c>
      <c r="AI17" s="1096">
        <f>+Model!AI85</f>
        <v>26171</v>
      </c>
      <c r="AJ17" s="1096">
        <f>+Model!AJ85</f>
        <v>29077</v>
      </c>
      <c r="AK17" s="1096">
        <f>+Model!AK85</f>
        <v>29010</v>
      </c>
      <c r="AL17" s="1096">
        <f>+Model!AL85</f>
        <v>33671</v>
      </c>
      <c r="AM17" s="1096">
        <f>+Model!AM85</f>
        <v>27908</v>
      </c>
      <c r="AN17" s="1096">
        <f>+Model!AN85</f>
        <v>28822</v>
      </c>
      <c r="AO17" s="1096">
        <f>+Model!AO85</f>
        <v>27714</v>
      </c>
      <c r="AP17" s="1096">
        <f>+Model!AP85</f>
        <v>32165</v>
      </c>
      <c r="AQ17" s="1096">
        <f>+Model!AQ85</f>
        <v>28645</v>
      </c>
      <c r="AR17" s="1096">
        <f>+Model!AR85</f>
        <v>31999</v>
      </c>
      <c r="AS17" s="1096">
        <f>+Model!AS85</f>
        <v>34146</v>
      </c>
      <c r="AT17" s="1096">
        <f>+Model!AT85</f>
        <v>40111</v>
      </c>
      <c r="AU17" s="1096">
        <f>+Model!AU85</f>
        <v>36455</v>
      </c>
      <c r="AV17" s="1096">
        <f>+Model!AV85</f>
        <v>39071</v>
      </c>
      <c r="AW17" s="1096">
        <f>+Model!AW85</f>
        <v>40589</v>
      </c>
      <c r="AX17" s="1096">
        <f>+Model!AX85</f>
        <v>48385</v>
      </c>
      <c r="AY17" s="1097">
        <f>+Model!AY85</f>
        <v>42314</v>
      </c>
      <c r="AZ17" s="35"/>
      <c r="BA17" s="35"/>
      <c r="BB17" s="35"/>
      <c r="BC17" s="35"/>
      <c r="BD17" s="35"/>
      <c r="BE17" s="35"/>
      <c r="BF17" s="35"/>
      <c r="BG17" s="35"/>
      <c r="BH17" s="812"/>
      <c r="BI17" s="812"/>
      <c r="BJ17" s="812"/>
      <c r="BK17" s="1112">
        <f>+Model!BK85</f>
        <v>5089</v>
      </c>
      <c r="BL17" s="1112">
        <f>+Model!BL85</f>
        <v>7872</v>
      </c>
      <c r="BM17" s="1112">
        <f>+Model!BM85</f>
        <v>12466</v>
      </c>
      <c r="BN17" s="1112">
        <f>+Model!BN85</f>
        <v>17928</v>
      </c>
      <c r="BO17" s="1112">
        <f>+Model!BO85</f>
        <v>27638</v>
      </c>
      <c r="BP17" s="1112">
        <f>+Model!BP85</f>
        <v>40653</v>
      </c>
      <c r="BQ17" s="1112">
        <f>+Model!BQ85</f>
        <v>55838</v>
      </c>
      <c r="BR17" s="1112">
        <f>+Model!BR85</f>
        <v>70697</v>
      </c>
      <c r="BS17" s="1112">
        <f>+Model!BS85</f>
        <v>85965</v>
      </c>
      <c r="BT17" s="1112">
        <f>+Model!BT85</f>
        <v>117929</v>
      </c>
      <c r="BU17" s="1112">
        <f>+Model!BU85</f>
        <v>116609</v>
      </c>
      <c r="BV17" s="1112">
        <f>+Model!BV85</f>
        <v>134902</v>
      </c>
      <c r="BW17" s="1113">
        <f>+Model!BW85</f>
        <v>164501</v>
      </c>
      <c r="BX17" s="812"/>
      <c r="BY17" s="812"/>
      <c r="BZ17" s="812"/>
      <c r="CA17" s="812"/>
      <c r="CB17" s="812"/>
      <c r="CC17" s="6"/>
    </row>
    <row r="18" spans="1:81" customFormat="1" ht="14.4" customHeight="1" x14ac:dyDescent="0.55000000000000004">
      <c r="A18" s="116" t="s">
        <v>1044</v>
      </c>
      <c r="B18" s="229"/>
      <c r="C18" s="759">
        <v>4</v>
      </c>
      <c r="D18" s="759">
        <v>13</v>
      </c>
      <c r="E18" s="759">
        <v>2</v>
      </c>
      <c r="F18" s="759">
        <v>2</v>
      </c>
      <c r="G18" s="759">
        <v>9</v>
      </c>
      <c r="H18" s="759">
        <v>-30</v>
      </c>
      <c r="I18" s="759">
        <v>-21</v>
      </c>
      <c r="J18" s="759">
        <v>103</v>
      </c>
      <c r="K18" s="759">
        <v>188</v>
      </c>
      <c r="L18" s="759">
        <v>332</v>
      </c>
      <c r="M18" s="759">
        <v>342</v>
      </c>
      <c r="N18" s="759">
        <v>322</v>
      </c>
      <c r="O18" s="759">
        <v>202</v>
      </c>
      <c r="P18" s="759">
        <v>1</v>
      </c>
      <c r="Q18" s="759">
        <v>31</v>
      </c>
      <c r="R18" s="759">
        <v>36</v>
      </c>
      <c r="S18" s="759">
        <v>22</v>
      </c>
      <c r="T18" s="759">
        <v>141</v>
      </c>
      <c r="U18" s="759">
        <v>-128</v>
      </c>
      <c r="V18" s="759">
        <v>-329</v>
      </c>
      <c r="W18" s="759">
        <v>-536</v>
      </c>
      <c r="X18" s="759">
        <v>-373</v>
      </c>
      <c r="Y18" s="759">
        <v>159</v>
      </c>
      <c r="Z18" s="37">
        <f>BQ18-Y18-X18-W18</f>
        <v>349</v>
      </c>
      <c r="AA18" s="759">
        <v>503</v>
      </c>
      <c r="AB18" s="759">
        <v>574</v>
      </c>
      <c r="AC18" s="759">
        <v>297</v>
      </c>
      <c r="AD18" s="37">
        <f>BR18-AC18-AB18-AA18</f>
        <v>295</v>
      </c>
      <c r="AE18" s="759">
        <v>275</v>
      </c>
      <c r="AF18" s="759">
        <v>297</v>
      </c>
      <c r="AG18" s="759">
        <v>-114</v>
      </c>
      <c r="AH18" s="759">
        <v>-339</v>
      </c>
      <c r="AI18" s="759">
        <v>-706</v>
      </c>
      <c r="AJ18" s="759">
        <v>-982</v>
      </c>
      <c r="AK18" s="759">
        <v>-259</v>
      </c>
      <c r="AL18" s="759">
        <v>307</v>
      </c>
      <c r="AM18" s="759">
        <v>893</v>
      </c>
      <c r="AN18" s="759">
        <v>1263</v>
      </c>
      <c r="AO18" s="759">
        <v>1789</v>
      </c>
      <c r="AP18" s="759">
        <v>2012</v>
      </c>
      <c r="AQ18" s="759">
        <v>816</v>
      </c>
      <c r="AR18" s="759">
        <v>274</v>
      </c>
      <c r="AS18" s="759">
        <v>-647</v>
      </c>
      <c r="AT18" s="759">
        <v>-816</v>
      </c>
      <c r="AU18" s="763">
        <v>-106</v>
      </c>
      <c r="AV18" s="759">
        <v>371</v>
      </c>
      <c r="AW18" s="763">
        <v>544</v>
      </c>
      <c r="AX18" s="763">
        <v>65</v>
      </c>
      <c r="AY18" s="764">
        <v>1237</v>
      </c>
      <c r="AZ18" s="37"/>
      <c r="BA18" s="37"/>
      <c r="BB18" s="37"/>
      <c r="BC18" s="37"/>
      <c r="BD18" s="37"/>
      <c r="BE18" s="37"/>
      <c r="BF18" s="37"/>
      <c r="BG18" s="37"/>
      <c r="BH18" s="158"/>
      <c r="BI18" s="158"/>
      <c r="BJ18" s="158"/>
      <c r="BK18" s="857">
        <v>123</v>
      </c>
      <c r="BL18" s="857">
        <v>22</v>
      </c>
      <c r="BM18" s="857">
        <v>61</v>
      </c>
      <c r="BN18" s="857">
        <v>1185</v>
      </c>
      <c r="BO18" s="857">
        <v>270</v>
      </c>
      <c r="BP18" s="857">
        <v>-293</v>
      </c>
      <c r="BQ18" s="857">
        <v>-401</v>
      </c>
      <c r="BR18" s="857">
        <v>1669</v>
      </c>
      <c r="BS18" s="857">
        <v>120</v>
      </c>
      <c r="BT18" s="857">
        <v>-1640</v>
      </c>
      <c r="BU18" s="857">
        <v>5956</v>
      </c>
      <c r="BV18" s="857">
        <v>-374</v>
      </c>
      <c r="BW18" s="864">
        <v>874</v>
      </c>
      <c r="BX18" s="158"/>
      <c r="BY18" s="158"/>
      <c r="BZ18" s="158"/>
      <c r="CA18" s="158"/>
      <c r="CB18" s="158"/>
      <c r="CC18" s="117"/>
    </row>
    <row r="19" spans="1:81" customFormat="1" ht="14.4" customHeight="1" x14ac:dyDescent="0.55000000000000004">
      <c r="A19" s="20" t="s">
        <v>1041</v>
      </c>
      <c r="B19" s="231"/>
      <c r="C19" s="5">
        <f t="shared" ref="C19:AH19" si="23">+SUM(C17:C18)</f>
        <v>1462</v>
      </c>
      <c r="D19" s="5">
        <f t="shared" si="23"/>
        <v>1826</v>
      </c>
      <c r="E19" s="5">
        <f t="shared" si="23"/>
        <v>2018</v>
      </c>
      <c r="F19" s="5">
        <f t="shared" si="23"/>
        <v>2587</v>
      </c>
      <c r="G19" s="5">
        <f t="shared" si="23"/>
        <v>2511</v>
      </c>
      <c r="H19" s="5">
        <f t="shared" si="23"/>
        <v>2880</v>
      </c>
      <c r="I19" s="5">
        <f t="shared" si="23"/>
        <v>3182</v>
      </c>
      <c r="J19" s="5">
        <f t="shared" si="23"/>
        <v>3954</v>
      </c>
      <c r="K19" s="5">
        <f t="shared" si="23"/>
        <v>3731</v>
      </c>
      <c r="L19" s="5">
        <f t="shared" si="23"/>
        <v>4374</v>
      </c>
      <c r="M19" s="5">
        <f t="shared" si="23"/>
        <v>4843</v>
      </c>
      <c r="N19" s="5">
        <f t="shared" si="23"/>
        <v>6164</v>
      </c>
      <c r="O19" s="5">
        <f t="shared" si="23"/>
        <v>5584</v>
      </c>
      <c r="P19" s="5">
        <f t="shared" si="23"/>
        <v>6437</v>
      </c>
      <c r="Q19" s="5">
        <f t="shared" si="23"/>
        <v>7042</v>
      </c>
      <c r="R19" s="33">
        <f t="shared" si="23"/>
        <v>8845</v>
      </c>
      <c r="S19" s="5">
        <f t="shared" si="23"/>
        <v>8054</v>
      </c>
      <c r="T19" s="5">
        <f t="shared" si="23"/>
        <v>9462</v>
      </c>
      <c r="U19" s="5">
        <f t="shared" si="23"/>
        <v>10200</v>
      </c>
      <c r="V19" s="33">
        <f t="shared" si="23"/>
        <v>12643</v>
      </c>
      <c r="W19" s="5">
        <f t="shared" si="23"/>
        <v>11430</v>
      </c>
      <c r="X19" s="5">
        <f t="shared" si="23"/>
        <v>12858</v>
      </c>
      <c r="Y19" s="5">
        <f t="shared" si="23"/>
        <v>13886</v>
      </c>
      <c r="Z19" s="33">
        <f t="shared" si="23"/>
        <v>17263</v>
      </c>
      <c r="AA19" s="5">
        <f t="shared" si="23"/>
        <v>15580</v>
      </c>
      <c r="AB19" s="5">
        <f t="shared" si="23"/>
        <v>17460</v>
      </c>
      <c r="AC19" s="5">
        <f t="shared" si="23"/>
        <v>17949</v>
      </c>
      <c r="AD19" s="33">
        <f t="shared" si="23"/>
        <v>21377</v>
      </c>
      <c r="AE19" s="5">
        <f t="shared" si="23"/>
        <v>18012</v>
      </c>
      <c r="AF19" s="5">
        <f t="shared" si="23"/>
        <v>18984</v>
      </c>
      <c r="AG19" s="5">
        <f t="shared" si="23"/>
        <v>21356</v>
      </c>
      <c r="AH19" s="33">
        <f t="shared" si="23"/>
        <v>27733</v>
      </c>
      <c r="AI19" s="5">
        <f t="shared" ref="AI19:AY19" si="24">+SUM(AI17:AI18)</f>
        <v>25465</v>
      </c>
      <c r="AJ19" s="5">
        <f t="shared" si="24"/>
        <v>28095</v>
      </c>
      <c r="AK19" s="5">
        <f t="shared" si="24"/>
        <v>28751</v>
      </c>
      <c r="AL19" s="33">
        <f t="shared" si="24"/>
        <v>33978</v>
      </c>
      <c r="AM19" s="5">
        <f t="shared" si="24"/>
        <v>28801</v>
      </c>
      <c r="AN19" s="5">
        <f t="shared" si="24"/>
        <v>30085</v>
      </c>
      <c r="AO19" s="5">
        <f t="shared" si="24"/>
        <v>29503</v>
      </c>
      <c r="AP19" s="33">
        <f t="shared" si="24"/>
        <v>34177</v>
      </c>
      <c r="AQ19" s="5">
        <f t="shared" si="24"/>
        <v>29461</v>
      </c>
      <c r="AR19" s="5">
        <f t="shared" si="24"/>
        <v>32273</v>
      </c>
      <c r="AS19" s="5">
        <f t="shared" si="24"/>
        <v>33499</v>
      </c>
      <c r="AT19" s="33">
        <f t="shared" si="24"/>
        <v>39295</v>
      </c>
      <c r="AU19" s="6">
        <f t="shared" si="24"/>
        <v>36349</v>
      </c>
      <c r="AV19" s="5">
        <f t="shared" si="24"/>
        <v>39442</v>
      </c>
      <c r="AW19" s="6">
        <f t="shared" si="24"/>
        <v>41133</v>
      </c>
      <c r="AX19" s="35">
        <f t="shared" si="24"/>
        <v>48450</v>
      </c>
      <c r="AY19" s="272">
        <f t="shared" si="24"/>
        <v>43551</v>
      </c>
      <c r="AZ19" s="33"/>
      <c r="BA19" s="33"/>
      <c r="BB19" s="33"/>
      <c r="BC19" s="33"/>
      <c r="BD19" s="33"/>
      <c r="BE19" s="33"/>
      <c r="BF19" s="33"/>
      <c r="BG19" s="33"/>
      <c r="BH19" s="833"/>
      <c r="BI19" s="833"/>
      <c r="BJ19" s="833"/>
      <c r="BK19" s="834">
        <f t="shared" ref="BK19:BW19" si="25">+SUM(BK17:BK18)</f>
        <v>5212</v>
      </c>
      <c r="BL19" s="834">
        <f t="shared" si="25"/>
        <v>7894</v>
      </c>
      <c r="BM19" s="834">
        <f t="shared" si="25"/>
        <v>12527</v>
      </c>
      <c r="BN19" s="834">
        <f t="shared" si="25"/>
        <v>19113</v>
      </c>
      <c r="BO19" s="833">
        <f t="shared" si="25"/>
        <v>27908</v>
      </c>
      <c r="BP19" s="833">
        <f t="shared" si="25"/>
        <v>40360</v>
      </c>
      <c r="BQ19" s="833">
        <f t="shared" si="25"/>
        <v>55437</v>
      </c>
      <c r="BR19" s="833">
        <f t="shared" si="25"/>
        <v>72366</v>
      </c>
      <c r="BS19" s="833">
        <f t="shared" si="25"/>
        <v>86085</v>
      </c>
      <c r="BT19" s="833">
        <f t="shared" si="25"/>
        <v>116289</v>
      </c>
      <c r="BU19" s="833">
        <f t="shared" si="25"/>
        <v>122565</v>
      </c>
      <c r="BV19" s="833">
        <f t="shared" si="25"/>
        <v>134528</v>
      </c>
      <c r="BW19" s="814">
        <f t="shared" si="25"/>
        <v>165375</v>
      </c>
      <c r="BX19" s="833"/>
      <c r="BY19" s="833"/>
      <c r="BZ19" s="833"/>
      <c r="CA19" s="833"/>
      <c r="CB19" s="833"/>
      <c r="CC19" s="6"/>
    </row>
    <row r="20" spans="1:81" s="705" customFormat="1" ht="14.4" customHeight="1" x14ac:dyDescent="0.55000000000000004">
      <c r="A20" s="48" t="s">
        <v>479</v>
      </c>
      <c r="B20" s="286"/>
      <c r="C20" s="564">
        <f>C19/1058-1</f>
        <v>0.38185255198487722</v>
      </c>
      <c r="D20" s="564">
        <f>D19/1184-1</f>
        <v>0.54222972972972983</v>
      </c>
      <c r="E20" s="564">
        <f>E19/1262-1</f>
        <v>0.59904912836767044</v>
      </c>
      <c r="F20" s="564">
        <f>F19/1585-1</f>
        <v>0.63217665615141949</v>
      </c>
      <c r="G20" s="564">
        <f t="shared" ref="G20:AY20" si="26">+G19/C17-1</f>
        <v>0.72222222222222232</v>
      </c>
      <c r="H20" s="564">
        <f t="shared" si="26"/>
        <v>0.58852730281301713</v>
      </c>
      <c r="I20" s="564">
        <f t="shared" si="26"/>
        <v>0.57837301587301582</v>
      </c>
      <c r="J20" s="564">
        <f t="shared" si="26"/>
        <v>0.5295938104448743</v>
      </c>
      <c r="K20" s="564">
        <f t="shared" si="26"/>
        <v>0.49120703437250191</v>
      </c>
      <c r="L20" s="564">
        <f t="shared" si="26"/>
        <v>0.50309278350515463</v>
      </c>
      <c r="M20" s="564">
        <f t="shared" si="26"/>
        <v>0.51201998126756165</v>
      </c>
      <c r="N20" s="564">
        <f t="shared" si="26"/>
        <v>0.60062321474941571</v>
      </c>
      <c r="O20" s="564">
        <f t="shared" si="26"/>
        <v>0.57606548123059564</v>
      </c>
      <c r="P20" s="564">
        <f t="shared" si="26"/>
        <v>0.59252845126175169</v>
      </c>
      <c r="Q20" s="564">
        <f t="shared" si="26"/>
        <v>0.5645412130637637</v>
      </c>
      <c r="R20" s="564">
        <f t="shared" si="26"/>
        <v>0.51403628894214304</v>
      </c>
      <c r="S20" s="564">
        <f t="shared" si="26"/>
        <v>0.49646971386101812</v>
      </c>
      <c r="T20" s="564">
        <f t="shared" si="26"/>
        <v>0.47016780609073949</v>
      </c>
      <c r="U20" s="564">
        <f t="shared" si="26"/>
        <v>0.45485665382969609</v>
      </c>
      <c r="V20" s="564">
        <f t="shared" si="26"/>
        <v>0.43523668974912022</v>
      </c>
      <c r="W20" s="564">
        <f t="shared" si="26"/>
        <v>0.42305776892430269</v>
      </c>
      <c r="X20" s="564">
        <f t="shared" si="26"/>
        <v>0.37946572256195688</v>
      </c>
      <c r="Y20" s="564">
        <f t="shared" si="26"/>
        <v>0.34450038729666921</v>
      </c>
      <c r="Z20" s="564">
        <f t="shared" si="26"/>
        <v>0.33078939253777362</v>
      </c>
      <c r="AA20" s="564">
        <f t="shared" si="26"/>
        <v>0.30202239679090748</v>
      </c>
      <c r="AB20" s="564">
        <f t="shared" si="26"/>
        <v>0.31962814602070888</v>
      </c>
      <c r="AC20" s="564">
        <f t="shared" si="26"/>
        <v>0.30756902455015656</v>
      </c>
      <c r="AD20" s="564">
        <f t="shared" si="26"/>
        <v>0.26386425446375794</v>
      </c>
      <c r="AE20" s="564">
        <f t="shared" si="26"/>
        <v>0.19466737414605029</v>
      </c>
      <c r="AF20" s="564">
        <f t="shared" si="26"/>
        <v>0.1242449366338978</v>
      </c>
      <c r="AG20" s="564">
        <f t="shared" si="26"/>
        <v>0.20983457965103103</v>
      </c>
      <c r="AH20" s="564">
        <f t="shared" si="26"/>
        <v>0.31548240204914135</v>
      </c>
      <c r="AI20" s="564">
        <f t="shared" si="26"/>
        <v>0.4356993854654112</v>
      </c>
      <c r="AJ20" s="564">
        <f t="shared" si="26"/>
        <v>0.50345159736715361</v>
      </c>
      <c r="AK20" s="564">
        <f t="shared" si="26"/>
        <v>0.339124359571495</v>
      </c>
      <c r="AL20" s="564">
        <f t="shared" si="26"/>
        <v>0.21038757480763759</v>
      </c>
      <c r="AM20" s="564">
        <f t="shared" si="26"/>
        <v>0.10049291200183408</v>
      </c>
      <c r="AN20" s="564">
        <f t="shared" si="26"/>
        <v>3.4666574956150997E-2</v>
      </c>
      <c r="AO20" s="564">
        <f t="shared" si="26"/>
        <v>1.6994139951740816E-2</v>
      </c>
      <c r="AP20" s="564">
        <f t="shared" si="26"/>
        <v>1.5027768703038236E-2</v>
      </c>
      <c r="AQ20" s="564">
        <f t="shared" si="26"/>
        <v>5.5647126272036607E-2</v>
      </c>
      <c r="AR20" s="564">
        <f t="shared" si="26"/>
        <v>0.11973492471029079</v>
      </c>
      <c r="AS20" s="564">
        <f t="shared" si="26"/>
        <v>0.20873926535325116</v>
      </c>
      <c r="AT20" s="564">
        <f t="shared" si="26"/>
        <v>0.22166951655526201</v>
      </c>
      <c r="AU20" s="564">
        <f t="shared" si="26"/>
        <v>0.26894746028975391</v>
      </c>
      <c r="AV20" s="564">
        <f t="shared" si="26"/>
        <v>0.23260101878183703</v>
      </c>
      <c r="AW20" s="564">
        <f t="shared" si="26"/>
        <v>0.2046213319276049</v>
      </c>
      <c r="AX20" s="564">
        <f t="shared" si="26"/>
        <v>0.20789808282017397</v>
      </c>
      <c r="AY20" s="624">
        <f t="shared" si="26"/>
        <v>0.19465093951446999</v>
      </c>
      <c r="AZ20" s="224"/>
      <c r="BA20" s="224"/>
      <c r="BB20" s="224"/>
      <c r="BC20" s="224"/>
      <c r="BD20" s="224"/>
      <c r="BE20" s="224"/>
      <c r="BF20" s="224"/>
      <c r="BG20" s="224"/>
      <c r="BH20" s="817"/>
      <c r="BI20" s="817"/>
      <c r="BJ20" s="817"/>
      <c r="BK20" s="839">
        <f>BK19/Model!BJ25-1</f>
        <v>0.40447318781999453</v>
      </c>
      <c r="BL20" s="818">
        <f t="shared" ref="BL20:BW20" si="27">+BL19/BK17-1</f>
        <v>0.55118883867164481</v>
      </c>
      <c r="BM20" s="818">
        <f t="shared" si="27"/>
        <v>0.59133638211382111</v>
      </c>
      <c r="BN20" s="818">
        <f t="shared" si="27"/>
        <v>0.53321033210332103</v>
      </c>
      <c r="BO20" s="818">
        <f t="shared" si="27"/>
        <v>0.55667112896028548</v>
      </c>
      <c r="BP20" s="818">
        <f t="shared" si="27"/>
        <v>0.46030827122078288</v>
      </c>
      <c r="BQ20" s="818">
        <f t="shared" si="27"/>
        <v>0.36366319828794924</v>
      </c>
      <c r="BR20" s="818">
        <f t="shared" si="27"/>
        <v>0.29599914037035702</v>
      </c>
      <c r="BS20" s="818">
        <f t="shared" si="27"/>
        <v>0.21766128690043418</v>
      </c>
      <c r="BT20" s="818">
        <f t="shared" si="27"/>
        <v>0.35274821148141688</v>
      </c>
      <c r="BU20" s="818">
        <f t="shared" si="27"/>
        <v>3.9311789296949895E-2</v>
      </c>
      <c r="BV20" s="818">
        <f t="shared" si="27"/>
        <v>0.15366738416417247</v>
      </c>
      <c r="BW20" s="830">
        <f t="shared" si="27"/>
        <v>0.22588990526456243</v>
      </c>
      <c r="BX20" s="817"/>
      <c r="BY20" s="817"/>
      <c r="BZ20" s="817"/>
      <c r="CA20" s="817"/>
      <c r="CB20" s="817"/>
      <c r="CC20" s="83"/>
    </row>
    <row r="21" spans="1:81" customFormat="1" ht="14.4" customHeight="1" x14ac:dyDescent="0.55000000000000004">
      <c r="A21" s="233"/>
      <c r="B21" s="232"/>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272"/>
      <c r="AZ21" s="35"/>
      <c r="BA21" s="35"/>
      <c r="BB21" s="35"/>
      <c r="BC21" s="35"/>
      <c r="BD21" s="35"/>
      <c r="BE21" s="35"/>
      <c r="BF21" s="35"/>
      <c r="BG21" s="35"/>
      <c r="BH21" s="812"/>
      <c r="BI21" s="812"/>
      <c r="BJ21" s="812"/>
      <c r="BK21" s="812"/>
      <c r="BL21" s="812"/>
      <c r="BM21" s="812"/>
      <c r="BN21" s="812"/>
      <c r="BO21" s="812"/>
      <c r="BP21" s="812"/>
      <c r="BQ21" s="812"/>
      <c r="BR21" s="812"/>
      <c r="BS21" s="812"/>
      <c r="BT21" s="812"/>
      <c r="BU21" s="812"/>
      <c r="BV21" s="812"/>
      <c r="BW21" s="814"/>
      <c r="BX21" s="812"/>
      <c r="BY21" s="812"/>
      <c r="BZ21" s="812"/>
      <c r="CA21" s="812"/>
      <c r="CB21" s="812"/>
      <c r="CC21" s="6"/>
    </row>
    <row r="22" spans="1:81" s="706" customFormat="1" ht="14.4" customHeight="1" x14ac:dyDescent="0.55000000000000004">
      <c r="A22" s="86" t="s">
        <v>1050</v>
      </c>
      <c r="B22" s="313"/>
      <c r="C22" s="751">
        <v>127</v>
      </c>
      <c r="D22" s="751">
        <v>127</v>
      </c>
      <c r="E22" s="751">
        <v>130</v>
      </c>
      <c r="F22" s="751">
        <v>138</v>
      </c>
      <c r="G22" s="751">
        <v>140</v>
      </c>
      <c r="H22" s="751">
        <v>133</v>
      </c>
      <c r="I22" s="751">
        <v>152</v>
      </c>
      <c r="J22" s="751">
        <v>155</v>
      </c>
      <c r="K22" s="751">
        <v>147</v>
      </c>
      <c r="L22" s="751">
        <v>141</v>
      </c>
      <c r="M22" s="751">
        <v>136</v>
      </c>
      <c r="N22" s="751">
        <v>140</v>
      </c>
      <c r="O22" s="751">
        <v>125</v>
      </c>
      <c r="P22" s="751">
        <v>135</v>
      </c>
      <c r="Q22" s="751">
        <v>129</v>
      </c>
      <c r="R22" s="751">
        <v>121</v>
      </c>
      <c r="S22" s="751">
        <v>117</v>
      </c>
      <c r="T22" s="751">
        <v>106</v>
      </c>
      <c r="U22" s="751">
        <v>121</v>
      </c>
      <c r="V22" s="751">
        <v>121</v>
      </c>
      <c r="W22" s="751">
        <v>108</v>
      </c>
      <c r="X22" s="751">
        <v>114</v>
      </c>
      <c r="Y22" s="751">
        <v>120</v>
      </c>
      <c r="Z22" s="751">
        <v>187</v>
      </c>
      <c r="AA22" s="751">
        <v>105</v>
      </c>
      <c r="AB22" s="751">
        <v>163</v>
      </c>
      <c r="AC22" s="751">
        <v>170</v>
      </c>
      <c r="AD22" s="751">
        <v>227</v>
      </c>
      <c r="AE22" s="751">
        <v>183</v>
      </c>
      <c r="AF22" s="751">
        <v>232</v>
      </c>
      <c r="AG22" s="751">
        <v>149</v>
      </c>
      <c r="AH22" s="751">
        <v>584</v>
      </c>
      <c r="AI22" s="751">
        <v>508</v>
      </c>
      <c r="AJ22" s="751">
        <v>372</v>
      </c>
      <c r="AK22" s="751">
        <v>519</v>
      </c>
      <c r="AL22" s="1098">
        <f>Model!AL117-Model!AL105</f>
        <v>764</v>
      </c>
      <c r="AM22" s="200"/>
      <c r="AN22" s="200"/>
      <c r="AO22" s="200"/>
      <c r="AP22" s="200"/>
      <c r="AQ22" s="200"/>
      <c r="AR22" s="200"/>
      <c r="AS22" s="200"/>
      <c r="AT22" s="200"/>
      <c r="AU22" s="200"/>
      <c r="AV22" s="200"/>
      <c r="AW22" s="200"/>
      <c r="AX22" s="200"/>
      <c r="AY22" s="407"/>
      <c r="AZ22" s="200"/>
      <c r="BA22" s="200"/>
      <c r="BB22" s="200"/>
      <c r="BC22" s="200"/>
      <c r="BD22" s="200"/>
      <c r="BE22" s="200"/>
      <c r="BF22" s="200"/>
      <c r="BG22" s="200"/>
      <c r="BH22" s="841"/>
      <c r="BI22" s="841"/>
      <c r="BJ22" s="847">
        <f>105+87+77+62</f>
        <v>331</v>
      </c>
      <c r="BK22" s="847">
        <f>149+99+111+106</f>
        <v>465</v>
      </c>
      <c r="BL22" s="841">
        <f>SUM(C22,D22,E22,F22)</f>
        <v>522</v>
      </c>
      <c r="BM22" s="841">
        <f>SUM(G22,H22,I22,J22)</f>
        <v>580</v>
      </c>
      <c r="BN22" s="841">
        <f>SUM(K22,L22,M22,N22)</f>
        <v>564</v>
      </c>
      <c r="BO22" s="841">
        <f>SUM(O22,P22,Q22,R22)</f>
        <v>510</v>
      </c>
      <c r="BP22" s="841">
        <f>SUM(S22,T22,U22,V22)</f>
        <v>465</v>
      </c>
      <c r="BQ22" s="841">
        <f>SUM(W22,X22,Y22,Z22)</f>
        <v>529</v>
      </c>
      <c r="BR22" s="841">
        <f>SUM(AA22,AB22,AC22,AD22)</f>
        <v>665</v>
      </c>
      <c r="BS22" s="841">
        <f>SUM(AE22,AF22,AG22,AH22)</f>
        <v>1148</v>
      </c>
      <c r="BT22" s="841">
        <f>SUM(AI22,AJ22,AK22,AL22)</f>
        <v>2163</v>
      </c>
      <c r="BU22" s="841"/>
      <c r="BV22" s="841"/>
      <c r="BW22" s="842"/>
      <c r="BX22" s="841"/>
      <c r="BY22" s="841"/>
      <c r="BZ22" s="841"/>
      <c r="CA22" s="841"/>
      <c r="CB22" s="841"/>
      <c r="CC22" s="117"/>
    </row>
    <row r="23" spans="1:81" s="706" customFormat="1" ht="14.4" customHeight="1" x14ac:dyDescent="0.55000000000000004">
      <c r="A23" s="86" t="s">
        <v>1047</v>
      </c>
      <c r="B23" s="313"/>
      <c r="C23" s="751">
        <v>56</v>
      </c>
      <c r="D23" s="751">
        <v>54</v>
      </c>
      <c r="E23" s="751">
        <v>56</v>
      </c>
      <c r="F23" s="751">
        <v>69</v>
      </c>
      <c r="G23" s="751">
        <v>67</v>
      </c>
      <c r="H23" s="751">
        <v>67</v>
      </c>
      <c r="I23" s="751">
        <v>61</v>
      </c>
      <c r="J23" s="751">
        <v>70</v>
      </c>
      <c r="K23" s="751">
        <v>53</v>
      </c>
      <c r="L23" s="751">
        <v>50</v>
      </c>
      <c r="M23" s="751">
        <v>44</v>
      </c>
      <c r="N23" s="751">
        <v>43</v>
      </c>
      <c r="O23" s="751">
        <v>37</v>
      </c>
      <c r="P23" s="751">
        <v>40</v>
      </c>
      <c r="Q23" s="751">
        <v>42</v>
      </c>
      <c r="R23" s="751">
        <v>40</v>
      </c>
      <c r="S23" s="751">
        <v>36</v>
      </c>
      <c r="T23" s="751">
        <v>33</v>
      </c>
      <c r="U23" s="751">
        <v>47</v>
      </c>
      <c r="V23" s="751">
        <v>54</v>
      </c>
      <c r="W23" s="751">
        <v>44</v>
      </c>
      <c r="X23" s="751">
        <v>55</v>
      </c>
      <c r="Y23" s="751">
        <v>47</v>
      </c>
      <c r="Z23" s="751">
        <v>64</v>
      </c>
      <c r="AA23" s="751">
        <v>41</v>
      </c>
      <c r="AB23" s="751">
        <v>66</v>
      </c>
      <c r="AC23" s="751">
        <v>67</v>
      </c>
      <c r="AD23" s="751">
        <v>88</v>
      </c>
      <c r="AE23" s="751">
        <v>83</v>
      </c>
      <c r="AF23" s="751">
        <v>91</v>
      </c>
      <c r="AG23" s="751">
        <v>53</v>
      </c>
      <c r="AH23" s="751">
        <v>189</v>
      </c>
      <c r="AI23" s="751">
        <v>150</v>
      </c>
      <c r="AJ23" s="751">
        <v>65</v>
      </c>
      <c r="AK23" s="751">
        <v>134</v>
      </c>
      <c r="AL23" s="1098">
        <f>Model!AL118-Model!AL106</f>
        <v>183</v>
      </c>
      <c r="AM23" s="200"/>
      <c r="AN23" s="200"/>
      <c r="AO23" s="200"/>
      <c r="AP23" s="200"/>
      <c r="AQ23" s="200"/>
      <c r="AR23" s="200"/>
      <c r="AS23" s="200"/>
      <c r="AT23" s="200"/>
      <c r="AU23" s="200"/>
      <c r="AV23" s="200"/>
      <c r="AW23" s="200"/>
      <c r="AX23" s="200"/>
      <c r="AY23" s="407"/>
      <c r="AZ23" s="200"/>
      <c r="BA23" s="200"/>
      <c r="BB23" s="200"/>
      <c r="BC23" s="200"/>
      <c r="BD23" s="200"/>
      <c r="BE23" s="200"/>
      <c r="BF23" s="200"/>
      <c r="BG23" s="200"/>
      <c r="BH23" s="841"/>
      <c r="BI23" s="841"/>
      <c r="BJ23" s="847">
        <f>55+45+30+23</f>
        <v>153</v>
      </c>
      <c r="BK23" s="847">
        <f>66+46+52+54</f>
        <v>218</v>
      </c>
      <c r="BL23" s="841">
        <f>SUM(C23,D23,E23,F23)</f>
        <v>235</v>
      </c>
      <c r="BM23" s="841">
        <f>SUM(G23,H23,I23,J23)</f>
        <v>265</v>
      </c>
      <c r="BN23" s="841">
        <f>SUM(K23,L23,M23,N23)</f>
        <v>190</v>
      </c>
      <c r="BO23" s="841">
        <f>SUM(O23,P23,Q23,R23)</f>
        <v>159</v>
      </c>
      <c r="BP23" s="841">
        <f>SUM(S23,T23,U23,V23)</f>
        <v>170</v>
      </c>
      <c r="BQ23" s="841">
        <f>SUM(W23,X23,Y23,Z23)</f>
        <v>210</v>
      </c>
      <c r="BR23" s="841">
        <f>SUM(AA23,AB23,AC23,AD23)</f>
        <v>262</v>
      </c>
      <c r="BS23" s="841">
        <f>SUM(AE23,AF23,AG23,AH23)</f>
        <v>416</v>
      </c>
      <c r="BT23" s="841">
        <f>SUM(AI23,AJ23,AK23,AL23)</f>
        <v>532</v>
      </c>
      <c r="BU23" s="841"/>
      <c r="BV23" s="841"/>
      <c r="BW23" s="842"/>
      <c r="BX23" s="841"/>
      <c r="BY23" s="841"/>
      <c r="BZ23" s="841"/>
      <c r="CA23" s="841"/>
      <c r="CB23" s="841"/>
      <c r="CC23" s="117"/>
    </row>
    <row r="24" spans="1:81" s="706" customFormat="1" ht="14.4" customHeight="1" x14ac:dyDescent="0.55000000000000004">
      <c r="A24" s="86" t="s">
        <v>1048</v>
      </c>
      <c r="B24" s="313"/>
      <c r="C24" s="751">
        <v>21</v>
      </c>
      <c r="D24" s="751">
        <v>22</v>
      </c>
      <c r="E24" s="751">
        <v>23</v>
      </c>
      <c r="F24" s="751">
        <v>23</v>
      </c>
      <c r="G24" s="751">
        <v>21</v>
      </c>
      <c r="H24" s="751">
        <v>23</v>
      </c>
      <c r="I24" s="751">
        <v>23</v>
      </c>
      <c r="J24" s="751">
        <v>23</v>
      </c>
      <c r="K24" s="751">
        <v>18</v>
      </c>
      <c r="L24" s="751">
        <v>18</v>
      </c>
      <c r="M24" s="751">
        <v>15</v>
      </c>
      <c r="N24" s="751">
        <v>15</v>
      </c>
      <c r="O24" s="751">
        <v>13</v>
      </c>
      <c r="P24" s="751">
        <v>16</v>
      </c>
      <c r="Q24" s="751">
        <v>17</v>
      </c>
      <c r="R24" s="751">
        <v>12</v>
      </c>
      <c r="S24" s="751">
        <v>14</v>
      </c>
      <c r="T24" s="751">
        <v>11</v>
      </c>
      <c r="U24" s="751">
        <v>11</v>
      </c>
      <c r="V24" s="751">
        <v>11</v>
      </c>
      <c r="W24" s="751">
        <v>11</v>
      </c>
      <c r="X24" s="751">
        <v>19</v>
      </c>
      <c r="Y24" s="751">
        <v>16</v>
      </c>
      <c r="Z24" s="751">
        <v>17</v>
      </c>
      <c r="AA24" s="751">
        <v>12</v>
      </c>
      <c r="AB24" s="751">
        <v>27</v>
      </c>
      <c r="AC24" s="751">
        <v>24</v>
      </c>
      <c r="AD24" s="751">
        <v>23</v>
      </c>
      <c r="AE24" s="751">
        <v>21</v>
      </c>
      <c r="AF24" s="751">
        <v>29</v>
      </c>
      <c r="AG24" s="751">
        <v>28</v>
      </c>
      <c r="AH24" s="751">
        <v>90</v>
      </c>
      <c r="AI24" s="751">
        <v>54</v>
      </c>
      <c r="AJ24" s="751">
        <v>38</v>
      </c>
      <c r="AK24" s="751">
        <v>63</v>
      </c>
      <c r="AL24" s="1098">
        <f>Model!AL119-Model!AL107</f>
        <v>61</v>
      </c>
      <c r="AM24" s="200"/>
      <c r="AN24" s="200"/>
      <c r="AO24" s="200"/>
      <c r="AP24" s="200"/>
      <c r="AQ24" s="200"/>
      <c r="AR24" s="200"/>
      <c r="AS24" s="200"/>
      <c r="AT24" s="200"/>
      <c r="AU24" s="200"/>
      <c r="AV24" s="200"/>
      <c r="AW24" s="200"/>
      <c r="AX24" s="200"/>
      <c r="AY24" s="407"/>
      <c r="AZ24" s="200"/>
      <c r="BA24" s="200"/>
      <c r="BB24" s="200"/>
      <c r="BC24" s="200"/>
      <c r="BD24" s="200"/>
      <c r="BE24" s="200"/>
      <c r="BF24" s="200"/>
      <c r="BG24" s="200"/>
      <c r="BH24" s="841"/>
      <c r="BI24" s="841"/>
      <c r="BJ24" s="847">
        <f>20+16+8+6</f>
        <v>50</v>
      </c>
      <c r="BK24" s="847">
        <f>30+21+20+19</f>
        <v>90</v>
      </c>
      <c r="BL24" s="841">
        <f>SUM(C24,D24,E24,F24)</f>
        <v>89</v>
      </c>
      <c r="BM24" s="841">
        <f>SUM(G24,H24,I24,J24)</f>
        <v>90</v>
      </c>
      <c r="BN24" s="841">
        <f>SUM(K24,L24,M24,N24)</f>
        <v>66</v>
      </c>
      <c r="BO24" s="841">
        <f>SUM(O24,P24,Q24,R24)</f>
        <v>58</v>
      </c>
      <c r="BP24" s="841">
        <f>SUM(S24,T24,U24,V24)</f>
        <v>47</v>
      </c>
      <c r="BQ24" s="841">
        <f>SUM(W24,X24,Y24,Z24)</f>
        <v>63</v>
      </c>
      <c r="BR24" s="841">
        <f>SUM(AA24,AB24,AC24,AD24)</f>
        <v>86</v>
      </c>
      <c r="BS24" s="841">
        <f>SUM(AE24,AF24,AG24,AH24)</f>
        <v>168</v>
      </c>
      <c r="BT24" s="841">
        <f>SUM(AI24,AJ24,AK24,AL24)</f>
        <v>216</v>
      </c>
      <c r="BU24" s="841"/>
      <c r="BV24" s="841"/>
      <c r="BW24" s="842"/>
      <c r="BX24" s="841"/>
      <c r="BY24" s="841"/>
      <c r="BZ24" s="841"/>
      <c r="CA24" s="841"/>
      <c r="CB24" s="841"/>
      <c r="CC24" s="117"/>
    </row>
    <row r="25" spans="1:81" s="706" customFormat="1" ht="14.4" customHeight="1" x14ac:dyDescent="0.55000000000000004">
      <c r="A25" s="315" t="s">
        <v>1049</v>
      </c>
      <c r="B25" s="319"/>
      <c r="C25" s="1099">
        <v>9</v>
      </c>
      <c r="D25" s="1099">
        <v>11</v>
      </c>
      <c r="E25" s="1099">
        <v>9</v>
      </c>
      <c r="F25" s="1099">
        <v>11</v>
      </c>
      <c r="G25" s="1099">
        <v>9</v>
      </c>
      <c r="H25" s="1099">
        <v>11</v>
      </c>
      <c r="I25" s="1099">
        <v>10</v>
      </c>
      <c r="J25" s="1099">
        <v>9</v>
      </c>
      <c r="K25" s="1099">
        <v>8</v>
      </c>
      <c r="L25" s="1099">
        <v>6</v>
      </c>
      <c r="M25" s="1099">
        <v>7</v>
      </c>
      <c r="N25" s="1099">
        <v>6</v>
      </c>
      <c r="O25" s="1099">
        <v>6</v>
      </c>
      <c r="P25" s="1099">
        <v>6</v>
      </c>
      <c r="Q25" s="1099">
        <v>7</v>
      </c>
      <c r="R25" s="1099">
        <v>7</v>
      </c>
      <c r="S25" s="1099">
        <v>8</v>
      </c>
      <c r="T25" s="1099">
        <v>7</v>
      </c>
      <c r="U25" s="1099">
        <v>7</v>
      </c>
      <c r="V25" s="1099">
        <v>7</v>
      </c>
      <c r="W25" s="1099">
        <v>8</v>
      </c>
      <c r="X25" s="1099">
        <v>5</v>
      </c>
      <c r="Y25" s="1099">
        <v>5</v>
      </c>
      <c r="Z25" s="1099">
        <v>6</v>
      </c>
      <c r="AA25" s="1099">
        <v>7</v>
      </c>
      <c r="AB25" s="1099">
        <v>6</v>
      </c>
      <c r="AC25" s="1099">
        <v>8</v>
      </c>
      <c r="AD25" s="1099">
        <v>8</v>
      </c>
      <c r="AE25" s="1099">
        <v>10</v>
      </c>
      <c r="AF25" s="1099">
        <v>14</v>
      </c>
      <c r="AG25" s="1099">
        <v>19</v>
      </c>
      <c r="AH25" s="1099">
        <v>22</v>
      </c>
      <c r="AI25" s="1099">
        <v>20</v>
      </c>
      <c r="AJ25" s="1099">
        <v>22</v>
      </c>
      <c r="AK25" s="1099">
        <v>18</v>
      </c>
      <c r="AL25" s="1100">
        <f>Model!AL120-Model!AL108</f>
        <v>24</v>
      </c>
      <c r="AM25" s="320"/>
      <c r="AN25" s="320"/>
      <c r="AO25" s="320"/>
      <c r="AP25" s="320"/>
      <c r="AQ25" s="320"/>
      <c r="AR25" s="320"/>
      <c r="AS25" s="320"/>
      <c r="AT25" s="320"/>
      <c r="AU25" s="320"/>
      <c r="AV25" s="320"/>
      <c r="AW25" s="320"/>
      <c r="AX25" s="320"/>
      <c r="AY25" s="628"/>
      <c r="AZ25" s="320"/>
      <c r="BA25" s="320"/>
      <c r="BB25" s="320"/>
      <c r="BC25" s="320"/>
      <c r="BD25" s="320"/>
      <c r="BE25" s="320"/>
      <c r="BF25" s="320"/>
      <c r="BG25" s="320"/>
      <c r="BH25" s="843"/>
      <c r="BI25" s="843"/>
      <c r="BJ25" s="1115">
        <f>8+7+4+3</f>
        <v>22</v>
      </c>
      <c r="BK25" s="1115">
        <f>11+10+9+8</f>
        <v>38</v>
      </c>
      <c r="BL25" s="843">
        <f>SUM(C25,D25,E25,F25)</f>
        <v>40</v>
      </c>
      <c r="BM25" s="843">
        <f>SUM(G25,H25,I25,J25)</f>
        <v>39</v>
      </c>
      <c r="BN25" s="843">
        <f>SUM(K25,L25,M25,N25)</f>
        <v>27</v>
      </c>
      <c r="BO25" s="843">
        <f>SUM(O25,P25,Q25,R25)</f>
        <v>26</v>
      </c>
      <c r="BP25" s="843">
        <f>SUM(S25,T25,U25,V25)</f>
        <v>29</v>
      </c>
      <c r="BQ25" s="843">
        <f>SUM(W25,X25,Y25,Z25)</f>
        <v>24</v>
      </c>
      <c r="BR25" s="843">
        <f>SUM(AA25,AB25,AC25,AD25)</f>
        <v>29</v>
      </c>
      <c r="BS25" s="843">
        <f>SUM(AE25,AF25,AG25,AH25)</f>
        <v>65</v>
      </c>
      <c r="BT25" s="843">
        <f>SUM(AI25,AJ25,AK25,AL25)</f>
        <v>84</v>
      </c>
      <c r="BU25" s="843"/>
      <c r="BV25" s="843"/>
      <c r="BW25" s="844"/>
      <c r="BX25" s="843"/>
      <c r="BY25" s="843"/>
      <c r="BZ25" s="843"/>
      <c r="CA25" s="843"/>
      <c r="CB25" s="843"/>
      <c r="CC25" s="117"/>
    </row>
    <row r="26" spans="1:81" s="703" customFormat="1" ht="14.4" customHeight="1" x14ac:dyDescent="0.55000000000000004">
      <c r="A26" s="19" t="s">
        <v>22</v>
      </c>
      <c r="B26" s="232"/>
      <c r="C26" s="6">
        <f t="shared" ref="C26:AL26" si="28">C22+C23+C24+C25</f>
        <v>213</v>
      </c>
      <c r="D26" s="6">
        <f t="shared" si="28"/>
        <v>214</v>
      </c>
      <c r="E26" s="6">
        <f t="shared" si="28"/>
        <v>218</v>
      </c>
      <c r="F26" s="6">
        <f t="shared" si="28"/>
        <v>241</v>
      </c>
      <c r="G26" s="6">
        <f t="shared" si="28"/>
        <v>237</v>
      </c>
      <c r="H26" s="6">
        <f t="shared" si="28"/>
        <v>234</v>
      </c>
      <c r="I26" s="6">
        <f t="shared" si="28"/>
        <v>246</v>
      </c>
      <c r="J26" s="6">
        <f t="shared" si="28"/>
        <v>257</v>
      </c>
      <c r="K26" s="6">
        <f t="shared" si="28"/>
        <v>226</v>
      </c>
      <c r="L26" s="6">
        <f t="shared" si="28"/>
        <v>215</v>
      </c>
      <c r="M26" s="6">
        <f t="shared" si="28"/>
        <v>202</v>
      </c>
      <c r="N26" s="6">
        <f t="shared" si="28"/>
        <v>204</v>
      </c>
      <c r="O26" s="6">
        <f t="shared" si="28"/>
        <v>181</v>
      </c>
      <c r="P26" s="6">
        <f t="shared" si="28"/>
        <v>197</v>
      </c>
      <c r="Q26" s="6">
        <f t="shared" si="28"/>
        <v>195</v>
      </c>
      <c r="R26" s="6">
        <f t="shared" si="28"/>
        <v>180</v>
      </c>
      <c r="S26" s="6">
        <f t="shared" si="28"/>
        <v>175</v>
      </c>
      <c r="T26" s="6">
        <f t="shared" si="28"/>
        <v>157</v>
      </c>
      <c r="U26" s="6">
        <f t="shared" si="28"/>
        <v>186</v>
      </c>
      <c r="V26" s="6">
        <f t="shared" si="28"/>
        <v>193</v>
      </c>
      <c r="W26" s="6">
        <f t="shared" si="28"/>
        <v>171</v>
      </c>
      <c r="X26" s="6">
        <f t="shared" si="28"/>
        <v>193</v>
      </c>
      <c r="Y26" s="6">
        <f t="shared" si="28"/>
        <v>188</v>
      </c>
      <c r="Z26" s="6">
        <f t="shared" si="28"/>
        <v>274</v>
      </c>
      <c r="AA26" s="6">
        <f t="shared" si="28"/>
        <v>165</v>
      </c>
      <c r="AB26" s="6">
        <f t="shared" si="28"/>
        <v>262</v>
      </c>
      <c r="AC26" s="6">
        <f t="shared" si="28"/>
        <v>269</v>
      </c>
      <c r="AD26" s="6">
        <f t="shared" si="28"/>
        <v>346</v>
      </c>
      <c r="AE26" s="6">
        <f t="shared" si="28"/>
        <v>297</v>
      </c>
      <c r="AF26" s="6">
        <f t="shared" si="28"/>
        <v>366</v>
      </c>
      <c r="AG26" s="6">
        <f t="shared" si="28"/>
        <v>249</v>
      </c>
      <c r="AH26" s="6">
        <f t="shared" si="28"/>
        <v>885</v>
      </c>
      <c r="AI26" s="6">
        <f t="shared" si="28"/>
        <v>732</v>
      </c>
      <c r="AJ26" s="6">
        <f t="shared" si="28"/>
        <v>497</v>
      </c>
      <c r="AK26" s="6">
        <f t="shared" si="28"/>
        <v>734</v>
      </c>
      <c r="AL26" s="6">
        <f t="shared" si="28"/>
        <v>1032</v>
      </c>
      <c r="AM26" s="6">
        <f t="shared" ref="AM26:AY26" si="29">AM12</f>
        <v>910</v>
      </c>
      <c r="AN26" s="6">
        <f t="shared" si="29"/>
        <v>670</v>
      </c>
      <c r="AO26" s="6">
        <f t="shared" si="29"/>
        <v>477</v>
      </c>
      <c r="AP26" s="6">
        <f t="shared" si="29"/>
        <v>911</v>
      </c>
      <c r="AQ26" s="6">
        <f t="shared" si="29"/>
        <v>544</v>
      </c>
      <c r="AR26" s="6">
        <f t="shared" si="29"/>
        <v>501</v>
      </c>
      <c r="AS26" s="6">
        <f t="shared" si="29"/>
        <v>503</v>
      </c>
      <c r="AT26" s="6">
        <f t="shared" si="29"/>
        <v>1405</v>
      </c>
      <c r="AU26" s="6">
        <f t="shared" si="29"/>
        <v>820</v>
      </c>
      <c r="AV26" s="6">
        <f t="shared" si="29"/>
        <v>742</v>
      </c>
      <c r="AW26" s="6">
        <f t="shared" si="29"/>
        <v>704</v>
      </c>
      <c r="AX26" s="6">
        <f t="shared" si="29"/>
        <v>1602</v>
      </c>
      <c r="AY26" s="272">
        <f t="shared" si="29"/>
        <v>922</v>
      </c>
      <c r="AZ26" s="35"/>
      <c r="BA26" s="35"/>
      <c r="BB26" s="35"/>
      <c r="BC26" s="35"/>
      <c r="BD26" s="35"/>
      <c r="BE26" s="35"/>
      <c r="BF26" s="35"/>
      <c r="BG26" s="35"/>
      <c r="BH26" s="812"/>
      <c r="BI26" s="812"/>
      <c r="BJ26" s="813">
        <f t="shared" ref="BJ26:BT26" si="30">BJ22+BJ23+BJ24+BJ25</f>
        <v>556</v>
      </c>
      <c r="BK26" s="813">
        <f t="shared" si="30"/>
        <v>811</v>
      </c>
      <c r="BL26" s="813">
        <f t="shared" si="30"/>
        <v>886</v>
      </c>
      <c r="BM26" s="813">
        <f t="shared" si="30"/>
        <v>974</v>
      </c>
      <c r="BN26" s="813">
        <f t="shared" si="30"/>
        <v>847</v>
      </c>
      <c r="BO26" s="813">
        <f t="shared" si="30"/>
        <v>753</v>
      </c>
      <c r="BP26" s="813">
        <f t="shared" si="30"/>
        <v>711</v>
      </c>
      <c r="BQ26" s="813">
        <f t="shared" si="30"/>
        <v>826</v>
      </c>
      <c r="BR26" s="813">
        <f t="shared" si="30"/>
        <v>1042</v>
      </c>
      <c r="BS26" s="813">
        <f t="shared" si="30"/>
        <v>1797</v>
      </c>
      <c r="BT26" s="813">
        <f t="shared" si="30"/>
        <v>2995</v>
      </c>
      <c r="BU26" s="813">
        <f>BU12</f>
        <v>2967</v>
      </c>
      <c r="BV26" s="813">
        <f>BV12</f>
        <v>2954</v>
      </c>
      <c r="BW26" s="870">
        <f>BW12</f>
        <v>3868</v>
      </c>
      <c r="BX26" s="812"/>
      <c r="BY26" s="812"/>
      <c r="BZ26" s="812"/>
      <c r="CA26" s="812"/>
      <c r="CB26" s="812"/>
      <c r="CC26" s="6"/>
    </row>
    <row r="27" spans="1:81" s="705" customFormat="1" ht="14.4" customHeight="1" x14ac:dyDescent="0.55000000000000004">
      <c r="A27" s="48" t="s">
        <v>474</v>
      </c>
      <c r="B27" s="286"/>
      <c r="C27" s="224"/>
      <c r="D27" s="224"/>
      <c r="E27" s="224"/>
      <c r="F27" s="224"/>
      <c r="G27" s="564">
        <f t="shared" ref="G27:AY27" si="31">G26/C26-1</f>
        <v>0.11267605633802824</v>
      </c>
      <c r="H27" s="564">
        <f t="shared" si="31"/>
        <v>9.3457943925233655E-2</v>
      </c>
      <c r="I27" s="564">
        <f t="shared" si="31"/>
        <v>0.12844036697247696</v>
      </c>
      <c r="J27" s="564">
        <f t="shared" si="31"/>
        <v>6.639004149377592E-2</v>
      </c>
      <c r="K27" s="564">
        <f t="shared" si="31"/>
        <v>-4.641350210970463E-2</v>
      </c>
      <c r="L27" s="564">
        <f t="shared" si="31"/>
        <v>-8.1196581196581241E-2</v>
      </c>
      <c r="M27" s="564">
        <f t="shared" si="31"/>
        <v>-0.17886178861788615</v>
      </c>
      <c r="N27" s="564">
        <f t="shared" si="31"/>
        <v>-0.20622568093385218</v>
      </c>
      <c r="O27" s="564">
        <f t="shared" si="31"/>
        <v>-0.19911504424778759</v>
      </c>
      <c r="P27" s="564">
        <f t="shared" si="31"/>
        <v>-8.3720930232558111E-2</v>
      </c>
      <c r="Q27" s="564">
        <f t="shared" si="31"/>
        <v>-3.4653465346534684E-2</v>
      </c>
      <c r="R27" s="564">
        <f t="shared" si="31"/>
        <v>-0.11764705882352944</v>
      </c>
      <c r="S27" s="564">
        <f t="shared" si="31"/>
        <v>-3.3149171270718258E-2</v>
      </c>
      <c r="T27" s="564">
        <f t="shared" si="31"/>
        <v>-0.20304568527918787</v>
      </c>
      <c r="U27" s="564">
        <f t="shared" si="31"/>
        <v>-4.6153846153846101E-2</v>
      </c>
      <c r="V27" s="564">
        <f t="shared" si="31"/>
        <v>7.2222222222222188E-2</v>
      </c>
      <c r="W27" s="564">
        <f t="shared" si="31"/>
        <v>-2.2857142857142909E-2</v>
      </c>
      <c r="X27" s="564">
        <f t="shared" si="31"/>
        <v>0.22929936305732479</v>
      </c>
      <c r="Y27" s="564">
        <f t="shared" si="31"/>
        <v>1.0752688172043001E-2</v>
      </c>
      <c r="Z27" s="564">
        <f t="shared" si="31"/>
        <v>0.41968911917098439</v>
      </c>
      <c r="AA27" s="564">
        <f t="shared" si="31"/>
        <v>-3.5087719298245612E-2</v>
      </c>
      <c r="AB27" s="564">
        <f t="shared" si="31"/>
        <v>0.35751295336787559</v>
      </c>
      <c r="AC27" s="564">
        <f t="shared" si="31"/>
        <v>0.43085106382978733</v>
      </c>
      <c r="AD27" s="564">
        <f t="shared" si="31"/>
        <v>0.26277372262773713</v>
      </c>
      <c r="AE27" s="564">
        <f t="shared" si="31"/>
        <v>0.8</v>
      </c>
      <c r="AF27" s="564">
        <f t="shared" si="31"/>
        <v>0.39694656488549618</v>
      </c>
      <c r="AG27" s="564">
        <f t="shared" si="31"/>
        <v>-7.4349442379182173E-2</v>
      </c>
      <c r="AH27" s="564">
        <f t="shared" si="31"/>
        <v>1.5578034682080926</v>
      </c>
      <c r="AI27" s="564">
        <f t="shared" si="31"/>
        <v>1.4646464646464645</v>
      </c>
      <c r="AJ27" s="564">
        <f t="shared" si="31"/>
        <v>0.35792349726775963</v>
      </c>
      <c r="AK27" s="564">
        <f t="shared" si="31"/>
        <v>1.9477911646586343</v>
      </c>
      <c r="AL27" s="564">
        <f t="shared" si="31"/>
        <v>0.16610169491525428</v>
      </c>
      <c r="AM27" s="564">
        <f t="shared" si="31"/>
        <v>0.24316939890710376</v>
      </c>
      <c r="AN27" s="564">
        <f t="shared" si="31"/>
        <v>0.34808853118712269</v>
      </c>
      <c r="AO27" s="564">
        <f t="shared" si="31"/>
        <v>-0.35013623978201636</v>
      </c>
      <c r="AP27" s="564">
        <f t="shared" si="31"/>
        <v>-0.11724806201550386</v>
      </c>
      <c r="AQ27" s="564">
        <f t="shared" si="31"/>
        <v>-0.40219780219780221</v>
      </c>
      <c r="AR27" s="564">
        <f t="shared" si="31"/>
        <v>-0.25223880597014925</v>
      </c>
      <c r="AS27" s="564">
        <f t="shared" si="31"/>
        <v>5.4507337526205513E-2</v>
      </c>
      <c r="AT27" s="564">
        <f t="shared" si="31"/>
        <v>0.54226125137211856</v>
      </c>
      <c r="AU27" s="564">
        <f t="shared" si="31"/>
        <v>0.50735294117647056</v>
      </c>
      <c r="AV27" s="564">
        <f t="shared" si="31"/>
        <v>0.48103792415169666</v>
      </c>
      <c r="AW27" s="564">
        <f t="shared" si="31"/>
        <v>0.3996023856858848</v>
      </c>
      <c r="AX27" s="564">
        <f t="shared" si="31"/>
        <v>0.14021352313167257</v>
      </c>
      <c r="AY27" s="624">
        <f t="shared" si="31"/>
        <v>0.12439024390243913</v>
      </c>
      <c r="AZ27" s="224"/>
      <c r="BA27" s="224"/>
      <c r="BB27" s="224"/>
      <c r="BC27" s="224"/>
      <c r="BD27" s="224"/>
      <c r="BE27" s="224"/>
      <c r="BF27" s="224"/>
      <c r="BG27" s="224"/>
      <c r="BH27" s="817"/>
      <c r="BI27" s="817"/>
      <c r="BJ27" s="817"/>
      <c r="BK27" s="817">
        <f t="shared" ref="BK27:BW27" si="32">BK26/BJ26-1</f>
        <v>0.45863309352517989</v>
      </c>
      <c r="BL27" s="818">
        <f t="shared" si="32"/>
        <v>9.2478421701603031E-2</v>
      </c>
      <c r="BM27" s="818">
        <f t="shared" si="32"/>
        <v>9.9322799097065539E-2</v>
      </c>
      <c r="BN27" s="818">
        <f t="shared" si="32"/>
        <v>-0.13039014373716629</v>
      </c>
      <c r="BO27" s="818">
        <f t="shared" si="32"/>
        <v>-0.11097992916174737</v>
      </c>
      <c r="BP27" s="818">
        <f t="shared" si="32"/>
        <v>-5.5776892430278835E-2</v>
      </c>
      <c r="BQ27" s="818">
        <f t="shared" si="32"/>
        <v>0.16174402250351627</v>
      </c>
      <c r="BR27" s="818">
        <f t="shared" si="32"/>
        <v>0.26150121065375309</v>
      </c>
      <c r="BS27" s="818">
        <f t="shared" si="32"/>
        <v>0.72456813819577737</v>
      </c>
      <c r="BT27" s="818">
        <f t="shared" si="32"/>
        <v>0.66666666666666674</v>
      </c>
      <c r="BU27" s="818">
        <f t="shared" si="32"/>
        <v>-9.3489148580968573E-3</v>
      </c>
      <c r="BV27" s="818">
        <f t="shared" si="32"/>
        <v>-4.3815301651499716E-3</v>
      </c>
      <c r="BW27" s="830">
        <f t="shared" si="32"/>
        <v>0.3094109681787407</v>
      </c>
      <c r="BX27" s="817"/>
      <c r="BY27" s="817"/>
      <c r="BZ27" s="817"/>
      <c r="CA27" s="817"/>
      <c r="CB27" s="817"/>
      <c r="CC27" s="83"/>
    </row>
    <row r="28" spans="1:81" s="705" customFormat="1" ht="14.4" customHeight="1" x14ac:dyDescent="0.55000000000000004">
      <c r="A28" s="327"/>
      <c r="B28" s="286"/>
      <c r="C28" s="224"/>
      <c r="D28" s="224"/>
      <c r="E28" s="224"/>
      <c r="F28" s="224"/>
      <c r="G28" s="224"/>
      <c r="H28" s="224"/>
      <c r="I28" s="224"/>
      <c r="J28" s="224"/>
      <c r="K28" s="224"/>
      <c r="L28" s="224"/>
      <c r="M28" s="224"/>
      <c r="N28" s="224"/>
      <c r="O28" s="224"/>
      <c r="P28" s="224"/>
      <c r="Q28" s="224"/>
      <c r="R28" s="224"/>
      <c r="S28" s="224"/>
      <c r="T28" s="224"/>
      <c r="U28" s="224"/>
      <c r="V28" s="224"/>
      <c r="W28" s="224"/>
      <c r="X28" s="224"/>
      <c r="Y28" s="224"/>
      <c r="Z28" s="224"/>
      <c r="AA28" s="224"/>
      <c r="AB28" s="224"/>
      <c r="AC28" s="224"/>
      <c r="AD28" s="224"/>
      <c r="AE28" s="224"/>
      <c r="AF28" s="224"/>
      <c r="AG28" s="224"/>
      <c r="AH28" s="224"/>
      <c r="AI28" s="224"/>
      <c r="AJ28" s="224"/>
      <c r="AK28" s="224"/>
      <c r="AL28" s="224"/>
      <c r="AM28" s="224"/>
      <c r="AN28" s="224"/>
      <c r="AO28" s="224"/>
      <c r="AP28" s="224"/>
      <c r="AQ28" s="224"/>
      <c r="AR28" s="224"/>
      <c r="AS28" s="224"/>
      <c r="AT28" s="224"/>
      <c r="AU28" s="224"/>
      <c r="AV28" s="224"/>
      <c r="AW28" s="224"/>
      <c r="AX28" s="224"/>
      <c r="AY28" s="624"/>
      <c r="AZ28" s="224"/>
      <c r="BA28" s="224"/>
      <c r="BB28" s="224"/>
      <c r="BC28" s="224"/>
      <c r="BD28" s="224"/>
      <c r="BE28" s="224"/>
      <c r="BF28" s="224"/>
      <c r="BG28" s="224"/>
      <c r="BH28" s="817"/>
      <c r="BI28" s="817"/>
      <c r="BJ28" s="817"/>
      <c r="BK28" s="817"/>
      <c r="BL28" s="817"/>
      <c r="BM28" s="817"/>
      <c r="BN28" s="817"/>
      <c r="BO28" s="817"/>
      <c r="BP28" s="817"/>
      <c r="BQ28" s="817"/>
      <c r="BR28" s="817"/>
      <c r="BS28" s="817"/>
      <c r="BT28" s="817"/>
      <c r="BU28" s="817"/>
      <c r="BV28" s="817"/>
      <c r="BW28" s="819"/>
      <c r="BX28" s="817"/>
      <c r="BY28" s="817"/>
      <c r="BZ28" s="817"/>
      <c r="CA28" s="817"/>
      <c r="CB28" s="817"/>
      <c r="CC28" s="83"/>
    </row>
    <row r="29" spans="1:81" s="743" customFormat="1" ht="14.4" customHeight="1" x14ac:dyDescent="0.55000000000000004">
      <c r="A29" s="196" t="s">
        <v>1031</v>
      </c>
      <c r="B29" s="196"/>
      <c r="C29" s="197"/>
      <c r="D29" s="197"/>
      <c r="E29" s="197"/>
      <c r="F29" s="197"/>
      <c r="G29" s="197"/>
      <c r="H29" s="197"/>
      <c r="I29" s="197"/>
      <c r="J29" s="197"/>
      <c r="K29" s="197"/>
      <c r="L29" s="197"/>
      <c r="M29" s="197"/>
      <c r="N29" s="197"/>
      <c r="O29" s="197"/>
      <c r="P29" s="197"/>
      <c r="Q29" s="197"/>
      <c r="R29" s="197"/>
      <c r="S29" s="197"/>
      <c r="T29" s="197"/>
      <c r="U29" s="197"/>
      <c r="V29" s="197"/>
      <c r="W29" s="197"/>
      <c r="X29" s="197"/>
      <c r="Y29" s="197"/>
      <c r="Z29" s="197"/>
      <c r="AA29" s="197"/>
      <c r="AB29" s="197"/>
      <c r="AC29" s="197"/>
      <c r="AD29" s="197"/>
      <c r="AE29" s="197"/>
      <c r="AF29" s="197"/>
      <c r="AG29" s="197"/>
      <c r="AH29" s="197"/>
      <c r="AI29" s="197"/>
      <c r="AJ29" s="197"/>
      <c r="AK29" s="197"/>
      <c r="AL29" s="197"/>
      <c r="AM29" s="197"/>
      <c r="AN29" s="197"/>
      <c r="AO29" s="197"/>
      <c r="AP29" s="197"/>
      <c r="AQ29" s="197"/>
      <c r="AR29" s="197"/>
      <c r="AS29" s="197"/>
      <c r="AT29" s="197"/>
      <c r="AU29" s="197"/>
      <c r="AV29" s="197"/>
      <c r="AW29" s="197"/>
      <c r="AX29" s="197"/>
      <c r="AY29" s="274"/>
      <c r="AZ29" s="197"/>
      <c r="BA29" s="197"/>
      <c r="BB29" s="197"/>
      <c r="BC29" s="197"/>
      <c r="BD29" s="197"/>
      <c r="BE29" s="197"/>
      <c r="BF29" s="197"/>
      <c r="BG29" s="197"/>
      <c r="BH29" s="197"/>
      <c r="BI29" s="197"/>
      <c r="BJ29" s="197"/>
      <c r="BK29" s="197"/>
      <c r="BL29" s="197"/>
      <c r="BM29" s="197"/>
      <c r="BN29" s="197"/>
      <c r="BO29" s="197"/>
      <c r="BP29" s="197"/>
      <c r="BQ29" s="197"/>
      <c r="BR29" s="197"/>
      <c r="BS29" s="197"/>
      <c r="BT29" s="197"/>
      <c r="BU29" s="197"/>
      <c r="BV29" s="197"/>
      <c r="BW29" s="274"/>
      <c r="BX29" s="197"/>
      <c r="BY29" s="197"/>
      <c r="BZ29" s="197"/>
      <c r="CA29" s="197"/>
      <c r="CB29" s="197"/>
      <c r="CC29" s="190"/>
    </row>
    <row r="30" spans="1:81" s="706" customFormat="1" ht="14.4" customHeight="1" x14ac:dyDescent="0.55000000000000004">
      <c r="A30" s="514" t="s">
        <v>995</v>
      </c>
      <c r="B30" s="87"/>
      <c r="C30" s="37"/>
      <c r="D30" s="37"/>
      <c r="E30" s="37"/>
      <c r="F30" s="37"/>
      <c r="G30" s="37"/>
      <c r="H30" s="37"/>
      <c r="I30" s="37"/>
      <c r="J30" s="37"/>
      <c r="K30" s="37"/>
      <c r="L30" s="37"/>
      <c r="M30" s="37"/>
      <c r="N30" s="37"/>
      <c r="O30" s="37"/>
      <c r="P30" s="37"/>
      <c r="Q30" s="37"/>
      <c r="R30" s="37"/>
      <c r="S30" s="37"/>
      <c r="T30" s="37"/>
      <c r="U30" s="37"/>
      <c r="V30" s="37"/>
      <c r="W30" s="37"/>
      <c r="X30" s="37"/>
      <c r="Y30" s="37"/>
      <c r="Z30" s="759">
        <v>2030</v>
      </c>
      <c r="AA30" s="759">
        <v>2100</v>
      </c>
      <c r="AB30" s="759">
        <v>2140</v>
      </c>
      <c r="AC30" s="759">
        <v>2200</v>
      </c>
      <c r="AD30" s="759">
        <v>2260</v>
      </c>
      <c r="AE30" s="759">
        <v>2360</v>
      </c>
      <c r="AF30" s="759">
        <v>2470</v>
      </c>
      <c r="AG30" s="759">
        <v>2540</v>
      </c>
      <c r="AH30" s="759">
        <v>2600</v>
      </c>
      <c r="AI30" s="759">
        <v>2720</v>
      </c>
      <c r="AJ30" s="759">
        <v>2760</v>
      </c>
      <c r="AK30" s="759">
        <v>2810</v>
      </c>
      <c r="AL30" s="759">
        <v>2820</v>
      </c>
      <c r="AM30" s="759">
        <v>2870</v>
      </c>
      <c r="AN30" s="759">
        <v>2880</v>
      </c>
      <c r="AO30" s="759">
        <v>2930</v>
      </c>
      <c r="AP30" s="759">
        <v>2960</v>
      </c>
      <c r="AQ30" s="1101">
        <f>Model!AQ53</f>
        <v>3020</v>
      </c>
      <c r="AR30" s="1101">
        <f>Model!AR53</f>
        <v>3070</v>
      </c>
      <c r="AS30" s="1101">
        <f>Model!AS53</f>
        <v>3140</v>
      </c>
      <c r="AT30" s="1101">
        <f>Model!AT53</f>
        <v>3190</v>
      </c>
      <c r="AU30" s="1101">
        <f>Model!AU53</f>
        <v>3240</v>
      </c>
      <c r="AV30" s="1101">
        <f>Model!AV53</f>
        <v>3270</v>
      </c>
      <c r="AW30" s="1101">
        <f>Model!AW53</f>
        <v>3290</v>
      </c>
      <c r="AX30" s="1101">
        <f>Model!AX53</f>
        <v>3350</v>
      </c>
      <c r="AY30" s="1102">
        <f>Model!AY53</f>
        <v>3430</v>
      </c>
      <c r="AZ30" s="37"/>
      <c r="BA30" s="37"/>
      <c r="BB30" s="37"/>
      <c r="BC30" s="37"/>
      <c r="BD30" s="37"/>
      <c r="BE30" s="37"/>
      <c r="BF30" s="37"/>
      <c r="BG30" s="37"/>
      <c r="BH30" s="158"/>
      <c r="BI30" s="158"/>
      <c r="BJ30" s="158"/>
      <c r="BK30" s="158"/>
      <c r="BL30" s="158"/>
      <c r="BM30" s="158"/>
      <c r="BN30" s="158"/>
      <c r="BO30" s="158"/>
      <c r="BP30" s="158"/>
      <c r="BQ30" s="158">
        <f>Z30</f>
        <v>2030</v>
      </c>
      <c r="BR30" s="158">
        <f>AD30</f>
        <v>2260</v>
      </c>
      <c r="BS30" s="158">
        <f>AH30</f>
        <v>2600</v>
      </c>
      <c r="BT30" s="158">
        <f>AL30</f>
        <v>2820</v>
      </c>
      <c r="BU30" s="158">
        <f>AP30</f>
        <v>2960</v>
      </c>
      <c r="BV30" s="1116">
        <f>Model!BV53</f>
        <v>3190</v>
      </c>
      <c r="BW30" s="1117">
        <f>Model!BW53</f>
        <v>3350</v>
      </c>
      <c r="BX30" s="158"/>
      <c r="BY30" s="158"/>
      <c r="BZ30" s="158"/>
      <c r="CA30" s="158"/>
      <c r="CB30" s="158"/>
      <c r="CC30" s="117"/>
    </row>
    <row r="31" spans="1:81" s="706" customFormat="1" ht="14.4" customHeight="1" x14ac:dyDescent="0.55000000000000004">
      <c r="A31" s="514" t="s">
        <v>996</v>
      </c>
      <c r="B31" s="87"/>
      <c r="C31" s="37"/>
      <c r="D31" s="37"/>
      <c r="E31" s="37"/>
      <c r="F31" s="37"/>
      <c r="G31" s="37"/>
      <c r="H31" s="37"/>
      <c r="I31" s="37"/>
      <c r="J31" s="37"/>
      <c r="K31" s="37"/>
      <c r="L31" s="37"/>
      <c r="M31" s="37"/>
      <c r="N31" s="37"/>
      <c r="O31" s="37"/>
      <c r="P31" s="37"/>
      <c r="Q31" s="37"/>
      <c r="R31" s="37"/>
      <c r="S31" s="37"/>
      <c r="T31" s="37"/>
      <c r="U31" s="37"/>
      <c r="V31" s="37"/>
      <c r="W31" s="37"/>
      <c r="X31" s="37"/>
      <c r="Y31" s="37"/>
      <c r="Z31" s="759">
        <v>2640</v>
      </c>
      <c r="AA31" s="759">
        <v>2690</v>
      </c>
      <c r="AB31" s="759">
        <v>2760</v>
      </c>
      <c r="AC31" s="759">
        <v>2820</v>
      </c>
      <c r="AD31" s="759">
        <v>2890</v>
      </c>
      <c r="AE31" s="759">
        <v>2990</v>
      </c>
      <c r="AF31" s="759">
        <v>3140</v>
      </c>
      <c r="AG31" s="759">
        <v>3210</v>
      </c>
      <c r="AH31" s="759">
        <v>3300</v>
      </c>
      <c r="AI31" s="759">
        <v>3450</v>
      </c>
      <c r="AJ31" s="759">
        <v>3510</v>
      </c>
      <c r="AK31" s="759">
        <v>3580</v>
      </c>
      <c r="AL31" s="759">
        <v>3590</v>
      </c>
      <c r="AM31" s="759">
        <v>3640</v>
      </c>
      <c r="AN31" s="759">
        <v>3650</v>
      </c>
      <c r="AO31" s="759">
        <v>3710</v>
      </c>
      <c r="AP31" s="759">
        <v>3740</v>
      </c>
      <c r="AQ31" s="759">
        <v>3810</v>
      </c>
      <c r="AR31" s="759">
        <v>3880</v>
      </c>
      <c r="AS31" s="759">
        <v>3960</v>
      </c>
      <c r="AT31" s="759">
        <v>3980</v>
      </c>
      <c r="AU31" s="37"/>
      <c r="AV31" s="37"/>
      <c r="AW31" s="37"/>
      <c r="AX31" s="37"/>
      <c r="AY31" s="273"/>
      <c r="AZ31" s="37"/>
      <c r="BA31" s="37"/>
      <c r="BB31" s="37"/>
      <c r="BC31" s="37"/>
      <c r="BD31" s="37"/>
      <c r="BE31" s="37"/>
      <c r="BF31" s="37"/>
      <c r="BG31" s="37"/>
      <c r="BH31" s="158"/>
      <c r="BI31" s="158"/>
      <c r="BJ31" s="158"/>
      <c r="BK31" s="158"/>
      <c r="BL31" s="158"/>
      <c r="BM31" s="158"/>
      <c r="BN31" s="158"/>
      <c r="BO31" s="158"/>
      <c r="BP31" s="158"/>
      <c r="BQ31" s="158">
        <f>Z31</f>
        <v>2640</v>
      </c>
      <c r="BR31" s="876">
        <f>AD31</f>
        <v>2890</v>
      </c>
      <c r="BS31" s="876">
        <f>AH31</f>
        <v>3300</v>
      </c>
      <c r="BT31" s="876">
        <f>AL31</f>
        <v>3590</v>
      </c>
      <c r="BU31" s="876">
        <f>AP31</f>
        <v>3740</v>
      </c>
      <c r="BV31" s="876">
        <f>AT31</f>
        <v>3980</v>
      </c>
      <c r="BW31" s="846"/>
      <c r="BX31" s="158"/>
      <c r="BY31" s="158"/>
      <c r="BZ31" s="158"/>
      <c r="CA31" s="158"/>
      <c r="CB31" s="158"/>
      <c r="CC31" s="117"/>
    </row>
    <row r="32" spans="1:81" s="704" customFormat="1" ht="14.4" customHeight="1" x14ac:dyDescent="0.55000000000000004">
      <c r="A32" s="191" t="s">
        <v>393</v>
      </c>
      <c r="B32" s="75"/>
      <c r="C32" s="54"/>
      <c r="D32" s="54"/>
      <c r="E32" s="54"/>
      <c r="F32" s="54"/>
      <c r="G32" s="54"/>
      <c r="H32" s="54"/>
      <c r="I32" s="54"/>
      <c r="J32" s="54"/>
      <c r="K32" s="54"/>
      <c r="L32" s="54"/>
      <c r="M32" s="54"/>
      <c r="N32" s="54"/>
      <c r="O32" s="54"/>
      <c r="P32" s="54"/>
      <c r="Q32" s="54"/>
      <c r="R32" s="54"/>
      <c r="S32" s="54"/>
      <c r="T32" s="54"/>
      <c r="U32" s="54"/>
      <c r="V32" s="54"/>
      <c r="W32" s="54"/>
      <c r="X32" s="54"/>
      <c r="Y32" s="54"/>
      <c r="Z32" s="83">
        <f t="shared" ref="Z32:AT32" si="33">Z30/Z31</f>
        <v>0.76893939393939392</v>
      </c>
      <c r="AA32" s="83">
        <f t="shared" si="33"/>
        <v>0.7806691449814126</v>
      </c>
      <c r="AB32" s="83">
        <f t="shared" si="33"/>
        <v>0.77536231884057971</v>
      </c>
      <c r="AC32" s="83">
        <f t="shared" si="33"/>
        <v>0.78014184397163122</v>
      </c>
      <c r="AD32" s="83">
        <f t="shared" si="33"/>
        <v>0.7820069204152249</v>
      </c>
      <c r="AE32" s="83">
        <f t="shared" si="33"/>
        <v>0.78929765886287628</v>
      </c>
      <c r="AF32" s="83">
        <f t="shared" si="33"/>
        <v>0.7866242038216561</v>
      </c>
      <c r="AG32" s="83">
        <f t="shared" si="33"/>
        <v>0.79127725856697817</v>
      </c>
      <c r="AH32" s="83">
        <f t="shared" si="33"/>
        <v>0.78787878787878785</v>
      </c>
      <c r="AI32" s="83">
        <f t="shared" si="33"/>
        <v>0.78840579710144931</v>
      </c>
      <c r="AJ32" s="83">
        <f t="shared" si="33"/>
        <v>0.78632478632478631</v>
      </c>
      <c r="AK32" s="83">
        <f t="shared" si="33"/>
        <v>0.78491620111731841</v>
      </c>
      <c r="AL32" s="83">
        <f t="shared" si="33"/>
        <v>0.78551532033426186</v>
      </c>
      <c r="AM32" s="83">
        <f t="shared" si="33"/>
        <v>0.78846153846153844</v>
      </c>
      <c r="AN32" s="83">
        <f t="shared" si="33"/>
        <v>0.78904109589041094</v>
      </c>
      <c r="AO32" s="83">
        <f t="shared" si="33"/>
        <v>0.78975741239892183</v>
      </c>
      <c r="AP32" s="83">
        <f t="shared" si="33"/>
        <v>0.79144385026737973</v>
      </c>
      <c r="AQ32" s="83">
        <f t="shared" si="33"/>
        <v>0.79265091863517056</v>
      </c>
      <c r="AR32" s="83">
        <f t="shared" si="33"/>
        <v>0.79123711340206182</v>
      </c>
      <c r="AS32" s="83">
        <f t="shared" si="33"/>
        <v>0.79292929292929293</v>
      </c>
      <c r="AT32" s="83">
        <f t="shared" si="33"/>
        <v>0.80150753768844218</v>
      </c>
      <c r="AU32" s="54"/>
      <c r="AV32" s="54"/>
      <c r="AW32" s="54"/>
      <c r="AX32" s="54"/>
      <c r="AY32" s="623"/>
      <c r="AZ32" s="54"/>
      <c r="BA32" s="54"/>
      <c r="BB32" s="54"/>
      <c r="BC32" s="54"/>
      <c r="BD32" s="54"/>
      <c r="BE32" s="54"/>
      <c r="BF32" s="54"/>
      <c r="BG32" s="54"/>
      <c r="BH32" s="815"/>
      <c r="BI32" s="815"/>
      <c r="BJ32" s="815"/>
      <c r="BK32" s="815"/>
      <c r="BL32" s="815"/>
      <c r="BM32" s="815"/>
      <c r="BN32" s="815"/>
      <c r="BO32" s="815"/>
      <c r="BP32" s="815"/>
      <c r="BQ32" s="815">
        <f t="shared" ref="BQ32:BV32" si="34">BQ30/BQ31</f>
        <v>0.76893939393939392</v>
      </c>
      <c r="BR32" s="1114">
        <f t="shared" si="34"/>
        <v>0.7820069204152249</v>
      </c>
      <c r="BS32" s="1114">
        <f t="shared" si="34"/>
        <v>0.78787878787878785</v>
      </c>
      <c r="BT32" s="1114">
        <f t="shared" si="34"/>
        <v>0.78551532033426186</v>
      </c>
      <c r="BU32" s="1114">
        <f t="shared" si="34"/>
        <v>0.79144385026737973</v>
      </c>
      <c r="BV32" s="1114">
        <f t="shared" si="34"/>
        <v>0.80150753768844218</v>
      </c>
      <c r="BW32" s="816"/>
      <c r="BX32" s="815"/>
      <c r="BY32" s="815"/>
      <c r="BZ32" s="815"/>
      <c r="CA32" s="815"/>
      <c r="CB32" s="815"/>
      <c r="CC32" s="83"/>
    </row>
    <row r="33" spans="1:81" customFormat="1" ht="14.4" customHeight="1" x14ac:dyDescent="0.55000000000000004">
      <c r="A33" s="98"/>
      <c r="B33" s="236"/>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671"/>
      <c r="AZ33" s="80"/>
      <c r="BA33" s="80"/>
      <c r="BB33" s="80"/>
      <c r="BC33" s="80"/>
      <c r="BD33" s="80"/>
      <c r="BE33" s="80"/>
      <c r="BF33" s="80"/>
      <c r="BG33" s="80"/>
      <c r="BH33" s="927"/>
      <c r="BI33" s="927"/>
      <c r="BJ33" s="927"/>
      <c r="BK33" s="927"/>
      <c r="BL33" s="927"/>
      <c r="BM33" s="927"/>
      <c r="BN33" s="927"/>
      <c r="BO33" s="927"/>
      <c r="BP33" s="927"/>
      <c r="BQ33" s="927"/>
      <c r="BR33" s="927"/>
      <c r="BS33" s="927"/>
      <c r="BT33" s="927"/>
      <c r="BU33" s="927"/>
      <c r="BV33" s="927"/>
      <c r="BW33" s="929"/>
      <c r="BX33" s="927"/>
      <c r="BY33" s="927"/>
      <c r="BZ33" s="927"/>
      <c r="CA33" s="927"/>
      <c r="CB33" s="927"/>
      <c r="CC33" s="10"/>
    </row>
    <row r="34" spans="1:81" customFormat="1" ht="14.4" customHeight="1" x14ac:dyDescent="0.55000000000000004">
      <c r="A34" s="318" t="s">
        <v>398</v>
      </c>
      <c r="B34" s="234"/>
      <c r="C34" s="78"/>
      <c r="D34" s="78"/>
      <c r="E34" s="78"/>
      <c r="F34" s="78"/>
      <c r="G34" s="78"/>
      <c r="H34" s="78"/>
      <c r="I34" s="78"/>
      <c r="J34" s="78"/>
      <c r="K34" s="78"/>
      <c r="L34" s="78"/>
      <c r="M34" s="78"/>
      <c r="N34" s="78"/>
      <c r="O34" s="78"/>
      <c r="P34" s="78"/>
      <c r="Q34" s="78"/>
      <c r="R34" s="78"/>
      <c r="S34" s="78"/>
      <c r="T34" s="78"/>
      <c r="U34" s="78"/>
      <c r="V34" s="78"/>
      <c r="W34" s="78"/>
      <c r="X34" s="78"/>
      <c r="Y34" s="78"/>
      <c r="Z34" s="1103">
        <v>6.41</v>
      </c>
      <c r="AA34" s="1103">
        <v>5.6</v>
      </c>
      <c r="AB34" s="1103">
        <v>6.1</v>
      </c>
      <c r="AC34" s="1103">
        <v>6.23</v>
      </c>
      <c r="AD34" s="1103">
        <v>7.26</v>
      </c>
      <c r="AE34" s="1103">
        <v>5.93</v>
      </c>
      <c r="AF34" s="1103">
        <v>5.98</v>
      </c>
      <c r="AG34" s="1103">
        <v>6.68</v>
      </c>
      <c r="AH34" s="1103">
        <v>8.35</v>
      </c>
      <c r="AI34" s="1103">
        <v>7.54</v>
      </c>
      <c r="AJ34" s="1103">
        <v>8.2100000000000009</v>
      </c>
      <c r="AK34" s="1103">
        <v>7.98</v>
      </c>
      <c r="AL34" s="78"/>
      <c r="AM34" s="78"/>
      <c r="AN34" s="78"/>
      <c r="AO34" s="78"/>
      <c r="AP34" s="78"/>
      <c r="AQ34" s="78"/>
      <c r="AR34" s="78"/>
      <c r="AS34" s="78"/>
      <c r="AT34" s="78"/>
      <c r="AU34" s="78"/>
      <c r="AV34" s="78"/>
      <c r="AW34" s="78"/>
      <c r="AX34" s="78"/>
      <c r="AY34" s="278"/>
      <c r="AZ34" s="78"/>
      <c r="BA34" s="78"/>
      <c r="BB34" s="78"/>
      <c r="BC34" s="78"/>
      <c r="BD34" s="78"/>
      <c r="BE34" s="78"/>
      <c r="BF34" s="78"/>
      <c r="BG34" s="78"/>
      <c r="BH34" s="1118"/>
      <c r="BI34" s="1118"/>
      <c r="BJ34" s="1118"/>
      <c r="BK34" s="1118"/>
      <c r="BL34" s="1118"/>
      <c r="BM34" s="1118"/>
      <c r="BN34" s="1118"/>
      <c r="BO34" s="1118"/>
      <c r="BP34" s="1118"/>
      <c r="BQ34" s="1118"/>
      <c r="BR34" s="1119">
        <f>SUM(AA34,AB34,AC34,AD34)</f>
        <v>25.189999999999998</v>
      </c>
      <c r="BS34" s="1119">
        <f>SUM(AE34,AF34,AG34,AH34)</f>
        <v>26.939999999999998</v>
      </c>
      <c r="BT34" s="1118"/>
      <c r="BU34" s="1118"/>
      <c r="BV34" s="1118"/>
      <c r="BW34" s="1120"/>
      <c r="BX34" s="1118"/>
      <c r="BY34" s="1118"/>
      <c r="BZ34" s="1118"/>
      <c r="CA34" s="1118"/>
      <c r="CB34" s="1118"/>
      <c r="CC34" s="12"/>
    </row>
    <row r="35" spans="1:81" customFormat="1" ht="14.4" customHeight="1" x14ac:dyDescent="0.55000000000000004">
      <c r="A35" s="318" t="s">
        <v>399</v>
      </c>
      <c r="B35" s="234"/>
      <c r="C35" s="78"/>
      <c r="D35" s="78"/>
      <c r="E35" s="78"/>
      <c r="F35" s="78"/>
      <c r="G35" s="78"/>
      <c r="H35" s="78"/>
      <c r="I35" s="78"/>
      <c r="J35" s="78"/>
      <c r="K35" s="78"/>
      <c r="L35" s="78"/>
      <c r="M35" s="78"/>
      <c r="N35" s="78"/>
      <c r="O35" s="78"/>
      <c r="P35" s="78"/>
      <c r="Q35" s="78"/>
      <c r="R35" s="78"/>
      <c r="S35" s="78"/>
      <c r="T35" s="78"/>
      <c r="U35" s="78"/>
      <c r="V35" s="78"/>
      <c r="W35" s="78"/>
      <c r="X35" s="78"/>
      <c r="Y35" s="78"/>
      <c r="Z35" s="1103">
        <v>0.11</v>
      </c>
      <c r="AA35" s="1103">
        <v>0.06</v>
      </c>
      <c r="AB35" s="1103">
        <v>0.1</v>
      </c>
      <c r="AC35" s="1103">
        <v>0.1</v>
      </c>
      <c r="AD35" s="1103">
        <v>0.12</v>
      </c>
      <c r="AE35" s="1103">
        <v>0.1</v>
      </c>
      <c r="AF35" s="1103">
        <v>0.12</v>
      </c>
      <c r="AG35" s="1103">
        <v>0.08</v>
      </c>
      <c r="AH35" s="1103">
        <v>0.27</v>
      </c>
      <c r="AI35" s="1103">
        <v>0.22</v>
      </c>
      <c r="AJ35" s="1103">
        <v>0.14000000000000001</v>
      </c>
      <c r="AK35" s="1103">
        <v>0.21</v>
      </c>
      <c r="AL35" s="78"/>
      <c r="AM35" s="78"/>
      <c r="AN35" s="78"/>
      <c r="AO35" s="78"/>
      <c r="AP35" s="78"/>
      <c r="AQ35" s="78"/>
      <c r="AR35" s="78"/>
      <c r="AS35" s="78"/>
      <c r="AT35" s="78"/>
      <c r="AU35" s="78"/>
      <c r="AV35" s="78"/>
      <c r="AW35" s="78"/>
      <c r="AX35" s="78"/>
      <c r="AY35" s="278"/>
      <c r="AZ35" s="78"/>
      <c r="BA35" s="78"/>
      <c r="BB35" s="78"/>
      <c r="BC35" s="78"/>
      <c r="BD35" s="78"/>
      <c r="BE35" s="78"/>
      <c r="BF35" s="78"/>
      <c r="BG35" s="78"/>
      <c r="BH35" s="1118"/>
      <c r="BI35" s="1118"/>
      <c r="BJ35" s="1118"/>
      <c r="BK35" s="1118"/>
      <c r="BL35" s="1118"/>
      <c r="BM35" s="1118"/>
      <c r="BN35" s="1118"/>
      <c r="BO35" s="1118"/>
      <c r="BP35" s="1118"/>
      <c r="BQ35" s="1118"/>
      <c r="BR35" s="1119">
        <f>SUM(AA35,AB35,AC35,AD35)</f>
        <v>0.38</v>
      </c>
      <c r="BS35" s="1119">
        <f>SUM(AE35,AF35,AG35,AH35)</f>
        <v>0.57000000000000006</v>
      </c>
      <c r="BT35" s="1118"/>
      <c r="BU35" s="1118"/>
      <c r="BV35" s="1118"/>
      <c r="BW35" s="1120"/>
      <c r="BX35" s="1118"/>
      <c r="BY35" s="1118"/>
      <c r="BZ35" s="1118"/>
      <c r="CA35" s="1118"/>
      <c r="CB35" s="1118"/>
      <c r="CC35" s="12"/>
    </row>
    <row r="36" spans="1:81" customFormat="1" ht="14.4" customHeight="1" x14ac:dyDescent="0.55000000000000004">
      <c r="A36" s="22" t="s">
        <v>400</v>
      </c>
      <c r="B36" s="235"/>
      <c r="C36" s="34"/>
      <c r="D36" s="34"/>
      <c r="E36" s="34"/>
      <c r="F36" s="34"/>
      <c r="G36" s="34"/>
      <c r="H36" s="34"/>
      <c r="I36" s="34"/>
      <c r="J36" s="34"/>
      <c r="K36" s="34"/>
      <c r="L36" s="34"/>
      <c r="M36" s="34"/>
      <c r="N36" s="34"/>
      <c r="O36" s="34"/>
      <c r="P36" s="34"/>
      <c r="Q36" s="34"/>
      <c r="R36" s="34"/>
      <c r="S36" s="34"/>
      <c r="T36" s="34"/>
      <c r="U36" s="34"/>
      <c r="V36" s="34"/>
      <c r="W36" s="34"/>
      <c r="X36" s="34"/>
      <c r="Y36" s="34"/>
      <c r="Z36" s="13">
        <f t="shared" ref="Z36:AK36" si="35">SUM(Z34:Z35)</f>
        <v>6.5200000000000005</v>
      </c>
      <c r="AA36" s="13">
        <f t="shared" si="35"/>
        <v>5.6599999999999993</v>
      </c>
      <c r="AB36" s="13">
        <f t="shared" si="35"/>
        <v>6.1999999999999993</v>
      </c>
      <c r="AC36" s="13">
        <f t="shared" si="35"/>
        <v>6.33</v>
      </c>
      <c r="AD36" s="13">
        <f t="shared" si="35"/>
        <v>7.38</v>
      </c>
      <c r="AE36" s="13">
        <f t="shared" si="35"/>
        <v>6.0299999999999994</v>
      </c>
      <c r="AF36" s="13">
        <f t="shared" si="35"/>
        <v>6.1000000000000005</v>
      </c>
      <c r="AG36" s="13">
        <f t="shared" si="35"/>
        <v>6.76</v>
      </c>
      <c r="AH36" s="13">
        <f t="shared" si="35"/>
        <v>8.6199999999999992</v>
      </c>
      <c r="AI36" s="13">
        <f t="shared" si="35"/>
        <v>7.76</v>
      </c>
      <c r="AJ36" s="13">
        <f t="shared" si="35"/>
        <v>8.3500000000000014</v>
      </c>
      <c r="AK36" s="13">
        <f t="shared" si="35"/>
        <v>8.1900000000000013</v>
      </c>
      <c r="AL36" s="1104">
        <v>9.39</v>
      </c>
      <c r="AM36" s="1104">
        <v>7.72</v>
      </c>
      <c r="AN36" s="1104">
        <v>7.91</v>
      </c>
      <c r="AO36" s="1104">
        <v>7.53</v>
      </c>
      <c r="AP36" s="1104">
        <v>8.6300000000000008</v>
      </c>
      <c r="AQ36" s="1104">
        <v>7.59</v>
      </c>
      <c r="AR36" s="1104">
        <v>8.32</v>
      </c>
      <c r="AS36" s="1104">
        <v>8.7100000000000009</v>
      </c>
      <c r="AT36" s="1104">
        <v>10.1</v>
      </c>
      <c r="AU36" s="34"/>
      <c r="AV36" s="34"/>
      <c r="AW36" s="34"/>
      <c r="AX36" s="34"/>
      <c r="AY36" s="672"/>
      <c r="AZ36" s="34"/>
      <c r="BA36" s="34"/>
      <c r="BB36" s="34"/>
      <c r="BC36" s="34"/>
      <c r="BD36" s="34"/>
      <c r="BE36" s="34"/>
      <c r="BF36" s="34"/>
      <c r="BG36" s="34"/>
      <c r="BH36" s="1121"/>
      <c r="BI36" s="1121"/>
      <c r="BJ36" s="1121"/>
      <c r="BK36" s="1121"/>
      <c r="BL36" s="1121"/>
      <c r="BM36" s="1121"/>
      <c r="BN36" s="1121"/>
      <c r="BO36" s="1121"/>
      <c r="BP36" s="1121"/>
      <c r="BQ36" s="1121"/>
      <c r="BR36" s="1122">
        <f>SUM(AA36,AB36,AC36,AD36)</f>
        <v>25.569999999999997</v>
      </c>
      <c r="BS36" s="1122">
        <f>SUM(AE36,AF36,AG36,AH36)</f>
        <v>27.509999999999998</v>
      </c>
      <c r="BT36" s="1122">
        <f>SUM(AI36,AJ36,AK36,AL36)</f>
        <v>33.69</v>
      </c>
      <c r="BU36" s="1122">
        <f>SUM(AM36,AN36,AO36,AP36)</f>
        <v>31.79</v>
      </c>
      <c r="BV36" s="1122">
        <f>SUM(AQ36,AR36,AS36,AT36)</f>
        <v>34.72</v>
      </c>
      <c r="BW36" s="1123"/>
      <c r="BX36" s="1121"/>
      <c r="BY36" s="1121"/>
      <c r="BZ36" s="1121"/>
      <c r="CA36" s="1121"/>
      <c r="CB36" s="1121"/>
      <c r="CC36" s="10"/>
    </row>
    <row r="37" spans="1:81" customFormat="1" ht="14.4" customHeight="1" x14ac:dyDescent="0.55000000000000004">
      <c r="A37" s="98"/>
      <c r="B37" s="236"/>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671"/>
      <c r="AZ37" s="80"/>
      <c r="BA37" s="80"/>
      <c r="BB37" s="80"/>
      <c r="BC37" s="80"/>
      <c r="BD37" s="80"/>
      <c r="BE37" s="80"/>
      <c r="BF37" s="80"/>
      <c r="BG37" s="80"/>
      <c r="BH37" s="927"/>
      <c r="BI37" s="927"/>
      <c r="BJ37" s="927"/>
      <c r="BK37" s="927"/>
      <c r="BL37" s="927"/>
      <c r="BM37" s="927"/>
      <c r="BN37" s="927"/>
      <c r="BO37" s="927"/>
      <c r="BP37" s="927"/>
      <c r="BQ37" s="927"/>
      <c r="BR37" s="927"/>
      <c r="BS37" s="927"/>
      <c r="BT37" s="927"/>
      <c r="BU37" s="927"/>
      <c r="BV37" s="927"/>
      <c r="BW37" s="929"/>
      <c r="BX37" s="927"/>
      <c r="BY37" s="927"/>
      <c r="BZ37" s="927"/>
      <c r="CA37" s="927"/>
      <c r="CB37" s="927"/>
      <c r="CC37" s="10"/>
    </row>
    <row r="38" spans="1:81" ht="14.4" customHeight="1" x14ac:dyDescent="0.55000000000000004">
      <c r="A38" s="608" t="s">
        <v>1025</v>
      </c>
      <c r="B38" s="310"/>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747"/>
      <c r="AZ38" s="310"/>
      <c r="BA38" s="310"/>
      <c r="BB38" s="310"/>
      <c r="BC38" s="310"/>
      <c r="BD38" s="310"/>
      <c r="BE38" s="310"/>
      <c r="BF38" s="310"/>
      <c r="BG38" s="310"/>
      <c r="BH38" s="310"/>
      <c r="BI38" s="310"/>
      <c r="BJ38" s="310"/>
      <c r="BK38" s="310"/>
      <c r="BL38" s="310"/>
      <c r="BM38" s="310"/>
      <c r="BN38" s="310"/>
      <c r="BO38" s="310"/>
      <c r="BP38" s="310"/>
      <c r="BQ38" s="310"/>
      <c r="BR38" s="310"/>
      <c r="BS38" s="310"/>
      <c r="BT38" s="310"/>
      <c r="BU38" s="310"/>
      <c r="BV38" s="310"/>
      <c r="BW38" s="747"/>
      <c r="BX38" s="310"/>
      <c r="BY38" s="310"/>
      <c r="BZ38" s="310"/>
      <c r="CA38" s="310"/>
      <c r="CB38" s="310"/>
      <c r="CC38" s="308"/>
    </row>
    <row r="39" spans="1:81" ht="14.4" x14ac:dyDescent="0.55000000000000004">
      <c r="A39" s="308"/>
      <c r="B39" s="308"/>
      <c r="C39" s="308"/>
      <c r="D39" s="308"/>
      <c r="E39" s="308"/>
      <c r="F39" s="308"/>
      <c r="G39" s="115"/>
      <c r="H39" s="115"/>
      <c r="I39" s="115"/>
      <c r="J39" s="115"/>
      <c r="K39" s="308"/>
      <c r="L39" s="115"/>
      <c r="M39" s="115"/>
      <c r="N39" s="115"/>
      <c r="O39" s="115"/>
      <c r="P39" s="308"/>
      <c r="Q39" s="115"/>
      <c r="R39" s="115"/>
      <c r="S39" s="115"/>
      <c r="T39" s="115"/>
      <c r="U39" s="308"/>
      <c r="V39" s="115"/>
      <c r="W39" s="115"/>
      <c r="X39" s="115"/>
      <c r="Y39" s="115"/>
      <c r="Z39" s="308"/>
      <c r="AA39" s="115"/>
      <c r="AB39" s="115"/>
      <c r="AC39" s="115"/>
      <c r="AD39" s="115"/>
      <c r="AE39" s="308"/>
      <c r="AF39" s="115"/>
      <c r="AG39" s="115"/>
      <c r="AH39" s="115"/>
      <c r="AI39" s="115"/>
      <c r="AJ39" s="308"/>
      <c r="AK39" s="115"/>
      <c r="AL39" s="115"/>
      <c r="AM39" s="115"/>
      <c r="AN39" s="115"/>
      <c r="AO39" s="308"/>
      <c r="AP39" s="115"/>
      <c r="AQ39" s="115"/>
      <c r="AR39" s="115"/>
      <c r="AS39" s="115"/>
      <c r="AT39" s="308"/>
      <c r="AU39" s="115"/>
      <c r="AV39" s="115"/>
      <c r="AW39" s="115"/>
      <c r="AX39" s="115"/>
      <c r="AY39" s="308"/>
      <c r="AZ39" s="115"/>
      <c r="BA39" s="115"/>
      <c r="BB39" s="115"/>
      <c r="BC39" s="115"/>
      <c r="BD39" s="308"/>
      <c r="BE39" s="115"/>
      <c r="BF39" s="115"/>
      <c r="BG39" s="115"/>
      <c r="BH39" s="115"/>
      <c r="BI39" s="115"/>
      <c r="BJ39" s="308"/>
      <c r="BK39" s="115"/>
      <c r="BL39" s="115"/>
      <c r="BM39" s="115"/>
      <c r="BN39" s="115"/>
      <c r="BO39" s="308"/>
      <c r="BP39" s="115"/>
      <c r="BQ39" s="115"/>
      <c r="BR39" s="115"/>
      <c r="BS39" s="115"/>
      <c r="BT39" s="308"/>
      <c r="BU39" s="115"/>
      <c r="BV39" s="115"/>
      <c r="BW39" s="115"/>
      <c r="BX39" s="115"/>
      <c r="BY39" s="308"/>
      <c r="BZ39" s="308"/>
      <c r="CA39" s="308"/>
      <c r="CB39" s="308"/>
      <c r="CC39" s="308"/>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8253-257B-4859-A303-8FE54927336E}">
  <dimension ref="A1:CC143"/>
  <sheetViews>
    <sheetView zoomScale="85" zoomScaleNormal="85" workbookViewId="0">
      <pane xSplit="2" ySplit="5" topLeftCell="C6" activePane="bottomRight" state="frozenSplit"/>
      <selection pane="topRight" activeCell="C1" sqref="C1"/>
      <selection pane="bottomLeft" activeCell="A6" sqref="A6"/>
      <selection pane="bottomRight"/>
    </sheetView>
  </sheetViews>
  <sheetFormatPr defaultColWidth="8.83984375" defaultRowHeight="14.5" customHeight="1" outlineLevelRow="1" outlineLevelCol="2" x14ac:dyDescent="0.55000000000000004"/>
  <cols>
    <col min="1" max="1" width="46.734375" style="727" customWidth="1"/>
    <col min="2" max="2" width="9.734375" style="727" customWidth="1"/>
    <col min="3" max="6" width="0" style="727" hidden="1" customWidth="1" outlineLevel="1"/>
    <col min="7" max="10" width="0" hidden="1" customWidth="1" outlineLevel="1"/>
    <col min="11" max="11" width="0" style="727" hidden="1" customWidth="1" outlineLevel="1"/>
    <col min="12" max="15" width="0" hidden="1" customWidth="1" outlineLevel="1"/>
    <col min="16" max="16" width="0" style="727" hidden="1" customWidth="1" outlineLevel="1"/>
    <col min="17" max="20" width="0" hidden="1" customWidth="1" outlineLevel="1"/>
    <col min="21" max="21" width="0" style="727" hidden="1" customWidth="1" outlineLevel="1"/>
    <col min="22" max="25" width="0" hidden="1" customWidth="1" outlineLevel="1"/>
    <col min="26" max="26" width="0" style="727" hidden="1" customWidth="1" outlineLevel="1"/>
    <col min="27" max="30" width="0" hidden="1" customWidth="1" outlineLevel="1"/>
    <col min="31" max="31" width="0" style="727" hidden="1" customWidth="1" outlineLevel="1"/>
    <col min="32" max="35" width="0" hidden="1" customWidth="1" outlineLevel="1"/>
    <col min="36" max="36" width="0" style="727" hidden="1" customWidth="1" outlineLevel="1"/>
    <col min="37" max="40" width="0" hidden="1" customWidth="1" outlineLevel="1"/>
    <col min="41" max="41" width="0" style="727" hidden="1" customWidth="1" outlineLevel="1"/>
    <col min="42" max="45" width="0" hidden="1" customWidth="1" outlineLevel="1"/>
    <col min="46" max="46" width="0" style="727" hidden="1" customWidth="1" outlineLevel="1"/>
    <col min="47" max="47" width="10.5234375" customWidth="1" collapsed="1"/>
    <col min="48" max="50" width="10.5234375" customWidth="1"/>
    <col min="51" max="51" width="10.5234375" style="727" customWidth="1"/>
    <col min="52" max="55" width="10.5234375" customWidth="1"/>
    <col min="56" max="56" width="10.5234375" style="727" customWidth="1"/>
    <col min="57" max="58" width="10.5234375" customWidth="1"/>
    <col min="59" max="59" width="10.5234375" customWidth="1" outlineLevel="1"/>
    <col min="60" max="61" width="0" hidden="1" customWidth="1" outlineLevel="2"/>
    <col min="62" max="62" width="0" style="727" hidden="1" customWidth="1" outlineLevel="2"/>
    <col min="63" max="66" width="0" hidden="1" customWidth="1" outlineLevel="2"/>
    <col min="67" max="67" width="0" style="727" hidden="1" customWidth="1" outlineLevel="2"/>
    <col min="68" max="71" width="0" hidden="1" customWidth="1" outlineLevel="2"/>
    <col min="72" max="72" width="0" style="727" hidden="1" customWidth="1" outlineLevel="2"/>
    <col min="73" max="80" width="10.5234375" style="727" customWidth="1"/>
    <col min="81" max="100" width="8.83984375" style="727" customWidth="1"/>
    <col min="101" max="16384" width="8.83984375" style="727"/>
  </cols>
  <sheetData>
    <row r="1" spans="1:81" s="741" customFormat="1" ht="28.5" customHeight="1" x14ac:dyDescent="1.05">
      <c r="A1" s="299" t="str">
        <f>MO.CompanyName</f>
        <v>Meta Platforms, Inc.</v>
      </c>
      <c r="B1" s="309"/>
      <c r="C1" s="610"/>
      <c r="D1" s="610"/>
      <c r="E1" s="610"/>
      <c r="F1" s="610"/>
      <c r="G1" s="610"/>
      <c r="H1" s="610"/>
      <c r="I1" s="610"/>
      <c r="J1" s="610"/>
      <c r="K1" s="610"/>
      <c r="L1" s="610"/>
      <c r="M1" s="610"/>
      <c r="N1" s="610"/>
      <c r="O1" s="610"/>
      <c r="P1" s="610"/>
      <c r="Q1" s="610"/>
      <c r="R1" s="610"/>
      <c r="S1" s="610"/>
      <c r="T1" s="610"/>
      <c r="U1" s="610"/>
      <c r="V1" s="610"/>
      <c r="W1" s="610"/>
      <c r="X1" s="610"/>
      <c r="Y1" s="610"/>
      <c r="Z1" s="610"/>
      <c r="AA1" s="610"/>
      <c r="AB1" s="610"/>
      <c r="AC1" s="610"/>
      <c r="AD1" s="610"/>
      <c r="AE1" s="610"/>
      <c r="AF1" s="610"/>
      <c r="AG1" s="610"/>
      <c r="AH1" s="610"/>
      <c r="AI1" s="610"/>
      <c r="AJ1" s="610"/>
      <c r="AK1" s="610"/>
      <c r="AL1" s="610"/>
      <c r="AM1" s="610"/>
      <c r="AN1" s="610"/>
      <c r="AO1" s="610"/>
      <c r="AP1" s="610"/>
      <c r="AQ1" s="610"/>
      <c r="AR1" s="610"/>
      <c r="AS1" s="610"/>
      <c r="AT1" s="610"/>
      <c r="AU1" s="610"/>
      <c r="AV1" s="610"/>
      <c r="AW1" s="610"/>
      <c r="AX1" s="610"/>
      <c r="AY1" s="597"/>
      <c r="AZ1" s="610"/>
      <c r="BA1" s="610"/>
      <c r="BB1" s="610"/>
      <c r="BC1" s="610"/>
      <c r="BD1" s="610"/>
      <c r="BE1" s="610"/>
      <c r="BF1" s="610"/>
      <c r="BG1" s="610"/>
      <c r="BH1" s="610"/>
      <c r="BI1" s="610"/>
      <c r="BJ1" s="610"/>
      <c r="BK1" s="610"/>
      <c r="BL1" s="610"/>
      <c r="BM1" s="610"/>
      <c r="BN1" s="610"/>
      <c r="BO1" s="610"/>
      <c r="BP1" s="610"/>
      <c r="BQ1" s="610"/>
      <c r="BR1" s="610"/>
      <c r="BS1" s="610"/>
      <c r="BT1" s="610"/>
      <c r="BU1" s="610"/>
      <c r="BV1" s="610"/>
      <c r="BW1" s="597"/>
      <c r="BX1" s="610"/>
      <c r="BY1" s="610"/>
      <c r="BZ1" s="610"/>
      <c r="CA1" s="610"/>
      <c r="CB1" s="610"/>
      <c r="CC1" s="307"/>
    </row>
    <row r="2" spans="1:81" s="741" customFormat="1" ht="15" customHeight="1" x14ac:dyDescent="0.55000000000000004">
      <c r="A2" s="300" t="str">
        <f>MO.Ticker</f>
        <v>META US</v>
      </c>
      <c r="B2" s="301"/>
      <c r="C2" s="311">
        <f>Model!C2</f>
        <v>0</v>
      </c>
      <c r="D2" s="311">
        <f>Model!D2</f>
        <v>0</v>
      </c>
      <c r="E2" s="311">
        <f>Model!E2</f>
        <v>0</v>
      </c>
      <c r="F2" s="311">
        <f>Model!F2</f>
        <v>0</v>
      </c>
      <c r="G2" s="311">
        <f>Model!G2</f>
        <v>0</v>
      </c>
      <c r="H2" s="311">
        <f>Model!H2</f>
        <v>0</v>
      </c>
      <c r="I2" s="311">
        <f>Model!I2</f>
        <v>0</v>
      </c>
      <c r="J2" s="311">
        <f>Model!J2</f>
        <v>0</v>
      </c>
      <c r="K2" s="311">
        <f>Model!K2</f>
        <v>0</v>
      </c>
      <c r="L2" s="311">
        <f>Model!L2</f>
        <v>0</v>
      </c>
      <c r="M2" s="311">
        <f>Model!M2</f>
        <v>0</v>
      </c>
      <c r="N2" s="311">
        <f>Model!N2</f>
        <v>0</v>
      </c>
      <c r="O2" s="311">
        <f>Model!O2</f>
        <v>0</v>
      </c>
      <c r="P2" s="311">
        <f>Model!P2</f>
        <v>0</v>
      </c>
      <c r="Q2" s="311">
        <f>Model!Q2</f>
        <v>0</v>
      </c>
      <c r="R2" s="311">
        <f>Model!R2</f>
        <v>0</v>
      </c>
      <c r="S2" s="311">
        <f>Model!S2</f>
        <v>0</v>
      </c>
      <c r="T2" s="311">
        <f>Model!T2</f>
        <v>0</v>
      </c>
      <c r="U2" s="311">
        <f>Model!U2</f>
        <v>0</v>
      </c>
      <c r="V2" s="311">
        <f>Model!V2</f>
        <v>0</v>
      </c>
      <c r="W2" s="311">
        <f>Model!W2</f>
        <v>0</v>
      </c>
      <c r="X2" s="311">
        <f>Model!X2</f>
        <v>0</v>
      </c>
      <c r="Y2" s="311">
        <f>Model!Y2</f>
        <v>0</v>
      </c>
      <c r="Z2" s="311">
        <f>Model!Z2</f>
        <v>0</v>
      </c>
      <c r="AA2" s="311">
        <f>Model!AA2</f>
        <v>0</v>
      </c>
      <c r="AB2" s="311">
        <f>Model!AB2</f>
        <v>0</v>
      </c>
      <c r="AC2" s="311">
        <f>Model!AC2</f>
        <v>0</v>
      </c>
      <c r="AD2" s="311">
        <f>Model!AD2</f>
        <v>0</v>
      </c>
      <c r="AE2" s="311">
        <f>Model!AE2</f>
        <v>0</v>
      </c>
      <c r="AF2" s="311">
        <f>Model!AF2</f>
        <v>0</v>
      </c>
      <c r="AG2" s="311">
        <f>Model!AG2</f>
        <v>0</v>
      </c>
      <c r="AH2" s="311">
        <f>Model!AH2</f>
        <v>0</v>
      </c>
      <c r="AI2" s="311">
        <f>Model!AI2</f>
        <v>0</v>
      </c>
      <c r="AJ2" s="311">
        <f>Model!AJ2</f>
        <v>0</v>
      </c>
      <c r="AK2" s="311">
        <f>Model!AK2</f>
        <v>0</v>
      </c>
      <c r="AL2" s="311">
        <f>Model!AL2</f>
        <v>0</v>
      </c>
      <c r="AM2" s="311">
        <f>Model!AM2</f>
        <v>0</v>
      </c>
      <c r="AN2" s="311">
        <f>Model!AN2</f>
        <v>0</v>
      </c>
      <c r="AO2" s="311">
        <f>Model!AO2</f>
        <v>0</v>
      </c>
      <c r="AP2" s="311">
        <f>Model!AP2</f>
        <v>0</v>
      </c>
      <c r="AQ2" s="311">
        <f>Model!AQ2</f>
        <v>0</v>
      </c>
      <c r="AR2" s="311">
        <f>Model!AR2</f>
        <v>0</v>
      </c>
      <c r="AS2" s="311">
        <f>Model!AS2</f>
        <v>0</v>
      </c>
      <c r="AT2" s="311">
        <f>Model!AT2</f>
        <v>0</v>
      </c>
      <c r="AU2" s="311">
        <f>Model!AU2</f>
        <v>0</v>
      </c>
      <c r="AV2" s="311">
        <f>Model!AV2</f>
        <v>0</v>
      </c>
      <c r="AW2" s="311">
        <f>Model!AW2</f>
        <v>0</v>
      </c>
      <c r="AX2" s="311">
        <f>Model!AX2</f>
        <v>0</v>
      </c>
      <c r="AY2" s="312" t="str">
        <f>Model!AY2</f>
        <v>Partial</v>
      </c>
      <c r="AZ2" s="372">
        <f>Model!AZ2</f>
        <v>0</v>
      </c>
      <c r="BA2" s="372">
        <f>Model!BA2</f>
        <v>0</v>
      </c>
      <c r="BB2" s="372">
        <f>Model!BB2</f>
        <v>0</v>
      </c>
      <c r="BC2" s="372">
        <f>Model!BC2</f>
        <v>0</v>
      </c>
      <c r="BD2" s="372">
        <f>Model!BD2</f>
        <v>0</v>
      </c>
      <c r="BE2" s="372">
        <f>Model!BE2</f>
        <v>0</v>
      </c>
      <c r="BF2" s="372">
        <f>Model!BF2</f>
        <v>0</v>
      </c>
      <c r="BG2" s="372"/>
      <c r="BH2" s="311">
        <f>Model!BH2</f>
        <v>39813</v>
      </c>
      <c r="BI2" s="311">
        <f>Model!BI2</f>
        <v>0</v>
      </c>
      <c r="BJ2" s="311">
        <f>Model!BJ2</f>
        <v>0</v>
      </c>
      <c r="BK2" s="311">
        <f>Model!BK2</f>
        <v>0</v>
      </c>
      <c r="BL2" s="311">
        <f>Model!BL2</f>
        <v>0</v>
      </c>
      <c r="BM2" s="311">
        <f>Model!BM2</f>
        <v>0</v>
      </c>
      <c r="BN2" s="311">
        <f>Model!BN2</f>
        <v>0</v>
      </c>
      <c r="BO2" s="311">
        <f>Model!BO2</f>
        <v>0</v>
      </c>
      <c r="BP2" s="311">
        <f>Model!BP2</f>
        <v>0</v>
      </c>
      <c r="BQ2" s="311">
        <f>Model!BQ2</f>
        <v>0</v>
      </c>
      <c r="BR2" s="311">
        <f>Model!BR2</f>
        <v>0</v>
      </c>
      <c r="BS2" s="311">
        <f>Model!BS2</f>
        <v>0</v>
      </c>
      <c r="BT2" s="311">
        <f>Model!BT2</f>
        <v>0</v>
      </c>
      <c r="BU2" s="311">
        <f>Model!BU2</f>
        <v>0</v>
      </c>
      <c r="BV2" s="311">
        <f>Model!BV2</f>
        <v>0</v>
      </c>
      <c r="BW2" s="312">
        <f>Model!BW2</f>
        <v>0</v>
      </c>
      <c r="BX2" s="311">
        <f>Model!BX2</f>
        <v>0</v>
      </c>
      <c r="BY2" s="372">
        <f>Model!BY2</f>
        <v>0</v>
      </c>
      <c r="BZ2" s="372">
        <f>Model!BZ2</f>
        <v>0</v>
      </c>
      <c r="CA2" s="372">
        <f>Model!CA2</f>
        <v>0</v>
      </c>
      <c r="CB2" s="372">
        <f>Model!CB2</f>
        <v>0</v>
      </c>
      <c r="CC2" s="307"/>
    </row>
    <row r="3" spans="1:81" s="741" customFormat="1" ht="15" customHeight="1" x14ac:dyDescent="0.55000000000000004">
      <c r="A3" s="302" t="str">
        <f ca="1">MO.TradingCurrency</f>
        <v>USD</v>
      </c>
      <c r="B3" s="1160">
        <f ca="1">MO.LastPrice</f>
        <v>554.44000000000005</v>
      </c>
      <c r="C3" s="304">
        <f t="shared" ref="C3:AH3" si="0">INDEX(MO_Common_FPDays,0,MATCH(C$5,MO_Common_ColumnHeader,0))</f>
        <v>90</v>
      </c>
      <c r="D3" s="304">
        <f t="shared" si="0"/>
        <v>91</v>
      </c>
      <c r="E3" s="304">
        <f t="shared" si="0"/>
        <v>92</v>
      </c>
      <c r="F3" s="304">
        <f t="shared" si="0"/>
        <v>92</v>
      </c>
      <c r="G3" s="304">
        <f t="shared" si="0"/>
        <v>90</v>
      </c>
      <c r="H3" s="304">
        <f t="shared" si="0"/>
        <v>91</v>
      </c>
      <c r="I3" s="304">
        <f t="shared" si="0"/>
        <v>92</v>
      </c>
      <c r="J3" s="304">
        <f t="shared" si="0"/>
        <v>92</v>
      </c>
      <c r="K3" s="304">
        <f t="shared" si="0"/>
        <v>90</v>
      </c>
      <c r="L3" s="304">
        <f t="shared" si="0"/>
        <v>91</v>
      </c>
      <c r="M3" s="304">
        <f t="shared" si="0"/>
        <v>92</v>
      </c>
      <c r="N3" s="304">
        <f t="shared" si="0"/>
        <v>92</v>
      </c>
      <c r="O3" s="304">
        <f t="shared" si="0"/>
        <v>91</v>
      </c>
      <c r="P3" s="304">
        <f t="shared" si="0"/>
        <v>91</v>
      </c>
      <c r="Q3" s="304">
        <f t="shared" si="0"/>
        <v>92</v>
      </c>
      <c r="R3" s="304">
        <f t="shared" si="0"/>
        <v>92</v>
      </c>
      <c r="S3" s="304">
        <f t="shared" si="0"/>
        <v>90</v>
      </c>
      <c r="T3" s="304">
        <f t="shared" si="0"/>
        <v>91</v>
      </c>
      <c r="U3" s="304">
        <f t="shared" si="0"/>
        <v>92</v>
      </c>
      <c r="V3" s="304">
        <f t="shared" si="0"/>
        <v>92</v>
      </c>
      <c r="W3" s="304">
        <f t="shared" si="0"/>
        <v>90</v>
      </c>
      <c r="X3" s="304">
        <f t="shared" si="0"/>
        <v>91</v>
      </c>
      <c r="Y3" s="304">
        <f t="shared" si="0"/>
        <v>92</v>
      </c>
      <c r="Z3" s="304">
        <f t="shared" si="0"/>
        <v>92</v>
      </c>
      <c r="AA3" s="304">
        <f t="shared" si="0"/>
        <v>90</v>
      </c>
      <c r="AB3" s="304">
        <f t="shared" si="0"/>
        <v>91</v>
      </c>
      <c r="AC3" s="304">
        <f t="shared" si="0"/>
        <v>92</v>
      </c>
      <c r="AD3" s="304">
        <f t="shared" si="0"/>
        <v>92</v>
      </c>
      <c r="AE3" s="304">
        <f t="shared" si="0"/>
        <v>91</v>
      </c>
      <c r="AF3" s="304">
        <f t="shared" si="0"/>
        <v>91</v>
      </c>
      <c r="AG3" s="304">
        <f t="shared" si="0"/>
        <v>92</v>
      </c>
      <c r="AH3" s="304">
        <f t="shared" si="0"/>
        <v>92</v>
      </c>
      <c r="AI3" s="304">
        <f t="shared" ref="AI3:BF3" si="1">INDEX(MO_Common_FPDays,0,MATCH(AI$5,MO_Common_ColumnHeader,0))</f>
        <v>90</v>
      </c>
      <c r="AJ3" s="304">
        <f t="shared" si="1"/>
        <v>91</v>
      </c>
      <c r="AK3" s="304">
        <f t="shared" si="1"/>
        <v>92</v>
      </c>
      <c r="AL3" s="304">
        <f t="shared" si="1"/>
        <v>92</v>
      </c>
      <c r="AM3" s="304">
        <f t="shared" si="1"/>
        <v>90</v>
      </c>
      <c r="AN3" s="304">
        <f t="shared" si="1"/>
        <v>91</v>
      </c>
      <c r="AO3" s="304">
        <f t="shared" si="1"/>
        <v>92</v>
      </c>
      <c r="AP3" s="304">
        <f t="shared" si="1"/>
        <v>92</v>
      </c>
      <c r="AQ3" s="304">
        <f t="shared" si="1"/>
        <v>90</v>
      </c>
      <c r="AR3" s="304">
        <f t="shared" si="1"/>
        <v>91</v>
      </c>
      <c r="AS3" s="304">
        <f t="shared" si="1"/>
        <v>92</v>
      </c>
      <c r="AT3" s="304">
        <f t="shared" si="1"/>
        <v>92</v>
      </c>
      <c r="AU3" s="304">
        <f t="shared" si="1"/>
        <v>91</v>
      </c>
      <c r="AV3" s="304">
        <f t="shared" si="1"/>
        <v>91</v>
      </c>
      <c r="AW3" s="304">
        <f t="shared" si="1"/>
        <v>92</v>
      </c>
      <c r="AX3" s="304">
        <f t="shared" si="1"/>
        <v>92</v>
      </c>
      <c r="AY3" s="1169">
        <f t="shared" si="1"/>
        <v>90</v>
      </c>
      <c r="AZ3" s="373">
        <f t="shared" si="1"/>
        <v>91</v>
      </c>
      <c r="BA3" s="373">
        <f t="shared" si="1"/>
        <v>92</v>
      </c>
      <c r="BB3" s="373">
        <f t="shared" si="1"/>
        <v>92</v>
      </c>
      <c r="BC3" s="373">
        <f t="shared" si="1"/>
        <v>90</v>
      </c>
      <c r="BD3" s="373">
        <f t="shared" si="1"/>
        <v>91</v>
      </c>
      <c r="BE3" s="373">
        <f t="shared" si="1"/>
        <v>92</v>
      </c>
      <c r="BF3" s="373">
        <f t="shared" si="1"/>
        <v>92</v>
      </c>
      <c r="BG3" s="373"/>
      <c r="BH3" s="1105">
        <f t="shared" ref="BH3:CB3" si="2">INDEX(MO_Common_FPDays,0,MATCH(BH$5,MO_Common_ColumnHeader,0))</f>
        <v>365</v>
      </c>
      <c r="BI3" s="1105">
        <f t="shared" si="2"/>
        <v>365</v>
      </c>
      <c r="BJ3" s="1105">
        <f t="shared" si="2"/>
        <v>365</v>
      </c>
      <c r="BK3" s="1105">
        <f t="shared" si="2"/>
        <v>366</v>
      </c>
      <c r="BL3" s="1105">
        <f t="shared" si="2"/>
        <v>365</v>
      </c>
      <c r="BM3" s="1105">
        <f t="shared" si="2"/>
        <v>365</v>
      </c>
      <c r="BN3" s="1105">
        <f t="shared" si="2"/>
        <v>365</v>
      </c>
      <c r="BO3" s="1105">
        <f t="shared" si="2"/>
        <v>366</v>
      </c>
      <c r="BP3" s="1105">
        <f t="shared" si="2"/>
        <v>365</v>
      </c>
      <c r="BQ3" s="1105">
        <f t="shared" si="2"/>
        <v>365</v>
      </c>
      <c r="BR3" s="1105">
        <f t="shared" si="2"/>
        <v>365</v>
      </c>
      <c r="BS3" s="1105">
        <f t="shared" si="2"/>
        <v>366</v>
      </c>
      <c r="BT3" s="1105">
        <f t="shared" si="2"/>
        <v>365</v>
      </c>
      <c r="BU3" s="1105">
        <f t="shared" si="2"/>
        <v>365</v>
      </c>
      <c r="BV3" s="1105">
        <f t="shared" si="2"/>
        <v>365</v>
      </c>
      <c r="BW3" s="1106">
        <f t="shared" si="2"/>
        <v>366</v>
      </c>
      <c r="BX3" s="1105">
        <f t="shared" si="2"/>
        <v>365</v>
      </c>
      <c r="BY3" s="1107">
        <f t="shared" si="2"/>
        <v>365</v>
      </c>
      <c r="BZ3" s="1107">
        <f t="shared" si="2"/>
        <v>365</v>
      </c>
      <c r="CA3" s="1107">
        <f t="shared" si="2"/>
        <v>366</v>
      </c>
      <c r="CB3" s="1107">
        <f t="shared" si="2"/>
        <v>365</v>
      </c>
      <c r="CC3" s="307"/>
    </row>
    <row r="4" spans="1:81" s="741" customFormat="1" ht="15" customHeight="1" x14ac:dyDescent="0.55000000000000004">
      <c r="A4" s="303" t="str">
        <f>MO.DataSourceName</f>
        <v>Bloomberg</v>
      </c>
      <c r="B4" s="304" t="str">
        <f ca="1">MO.RealTime</f>
        <v>OFF</v>
      </c>
      <c r="C4" s="593">
        <f t="shared" ref="C4:AH4" si="3">INDEX(MO_Common_QEndDate,0,MATCH(C$5,MO_Common_ColumnHeader,0))</f>
        <v>41364</v>
      </c>
      <c r="D4" s="593">
        <f t="shared" si="3"/>
        <v>41455</v>
      </c>
      <c r="E4" s="593">
        <f t="shared" si="3"/>
        <v>41547</v>
      </c>
      <c r="F4" s="593">
        <f t="shared" si="3"/>
        <v>41639</v>
      </c>
      <c r="G4" s="593">
        <f t="shared" si="3"/>
        <v>41729</v>
      </c>
      <c r="H4" s="593">
        <f t="shared" si="3"/>
        <v>41820</v>
      </c>
      <c r="I4" s="593">
        <f t="shared" si="3"/>
        <v>41912</v>
      </c>
      <c r="J4" s="593">
        <f t="shared" si="3"/>
        <v>42004</v>
      </c>
      <c r="K4" s="593">
        <f t="shared" si="3"/>
        <v>42094</v>
      </c>
      <c r="L4" s="593">
        <f t="shared" si="3"/>
        <v>42185</v>
      </c>
      <c r="M4" s="593">
        <f t="shared" si="3"/>
        <v>42277</v>
      </c>
      <c r="N4" s="593">
        <f t="shared" si="3"/>
        <v>42369</v>
      </c>
      <c r="O4" s="593">
        <f t="shared" si="3"/>
        <v>42460</v>
      </c>
      <c r="P4" s="593">
        <f t="shared" si="3"/>
        <v>42551</v>
      </c>
      <c r="Q4" s="593">
        <f t="shared" si="3"/>
        <v>42643</v>
      </c>
      <c r="R4" s="593">
        <f t="shared" si="3"/>
        <v>42735</v>
      </c>
      <c r="S4" s="593">
        <f t="shared" si="3"/>
        <v>42825</v>
      </c>
      <c r="T4" s="593">
        <f t="shared" si="3"/>
        <v>42916</v>
      </c>
      <c r="U4" s="593">
        <f t="shared" si="3"/>
        <v>43008</v>
      </c>
      <c r="V4" s="593">
        <f t="shared" si="3"/>
        <v>43100</v>
      </c>
      <c r="W4" s="593">
        <f t="shared" si="3"/>
        <v>43190</v>
      </c>
      <c r="X4" s="593">
        <f t="shared" si="3"/>
        <v>43281</v>
      </c>
      <c r="Y4" s="593">
        <f t="shared" si="3"/>
        <v>43373</v>
      </c>
      <c r="Z4" s="593">
        <f t="shared" si="3"/>
        <v>43465</v>
      </c>
      <c r="AA4" s="593">
        <f t="shared" si="3"/>
        <v>43555</v>
      </c>
      <c r="AB4" s="593">
        <f t="shared" si="3"/>
        <v>43646</v>
      </c>
      <c r="AC4" s="593">
        <f t="shared" si="3"/>
        <v>43738</v>
      </c>
      <c r="AD4" s="593">
        <f t="shared" si="3"/>
        <v>43830</v>
      </c>
      <c r="AE4" s="593">
        <f t="shared" si="3"/>
        <v>43921</v>
      </c>
      <c r="AF4" s="593">
        <f t="shared" si="3"/>
        <v>44012</v>
      </c>
      <c r="AG4" s="593">
        <f t="shared" si="3"/>
        <v>44104</v>
      </c>
      <c r="AH4" s="593">
        <f t="shared" si="3"/>
        <v>44196</v>
      </c>
      <c r="AI4" s="593">
        <f t="shared" ref="AI4:BF4" si="4">INDEX(MO_Common_QEndDate,0,MATCH(AI$5,MO_Common_ColumnHeader,0))</f>
        <v>44286</v>
      </c>
      <c r="AJ4" s="593">
        <f t="shared" si="4"/>
        <v>44377</v>
      </c>
      <c r="AK4" s="593">
        <f t="shared" si="4"/>
        <v>44469</v>
      </c>
      <c r="AL4" s="593">
        <f t="shared" si="4"/>
        <v>44561</v>
      </c>
      <c r="AM4" s="593">
        <f t="shared" si="4"/>
        <v>44651</v>
      </c>
      <c r="AN4" s="593">
        <f t="shared" si="4"/>
        <v>44742</v>
      </c>
      <c r="AO4" s="593">
        <f t="shared" si="4"/>
        <v>44834</v>
      </c>
      <c r="AP4" s="593">
        <f t="shared" si="4"/>
        <v>44926</v>
      </c>
      <c r="AQ4" s="593">
        <f t="shared" si="4"/>
        <v>45016</v>
      </c>
      <c r="AR4" s="593">
        <f t="shared" si="4"/>
        <v>45107</v>
      </c>
      <c r="AS4" s="593">
        <f t="shared" si="4"/>
        <v>45199</v>
      </c>
      <c r="AT4" s="593">
        <f t="shared" si="4"/>
        <v>45291</v>
      </c>
      <c r="AU4" s="593">
        <f t="shared" si="4"/>
        <v>45382</v>
      </c>
      <c r="AV4" s="593">
        <f t="shared" si="4"/>
        <v>45473</v>
      </c>
      <c r="AW4" s="593">
        <f t="shared" si="4"/>
        <v>45565</v>
      </c>
      <c r="AX4" s="593">
        <f t="shared" si="4"/>
        <v>45657</v>
      </c>
      <c r="AY4" s="1170">
        <f t="shared" si="4"/>
        <v>45747</v>
      </c>
      <c r="AZ4" s="374">
        <f t="shared" si="4"/>
        <v>45838</v>
      </c>
      <c r="BA4" s="374">
        <f t="shared" si="4"/>
        <v>45930</v>
      </c>
      <c r="BB4" s="374">
        <f t="shared" si="4"/>
        <v>46022</v>
      </c>
      <c r="BC4" s="374">
        <f t="shared" si="4"/>
        <v>46112</v>
      </c>
      <c r="BD4" s="374">
        <f t="shared" si="4"/>
        <v>46203</v>
      </c>
      <c r="BE4" s="374">
        <f t="shared" si="4"/>
        <v>46295</v>
      </c>
      <c r="BF4" s="374">
        <f t="shared" si="4"/>
        <v>46387</v>
      </c>
      <c r="BG4" s="374"/>
      <c r="BH4" s="1108">
        <f t="shared" ref="BH4:CB4" si="5">INDEX(MO_Common_QEndDate,0,MATCH(BH$5,MO_Common_ColumnHeader,0))</f>
        <v>40178</v>
      </c>
      <c r="BI4" s="1108">
        <f t="shared" si="5"/>
        <v>40543</v>
      </c>
      <c r="BJ4" s="1108">
        <f t="shared" si="5"/>
        <v>40908</v>
      </c>
      <c r="BK4" s="1108">
        <f t="shared" si="5"/>
        <v>41274</v>
      </c>
      <c r="BL4" s="1108">
        <f t="shared" si="5"/>
        <v>41639</v>
      </c>
      <c r="BM4" s="1108">
        <f t="shared" si="5"/>
        <v>42004</v>
      </c>
      <c r="BN4" s="1108">
        <f t="shared" si="5"/>
        <v>42369</v>
      </c>
      <c r="BO4" s="1108">
        <f t="shared" si="5"/>
        <v>42735</v>
      </c>
      <c r="BP4" s="1108">
        <f t="shared" si="5"/>
        <v>43100</v>
      </c>
      <c r="BQ4" s="1108">
        <f t="shared" si="5"/>
        <v>43465</v>
      </c>
      <c r="BR4" s="1108">
        <f t="shared" si="5"/>
        <v>43830</v>
      </c>
      <c r="BS4" s="1108">
        <f t="shared" si="5"/>
        <v>44196</v>
      </c>
      <c r="BT4" s="1108">
        <f t="shared" si="5"/>
        <v>44561</v>
      </c>
      <c r="BU4" s="1108">
        <f t="shared" si="5"/>
        <v>44926</v>
      </c>
      <c r="BV4" s="1108">
        <f t="shared" si="5"/>
        <v>45291</v>
      </c>
      <c r="BW4" s="1109">
        <f t="shared" si="5"/>
        <v>45657</v>
      </c>
      <c r="BX4" s="1108">
        <f t="shared" si="5"/>
        <v>46022</v>
      </c>
      <c r="BY4" s="1040">
        <f t="shared" si="5"/>
        <v>46387</v>
      </c>
      <c r="BZ4" s="1040">
        <f t="shared" si="5"/>
        <v>46752</v>
      </c>
      <c r="CA4" s="1040">
        <f t="shared" si="5"/>
        <v>47118</v>
      </c>
      <c r="CB4" s="1040">
        <f t="shared" si="5"/>
        <v>47483</v>
      </c>
      <c r="CC4" s="307"/>
    </row>
    <row r="5" spans="1:81" s="741" customFormat="1" ht="15" customHeight="1" x14ac:dyDescent="0.55000000000000004">
      <c r="A5" s="305" t="str">
        <f>MO.ReportFX</f>
        <v>USD</v>
      </c>
      <c r="B5" s="306"/>
      <c r="C5" s="1094" t="s">
        <v>1096</v>
      </c>
      <c r="D5" s="1094" t="s">
        <v>1097</v>
      </c>
      <c r="E5" s="1094" t="s">
        <v>1098</v>
      </c>
      <c r="F5" s="1094" t="s">
        <v>1099</v>
      </c>
      <c r="G5" s="1094" t="s">
        <v>1100</v>
      </c>
      <c r="H5" s="1094" t="s">
        <v>1101</v>
      </c>
      <c r="I5" s="1094" t="s">
        <v>1102</v>
      </c>
      <c r="J5" s="1094" t="s">
        <v>1103</v>
      </c>
      <c r="K5" s="1094" t="s">
        <v>1104</v>
      </c>
      <c r="L5" s="1094" t="s">
        <v>1105</v>
      </c>
      <c r="M5" s="1094" t="s">
        <v>1106</v>
      </c>
      <c r="N5" s="1094" t="s">
        <v>1107</v>
      </c>
      <c r="O5" s="1094" t="s">
        <v>392</v>
      </c>
      <c r="P5" s="1094" t="s">
        <v>341</v>
      </c>
      <c r="Q5" s="1094" t="s">
        <v>339</v>
      </c>
      <c r="R5" s="1094" t="s">
        <v>1108</v>
      </c>
      <c r="S5" s="1094" t="s">
        <v>335</v>
      </c>
      <c r="T5" s="1094" t="s">
        <v>333</v>
      </c>
      <c r="U5" s="1094" t="s">
        <v>331</v>
      </c>
      <c r="V5" s="1094" t="s">
        <v>1109</v>
      </c>
      <c r="W5" s="1094" t="s">
        <v>327</v>
      </c>
      <c r="X5" s="1094" t="s">
        <v>325</v>
      </c>
      <c r="Y5" s="1094" t="s">
        <v>323</v>
      </c>
      <c r="Z5" s="1094" t="s">
        <v>1110</v>
      </c>
      <c r="AA5" s="1094" t="s">
        <v>349</v>
      </c>
      <c r="AB5" s="1094" t="s">
        <v>354</v>
      </c>
      <c r="AC5" s="1094" t="s">
        <v>371</v>
      </c>
      <c r="AD5" s="1094" t="s">
        <v>379</v>
      </c>
      <c r="AE5" s="1094" t="s">
        <v>401</v>
      </c>
      <c r="AF5" s="1094" t="s">
        <v>421</v>
      </c>
      <c r="AG5" s="1094" t="s">
        <v>423</v>
      </c>
      <c r="AH5" s="1094" t="s">
        <v>446</v>
      </c>
      <c r="AI5" s="1094" t="s">
        <v>449</v>
      </c>
      <c r="AJ5" s="1094" t="s">
        <v>451</v>
      </c>
      <c r="AK5" s="1094" t="s">
        <v>491</v>
      </c>
      <c r="AL5" s="1094" t="s">
        <v>495</v>
      </c>
      <c r="AM5" s="1094" t="s">
        <v>536</v>
      </c>
      <c r="AN5" s="1094" t="s">
        <v>570</v>
      </c>
      <c r="AO5" s="1094" t="s">
        <v>600</v>
      </c>
      <c r="AP5" s="1094" t="s">
        <v>608</v>
      </c>
      <c r="AQ5" s="1094" t="s">
        <v>617</v>
      </c>
      <c r="AR5" s="1094" t="s">
        <v>697</v>
      </c>
      <c r="AS5" s="1094" t="s">
        <v>841</v>
      </c>
      <c r="AT5" s="1094" t="s">
        <v>868</v>
      </c>
      <c r="AU5" s="1094" t="s">
        <v>875</v>
      </c>
      <c r="AV5" s="1094" t="s">
        <v>1010</v>
      </c>
      <c r="AW5" s="1094" t="s">
        <v>1053</v>
      </c>
      <c r="AX5" s="1094" t="s">
        <v>1058</v>
      </c>
      <c r="AY5" s="1095" t="s">
        <v>1082</v>
      </c>
      <c r="AZ5" s="1094" t="s">
        <v>1095</v>
      </c>
      <c r="BA5" s="1094" t="s">
        <v>1111</v>
      </c>
      <c r="BB5" s="1094" t="s">
        <v>1112</v>
      </c>
      <c r="BC5" s="1094" t="str">
        <f>CONCATENATE("Q1","-",RIGHT(BX5,4)+1)</f>
        <v>Q1-2026</v>
      </c>
      <c r="BD5" s="1094" t="str">
        <f>CONCATENATE("Q2","-",RIGHT(BC5,4))</f>
        <v>Q2-2026</v>
      </c>
      <c r="BE5" s="1094" t="str">
        <f>CONCATENATE("Q3","-",RIGHT(BD5,4))</f>
        <v>Q3-2026</v>
      </c>
      <c r="BF5" s="1094" t="str">
        <f>CONCATENATE("Q4","-",RIGHT(BE5,4))</f>
        <v>Q4-2026</v>
      </c>
      <c r="BG5" s="373"/>
      <c r="BH5" s="1110" t="s">
        <v>11</v>
      </c>
      <c r="BI5" s="1110" t="s">
        <v>1117</v>
      </c>
      <c r="BJ5" s="1110" t="s">
        <v>1118</v>
      </c>
      <c r="BK5" s="1110" t="s">
        <v>1119</v>
      </c>
      <c r="BL5" s="1110" t="s">
        <v>1120</v>
      </c>
      <c r="BM5" s="1110" t="s">
        <v>1121</v>
      </c>
      <c r="BN5" s="1110" t="s">
        <v>1122</v>
      </c>
      <c r="BO5" s="1110" t="s">
        <v>337</v>
      </c>
      <c r="BP5" s="1110" t="s">
        <v>329</v>
      </c>
      <c r="BQ5" s="1110" t="s">
        <v>391</v>
      </c>
      <c r="BR5" s="1110" t="s">
        <v>373</v>
      </c>
      <c r="BS5" s="1110" t="s">
        <v>382</v>
      </c>
      <c r="BT5" s="1110" t="s">
        <v>445</v>
      </c>
      <c r="BU5" s="1110" t="s">
        <v>493</v>
      </c>
      <c r="BV5" s="1110" t="s">
        <v>609</v>
      </c>
      <c r="BW5" s="1111" t="s">
        <v>869</v>
      </c>
      <c r="BX5" s="1110" t="s">
        <v>1084</v>
      </c>
      <c r="BY5" s="1110" t="str">
        <f>CONCATENATE("FY",RIGHT(BX5,4)+1)</f>
        <v>FY2026</v>
      </c>
      <c r="BZ5" s="1110" t="s">
        <v>1124</v>
      </c>
      <c r="CA5" s="1110" t="s">
        <v>1125</v>
      </c>
      <c r="CB5" s="1110" t="str">
        <f>CONCATENATE("FY",RIGHT(CA5,4)+1)</f>
        <v>FY2029</v>
      </c>
      <c r="CC5" s="307"/>
    </row>
    <row r="6" spans="1:81" s="728" customFormat="1" ht="14.4" customHeight="1" x14ac:dyDescent="0.55000000000000004">
      <c r="A6" s="608" t="s">
        <v>876</v>
      </c>
      <c r="B6" s="608"/>
      <c r="C6" s="608"/>
      <c r="D6" s="608"/>
      <c r="E6" s="608"/>
      <c r="F6" s="608"/>
      <c r="G6" s="608"/>
      <c r="H6" s="608"/>
      <c r="I6" s="608"/>
      <c r="J6" s="608"/>
      <c r="K6" s="608"/>
      <c r="L6" s="608"/>
      <c r="M6" s="608"/>
      <c r="N6" s="608"/>
      <c r="O6" s="608"/>
      <c r="P6" s="608"/>
      <c r="Q6" s="608"/>
      <c r="R6" s="608"/>
      <c r="S6" s="608"/>
      <c r="T6" s="608"/>
      <c r="U6" s="608"/>
      <c r="V6" s="608"/>
      <c r="W6" s="608"/>
      <c r="X6" s="608"/>
      <c r="Y6" s="608"/>
      <c r="Z6" s="608"/>
      <c r="AA6" s="608"/>
      <c r="AB6" s="608"/>
      <c r="AC6" s="608"/>
      <c r="AD6" s="608"/>
      <c r="AE6" s="608"/>
      <c r="AF6" s="608"/>
      <c r="AG6" s="608"/>
      <c r="AH6" s="608"/>
      <c r="AI6" s="608"/>
      <c r="AJ6" s="608"/>
      <c r="AK6" s="608"/>
      <c r="AL6" s="608"/>
      <c r="AM6" s="608"/>
      <c r="AN6" s="608"/>
      <c r="AO6" s="608"/>
      <c r="AP6" s="608"/>
      <c r="AQ6" s="608"/>
      <c r="AR6" s="608"/>
      <c r="AS6" s="608"/>
      <c r="AT6" s="608"/>
      <c r="AU6" s="608"/>
      <c r="AV6" s="608"/>
      <c r="AW6" s="608"/>
      <c r="AX6" s="608"/>
      <c r="AY6" s="609"/>
      <c r="AZ6" s="608"/>
      <c r="BA6" s="608"/>
      <c r="BB6" s="608"/>
      <c r="BC6" s="608"/>
      <c r="BD6" s="608"/>
      <c r="BE6" s="608"/>
      <c r="BF6" s="608"/>
      <c r="BG6" s="608"/>
      <c r="BH6" s="608"/>
      <c r="BI6" s="608"/>
      <c r="BJ6" s="608"/>
      <c r="BK6" s="608"/>
      <c r="BL6" s="608"/>
      <c r="BM6" s="608"/>
      <c r="BN6" s="608"/>
      <c r="BO6" s="608"/>
      <c r="BP6" s="608"/>
      <c r="BQ6" s="608"/>
      <c r="BR6" s="608"/>
      <c r="BS6" s="608"/>
      <c r="BT6" s="608"/>
      <c r="BU6" s="608"/>
      <c r="BV6" s="608"/>
      <c r="BW6" s="609"/>
      <c r="BX6" s="608"/>
      <c r="BY6" s="608"/>
      <c r="BZ6" s="608"/>
      <c r="CA6" s="608"/>
      <c r="CB6" s="608"/>
      <c r="CC6" s="493"/>
    </row>
    <row r="7" spans="1:81" s="731" customFormat="1" ht="14.4" customHeight="1" x14ac:dyDescent="0.55000000000000004">
      <c r="A7" s="91" t="s">
        <v>877</v>
      </c>
      <c r="B7" s="97"/>
      <c r="C7" s="610"/>
      <c r="D7" s="610"/>
      <c r="E7" s="610"/>
      <c r="F7" s="610"/>
      <c r="G7" s="610"/>
      <c r="H7" s="610"/>
      <c r="I7" s="610"/>
      <c r="J7" s="610"/>
      <c r="K7" s="610"/>
      <c r="L7" s="610"/>
      <c r="M7" s="610"/>
      <c r="N7" s="610"/>
      <c r="O7" s="610"/>
      <c r="P7" s="610"/>
      <c r="Q7" s="610"/>
      <c r="R7" s="610"/>
      <c r="S7" s="610"/>
      <c r="T7" s="610"/>
      <c r="U7" s="610"/>
      <c r="V7" s="610"/>
      <c r="W7" s="610"/>
      <c r="X7" s="610"/>
      <c r="Y7" s="610"/>
      <c r="Z7" s="610"/>
      <c r="AA7" s="610"/>
      <c r="AB7" s="610"/>
      <c r="AC7" s="610"/>
      <c r="AD7" s="610"/>
      <c r="AE7" s="610"/>
      <c r="AF7" s="610"/>
      <c r="AG7" s="610"/>
      <c r="AH7" s="610"/>
      <c r="AI7" s="610"/>
      <c r="AJ7" s="610"/>
      <c r="AK7" s="610"/>
      <c r="AL7" s="610"/>
      <c r="AM7" s="610"/>
      <c r="AN7" s="610"/>
      <c r="AO7" s="610"/>
      <c r="AP7" s="610"/>
      <c r="AQ7" s="610"/>
      <c r="AR7" s="610"/>
      <c r="AS7" s="610"/>
      <c r="AT7" s="610"/>
      <c r="AU7" s="610"/>
      <c r="AV7" s="610"/>
      <c r="AW7" s="610"/>
      <c r="AX7" s="610"/>
      <c r="AY7" s="597"/>
      <c r="AZ7" s="610"/>
      <c r="BA7" s="610"/>
      <c r="BB7" s="610"/>
      <c r="BC7" s="610"/>
      <c r="BD7" s="610"/>
      <c r="BE7" s="610"/>
      <c r="BF7" s="610"/>
      <c r="BG7" s="610"/>
      <c r="BH7" s="1074"/>
      <c r="BI7" s="1074"/>
      <c r="BJ7" s="1074"/>
      <c r="BK7" s="1074"/>
      <c r="BL7" s="1074"/>
      <c r="BM7" s="1074"/>
      <c r="BN7" s="1074"/>
      <c r="BO7" s="1074"/>
      <c r="BP7" s="1074"/>
      <c r="BQ7" s="1074"/>
      <c r="BR7" s="1074"/>
      <c r="BS7" s="1126">
        <v>1E-3</v>
      </c>
      <c r="BT7" s="1126">
        <v>1E-3</v>
      </c>
      <c r="BU7" s="1126">
        <v>1E-3</v>
      </c>
      <c r="BV7" s="1126">
        <v>1E-3</v>
      </c>
      <c r="BW7" s="1075"/>
      <c r="BX7" s="1074"/>
      <c r="BY7" s="1074"/>
      <c r="BZ7" s="1074"/>
      <c r="CA7" s="1074"/>
      <c r="CB7" s="1074"/>
      <c r="CC7" s="502"/>
    </row>
    <row r="8" spans="1:81" s="731" customFormat="1" ht="14.4" customHeight="1" x14ac:dyDescent="0.55000000000000004">
      <c r="A8" s="91" t="s">
        <v>878</v>
      </c>
      <c r="B8" s="97"/>
      <c r="C8" s="610"/>
      <c r="D8" s="610"/>
      <c r="E8" s="610"/>
      <c r="F8" s="610"/>
      <c r="G8" s="610"/>
      <c r="H8" s="610"/>
      <c r="I8" s="610"/>
      <c r="J8" s="610"/>
      <c r="K8" s="610"/>
      <c r="L8" s="610"/>
      <c r="M8" s="610"/>
      <c r="N8" s="610"/>
      <c r="O8" s="610"/>
      <c r="P8" s="610"/>
      <c r="Q8" s="610"/>
      <c r="R8" s="610"/>
      <c r="S8" s="610"/>
      <c r="T8" s="610"/>
      <c r="U8" s="610"/>
      <c r="V8" s="610"/>
      <c r="W8" s="610"/>
      <c r="X8" s="610"/>
      <c r="Y8" s="610"/>
      <c r="Z8" s="610"/>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597"/>
      <c r="AZ8" s="610"/>
      <c r="BA8" s="610"/>
      <c r="BB8" s="610"/>
      <c r="BC8" s="610"/>
      <c r="BD8" s="610"/>
      <c r="BE8" s="610"/>
      <c r="BF8" s="610"/>
      <c r="BG8" s="610"/>
      <c r="BH8" s="1074"/>
      <c r="BI8" s="1074"/>
      <c r="BJ8" s="1074"/>
      <c r="BK8" s="1074"/>
      <c r="BL8" s="1074"/>
      <c r="BM8" s="1074"/>
      <c r="BN8" s="1074"/>
      <c r="BO8" s="1074"/>
      <c r="BP8" s="1074"/>
      <c r="BQ8" s="1074"/>
      <c r="BR8" s="1074"/>
      <c r="BS8" s="1074"/>
      <c r="BT8" s="1074"/>
      <c r="BU8" s="1074"/>
      <c r="BV8" s="1074"/>
      <c r="BW8" s="1075"/>
      <c r="BX8" s="1074"/>
      <c r="BY8" s="1074"/>
      <c r="BZ8" s="1074"/>
      <c r="CA8" s="1074"/>
      <c r="CB8" s="1074"/>
      <c r="CC8" s="502"/>
    </row>
    <row r="9" spans="1:81" s="731" customFormat="1" ht="14.4" customHeight="1" x14ac:dyDescent="0.55000000000000004">
      <c r="A9" s="91" t="s">
        <v>879</v>
      </c>
      <c r="B9" s="97"/>
      <c r="C9" s="610"/>
      <c r="D9" s="610"/>
      <c r="E9" s="610"/>
      <c r="F9" s="610"/>
      <c r="G9" s="610"/>
      <c r="H9" s="610"/>
      <c r="I9" s="610"/>
      <c r="J9" s="610"/>
      <c r="K9" s="610"/>
      <c r="L9" s="610"/>
      <c r="M9" s="610"/>
      <c r="N9" s="610"/>
      <c r="O9" s="610"/>
      <c r="P9" s="610"/>
      <c r="Q9" s="610"/>
      <c r="R9" s="610"/>
      <c r="S9" s="610"/>
      <c r="T9" s="610"/>
      <c r="U9" s="610"/>
      <c r="V9" s="610"/>
      <c r="W9" s="610"/>
      <c r="X9" s="610"/>
      <c r="Y9" s="610"/>
      <c r="Z9" s="610"/>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597"/>
      <c r="AZ9" s="610"/>
      <c r="BA9" s="610"/>
      <c r="BB9" s="610"/>
      <c r="BC9" s="610"/>
      <c r="BD9" s="610"/>
      <c r="BE9" s="610"/>
      <c r="BF9" s="610"/>
      <c r="BG9" s="610"/>
      <c r="BH9" s="1074"/>
      <c r="BI9" s="1074"/>
      <c r="BJ9" s="1074"/>
      <c r="BK9" s="1074"/>
      <c r="BL9" s="1074"/>
      <c r="BM9" s="1074"/>
      <c r="BN9" s="1074"/>
      <c r="BO9" s="1074"/>
      <c r="BP9" s="1074"/>
      <c r="BQ9" s="1074"/>
      <c r="BR9" s="1074"/>
      <c r="BS9" s="1074"/>
      <c r="BT9" s="1074"/>
      <c r="BU9" s="1074"/>
      <c r="BV9" s="1074"/>
      <c r="BW9" s="1075"/>
      <c r="BX9" s="1074"/>
      <c r="BY9" s="1074"/>
      <c r="BZ9" s="1074"/>
      <c r="CA9" s="1074"/>
      <c r="CB9" s="1074"/>
      <c r="CC9" s="502"/>
    </row>
    <row r="10" spans="1:81" s="731" customFormat="1" ht="14.4" customHeight="1" x14ac:dyDescent="0.55000000000000004">
      <c r="A10" s="91" t="s">
        <v>880</v>
      </c>
      <c r="B10" s="97"/>
      <c r="C10" s="610"/>
      <c r="D10" s="610"/>
      <c r="E10" s="610"/>
      <c r="F10" s="610"/>
      <c r="G10" s="610"/>
      <c r="H10" s="610"/>
      <c r="I10" s="610"/>
      <c r="J10" s="610"/>
      <c r="K10" s="610"/>
      <c r="L10" s="610"/>
      <c r="M10" s="610"/>
      <c r="N10" s="610"/>
      <c r="O10" s="610"/>
      <c r="P10" s="610"/>
      <c r="Q10" s="610"/>
      <c r="R10" s="610"/>
      <c r="S10" s="610"/>
      <c r="T10" s="610"/>
      <c r="U10" s="610"/>
      <c r="V10" s="610"/>
      <c r="W10" s="610"/>
      <c r="X10" s="610"/>
      <c r="Y10" s="610"/>
      <c r="Z10" s="610"/>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610"/>
      <c r="AW10" s="610"/>
      <c r="AX10" s="610"/>
      <c r="AY10" s="597"/>
      <c r="AZ10" s="610"/>
      <c r="BA10" s="610"/>
      <c r="BB10" s="610"/>
      <c r="BC10" s="610"/>
      <c r="BD10" s="610"/>
      <c r="BE10" s="610"/>
      <c r="BF10" s="610"/>
      <c r="BG10" s="610"/>
      <c r="BH10" s="1074"/>
      <c r="BI10" s="1074"/>
      <c r="BJ10" s="1074"/>
      <c r="BK10" s="1074"/>
      <c r="BL10" s="1074"/>
      <c r="BM10" s="1074"/>
      <c r="BN10" s="1074"/>
      <c r="BO10" s="1074"/>
      <c r="BP10" s="1074"/>
      <c r="BQ10" s="1074"/>
      <c r="BR10" s="1074"/>
      <c r="BS10" s="1126">
        <v>25288.263999999999</v>
      </c>
      <c r="BT10" s="1126">
        <v>26823.06</v>
      </c>
      <c r="BU10" s="1126">
        <v>27110.417000000001</v>
      </c>
      <c r="BV10" s="1126">
        <v>24399.967000000001</v>
      </c>
      <c r="BW10" s="1075"/>
      <c r="BX10" s="1074"/>
      <c r="BY10" s="1074"/>
      <c r="BZ10" s="1074"/>
      <c r="CA10" s="1074"/>
      <c r="CB10" s="1074"/>
      <c r="CC10" s="502"/>
    </row>
    <row r="11" spans="1:81" s="728" customFormat="1" ht="14.4" customHeight="1" x14ac:dyDescent="0.55000000000000004">
      <c r="A11" s="93" t="s">
        <v>881</v>
      </c>
      <c r="B11" s="501"/>
      <c r="C11" s="619"/>
      <c r="D11" s="619"/>
      <c r="E11" s="619"/>
      <c r="F11" s="619"/>
      <c r="G11" s="619"/>
      <c r="H11" s="619"/>
      <c r="I11" s="619"/>
      <c r="J11" s="619"/>
      <c r="K11" s="619"/>
      <c r="L11" s="619"/>
      <c r="M11" s="619"/>
      <c r="N11" s="619"/>
      <c r="O11" s="619"/>
      <c r="P11" s="619"/>
      <c r="Q11" s="619"/>
      <c r="R11" s="619"/>
      <c r="S11" s="619"/>
      <c r="T11" s="619"/>
      <c r="U11" s="619"/>
      <c r="V11" s="619"/>
      <c r="W11" s="619"/>
      <c r="X11" s="619"/>
      <c r="Y11" s="619"/>
      <c r="Z11" s="619"/>
      <c r="AA11" s="619"/>
      <c r="AB11" s="619"/>
      <c r="AC11" s="619"/>
      <c r="AD11" s="619"/>
      <c r="AE11" s="619"/>
      <c r="AF11" s="619"/>
      <c r="AG11" s="619"/>
      <c r="AH11" s="619"/>
      <c r="AI11" s="619"/>
      <c r="AJ11" s="619"/>
      <c r="AK11" s="619"/>
      <c r="AL11" s="619"/>
      <c r="AM11" s="619"/>
      <c r="AN11" s="619"/>
      <c r="AO11" s="619"/>
      <c r="AP11" s="619"/>
      <c r="AQ11" s="619"/>
      <c r="AR11" s="619"/>
      <c r="AS11" s="619"/>
      <c r="AT11" s="619"/>
      <c r="AU11" s="619"/>
      <c r="AV11" s="619"/>
      <c r="AW11" s="619"/>
      <c r="AX11" s="619"/>
      <c r="AY11" s="673"/>
      <c r="AZ11" s="619"/>
      <c r="BA11" s="619"/>
      <c r="BB11" s="619"/>
      <c r="BC11" s="619"/>
      <c r="BD11" s="619"/>
      <c r="BE11" s="619"/>
      <c r="BF11" s="619"/>
      <c r="BG11" s="619"/>
      <c r="BH11" s="1127"/>
      <c r="BI11" s="1127"/>
      <c r="BJ11" s="1127"/>
      <c r="BK11" s="1127"/>
      <c r="BL11" s="1127"/>
      <c r="BM11" s="1127"/>
      <c r="BN11" s="1127"/>
      <c r="BO11" s="1127"/>
      <c r="BP11" s="1127"/>
      <c r="BQ11" s="1127"/>
      <c r="BR11" s="1127"/>
      <c r="BS11" s="1127">
        <f>SUM(BS7:BS10)</f>
        <v>25288.264999999999</v>
      </c>
      <c r="BT11" s="1127">
        <f>SUM(BT7:BT10)</f>
        <v>26823.061000000002</v>
      </c>
      <c r="BU11" s="1127">
        <f>SUM(BU7:BU10)</f>
        <v>27110.418000000001</v>
      </c>
      <c r="BV11" s="1127">
        <f>SUM(BV7:BV10)</f>
        <v>24399.968000000001</v>
      </c>
      <c r="BW11" s="1128"/>
      <c r="BX11" s="1127"/>
      <c r="BY11" s="1127"/>
      <c r="BZ11" s="1127"/>
      <c r="CA11" s="1127"/>
      <c r="CB11" s="1127"/>
      <c r="CC11" s="493"/>
    </row>
    <row r="12" spans="1:81" s="734" customFormat="1" ht="14.4" customHeight="1" x14ac:dyDescent="0.55000000000000004">
      <c r="A12" s="100" t="s">
        <v>882</v>
      </c>
      <c r="B12" s="131"/>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674"/>
      <c r="AZ12" s="85"/>
      <c r="BA12" s="85"/>
      <c r="BB12" s="85"/>
      <c r="BC12" s="85"/>
      <c r="BD12" s="85"/>
      <c r="BE12" s="85"/>
      <c r="BF12" s="85"/>
      <c r="BG12" s="85"/>
      <c r="BH12" s="1070"/>
      <c r="BI12" s="1070"/>
      <c r="BJ12" s="1070"/>
      <c r="BK12" s="1070"/>
      <c r="BL12" s="1070"/>
      <c r="BM12" s="1070"/>
      <c r="BN12" s="1070"/>
      <c r="BO12" s="1070"/>
      <c r="BP12" s="1070"/>
      <c r="BQ12" s="1070"/>
      <c r="BR12" s="1070"/>
      <c r="BS12" s="1070">
        <f>BS9/BS11</f>
        <v>0</v>
      </c>
      <c r="BT12" s="1070">
        <f>BT9/BT11</f>
        <v>0</v>
      </c>
      <c r="BU12" s="1070">
        <f>BU9/BU11</f>
        <v>0</v>
      </c>
      <c r="BV12" s="1070">
        <f>BV9/BV11</f>
        <v>0</v>
      </c>
      <c r="BW12" s="1071"/>
      <c r="BX12" s="1070"/>
      <c r="BY12" s="1070"/>
      <c r="BZ12" s="1070"/>
      <c r="CA12" s="1070"/>
      <c r="CB12" s="1070"/>
      <c r="CC12" s="504"/>
    </row>
    <row r="13" spans="1:81" s="741" customFormat="1" ht="14.4" customHeight="1" x14ac:dyDescent="0.55000000000000004">
      <c r="A13" s="446" t="s">
        <v>883</v>
      </c>
      <c r="B13" s="503"/>
      <c r="C13" s="1124">
        <f>Model!C710</f>
        <v>64130.296792999994</v>
      </c>
      <c r="D13" s="1124">
        <f>Model!D710</f>
        <v>62470.62408912</v>
      </c>
      <c r="E13" s="1124">
        <f>Model!E710</f>
        <v>130047.12000000001</v>
      </c>
      <c r="F13" s="1124">
        <f>Model!F710</f>
        <v>141503.51158132</v>
      </c>
      <c r="G13" s="1124">
        <f>Model!G710</f>
        <v>157046.16999999998</v>
      </c>
      <c r="H13" s="1124">
        <f>Model!H710</f>
        <v>177111.99999999997</v>
      </c>
      <c r="I13" s="1124">
        <f>Model!I710</f>
        <v>209587</v>
      </c>
      <c r="J13" s="1124">
        <f>Model!J710</f>
        <v>224422.75057776002</v>
      </c>
      <c r="K13" s="1124">
        <f>Model!K710</f>
        <v>236356.99499999997</v>
      </c>
      <c r="L13" s="1124">
        <f>Model!L710</f>
        <v>244873.19999999998</v>
      </c>
      <c r="M13" s="1124">
        <f>Model!M710</f>
        <v>248656.23</v>
      </c>
      <c r="N13" s="1124">
        <f>Model!N710</f>
        <v>306657.14</v>
      </c>
      <c r="O13" s="1124">
        <f>Model!O710</f>
        <v>334006.40000000002</v>
      </c>
      <c r="P13" s="1124">
        <f>Model!P710</f>
        <v>334146.32</v>
      </c>
      <c r="Q13" s="1124">
        <f>Model!Q710</f>
        <v>373894.71</v>
      </c>
      <c r="R13" s="1124">
        <f>Model!R710</f>
        <v>338477.1</v>
      </c>
      <c r="S13" s="1124">
        <f>Model!S710</f>
        <v>419539.86</v>
      </c>
      <c r="T13" s="1124">
        <f>Model!T710</f>
        <v>445719.03999999998</v>
      </c>
      <c r="U13" s="1124">
        <f>Model!U710</f>
        <v>505091.72000000003</v>
      </c>
      <c r="V13" s="1124">
        <f>Model!V710</f>
        <v>521086.38</v>
      </c>
      <c r="W13" s="1124">
        <f>Model!W710</f>
        <v>469942.38999999996</v>
      </c>
      <c r="X13" s="1124">
        <f>Model!X710</f>
        <v>568580.31999999995</v>
      </c>
      <c r="Y13" s="1124">
        <f>Model!Y710</f>
        <v>477098.46</v>
      </c>
      <c r="Z13" s="1124">
        <f>Model!Z710</f>
        <v>382017.6</v>
      </c>
      <c r="AA13" s="1124">
        <f>Model!AA710</f>
        <v>478233.61</v>
      </c>
      <c r="AB13" s="1124">
        <f>Model!AB710</f>
        <v>554682</v>
      </c>
      <c r="AC13" s="1124">
        <f>Model!AC710</f>
        <v>508985.39999999997</v>
      </c>
      <c r="AD13" s="1124">
        <f>Model!AD710</f>
        <v>586656.69999999995</v>
      </c>
      <c r="AE13" s="1124">
        <f>Model!AE710</f>
        <v>475944.6</v>
      </c>
      <c r="AF13" s="1124">
        <f>Model!AF710</f>
        <v>635222.55999999994</v>
      </c>
      <c r="AG13" s="1124">
        <f>Model!AG710</f>
        <v>756834.89</v>
      </c>
      <c r="AH13" s="1124">
        <f>Model!AH710</f>
        <v>785432.43</v>
      </c>
      <c r="AI13" s="1124">
        <f>Model!AI710</f>
        <v>828288</v>
      </c>
      <c r="AJ13" s="1124">
        <f>Model!AJ710</f>
        <v>1009572.4099999999</v>
      </c>
      <c r="AK13" s="1124">
        <f>Model!AK710</f>
        <v>963813.18</v>
      </c>
      <c r="AL13" s="1124">
        <f>Model!AL710</f>
        <v>955599</v>
      </c>
      <c r="AM13" s="1124">
        <f>Model!AM710</f>
        <v>622258.35</v>
      </c>
      <c r="AN13" s="1124">
        <f>Model!AN710</f>
        <v>443621.64</v>
      </c>
      <c r="AO13" s="1124">
        <f>Model!AO710</f>
        <v>364214.7</v>
      </c>
      <c r="AP13" s="1124">
        <f>Model!AP710</f>
        <v>314809.44</v>
      </c>
      <c r="AQ13" s="1124">
        <f>Model!AQ710</f>
        <v>535188</v>
      </c>
      <c r="AR13" s="1124">
        <f>Model!AR710</f>
        <v>736764.00999999989</v>
      </c>
      <c r="AS13" s="1124">
        <f>Model!AS710</f>
        <v>791353.55999999994</v>
      </c>
      <c r="AT13" s="1124">
        <f>Model!AT710</f>
        <v>929145</v>
      </c>
      <c r="AU13" s="1124">
        <f>Model!AU710</f>
        <v>1270762.8599999999</v>
      </c>
      <c r="AV13" s="1124">
        <f>Model!AV710</f>
        <v>1315509.98</v>
      </c>
      <c r="AW13" s="1124">
        <f>Model!AW710</f>
        <v>1472299.2</v>
      </c>
      <c r="AX13" s="1124">
        <f>Model!AX710</f>
        <v>1539588.96</v>
      </c>
      <c r="AY13" s="1125">
        <f>Model!AY710</f>
        <v>1489719.42</v>
      </c>
      <c r="AZ13" s="59"/>
      <c r="BA13" s="59"/>
      <c r="BB13" s="59"/>
      <c r="BC13" s="59"/>
      <c r="BD13" s="59"/>
      <c r="BE13" s="59"/>
      <c r="BF13" s="59"/>
      <c r="BG13" s="59"/>
      <c r="BH13" s="1129">
        <f>Model!BH710</f>
        <v>0</v>
      </c>
      <c r="BI13" s="1129">
        <f>Model!BI710</f>
        <v>0</v>
      </c>
      <c r="BJ13" s="1129">
        <f>Model!BJ710</f>
        <v>0</v>
      </c>
      <c r="BK13" s="1129">
        <f>Model!BK710</f>
        <v>65288.585248684001</v>
      </c>
      <c r="BL13" s="1129">
        <f>Model!BL710</f>
        <v>141503.51158132</v>
      </c>
      <c r="BM13" s="1129">
        <f>Model!BM710</f>
        <v>224422.75057776002</v>
      </c>
      <c r="BN13" s="1129">
        <f>Model!BN710</f>
        <v>306657.14</v>
      </c>
      <c r="BO13" s="1129">
        <f>Model!BO710</f>
        <v>338477.1</v>
      </c>
      <c r="BP13" s="1129">
        <f>Model!BP710</f>
        <v>521086.38</v>
      </c>
      <c r="BQ13" s="1129">
        <f>Model!BQ710</f>
        <v>382017.6</v>
      </c>
      <c r="BR13" s="1129">
        <f>Model!BR710</f>
        <v>586656.69999999995</v>
      </c>
      <c r="BS13" s="1129">
        <f>Model!BS710</f>
        <v>785432.43</v>
      </c>
      <c r="BT13" s="1129">
        <f>Model!BT710</f>
        <v>955599</v>
      </c>
      <c r="BU13" s="1129">
        <f>Model!BU710</f>
        <v>314809.44</v>
      </c>
      <c r="BV13" s="1129">
        <f>Model!BV710</f>
        <v>929145</v>
      </c>
      <c r="BW13" s="1130">
        <f>Model!BW710</f>
        <v>1539588.96</v>
      </c>
      <c r="BX13" s="1054"/>
      <c r="BY13" s="1054"/>
      <c r="BZ13" s="1054"/>
      <c r="CA13" s="1054"/>
      <c r="CB13" s="1054"/>
      <c r="CC13" s="307"/>
    </row>
    <row r="14" spans="1:81" s="735" customFormat="1" ht="14.4" customHeight="1" x14ac:dyDescent="0.55000000000000004">
      <c r="A14" s="496"/>
      <c r="B14" s="495"/>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76"/>
      <c r="AZ14" s="62"/>
      <c r="BA14" s="62"/>
      <c r="BB14" s="62"/>
      <c r="BC14" s="62"/>
      <c r="BD14" s="62"/>
      <c r="BE14" s="62"/>
      <c r="BF14" s="62"/>
      <c r="BG14" s="62"/>
      <c r="BH14" s="1052"/>
      <c r="BI14" s="1052"/>
      <c r="BJ14" s="1052"/>
      <c r="BK14" s="1052"/>
      <c r="BL14" s="1052"/>
      <c r="BM14" s="1052"/>
      <c r="BN14" s="1052"/>
      <c r="BO14" s="1052"/>
      <c r="BP14" s="1052"/>
      <c r="BQ14" s="1052"/>
      <c r="BR14" s="1052"/>
      <c r="BS14" s="1052"/>
      <c r="BT14" s="1052"/>
      <c r="BU14" s="1052"/>
      <c r="BV14" s="1052"/>
      <c r="BW14" s="1053"/>
      <c r="BX14" s="1052"/>
      <c r="BY14" s="1052"/>
      <c r="BZ14" s="1052"/>
      <c r="CA14" s="1052"/>
      <c r="CB14" s="1052"/>
      <c r="CC14" s="494"/>
    </row>
    <row r="15" spans="1:81" s="731" customFormat="1" ht="14.4" customHeight="1" x14ac:dyDescent="0.55000000000000004">
      <c r="A15" s="91" t="s">
        <v>884</v>
      </c>
      <c r="B15" s="97"/>
      <c r="C15" s="610"/>
      <c r="D15" s="610"/>
      <c r="E15" s="610"/>
      <c r="F15" s="610"/>
      <c r="G15" s="610"/>
      <c r="H15" s="610"/>
      <c r="I15" s="610"/>
      <c r="J15" s="610"/>
      <c r="K15" s="610"/>
      <c r="L15" s="610"/>
      <c r="M15" s="610"/>
      <c r="N15" s="610"/>
      <c r="O15" s="610"/>
      <c r="P15" s="610"/>
      <c r="Q15" s="610"/>
      <c r="R15" s="610"/>
      <c r="S15" s="610"/>
      <c r="T15" s="610"/>
      <c r="U15" s="610"/>
      <c r="V15" s="610"/>
      <c r="W15" s="610"/>
      <c r="X15" s="610"/>
      <c r="Y15" s="610"/>
      <c r="Z15" s="610"/>
      <c r="AA15" s="610"/>
      <c r="AB15" s="610"/>
      <c r="AC15" s="610"/>
      <c r="AD15" s="610"/>
      <c r="AE15" s="610"/>
      <c r="AF15" s="610"/>
      <c r="AG15" s="610"/>
      <c r="AH15" s="610"/>
      <c r="AI15" s="610"/>
      <c r="AJ15" s="610"/>
      <c r="AK15" s="610"/>
      <c r="AL15" s="610"/>
      <c r="AM15" s="610"/>
      <c r="AN15" s="610"/>
      <c r="AO15" s="610"/>
      <c r="AP15" s="610"/>
      <c r="AQ15" s="610"/>
      <c r="AR15" s="610"/>
      <c r="AS15" s="610"/>
      <c r="AT15" s="610"/>
      <c r="AU15" s="610"/>
      <c r="AV15" s="610"/>
      <c r="AW15" s="610"/>
      <c r="AX15" s="610"/>
      <c r="AY15" s="597"/>
      <c r="AZ15" s="610"/>
      <c r="BA15" s="610"/>
      <c r="BB15" s="610"/>
      <c r="BC15" s="610"/>
      <c r="BD15" s="610"/>
      <c r="BE15" s="610"/>
      <c r="BF15" s="610"/>
      <c r="BG15" s="610"/>
      <c r="BH15" s="1074"/>
      <c r="BI15" s="1074"/>
      <c r="BJ15" s="1074"/>
      <c r="BK15" s="1074"/>
      <c r="BL15" s="1074"/>
      <c r="BM15" s="1074"/>
      <c r="BN15" s="1074"/>
      <c r="BO15" s="1074"/>
      <c r="BP15" s="1074"/>
      <c r="BQ15" s="1074"/>
      <c r="BR15" s="1074"/>
      <c r="BS15" s="1126">
        <v>2770.6979999999999</v>
      </c>
      <c r="BT15" s="1126">
        <v>831.70600000000002</v>
      </c>
      <c r="BU15" s="1126">
        <v>831.70600000000002</v>
      </c>
      <c r="BV15" s="1126">
        <v>958</v>
      </c>
      <c r="BW15" s="1075"/>
      <c r="BX15" s="1074"/>
      <c r="BY15" s="1074"/>
      <c r="BZ15" s="1074"/>
      <c r="CA15" s="1074"/>
      <c r="CB15" s="1074"/>
      <c r="CC15" s="502"/>
    </row>
    <row r="16" spans="1:81" s="731" customFormat="1" ht="15.75" customHeight="1" x14ac:dyDescent="0.55000000000000004">
      <c r="A16" s="91" t="s">
        <v>885</v>
      </c>
      <c r="B16" s="97"/>
      <c r="C16" s="610"/>
      <c r="D16" s="610"/>
      <c r="E16" s="610"/>
      <c r="F16" s="610"/>
      <c r="G16" s="610"/>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597"/>
      <c r="AZ16" s="610"/>
      <c r="BA16" s="610"/>
      <c r="BB16" s="610"/>
      <c r="BC16" s="610"/>
      <c r="BD16" s="610"/>
      <c r="BE16" s="610"/>
      <c r="BF16" s="610"/>
      <c r="BG16" s="610"/>
      <c r="BH16" s="1074"/>
      <c r="BI16" s="1074"/>
      <c r="BJ16" s="1074"/>
      <c r="BK16" s="1074"/>
      <c r="BL16" s="1074"/>
      <c r="BM16" s="1074"/>
      <c r="BN16" s="1074"/>
      <c r="BO16" s="1074"/>
      <c r="BP16" s="1074"/>
      <c r="BQ16" s="1074"/>
      <c r="BR16" s="1074"/>
      <c r="BS16" s="1126">
        <v>392519.74</v>
      </c>
      <c r="BT16" s="1126">
        <v>366043.429</v>
      </c>
      <c r="BU16" s="1126">
        <v>349745.79</v>
      </c>
      <c r="BV16" s="1126">
        <v>344515.49599999998</v>
      </c>
      <c r="BW16" s="1075"/>
      <c r="BX16" s="1074"/>
      <c r="BY16" s="1074"/>
      <c r="BZ16" s="1074"/>
      <c r="CA16" s="1074"/>
      <c r="CB16" s="1074"/>
      <c r="CC16" s="502"/>
    </row>
    <row r="17" spans="1:81" s="731" customFormat="1" ht="14.4" customHeight="1" x14ac:dyDescent="0.55000000000000004">
      <c r="A17" s="497" t="s">
        <v>886</v>
      </c>
      <c r="B17" s="505"/>
      <c r="C17" s="620"/>
      <c r="D17" s="620"/>
      <c r="E17" s="620"/>
      <c r="F17" s="620"/>
      <c r="G17" s="620"/>
      <c r="H17" s="620"/>
      <c r="I17" s="620"/>
      <c r="J17" s="620"/>
      <c r="K17" s="620"/>
      <c r="L17" s="620"/>
      <c r="M17" s="620"/>
      <c r="N17" s="620"/>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620"/>
      <c r="AL17" s="620"/>
      <c r="AM17" s="620"/>
      <c r="AN17" s="620"/>
      <c r="AO17" s="620"/>
      <c r="AP17" s="620"/>
      <c r="AQ17" s="620"/>
      <c r="AR17" s="620"/>
      <c r="AS17" s="620"/>
      <c r="AT17" s="620"/>
      <c r="AU17" s="620"/>
      <c r="AV17" s="620"/>
      <c r="AW17" s="620"/>
      <c r="AX17" s="620"/>
      <c r="AY17" s="677"/>
      <c r="AZ17" s="620"/>
      <c r="BA17" s="620"/>
      <c r="BB17" s="620"/>
      <c r="BC17" s="620"/>
      <c r="BD17" s="620"/>
      <c r="BE17" s="620"/>
      <c r="BF17" s="620"/>
      <c r="BG17" s="620"/>
      <c r="BH17" s="1131"/>
      <c r="BI17" s="1131"/>
      <c r="BJ17" s="1131"/>
      <c r="BK17" s="1131"/>
      <c r="BL17" s="1131"/>
      <c r="BM17" s="1131"/>
      <c r="BN17" s="1131"/>
      <c r="BO17" s="1131"/>
      <c r="BP17" s="1131"/>
      <c r="BQ17" s="1131"/>
      <c r="BR17" s="1131"/>
      <c r="BS17" s="1131">
        <f>BS15+BS16</f>
        <v>395290.43799999997</v>
      </c>
      <c r="BT17" s="1131">
        <f>BT15+BT16</f>
        <v>366875.13500000001</v>
      </c>
      <c r="BU17" s="1131">
        <f>BU15+BU16</f>
        <v>350577.49599999998</v>
      </c>
      <c r="BV17" s="1131">
        <f>BV15+BV16</f>
        <v>345473.49599999998</v>
      </c>
      <c r="BW17" s="1132"/>
      <c r="BX17" s="1131"/>
      <c r="BY17" s="1131"/>
      <c r="BZ17" s="1131"/>
      <c r="CA17" s="1131"/>
      <c r="CB17" s="1131"/>
      <c r="CC17" s="502"/>
    </row>
    <row r="18" spans="1:81" s="735" customFormat="1" ht="14.4" customHeight="1" x14ac:dyDescent="0.55000000000000004">
      <c r="A18" s="448"/>
      <c r="B18" s="495"/>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76"/>
      <c r="AZ18" s="62"/>
      <c r="BA18" s="62"/>
      <c r="BB18" s="62"/>
      <c r="BC18" s="62"/>
      <c r="BD18" s="62"/>
      <c r="BE18" s="62"/>
      <c r="BF18" s="62"/>
      <c r="BG18" s="62"/>
      <c r="BH18" s="1052"/>
      <c r="BI18" s="1052"/>
      <c r="BJ18" s="1052"/>
      <c r="BK18" s="1052"/>
      <c r="BL18" s="1052"/>
      <c r="BM18" s="1052"/>
      <c r="BN18" s="1052"/>
      <c r="BO18" s="1052"/>
      <c r="BP18" s="1052"/>
      <c r="BQ18" s="1052"/>
      <c r="BR18" s="1052"/>
      <c r="BS18" s="1052"/>
      <c r="BT18" s="1052"/>
      <c r="BU18" s="1052"/>
      <c r="BV18" s="1052"/>
      <c r="BW18" s="1053"/>
      <c r="BX18" s="1052"/>
      <c r="BY18" s="1052"/>
      <c r="BZ18" s="1052"/>
      <c r="CA18" s="1052"/>
      <c r="CB18" s="1052"/>
      <c r="CC18" s="494"/>
    </row>
    <row r="19" spans="1:81" s="731" customFormat="1" ht="14.4" hidden="1" customHeight="1" outlineLevel="1" x14ac:dyDescent="0.55000000000000004">
      <c r="A19" s="91" t="s">
        <v>887</v>
      </c>
      <c r="B19" s="97"/>
      <c r="C19" s="610"/>
      <c r="D19" s="610"/>
      <c r="E19" s="610"/>
      <c r="F19" s="610"/>
      <c r="G19" s="610"/>
      <c r="H19" s="610"/>
      <c r="I19" s="610"/>
      <c r="J19" s="610"/>
      <c r="K19" s="610"/>
      <c r="L19" s="610"/>
      <c r="M19" s="610"/>
      <c r="N19" s="610"/>
      <c r="O19" s="610"/>
      <c r="P19" s="610"/>
      <c r="Q19" s="610"/>
      <c r="R19" s="610"/>
      <c r="S19" s="610"/>
      <c r="T19" s="610"/>
      <c r="U19" s="610"/>
      <c r="V19" s="610"/>
      <c r="W19" s="610"/>
      <c r="X19" s="610"/>
      <c r="Y19" s="610"/>
      <c r="Z19" s="610"/>
      <c r="AA19" s="610"/>
      <c r="AB19" s="610"/>
      <c r="AC19" s="610"/>
      <c r="AD19" s="610"/>
      <c r="AE19" s="610"/>
      <c r="AF19" s="610"/>
      <c r="AG19" s="610"/>
      <c r="AH19" s="610"/>
      <c r="AI19" s="610"/>
      <c r="AJ19" s="610"/>
      <c r="AK19" s="610"/>
      <c r="AL19" s="610"/>
      <c r="AM19" s="610"/>
      <c r="AN19" s="610"/>
      <c r="AO19" s="610"/>
      <c r="AP19" s="610"/>
      <c r="AQ19" s="610"/>
      <c r="AR19" s="610"/>
      <c r="AS19" s="610"/>
      <c r="AT19" s="610"/>
      <c r="AU19" s="610"/>
      <c r="AV19" s="610"/>
      <c r="AW19" s="610"/>
      <c r="AX19" s="610"/>
      <c r="AY19" s="597"/>
      <c r="AZ19" s="610"/>
      <c r="BA19" s="610"/>
      <c r="BB19" s="610"/>
      <c r="BC19" s="610"/>
      <c r="BD19" s="610"/>
      <c r="BE19" s="610"/>
      <c r="BF19" s="610"/>
      <c r="BG19" s="610"/>
      <c r="BH19" s="1074"/>
      <c r="BI19" s="1074"/>
      <c r="BJ19" s="1074"/>
      <c r="BK19" s="1074"/>
      <c r="BL19" s="1074"/>
      <c r="BM19" s="1074"/>
      <c r="BN19" s="1074"/>
      <c r="BO19" s="1074"/>
      <c r="BP19" s="1074"/>
      <c r="BQ19" s="1074"/>
      <c r="BR19" s="1074"/>
      <c r="BS19" s="1074"/>
      <c r="BT19" s="1074"/>
      <c r="BU19" s="1126">
        <v>893.846</v>
      </c>
      <c r="BV19" s="1074"/>
      <c r="BW19" s="1075"/>
      <c r="BX19" s="1074"/>
      <c r="BY19" s="1074"/>
      <c r="BZ19" s="1074"/>
      <c r="CA19" s="1074"/>
      <c r="CB19" s="1074"/>
      <c r="CC19" s="502"/>
    </row>
    <row r="20" spans="1:81" s="731" customFormat="1" ht="14.4" hidden="1" customHeight="1" outlineLevel="1" x14ac:dyDescent="0.55000000000000004">
      <c r="A20" s="91" t="s">
        <v>888</v>
      </c>
      <c r="B20" s="97"/>
      <c r="C20" s="610"/>
      <c r="D20" s="610"/>
      <c r="E20" s="610"/>
      <c r="F20" s="610"/>
      <c r="G20" s="610"/>
      <c r="H20" s="610"/>
      <c r="I20" s="610"/>
      <c r="J20" s="610"/>
      <c r="K20" s="610"/>
      <c r="L20" s="610"/>
      <c r="M20" s="610"/>
      <c r="N20" s="610"/>
      <c r="O20" s="610"/>
      <c r="P20" s="610"/>
      <c r="Q20" s="610"/>
      <c r="R20" s="610"/>
      <c r="S20" s="610"/>
      <c r="T20" s="610"/>
      <c r="U20" s="610"/>
      <c r="V20" s="610"/>
      <c r="W20" s="610"/>
      <c r="X20" s="610"/>
      <c r="Y20" s="610"/>
      <c r="Z20" s="610"/>
      <c r="AA20" s="610"/>
      <c r="AB20" s="610"/>
      <c r="AC20" s="610"/>
      <c r="AD20" s="610"/>
      <c r="AE20" s="610"/>
      <c r="AF20" s="610"/>
      <c r="AG20" s="610"/>
      <c r="AH20" s="610"/>
      <c r="AI20" s="610"/>
      <c r="AJ20" s="610"/>
      <c r="AK20" s="610"/>
      <c r="AL20" s="610"/>
      <c r="AM20" s="610"/>
      <c r="AN20" s="610"/>
      <c r="AO20" s="610"/>
      <c r="AP20" s="610"/>
      <c r="AQ20" s="610"/>
      <c r="AR20" s="610"/>
      <c r="AS20" s="610"/>
      <c r="AT20" s="610"/>
      <c r="AU20" s="610"/>
      <c r="AV20" s="610"/>
      <c r="AW20" s="610"/>
      <c r="AX20" s="610"/>
      <c r="AY20" s="597"/>
      <c r="AZ20" s="610"/>
      <c r="BA20" s="610"/>
      <c r="BB20" s="610"/>
      <c r="BC20" s="610"/>
      <c r="BD20" s="610"/>
      <c r="BE20" s="610"/>
      <c r="BF20" s="610"/>
      <c r="BG20" s="610"/>
      <c r="BH20" s="1074"/>
      <c r="BI20" s="1074"/>
      <c r="BJ20" s="1074"/>
      <c r="BK20" s="1074"/>
      <c r="BL20" s="1074"/>
      <c r="BM20" s="1074"/>
      <c r="BN20" s="1074"/>
      <c r="BO20" s="1074"/>
      <c r="BP20" s="1074"/>
      <c r="BQ20" s="1074"/>
      <c r="BR20" s="1074"/>
      <c r="BS20" s="1074"/>
      <c r="BT20" s="1074"/>
      <c r="BU20" s="1126">
        <v>712.28399999999999</v>
      </c>
      <c r="BV20" s="1074"/>
      <c r="BW20" s="1075"/>
      <c r="BX20" s="1074"/>
      <c r="BY20" s="1074"/>
      <c r="BZ20" s="1074"/>
      <c r="CA20" s="1074"/>
      <c r="CB20" s="1074"/>
      <c r="CC20" s="502"/>
    </row>
    <row r="21" spans="1:81" s="731" customFormat="1" ht="14.4" hidden="1" customHeight="1" outlineLevel="1" x14ac:dyDescent="0.55000000000000004">
      <c r="A21" s="91" t="s">
        <v>889</v>
      </c>
      <c r="B21" s="97"/>
      <c r="C21" s="610"/>
      <c r="D21" s="610"/>
      <c r="E21" s="610"/>
      <c r="F21" s="610"/>
      <c r="G21" s="610"/>
      <c r="H21" s="610"/>
      <c r="I21" s="610"/>
      <c r="J21" s="610"/>
      <c r="K21" s="610"/>
      <c r="L21" s="610"/>
      <c r="M21" s="610"/>
      <c r="N21" s="610"/>
      <c r="O21" s="610"/>
      <c r="P21" s="610"/>
      <c r="Q21" s="610"/>
      <c r="R21" s="610"/>
      <c r="S21" s="610"/>
      <c r="T21" s="610"/>
      <c r="U21" s="610"/>
      <c r="V21" s="610"/>
      <c r="W21" s="610"/>
      <c r="X21" s="610"/>
      <c r="Y21" s="610"/>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597"/>
      <c r="AZ21" s="610"/>
      <c r="BA21" s="610"/>
      <c r="BB21" s="610"/>
      <c r="BC21" s="610"/>
      <c r="BD21" s="610"/>
      <c r="BE21" s="610"/>
      <c r="BF21" s="610"/>
      <c r="BG21" s="610"/>
      <c r="BH21" s="1074"/>
      <c r="BI21" s="1074"/>
      <c r="BJ21" s="1074"/>
      <c r="BK21" s="1074"/>
      <c r="BL21" s="1074"/>
      <c r="BM21" s="1074"/>
      <c r="BN21" s="1074"/>
      <c r="BO21" s="1074"/>
      <c r="BP21" s="1074"/>
      <c r="BQ21" s="1074"/>
      <c r="BR21" s="1074"/>
      <c r="BS21" s="1074"/>
      <c r="BT21" s="1074"/>
      <c r="BU21" s="1126">
        <v>18510.451000000001</v>
      </c>
      <c r="BV21" s="1074"/>
      <c r="BW21" s="1075"/>
      <c r="BX21" s="1074"/>
      <c r="BY21" s="1074"/>
      <c r="BZ21" s="1074"/>
      <c r="CA21" s="1074"/>
      <c r="CB21" s="1074"/>
      <c r="CC21" s="502"/>
    </row>
    <row r="22" spans="1:81" s="731" customFormat="1" ht="14.4" hidden="1" customHeight="1" outlineLevel="1" x14ac:dyDescent="0.55000000000000004">
      <c r="A22" s="91" t="s">
        <v>890</v>
      </c>
      <c r="B22" s="97"/>
      <c r="C22" s="610"/>
      <c r="D22" s="610"/>
      <c r="E22" s="610"/>
      <c r="F22" s="610"/>
      <c r="G22" s="610"/>
      <c r="H22" s="610"/>
      <c r="I22" s="610"/>
      <c r="J22" s="610"/>
      <c r="K22" s="610"/>
      <c r="L22" s="610"/>
      <c r="M22" s="610"/>
      <c r="N22" s="610"/>
      <c r="O22" s="610"/>
      <c r="P22" s="610"/>
      <c r="Q22" s="610"/>
      <c r="R22" s="610"/>
      <c r="S22" s="610"/>
      <c r="T22" s="610"/>
      <c r="U22" s="610"/>
      <c r="V22" s="610"/>
      <c r="W22" s="610"/>
      <c r="X22" s="610"/>
      <c r="Y22" s="610"/>
      <c r="Z22" s="610"/>
      <c r="AA22" s="610"/>
      <c r="AB22" s="610"/>
      <c r="AC22" s="610"/>
      <c r="AD22" s="610"/>
      <c r="AE22" s="610"/>
      <c r="AF22" s="610"/>
      <c r="AG22" s="610"/>
      <c r="AH22" s="610"/>
      <c r="AI22" s="610"/>
      <c r="AJ22" s="610"/>
      <c r="AK22" s="610"/>
      <c r="AL22" s="610"/>
      <c r="AM22" s="610"/>
      <c r="AN22" s="610"/>
      <c r="AO22" s="610"/>
      <c r="AP22" s="610"/>
      <c r="AQ22" s="610"/>
      <c r="AR22" s="610"/>
      <c r="AS22" s="610"/>
      <c r="AT22" s="610"/>
      <c r="AU22" s="610"/>
      <c r="AV22" s="610"/>
      <c r="AW22" s="610"/>
      <c r="AX22" s="610"/>
      <c r="AY22" s="597"/>
      <c r="AZ22" s="610"/>
      <c r="BA22" s="610"/>
      <c r="BB22" s="610"/>
      <c r="BC22" s="610"/>
      <c r="BD22" s="610"/>
      <c r="BE22" s="610"/>
      <c r="BF22" s="610"/>
      <c r="BG22" s="610"/>
      <c r="BH22" s="1074"/>
      <c r="BI22" s="1074"/>
      <c r="BJ22" s="1074"/>
      <c r="BK22" s="1074"/>
      <c r="BL22" s="1074"/>
      <c r="BM22" s="1074"/>
      <c r="BN22" s="1074"/>
      <c r="BO22" s="1074"/>
      <c r="BP22" s="1074"/>
      <c r="BQ22" s="1074"/>
      <c r="BR22" s="1074"/>
      <c r="BS22" s="1074"/>
      <c r="BT22" s="1074"/>
      <c r="BU22" s="1126">
        <v>13.5</v>
      </c>
      <c r="BV22" s="1074"/>
      <c r="BW22" s="1075"/>
      <c r="BX22" s="1074"/>
      <c r="BY22" s="1074"/>
      <c r="BZ22" s="1074"/>
      <c r="CA22" s="1074"/>
      <c r="CB22" s="1074"/>
      <c r="CC22" s="502"/>
    </row>
    <row r="23" spans="1:81" s="728" customFormat="1" ht="14.4" hidden="1" customHeight="1" outlineLevel="1" x14ac:dyDescent="0.55000000000000004">
      <c r="A23" s="93" t="s">
        <v>891</v>
      </c>
      <c r="B23" s="501"/>
      <c r="C23" s="619"/>
      <c r="D23" s="619"/>
      <c r="E23" s="619"/>
      <c r="F23" s="619"/>
      <c r="G23" s="619"/>
      <c r="H23" s="619"/>
      <c r="I23" s="619"/>
      <c r="J23" s="619"/>
      <c r="K23" s="619"/>
      <c r="L23" s="619"/>
      <c r="M23" s="619"/>
      <c r="N23" s="619"/>
      <c r="O23" s="619"/>
      <c r="P23" s="619"/>
      <c r="Q23" s="619"/>
      <c r="R23" s="619"/>
      <c r="S23" s="619"/>
      <c r="T23" s="619"/>
      <c r="U23" s="619"/>
      <c r="V23" s="619"/>
      <c r="W23" s="619"/>
      <c r="X23" s="619"/>
      <c r="Y23" s="619"/>
      <c r="Z23" s="619"/>
      <c r="AA23" s="619"/>
      <c r="AB23" s="619"/>
      <c r="AC23" s="619"/>
      <c r="AD23" s="619"/>
      <c r="AE23" s="619"/>
      <c r="AF23" s="619"/>
      <c r="AG23" s="619"/>
      <c r="AH23" s="619"/>
      <c r="AI23" s="619"/>
      <c r="AJ23" s="619"/>
      <c r="AK23" s="619"/>
      <c r="AL23" s="619"/>
      <c r="AM23" s="619"/>
      <c r="AN23" s="619"/>
      <c r="AO23" s="619"/>
      <c r="AP23" s="619"/>
      <c r="AQ23" s="619"/>
      <c r="AR23" s="619"/>
      <c r="AS23" s="619"/>
      <c r="AT23" s="619"/>
      <c r="AU23" s="619"/>
      <c r="AV23" s="619"/>
      <c r="AW23" s="619"/>
      <c r="AX23" s="619"/>
      <c r="AY23" s="673"/>
      <c r="AZ23" s="619"/>
      <c r="BA23" s="619"/>
      <c r="BB23" s="619"/>
      <c r="BC23" s="619"/>
      <c r="BD23" s="619"/>
      <c r="BE23" s="619"/>
      <c r="BF23" s="619"/>
      <c r="BG23" s="619"/>
      <c r="BH23" s="1127"/>
      <c r="BI23" s="1127"/>
      <c r="BJ23" s="1127"/>
      <c r="BK23" s="1127"/>
      <c r="BL23" s="1127"/>
      <c r="BM23" s="1127"/>
      <c r="BN23" s="1127"/>
      <c r="BO23" s="1127"/>
      <c r="BP23" s="1127"/>
      <c r="BQ23" s="1127"/>
      <c r="BR23" s="1127"/>
      <c r="BS23" s="1127"/>
      <c r="BT23" s="1127"/>
      <c r="BU23" s="1127">
        <f>SUM(BU19:BU22)</f>
        <v>20130.081000000002</v>
      </c>
      <c r="BV23" s="1127"/>
      <c r="BW23" s="1128"/>
      <c r="BX23" s="1127"/>
      <c r="BY23" s="1127"/>
      <c r="BZ23" s="1127"/>
      <c r="CA23" s="1127"/>
      <c r="CB23" s="1127"/>
      <c r="CC23" s="493"/>
    </row>
    <row r="24" spans="1:81" s="731" customFormat="1" ht="14.4" hidden="1" customHeight="1" outlineLevel="1" x14ac:dyDescent="0.55000000000000004">
      <c r="A24" s="91" t="s">
        <v>892</v>
      </c>
      <c r="B24" s="97"/>
      <c r="C24" s="610"/>
      <c r="D24" s="610"/>
      <c r="E24" s="610"/>
      <c r="F24" s="610"/>
      <c r="G24" s="610"/>
      <c r="H24" s="610"/>
      <c r="I24" s="610"/>
      <c r="J24" s="610"/>
      <c r="K24" s="610"/>
      <c r="L24" s="610"/>
      <c r="M24" s="610"/>
      <c r="N24" s="610"/>
      <c r="O24" s="610"/>
      <c r="P24" s="610"/>
      <c r="Q24" s="610"/>
      <c r="R24" s="610"/>
      <c r="S24" s="610"/>
      <c r="T24" s="610"/>
      <c r="U24" s="610"/>
      <c r="V24" s="610"/>
      <c r="W24" s="610"/>
      <c r="X24" s="610"/>
      <c r="Y24" s="610"/>
      <c r="Z24" s="610"/>
      <c r="AA24" s="610"/>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597"/>
      <c r="AZ24" s="610"/>
      <c r="BA24" s="610"/>
      <c r="BB24" s="610"/>
      <c r="BC24" s="610"/>
      <c r="BD24" s="610"/>
      <c r="BE24" s="610"/>
      <c r="BF24" s="610"/>
      <c r="BG24" s="610"/>
      <c r="BH24" s="1074"/>
      <c r="BI24" s="1074"/>
      <c r="BJ24" s="1074"/>
      <c r="BK24" s="1074"/>
      <c r="BL24" s="1074"/>
      <c r="BM24" s="1074"/>
      <c r="BN24" s="1074"/>
      <c r="BO24" s="1074"/>
      <c r="BP24" s="1074"/>
      <c r="BQ24" s="1074"/>
      <c r="BR24" s="1074"/>
      <c r="BS24" s="1074"/>
      <c r="BT24" s="1074"/>
      <c r="BU24" s="1126">
        <v>722.33799999999997</v>
      </c>
      <c r="BV24" s="1074"/>
      <c r="BW24" s="1075"/>
      <c r="BX24" s="1074"/>
      <c r="BY24" s="1074"/>
      <c r="BZ24" s="1074"/>
      <c r="CA24" s="1074"/>
      <c r="CB24" s="1074"/>
      <c r="CC24" s="502"/>
    </row>
    <row r="25" spans="1:81" s="731" customFormat="1" ht="14.4" hidden="1" customHeight="1" outlineLevel="1" x14ac:dyDescent="0.55000000000000004">
      <c r="A25" s="91" t="s">
        <v>893</v>
      </c>
      <c r="B25" s="97"/>
      <c r="C25" s="610"/>
      <c r="D25" s="610"/>
      <c r="E25" s="610"/>
      <c r="F25" s="610"/>
      <c r="G25" s="610"/>
      <c r="H25" s="610"/>
      <c r="I25" s="610"/>
      <c r="J25" s="610"/>
      <c r="K25" s="610"/>
      <c r="L25" s="610"/>
      <c r="M25" s="610"/>
      <c r="N25" s="610"/>
      <c r="O25" s="610"/>
      <c r="P25" s="610"/>
      <c r="Q25" s="610"/>
      <c r="R25" s="610"/>
      <c r="S25" s="610"/>
      <c r="T25" s="610"/>
      <c r="U25" s="610"/>
      <c r="V25" s="610"/>
      <c r="W25" s="610"/>
      <c r="X25" s="610"/>
      <c r="Y25" s="610"/>
      <c r="Z25" s="610"/>
      <c r="AA25" s="610"/>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597"/>
      <c r="AZ25" s="610"/>
      <c r="BA25" s="610"/>
      <c r="BB25" s="610"/>
      <c r="BC25" s="610"/>
      <c r="BD25" s="610"/>
      <c r="BE25" s="610"/>
      <c r="BF25" s="610"/>
      <c r="BG25" s="610"/>
      <c r="BH25" s="1074"/>
      <c r="BI25" s="1074"/>
      <c r="BJ25" s="1074"/>
      <c r="BK25" s="1074"/>
      <c r="BL25" s="1074"/>
      <c r="BM25" s="1074"/>
      <c r="BN25" s="1074"/>
      <c r="BO25" s="1074"/>
      <c r="BP25" s="1074"/>
      <c r="BQ25" s="1074"/>
      <c r="BR25" s="1074"/>
      <c r="BS25" s="1074"/>
      <c r="BT25" s="1074"/>
      <c r="BU25" s="1126">
        <v>575.61300000000006</v>
      </c>
      <c r="BV25" s="1074"/>
      <c r="BW25" s="1075"/>
      <c r="BX25" s="1074"/>
      <c r="BY25" s="1074"/>
      <c r="BZ25" s="1074"/>
      <c r="CA25" s="1074"/>
      <c r="CB25" s="1074"/>
      <c r="CC25" s="502"/>
    </row>
    <row r="26" spans="1:81" s="731" customFormat="1" ht="14.4" hidden="1" customHeight="1" outlineLevel="1" x14ac:dyDescent="0.55000000000000004">
      <c r="A26" s="91" t="s">
        <v>894</v>
      </c>
      <c r="B26" s="97"/>
      <c r="C26" s="610"/>
      <c r="D26" s="610"/>
      <c r="E26" s="610"/>
      <c r="F26" s="610"/>
      <c r="G26" s="610"/>
      <c r="H26" s="610"/>
      <c r="I26" s="610"/>
      <c r="J26" s="610"/>
      <c r="K26" s="610"/>
      <c r="L26" s="610"/>
      <c r="M26" s="610"/>
      <c r="N26" s="610"/>
      <c r="O26" s="610"/>
      <c r="P26" s="610"/>
      <c r="Q26" s="610"/>
      <c r="R26" s="610"/>
      <c r="S26" s="610"/>
      <c r="T26" s="610"/>
      <c r="U26" s="610"/>
      <c r="V26" s="610"/>
      <c r="W26" s="610"/>
      <c r="X26" s="610"/>
      <c r="Y26" s="610"/>
      <c r="Z26" s="610"/>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597"/>
      <c r="AZ26" s="610"/>
      <c r="BA26" s="610"/>
      <c r="BB26" s="610"/>
      <c r="BC26" s="610"/>
      <c r="BD26" s="610"/>
      <c r="BE26" s="610"/>
      <c r="BF26" s="610"/>
      <c r="BG26" s="610"/>
      <c r="BH26" s="1074"/>
      <c r="BI26" s="1074"/>
      <c r="BJ26" s="1074"/>
      <c r="BK26" s="1074"/>
      <c r="BL26" s="1074"/>
      <c r="BM26" s="1074"/>
      <c r="BN26" s="1074"/>
      <c r="BO26" s="1074"/>
      <c r="BP26" s="1074"/>
      <c r="BQ26" s="1074"/>
      <c r="BR26" s="1074"/>
      <c r="BS26" s="1074"/>
      <c r="BT26" s="1074"/>
      <c r="BU26" s="1126">
        <v>13882.838</v>
      </c>
      <c r="BV26" s="1074"/>
      <c r="BW26" s="1075"/>
      <c r="BX26" s="1074"/>
      <c r="BY26" s="1074"/>
      <c r="BZ26" s="1074"/>
      <c r="CA26" s="1074"/>
      <c r="CB26" s="1074"/>
      <c r="CC26" s="502"/>
    </row>
    <row r="27" spans="1:81" s="731" customFormat="1" ht="14.4" hidden="1" customHeight="1" outlineLevel="1" x14ac:dyDescent="0.55000000000000004">
      <c r="A27" s="91" t="s">
        <v>895</v>
      </c>
      <c r="B27" s="97"/>
      <c r="C27" s="610"/>
      <c r="D27" s="610"/>
      <c r="E27" s="610"/>
      <c r="F27" s="610"/>
      <c r="G27" s="610"/>
      <c r="H27" s="610"/>
      <c r="I27" s="610"/>
      <c r="J27" s="610"/>
      <c r="K27" s="610"/>
      <c r="L27" s="610"/>
      <c r="M27" s="610"/>
      <c r="N27" s="610"/>
      <c r="O27" s="610"/>
      <c r="P27" s="610"/>
      <c r="Q27" s="610"/>
      <c r="R27" s="610"/>
      <c r="S27" s="610"/>
      <c r="T27" s="610"/>
      <c r="U27" s="610"/>
      <c r="V27" s="610"/>
      <c r="W27" s="610"/>
      <c r="X27" s="610"/>
      <c r="Y27" s="610"/>
      <c r="Z27" s="610"/>
      <c r="AA27" s="610"/>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597"/>
      <c r="AZ27" s="610"/>
      <c r="BA27" s="610"/>
      <c r="BB27" s="610"/>
      <c r="BC27" s="610"/>
      <c r="BD27" s="610"/>
      <c r="BE27" s="610"/>
      <c r="BF27" s="610"/>
      <c r="BG27" s="610"/>
      <c r="BH27" s="1074"/>
      <c r="BI27" s="1074"/>
      <c r="BJ27" s="1074"/>
      <c r="BK27" s="1074"/>
      <c r="BL27" s="1074"/>
      <c r="BM27" s="1074"/>
      <c r="BN27" s="1074"/>
      <c r="BO27" s="1074"/>
      <c r="BP27" s="1074"/>
      <c r="BQ27" s="1074"/>
      <c r="BR27" s="1074"/>
      <c r="BS27" s="1074"/>
      <c r="BT27" s="1074"/>
      <c r="BU27" s="1126">
        <v>28.698</v>
      </c>
      <c r="BV27" s="1074"/>
      <c r="BW27" s="1075"/>
      <c r="BX27" s="1074"/>
      <c r="BY27" s="1074"/>
      <c r="BZ27" s="1074"/>
      <c r="CA27" s="1074"/>
      <c r="CB27" s="1074"/>
      <c r="CC27" s="502"/>
    </row>
    <row r="28" spans="1:81" s="728" customFormat="1" ht="14.4" hidden="1" customHeight="1" outlineLevel="1" x14ac:dyDescent="0.55000000000000004">
      <c r="A28" s="93" t="s">
        <v>896</v>
      </c>
      <c r="B28" s="501"/>
      <c r="C28" s="619"/>
      <c r="D28" s="619"/>
      <c r="E28" s="619"/>
      <c r="F28" s="619"/>
      <c r="G28" s="619"/>
      <c r="H28" s="619"/>
      <c r="I28" s="619"/>
      <c r="J28" s="619"/>
      <c r="K28" s="619"/>
      <c r="L28" s="619"/>
      <c r="M28" s="619"/>
      <c r="N28" s="619"/>
      <c r="O28" s="619"/>
      <c r="P28" s="619"/>
      <c r="Q28" s="619"/>
      <c r="R28" s="619"/>
      <c r="S28" s="619"/>
      <c r="T28" s="619"/>
      <c r="U28" s="619"/>
      <c r="V28" s="619"/>
      <c r="W28" s="619"/>
      <c r="X28" s="619"/>
      <c r="Y28" s="619"/>
      <c r="Z28" s="619"/>
      <c r="AA28" s="619"/>
      <c r="AB28" s="619"/>
      <c r="AC28" s="619"/>
      <c r="AD28" s="619"/>
      <c r="AE28" s="619"/>
      <c r="AF28" s="619"/>
      <c r="AG28" s="619"/>
      <c r="AH28" s="619"/>
      <c r="AI28" s="619"/>
      <c r="AJ28" s="619"/>
      <c r="AK28" s="619"/>
      <c r="AL28" s="619"/>
      <c r="AM28" s="619"/>
      <c r="AN28" s="619"/>
      <c r="AO28" s="619"/>
      <c r="AP28" s="619"/>
      <c r="AQ28" s="619"/>
      <c r="AR28" s="619"/>
      <c r="AS28" s="619"/>
      <c r="AT28" s="619"/>
      <c r="AU28" s="619"/>
      <c r="AV28" s="619"/>
      <c r="AW28" s="619"/>
      <c r="AX28" s="619"/>
      <c r="AY28" s="673"/>
      <c r="AZ28" s="619"/>
      <c r="BA28" s="619"/>
      <c r="BB28" s="619"/>
      <c r="BC28" s="619"/>
      <c r="BD28" s="619"/>
      <c r="BE28" s="619"/>
      <c r="BF28" s="619"/>
      <c r="BG28" s="619"/>
      <c r="BH28" s="1127"/>
      <c r="BI28" s="1127"/>
      <c r="BJ28" s="1127"/>
      <c r="BK28" s="1127"/>
      <c r="BL28" s="1127"/>
      <c r="BM28" s="1127"/>
      <c r="BN28" s="1127"/>
      <c r="BO28" s="1127"/>
      <c r="BP28" s="1127"/>
      <c r="BQ28" s="1127"/>
      <c r="BR28" s="1127"/>
      <c r="BS28" s="1127"/>
      <c r="BT28" s="1127"/>
      <c r="BU28" s="1127">
        <f>SUM(BU24:BU27)</f>
        <v>15209.487000000001</v>
      </c>
      <c r="BV28" s="1127"/>
      <c r="BW28" s="1128"/>
      <c r="BX28" s="1127"/>
      <c r="BY28" s="1127"/>
      <c r="BZ28" s="1127"/>
      <c r="CA28" s="1127"/>
      <c r="CB28" s="1127"/>
      <c r="CC28" s="493"/>
    </row>
    <row r="29" spans="1:81" s="731" customFormat="1" ht="14.4" customHeight="1" collapsed="1" x14ac:dyDescent="0.55000000000000004">
      <c r="A29" s="91" t="s">
        <v>897</v>
      </c>
      <c r="B29" s="97"/>
      <c r="C29" s="610"/>
      <c r="D29" s="610"/>
      <c r="E29" s="610"/>
      <c r="F29" s="610"/>
      <c r="G29" s="610"/>
      <c r="H29" s="610"/>
      <c r="I29" s="610"/>
      <c r="J29" s="610"/>
      <c r="K29" s="610"/>
      <c r="L29" s="610"/>
      <c r="M29" s="610"/>
      <c r="N29" s="610"/>
      <c r="O29" s="610"/>
      <c r="P29" s="610"/>
      <c r="Q29" s="610"/>
      <c r="R29" s="610"/>
      <c r="S29" s="610"/>
      <c r="T29" s="610"/>
      <c r="U29" s="610"/>
      <c r="V29" s="610"/>
      <c r="W29" s="610"/>
      <c r="X29" s="610"/>
      <c r="Y29" s="610"/>
      <c r="Z29" s="610"/>
      <c r="AA29" s="610"/>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597"/>
      <c r="AZ29" s="610"/>
      <c r="BA29" s="610"/>
      <c r="BB29" s="610"/>
      <c r="BC29" s="610"/>
      <c r="BD29" s="610"/>
      <c r="BE29" s="610"/>
      <c r="BF29" s="610"/>
      <c r="BG29" s="610"/>
      <c r="BH29" s="1074"/>
      <c r="BI29" s="1074"/>
      <c r="BJ29" s="1074"/>
      <c r="BK29" s="1074"/>
      <c r="BL29" s="1074"/>
      <c r="BM29" s="1074"/>
      <c r="BN29" s="1074"/>
      <c r="BO29" s="1074"/>
      <c r="BP29" s="1074"/>
      <c r="BQ29" s="1074"/>
      <c r="BR29" s="1074"/>
      <c r="BS29" s="1126">
        <v>823.846</v>
      </c>
      <c r="BT29" s="1126">
        <v>855.38499999999999</v>
      </c>
      <c r="BU29" s="1074">
        <f>BU19+BU24</f>
        <v>1616.184</v>
      </c>
      <c r="BV29" s="1126">
        <v>871.154</v>
      </c>
      <c r="BW29" s="1075"/>
      <c r="BX29" s="1074"/>
      <c r="BY29" s="1074"/>
      <c r="BZ29" s="1074"/>
      <c r="CA29" s="1074"/>
      <c r="CB29" s="1074"/>
      <c r="CC29" s="502"/>
    </row>
    <row r="30" spans="1:81" s="731" customFormat="1" ht="14.4" customHeight="1" x14ac:dyDescent="0.55000000000000004">
      <c r="A30" s="91" t="s">
        <v>898</v>
      </c>
      <c r="B30" s="97"/>
      <c r="C30" s="610"/>
      <c r="D30" s="610"/>
      <c r="E30" s="610"/>
      <c r="F30" s="610"/>
      <c r="G30" s="610"/>
      <c r="H30" s="610"/>
      <c r="I30" s="610"/>
      <c r="J30" s="610"/>
      <c r="K30" s="610"/>
      <c r="L30" s="610"/>
      <c r="M30" s="610"/>
      <c r="N30" s="610"/>
      <c r="O30" s="610"/>
      <c r="P30" s="610"/>
      <c r="Q30" s="610"/>
      <c r="R30" s="610"/>
      <c r="S30" s="610"/>
      <c r="T30" s="610"/>
      <c r="U30" s="610"/>
      <c r="V30" s="610"/>
      <c r="W30" s="610"/>
      <c r="X30" s="610"/>
      <c r="Y30" s="610"/>
      <c r="Z30" s="610"/>
      <c r="AA30" s="610"/>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597"/>
      <c r="AZ30" s="610"/>
      <c r="BA30" s="610"/>
      <c r="BB30" s="610"/>
      <c r="BC30" s="610"/>
      <c r="BD30" s="610"/>
      <c r="BE30" s="610"/>
      <c r="BF30" s="610"/>
      <c r="BG30" s="610"/>
      <c r="BH30" s="1074"/>
      <c r="BI30" s="1074"/>
      <c r="BJ30" s="1074"/>
      <c r="BK30" s="1074"/>
      <c r="BL30" s="1074"/>
      <c r="BM30" s="1074"/>
      <c r="BN30" s="1074"/>
      <c r="BO30" s="1074"/>
      <c r="BP30" s="1074"/>
      <c r="BQ30" s="1074"/>
      <c r="BR30" s="1074"/>
      <c r="BS30" s="1126">
        <v>849.59199999999998</v>
      </c>
      <c r="BT30" s="1126">
        <v>1083.6780000000001</v>
      </c>
      <c r="BU30" s="1074">
        <f>BU20+BU25</f>
        <v>1287.8969999999999</v>
      </c>
      <c r="BV30" s="1126">
        <v>980.04899999999998</v>
      </c>
      <c r="BW30" s="1075"/>
      <c r="BX30" s="1074"/>
      <c r="BY30" s="1074"/>
      <c r="BZ30" s="1074"/>
      <c r="CA30" s="1074"/>
      <c r="CB30" s="1074"/>
      <c r="CC30" s="502"/>
    </row>
    <row r="31" spans="1:81" s="731" customFormat="1" ht="14.4" customHeight="1" x14ac:dyDescent="0.55000000000000004">
      <c r="A31" s="91" t="s">
        <v>899</v>
      </c>
      <c r="B31" s="97"/>
      <c r="C31" s="610"/>
      <c r="D31" s="610"/>
      <c r="E31" s="610"/>
      <c r="F31" s="610"/>
      <c r="G31" s="610"/>
      <c r="H31" s="610"/>
      <c r="I31" s="610"/>
      <c r="J31" s="610"/>
      <c r="K31" s="610"/>
      <c r="L31" s="610"/>
      <c r="M31" s="610"/>
      <c r="N31" s="610"/>
      <c r="O31" s="610"/>
      <c r="P31" s="610"/>
      <c r="Q31" s="610"/>
      <c r="R31" s="610"/>
      <c r="S31" s="610"/>
      <c r="T31" s="610"/>
      <c r="U31" s="610"/>
      <c r="V31" s="610"/>
      <c r="W31" s="610"/>
      <c r="X31" s="610"/>
      <c r="Y31" s="610"/>
      <c r="Z31" s="610"/>
      <c r="AA31" s="610"/>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597"/>
      <c r="AZ31" s="610"/>
      <c r="BA31" s="610"/>
      <c r="BB31" s="610"/>
      <c r="BC31" s="610"/>
      <c r="BD31" s="610"/>
      <c r="BE31" s="610"/>
      <c r="BF31" s="610"/>
      <c r="BG31" s="610"/>
      <c r="BH31" s="1074"/>
      <c r="BI31" s="1074"/>
      <c r="BJ31" s="1074"/>
      <c r="BK31" s="1074"/>
      <c r="BL31" s="1074"/>
      <c r="BM31" s="1074"/>
      <c r="BN31" s="1074"/>
      <c r="BO31" s="1074"/>
      <c r="BP31" s="1074"/>
      <c r="BQ31" s="1074"/>
      <c r="BR31" s="1074"/>
      <c r="BS31" s="1126">
        <v>14370.187</v>
      </c>
      <c r="BT31" s="1126">
        <v>22169.901999999998</v>
      </c>
      <c r="BU31" s="1074">
        <f>BU21+BU26</f>
        <v>32393.289000000001</v>
      </c>
      <c r="BV31" s="1126">
        <v>21493.045999999998</v>
      </c>
      <c r="BW31" s="1075"/>
      <c r="BX31" s="1074"/>
      <c r="BY31" s="1074"/>
      <c r="BZ31" s="1074"/>
      <c r="CA31" s="1074"/>
      <c r="CB31" s="1074"/>
      <c r="CC31" s="502"/>
    </row>
    <row r="32" spans="1:81" s="731" customFormat="1" ht="14.4" customHeight="1" x14ac:dyDescent="0.55000000000000004">
      <c r="A32" s="91" t="s">
        <v>900</v>
      </c>
      <c r="B32" s="97"/>
      <c r="C32" s="610"/>
      <c r="D32" s="610"/>
      <c r="E32" s="610"/>
      <c r="F32" s="610"/>
      <c r="G32" s="610"/>
      <c r="H32" s="610"/>
      <c r="I32" s="610"/>
      <c r="J32" s="610"/>
      <c r="K32" s="610"/>
      <c r="L32" s="610"/>
      <c r="M32" s="610"/>
      <c r="N32" s="610"/>
      <c r="O32" s="610"/>
      <c r="P32" s="610"/>
      <c r="Q32" s="610"/>
      <c r="R32" s="610"/>
      <c r="S32" s="610"/>
      <c r="T32" s="610"/>
      <c r="U32" s="610"/>
      <c r="V32" s="610"/>
      <c r="W32" s="610"/>
      <c r="X32" s="610"/>
      <c r="Y32" s="610"/>
      <c r="Z32" s="610"/>
      <c r="AA32" s="610"/>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597"/>
      <c r="AZ32" s="610"/>
      <c r="BA32" s="610"/>
      <c r="BB32" s="610"/>
      <c r="BC32" s="610"/>
      <c r="BD32" s="610"/>
      <c r="BE32" s="610"/>
      <c r="BF32" s="610"/>
      <c r="BG32" s="610"/>
      <c r="BH32" s="1074"/>
      <c r="BI32" s="1074"/>
      <c r="BJ32" s="1074"/>
      <c r="BK32" s="1074"/>
      <c r="BL32" s="1074"/>
      <c r="BM32" s="1074"/>
      <c r="BN32" s="1074"/>
      <c r="BO32" s="1074"/>
      <c r="BP32" s="1074"/>
      <c r="BQ32" s="1074"/>
      <c r="BR32" s="1074"/>
      <c r="BS32" s="1126">
        <v>97.611999999999995</v>
      </c>
      <c r="BT32" s="1126">
        <v>243.53700000000001</v>
      </c>
      <c r="BU32" s="1074">
        <f>BU22+BU27</f>
        <v>42.198</v>
      </c>
      <c r="BV32" s="1126">
        <v>111.958</v>
      </c>
      <c r="BW32" s="1075"/>
      <c r="BX32" s="1074"/>
      <c r="BY32" s="1074"/>
      <c r="BZ32" s="1074"/>
      <c r="CA32" s="1074"/>
      <c r="CB32" s="1074"/>
      <c r="CC32" s="502"/>
    </row>
    <row r="33" spans="1:81" s="728" customFormat="1" ht="14.4" customHeight="1" x14ac:dyDescent="0.55000000000000004">
      <c r="A33" s="93" t="s">
        <v>901</v>
      </c>
      <c r="B33" s="501"/>
      <c r="C33" s="619"/>
      <c r="D33" s="619"/>
      <c r="E33" s="619"/>
      <c r="F33" s="619"/>
      <c r="G33" s="619"/>
      <c r="H33" s="619"/>
      <c r="I33" s="619"/>
      <c r="J33" s="619"/>
      <c r="K33" s="619"/>
      <c r="L33" s="619"/>
      <c r="M33" s="619"/>
      <c r="N33" s="619"/>
      <c r="O33" s="619"/>
      <c r="P33" s="619"/>
      <c r="Q33" s="619"/>
      <c r="R33" s="619"/>
      <c r="S33" s="619"/>
      <c r="T33" s="619"/>
      <c r="U33" s="619"/>
      <c r="V33" s="619"/>
      <c r="W33" s="619"/>
      <c r="X33" s="619"/>
      <c r="Y33" s="619"/>
      <c r="Z33" s="619"/>
      <c r="AA33" s="619"/>
      <c r="AB33" s="619"/>
      <c r="AC33" s="619"/>
      <c r="AD33" s="619"/>
      <c r="AE33" s="619"/>
      <c r="AF33" s="619"/>
      <c r="AG33" s="619"/>
      <c r="AH33" s="619"/>
      <c r="AI33" s="619"/>
      <c r="AJ33" s="619"/>
      <c r="AK33" s="619"/>
      <c r="AL33" s="619"/>
      <c r="AM33" s="619"/>
      <c r="AN33" s="619"/>
      <c r="AO33" s="619"/>
      <c r="AP33" s="619"/>
      <c r="AQ33" s="619"/>
      <c r="AR33" s="619"/>
      <c r="AS33" s="619"/>
      <c r="AT33" s="619"/>
      <c r="AU33" s="619"/>
      <c r="AV33" s="619"/>
      <c r="AW33" s="619"/>
      <c r="AX33" s="619"/>
      <c r="AY33" s="673"/>
      <c r="AZ33" s="619"/>
      <c r="BA33" s="619"/>
      <c r="BB33" s="619"/>
      <c r="BC33" s="619"/>
      <c r="BD33" s="619"/>
      <c r="BE33" s="619"/>
      <c r="BF33" s="619"/>
      <c r="BG33" s="619"/>
      <c r="BH33" s="1127"/>
      <c r="BI33" s="1127"/>
      <c r="BJ33" s="1127"/>
      <c r="BK33" s="1127"/>
      <c r="BL33" s="1127"/>
      <c r="BM33" s="1127"/>
      <c r="BN33" s="1127"/>
      <c r="BO33" s="1127"/>
      <c r="BP33" s="1127"/>
      <c r="BQ33" s="1127"/>
      <c r="BR33" s="1127"/>
      <c r="BS33" s="1127">
        <f>SUM(BS29:BS32)</f>
        <v>16141.236999999999</v>
      </c>
      <c r="BT33" s="1127">
        <f>SUM(BT29:BT32)</f>
        <v>24352.501999999997</v>
      </c>
      <c r="BU33" s="1127">
        <f>SUM(BU29:BU32)</f>
        <v>35339.567999999999</v>
      </c>
      <c r="BV33" s="1127">
        <f>SUM(BV29:BV32)</f>
        <v>23456.206999999999</v>
      </c>
      <c r="BW33" s="1128"/>
      <c r="BX33" s="1127"/>
      <c r="BY33" s="1127"/>
      <c r="BZ33" s="1127"/>
      <c r="CA33" s="1127"/>
      <c r="CB33" s="1127"/>
      <c r="CC33" s="493"/>
    </row>
    <row r="34" spans="1:81" s="734" customFormat="1" ht="14.4" customHeight="1" x14ac:dyDescent="0.55000000000000004">
      <c r="A34" s="100" t="s">
        <v>902</v>
      </c>
      <c r="B34" s="131"/>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674"/>
      <c r="AZ34" s="85"/>
      <c r="BA34" s="85"/>
      <c r="BB34" s="85"/>
      <c r="BC34" s="85"/>
      <c r="BD34" s="85"/>
      <c r="BE34" s="85"/>
      <c r="BF34" s="85"/>
      <c r="BG34" s="85"/>
      <c r="BH34" s="1070"/>
      <c r="BI34" s="1070"/>
      <c r="BJ34" s="1070"/>
      <c r="BK34" s="1070"/>
      <c r="BL34" s="1070"/>
      <c r="BM34" s="1070"/>
      <c r="BN34" s="1070"/>
      <c r="BO34" s="1070"/>
      <c r="BP34" s="1070"/>
      <c r="BQ34" s="1070"/>
      <c r="BR34" s="1070"/>
      <c r="BS34" s="1070">
        <f>BS31/BS33</f>
        <v>0.89027792603503686</v>
      </c>
      <c r="BT34" s="1070">
        <f>BT31/BT33</f>
        <v>0.91037471221642852</v>
      </c>
      <c r="BU34" s="1070">
        <f>BU31/BU33</f>
        <v>0.91662945625141767</v>
      </c>
      <c r="BV34" s="1070">
        <f>BV31/BV33</f>
        <v>0.91630526623507369</v>
      </c>
      <c r="BW34" s="1071"/>
      <c r="BX34" s="1070"/>
      <c r="BY34" s="1070"/>
      <c r="BZ34" s="1070"/>
      <c r="CA34" s="1070"/>
      <c r="CB34" s="1070"/>
      <c r="CC34" s="504"/>
    </row>
    <row r="35" spans="1:81" s="735" customFormat="1" ht="14.4" customHeight="1" x14ac:dyDescent="0.55000000000000004">
      <c r="A35" s="100"/>
      <c r="B35" s="495"/>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76"/>
      <c r="AZ35" s="62"/>
      <c r="BA35" s="62"/>
      <c r="BB35" s="62"/>
      <c r="BC35" s="62"/>
      <c r="BD35" s="62"/>
      <c r="BE35" s="62"/>
      <c r="BF35" s="62"/>
      <c r="BG35" s="62"/>
      <c r="BH35" s="1052"/>
      <c r="BI35" s="1052"/>
      <c r="BJ35" s="1052"/>
      <c r="BK35" s="1052"/>
      <c r="BL35" s="1052"/>
      <c r="BM35" s="1052"/>
      <c r="BN35" s="1052"/>
      <c r="BO35" s="1052"/>
      <c r="BP35" s="1052"/>
      <c r="BQ35" s="1052"/>
      <c r="BR35" s="1052"/>
      <c r="BS35" s="1052"/>
      <c r="BT35" s="1052"/>
      <c r="BU35" s="1052"/>
      <c r="BV35" s="1052"/>
      <c r="BW35" s="1053"/>
      <c r="BX35" s="1052"/>
      <c r="BY35" s="1052"/>
      <c r="BZ35" s="1052"/>
      <c r="CA35" s="1052"/>
      <c r="CB35" s="1052"/>
      <c r="CC35" s="494"/>
    </row>
    <row r="36" spans="1:81" s="731" customFormat="1" ht="14.4" customHeight="1" x14ac:dyDescent="0.55000000000000004">
      <c r="A36" s="91" t="s">
        <v>903</v>
      </c>
      <c r="B36" s="97"/>
      <c r="C36" s="610"/>
      <c r="D36" s="610"/>
      <c r="E36" s="610"/>
      <c r="F36" s="610"/>
      <c r="G36" s="610"/>
      <c r="H36" s="610"/>
      <c r="I36" s="610"/>
      <c r="J36" s="610"/>
      <c r="K36" s="610"/>
      <c r="L36" s="610"/>
      <c r="M36" s="610"/>
      <c r="N36" s="610"/>
      <c r="O36" s="610"/>
      <c r="P36" s="610"/>
      <c r="Q36" s="610"/>
      <c r="R36" s="610"/>
      <c r="S36" s="610"/>
      <c r="T36" s="610"/>
      <c r="U36" s="610"/>
      <c r="V36" s="610"/>
      <c r="W36" s="610"/>
      <c r="X36" s="610"/>
      <c r="Y36" s="610"/>
      <c r="Z36" s="610"/>
      <c r="AA36" s="610"/>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597"/>
      <c r="AZ36" s="610"/>
      <c r="BA36" s="610"/>
      <c r="BB36" s="610"/>
      <c r="BC36" s="610"/>
      <c r="BD36" s="610"/>
      <c r="BE36" s="610"/>
      <c r="BF36" s="610"/>
      <c r="BG36" s="610"/>
      <c r="BH36" s="1074"/>
      <c r="BI36" s="1074"/>
      <c r="BJ36" s="1074"/>
      <c r="BK36" s="1074"/>
      <c r="BL36" s="1074"/>
      <c r="BM36" s="1074"/>
      <c r="BN36" s="1074"/>
      <c r="BO36" s="1074"/>
      <c r="BP36" s="1074"/>
      <c r="BQ36" s="1074"/>
      <c r="BR36" s="1074"/>
      <c r="BS36" s="1126">
        <v>64.322999999999993</v>
      </c>
      <c r="BT36" s="1126">
        <v>81.039000000000001</v>
      </c>
      <c r="BU36" s="1126">
        <v>103.61799999999999</v>
      </c>
      <c r="BV36" s="1126">
        <v>121.119</v>
      </c>
      <c r="BW36" s="1075"/>
      <c r="BX36" s="1074"/>
      <c r="BY36" s="1074"/>
      <c r="BZ36" s="1074"/>
      <c r="CA36" s="1074"/>
      <c r="CB36" s="1074"/>
      <c r="CC36" s="502"/>
    </row>
    <row r="37" spans="1:81" s="731" customFormat="1" ht="14.4" customHeight="1" x14ac:dyDescent="0.55000000000000004">
      <c r="A37" s="91" t="s">
        <v>904</v>
      </c>
      <c r="B37" s="97"/>
      <c r="C37" s="610"/>
      <c r="D37" s="610"/>
      <c r="E37" s="610"/>
      <c r="F37" s="610"/>
      <c r="G37" s="610"/>
      <c r="H37" s="610"/>
      <c r="I37" s="610"/>
      <c r="J37" s="610"/>
      <c r="K37" s="610"/>
      <c r="L37" s="610"/>
      <c r="M37" s="610"/>
      <c r="N37" s="610"/>
      <c r="O37" s="610"/>
      <c r="P37" s="610"/>
      <c r="Q37" s="610"/>
      <c r="R37" s="610"/>
      <c r="S37" s="610"/>
      <c r="T37" s="610"/>
      <c r="U37" s="610"/>
      <c r="V37" s="610"/>
      <c r="W37" s="610"/>
      <c r="X37" s="610"/>
      <c r="Y37" s="610"/>
      <c r="Z37" s="610"/>
      <c r="AA37" s="610"/>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597"/>
      <c r="AZ37" s="610"/>
      <c r="BA37" s="610"/>
      <c r="BB37" s="610"/>
      <c r="BC37" s="610"/>
      <c r="BD37" s="610"/>
      <c r="BE37" s="610"/>
      <c r="BF37" s="610"/>
      <c r="BG37" s="610"/>
      <c r="BH37" s="1074"/>
      <c r="BI37" s="1074"/>
      <c r="BJ37" s="1074"/>
      <c r="BK37" s="1074"/>
      <c r="BL37" s="1074"/>
      <c r="BM37" s="1074"/>
      <c r="BN37" s="1074"/>
      <c r="BO37" s="1074"/>
      <c r="BP37" s="1074"/>
      <c r="BQ37" s="1074"/>
      <c r="BR37" s="1074"/>
      <c r="BS37" s="1074"/>
      <c r="BT37" s="1074"/>
      <c r="BU37" s="1074"/>
      <c r="BV37" s="1074"/>
      <c r="BW37" s="1075"/>
      <c r="BX37" s="1074"/>
      <c r="BY37" s="1074"/>
      <c r="BZ37" s="1074"/>
      <c r="CA37" s="1074"/>
      <c r="CB37" s="1074"/>
      <c r="CC37" s="502"/>
    </row>
    <row r="38" spans="1:81" s="731" customFormat="1" ht="14.4" customHeight="1" x14ac:dyDescent="0.55000000000000004">
      <c r="A38" s="497" t="s">
        <v>905</v>
      </c>
      <c r="B38" s="505"/>
      <c r="C38" s="620"/>
      <c r="D38" s="620"/>
      <c r="E38" s="620"/>
      <c r="F38" s="620"/>
      <c r="G38" s="620"/>
      <c r="H38" s="620"/>
      <c r="I38" s="620"/>
      <c r="J38" s="620"/>
      <c r="K38" s="620"/>
      <c r="L38" s="620"/>
      <c r="M38" s="620"/>
      <c r="N38" s="620"/>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77"/>
      <c r="AZ38" s="620"/>
      <c r="BA38" s="620"/>
      <c r="BB38" s="620"/>
      <c r="BC38" s="620"/>
      <c r="BD38" s="620"/>
      <c r="BE38" s="620"/>
      <c r="BF38" s="620"/>
      <c r="BG38" s="620"/>
      <c r="BH38" s="1131"/>
      <c r="BI38" s="1131"/>
      <c r="BJ38" s="1131"/>
      <c r="BK38" s="1131"/>
      <c r="BL38" s="1131"/>
      <c r="BM38" s="1131"/>
      <c r="BN38" s="1131"/>
      <c r="BO38" s="1131"/>
      <c r="BP38" s="1131"/>
      <c r="BQ38" s="1131"/>
      <c r="BR38" s="1131"/>
      <c r="BS38" s="1131">
        <f>BS36+BS37</f>
        <v>64.322999999999993</v>
      </c>
      <c r="BT38" s="1131">
        <f>BT36+BT37</f>
        <v>81.039000000000001</v>
      </c>
      <c r="BU38" s="1131">
        <f>BU36+BU37</f>
        <v>103.61799999999999</v>
      </c>
      <c r="BV38" s="1131">
        <f>BV36+BV37</f>
        <v>121.119</v>
      </c>
      <c r="BW38" s="1132"/>
      <c r="BX38" s="1131"/>
      <c r="BY38" s="1131"/>
      <c r="BZ38" s="1131"/>
      <c r="CA38" s="1131"/>
      <c r="CB38" s="1131"/>
      <c r="CC38" s="502"/>
    </row>
    <row r="39" spans="1:81" s="735" customFormat="1" ht="14.4" customHeight="1" x14ac:dyDescent="0.55000000000000004">
      <c r="A39" s="448"/>
      <c r="B39" s="495"/>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76"/>
      <c r="AZ39" s="62"/>
      <c r="BA39" s="62"/>
      <c r="BB39" s="62"/>
      <c r="BC39" s="62"/>
      <c r="BD39" s="62"/>
      <c r="BE39" s="62"/>
      <c r="BF39" s="62"/>
      <c r="BG39" s="62"/>
      <c r="BH39" s="1052"/>
      <c r="BI39" s="1052"/>
      <c r="BJ39" s="1052"/>
      <c r="BK39" s="1052"/>
      <c r="BL39" s="1052"/>
      <c r="BM39" s="1052"/>
      <c r="BN39" s="1052"/>
      <c r="BO39" s="1052"/>
      <c r="BP39" s="1052"/>
      <c r="BQ39" s="1052"/>
      <c r="BR39" s="1052"/>
      <c r="BS39" s="1052"/>
      <c r="BT39" s="1052"/>
      <c r="BU39" s="1052"/>
      <c r="BV39" s="1052"/>
      <c r="BW39" s="1053"/>
      <c r="BX39" s="1052"/>
      <c r="BY39" s="1052"/>
      <c r="BZ39" s="1052"/>
      <c r="CA39" s="1052"/>
      <c r="CB39" s="1052"/>
      <c r="CC39" s="494"/>
    </row>
    <row r="40" spans="1:81" s="731" customFormat="1" ht="14.4" customHeight="1" x14ac:dyDescent="0.55000000000000004">
      <c r="A40" s="91" t="s">
        <v>906</v>
      </c>
      <c r="B40" s="97"/>
      <c r="C40" s="610"/>
      <c r="D40" s="610"/>
      <c r="E40" s="610"/>
      <c r="F40" s="610"/>
      <c r="G40" s="610"/>
      <c r="H40" s="610"/>
      <c r="I40" s="610"/>
      <c r="J40" s="610"/>
      <c r="K40" s="610"/>
      <c r="L40" s="610"/>
      <c r="M40" s="610"/>
      <c r="N40" s="610"/>
      <c r="O40" s="610"/>
      <c r="P40" s="610"/>
      <c r="Q40" s="610"/>
      <c r="R40" s="610"/>
      <c r="S40" s="610"/>
      <c r="T40" s="610"/>
      <c r="U40" s="610"/>
      <c r="V40" s="610"/>
      <c r="W40" s="610"/>
      <c r="X40" s="610"/>
      <c r="Y40" s="610"/>
      <c r="Z40" s="610"/>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597"/>
      <c r="AZ40" s="610"/>
      <c r="BA40" s="610"/>
      <c r="BB40" s="610"/>
      <c r="BC40" s="610"/>
      <c r="BD40" s="610"/>
      <c r="BE40" s="610"/>
      <c r="BF40" s="610"/>
      <c r="BG40" s="610"/>
      <c r="BH40" s="1074"/>
      <c r="BI40" s="1074"/>
      <c r="BJ40" s="1074"/>
      <c r="BK40" s="1074"/>
      <c r="BL40" s="1074"/>
      <c r="BM40" s="1074"/>
      <c r="BN40" s="1074"/>
      <c r="BO40" s="1074"/>
      <c r="BP40" s="1074"/>
      <c r="BQ40" s="1074"/>
      <c r="BR40" s="1074"/>
      <c r="BS40" s="1126">
        <v>421.38499999999999</v>
      </c>
      <c r="BT40" s="1126">
        <v>855.38499999999999</v>
      </c>
      <c r="BU40" s="1126">
        <v>893.846</v>
      </c>
      <c r="BV40" s="1126">
        <v>936.346</v>
      </c>
      <c r="BW40" s="1075"/>
      <c r="BX40" s="1074"/>
      <c r="BY40" s="1074"/>
      <c r="BZ40" s="1074"/>
      <c r="CA40" s="1074"/>
      <c r="CB40" s="1074"/>
      <c r="CC40" s="502"/>
    </row>
    <row r="41" spans="1:81" s="731" customFormat="1" ht="14.4" customHeight="1" x14ac:dyDescent="0.55000000000000004">
      <c r="A41" s="91" t="s">
        <v>907</v>
      </c>
      <c r="B41" s="97"/>
      <c r="C41" s="610"/>
      <c r="D41" s="610"/>
      <c r="E41" s="610"/>
      <c r="F41" s="610"/>
      <c r="G41" s="610"/>
      <c r="H41" s="610"/>
      <c r="I41" s="610"/>
      <c r="J41" s="610"/>
      <c r="K41" s="610"/>
      <c r="L41" s="610"/>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597"/>
      <c r="AZ41" s="610"/>
      <c r="BA41" s="610"/>
      <c r="BB41" s="610"/>
      <c r="BC41" s="610"/>
      <c r="BD41" s="610"/>
      <c r="BE41" s="610"/>
      <c r="BF41" s="610"/>
      <c r="BG41" s="610"/>
      <c r="BH41" s="1074"/>
      <c r="BI41" s="1074"/>
      <c r="BJ41" s="1074"/>
      <c r="BK41" s="1074"/>
      <c r="BL41" s="1074"/>
      <c r="BM41" s="1074"/>
      <c r="BN41" s="1074"/>
      <c r="BO41" s="1074"/>
      <c r="BP41" s="1074"/>
      <c r="BQ41" s="1074"/>
      <c r="BR41" s="1074"/>
      <c r="BS41" s="1126">
        <v>691.33399999999995</v>
      </c>
      <c r="BT41" s="1126">
        <v>4841.8029999999999</v>
      </c>
      <c r="BU41" s="1126">
        <v>940.21400000000006</v>
      </c>
      <c r="BV41" s="1126">
        <v>1053.3920000000001</v>
      </c>
      <c r="BW41" s="1075"/>
      <c r="BX41" s="1074"/>
      <c r="BY41" s="1074"/>
      <c r="BZ41" s="1074"/>
      <c r="CA41" s="1074"/>
      <c r="CB41" s="1074"/>
      <c r="CC41" s="502"/>
    </row>
    <row r="42" spans="1:81" s="731" customFormat="1" ht="14.4" customHeight="1" x14ac:dyDescent="0.55000000000000004">
      <c r="A42" s="91" t="s">
        <v>908</v>
      </c>
      <c r="B42" s="97"/>
      <c r="C42" s="610"/>
      <c r="D42" s="610"/>
      <c r="E42" s="610"/>
      <c r="F42" s="610"/>
      <c r="G42" s="610"/>
      <c r="H42" s="610"/>
      <c r="I42" s="610"/>
      <c r="J42" s="610"/>
      <c r="K42" s="610"/>
      <c r="L42" s="610"/>
      <c r="M42" s="610"/>
      <c r="N42" s="610"/>
      <c r="O42" s="610"/>
      <c r="P42" s="610"/>
      <c r="Q42" s="610"/>
      <c r="R42" s="610"/>
      <c r="S42" s="610"/>
      <c r="T42" s="610"/>
      <c r="U42" s="610"/>
      <c r="V42" s="610"/>
      <c r="W42" s="610"/>
      <c r="X42" s="610"/>
      <c r="Y42" s="610"/>
      <c r="Z42" s="610"/>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597"/>
      <c r="AZ42" s="610"/>
      <c r="BA42" s="610"/>
      <c r="BB42" s="610"/>
      <c r="BC42" s="610"/>
      <c r="BD42" s="610"/>
      <c r="BE42" s="610"/>
      <c r="BF42" s="610"/>
      <c r="BG42" s="610"/>
      <c r="BH42" s="1074"/>
      <c r="BI42" s="1074"/>
      <c r="BJ42" s="1074"/>
      <c r="BK42" s="1074"/>
      <c r="BL42" s="1074"/>
      <c r="BM42" s="1074"/>
      <c r="BN42" s="1074"/>
      <c r="BO42" s="1074"/>
      <c r="BP42" s="1074"/>
      <c r="BQ42" s="1074"/>
      <c r="BR42" s="1074"/>
      <c r="BS42" s="1126">
        <v>67999.255999999994</v>
      </c>
      <c r="BT42" s="1126">
        <v>22169.901999999998</v>
      </c>
      <c r="BU42" s="1126">
        <v>18510.451000000001</v>
      </c>
      <c r="BV42" s="1126">
        <v>21493.045999999998</v>
      </c>
      <c r="BW42" s="1075"/>
      <c r="BX42" s="1074"/>
      <c r="BY42" s="1074"/>
      <c r="BZ42" s="1074"/>
      <c r="CA42" s="1074"/>
      <c r="CB42" s="1074"/>
      <c r="CC42" s="502"/>
    </row>
    <row r="43" spans="1:81" s="731" customFormat="1" ht="14.4" customHeight="1" x14ac:dyDescent="0.55000000000000004">
      <c r="A43" s="91" t="s">
        <v>909</v>
      </c>
      <c r="B43" s="97"/>
      <c r="C43" s="610"/>
      <c r="D43" s="610"/>
      <c r="E43" s="610"/>
      <c r="F43" s="610"/>
      <c r="G43" s="610"/>
      <c r="H43" s="610"/>
      <c r="I43" s="610"/>
      <c r="J43" s="610"/>
      <c r="K43" s="610"/>
      <c r="L43" s="610"/>
      <c r="M43" s="610"/>
      <c r="N43" s="610"/>
      <c r="O43" s="610"/>
      <c r="P43" s="610"/>
      <c r="Q43" s="610"/>
      <c r="R43" s="610"/>
      <c r="S43" s="610"/>
      <c r="T43" s="610"/>
      <c r="U43" s="610"/>
      <c r="V43" s="610"/>
      <c r="W43" s="610"/>
      <c r="X43" s="610"/>
      <c r="Y43" s="610"/>
      <c r="Z43" s="610"/>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597"/>
      <c r="AZ43" s="610"/>
      <c r="BA43" s="610"/>
      <c r="BB43" s="610"/>
      <c r="BC43" s="610"/>
      <c r="BD43" s="610"/>
      <c r="BE43" s="610"/>
      <c r="BF43" s="610"/>
      <c r="BG43" s="610"/>
      <c r="BH43" s="1074"/>
      <c r="BI43" s="1074"/>
      <c r="BJ43" s="1074"/>
      <c r="BK43" s="1074"/>
      <c r="BL43" s="1074"/>
      <c r="BM43" s="1074"/>
      <c r="BN43" s="1074"/>
      <c r="BO43" s="1074"/>
      <c r="BP43" s="1074"/>
      <c r="BQ43" s="1074"/>
      <c r="BR43" s="1074"/>
      <c r="BS43" s="1126">
        <v>570.67899999999997</v>
      </c>
      <c r="BT43" s="1126">
        <v>1209.604</v>
      </c>
      <c r="BU43" s="1126">
        <v>2246.7930000000001</v>
      </c>
      <c r="BV43" s="1126">
        <v>24.175000000000001</v>
      </c>
      <c r="BW43" s="1075"/>
      <c r="BX43" s="1074"/>
      <c r="BY43" s="1074"/>
      <c r="BZ43" s="1074"/>
      <c r="CA43" s="1074"/>
      <c r="CB43" s="1074"/>
      <c r="CC43" s="502"/>
    </row>
    <row r="44" spans="1:81" s="728" customFormat="1" ht="14.4" customHeight="1" x14ac:dyDescent="0.55000000000000004">
      <c r="A44" s="93" t="s">
        <v>910</v>
      </c>
      <c r="B44" s="501"/>
      <c r="C44" s="619"/>
      <c r="D44" s="619"/>
      <c r="E44" s="619"/>
      <c r="F44" s="619"/>
      <c r="G44" s="619"/>
      <c r="H44" s="619"/>
      <c r="I44" s="619"/>
      <c r="J44" s="619"/>
      <c r="K44" s="619"/>
      <c r="L44" s="619"/>
      <c r="M44" s="619"/>
      <c r="N44" s="619"/>
      <c r="O44" s="619"/>
      <c r="P44" s="619"/>
      <c r="Q44" s="619"/>
      <c r="R44" s="619"/>
      <c r="S44" s="619"/>
      <c r="T44" s="619"/>
      <c r="U44" s="619"/>
      <c r="V44" s="619"/>
      <c r="W44" s="619"/>
      <c r="X44" s="619"/>
      <c r="Y44" s="619"/>
      <c r="Z44" s="619"/>
      <c r="AA44" s="619"/>
      <c r="AB44" s="619"/>
      <c r="AC44" s="619"/>
      <c r="AD44" s="619"/>
      <c r="AE44" s="619"/>
      <c r="AF44" s="619"/>
      <c r="AG44" s="619"/>
      <c r="AH44" s="619"/>
      <c r="AI44" s="619"/>
      <c r="AJ44" s="619"/>
      <c r="AK44" s="619"/>
      <c r="AL44" s="619"/>
      <c r="AM44" s="619"/>
      <c r="AN44" s="619"/>
      <c r="AO44" s="619"/>
      <c r="AP44" s="619"/>
      <c r="AQ44" s="619"/>
      <c r="AR44" s="619"/>
      <c r="AS44" s="619"/>
      <c r="AT44" s="619"/>
      <c r="AU44" s="619"/>
      <c r="AV44" s="619"/>
      <c r="AW44" s="619"/>
      <c r="AX44" s="619"/>
      <c r="AY44" s="673"/>
      <c r="AZ44" s="619"/>
      <c r="BA44" s="619"/>
      <c r="BB44" s="619"/>
      <c r="BC44" s="619"/>
      <c r="BD44" s="619"/>
      <c r="BE44" s="619"/>
      <c r="BF44" s="619"/>
      <c r="BG44" s="619"/>
      <c r="BH44" s="1127"/>
      <c r="BI44" s="1127"/>
      <c r="BJ44" s="1127"/>
      <c r="BK44" s="1127"/>
      <c r="BL44" s="1127"/>
      <c r="BM44" s="1127"/>
      <c r="BN44" s="1127"/>
      <c r="BO44" s="1127"/>
      <c r="BP44" s="1127"/>
      <c r="BQ44" s="1127"/>
      <c r="BR44" s="1127"/>
      <c r="BS44" s="1127">
        <f>SUM(BS40:BS43)</f>
        <v>69682.653999999995</v>
      </c>
      <c r="BT44" s="1127">
        <f>SUM(BT40:BT43)</f>
        <v>29076.693999999996</v>
      </c>
      <c r="BU44" s="1127">
        <f>SUM(BU40:BU43)</f>
        <v>22591.304000000004</v>
      </c>
      <c r="BV44" s="1127">
        <f>SUM(BV40:BV43)</f>
        <v>23506.958999999999</v>
      </c>
      <c r="BW44" s="1128"/>
      <c r="BX44" s="1127"/>
      <c r="BY44" s="1127"/>
      <c r="BZ44" s="1127"/>
      <c r="CA44" s="1127"/>
      <c r="CB44" s="1127"/>
      <c r="CC44" s="493"/>
    </row>
    <row r="45" spans="1:81" s="734" customFormat="1" ht="14.4" customHeight="1" x14ac:dyDescent="0.55000000000000004">
      <c r="A45" s="100" t="s">
        <v>911</v>
      </c>
      <c r="B45" s="131"/>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674"/>
      <c r="AZ45" s="85"/>
      <c r="BA45" s="85"/>
      <c r="BB45" s="85"/>
      <c r="BC45" s="85"/>
      <c r="BD45" s="85"/>
      <c r="BE45" s="85"/>
      <c r="BF45" s="85"/>
      <c r="BG45" s="85"/>
      <c r="BH45" s="1070"/>
      <c r="BI45" s="1070"/>
      <c r="BJ45" s="1070"/>
      <c r="BK45" s="1070"/>
      <c r="BL45" s="1070"/>
      <c r="BM45" s="1070"/>
      <c r="BN45" s="1070"/>
      <c r="BO45" s="1070"/>
      <c r="BP45" s="1070"/>
      <c r="BQ45" s="1070"/>
      <c r="BR45" s="1070"/>
      <c r="BS45" s="1070">
        <f>BS42/BS44</f>
        <v>0.97584193621557525</v>
      </c>
      <c r="BT45" s="1070">
        <f>BT42/BT44</f>
        <v>0.76246295400708219</v>
      </c>
      <c r="BU45" s="1070">
        <f>BU42/BU44</f>
        <v>0.81936177743436134</v>
      </c>
      <c r="BV45" s="1070">
        <f>BV42/BV44</f>
        <v>0.91432694462946051</v>
      </c>
      <c r="BW45" s="1071"/>
      <c r="BX45" s="1070"/>
      <c r="BY45" s="1070"/>
      <c r="BZ45" s="1070"/>
      <c r="CA45" s="1070"/>
      <c r="CB45" s="1070"/>
      <c r="CC45" s="504"/>
    </row>
    <row r="46" spans="1:81" s="735" customFormat="1" ht="14.4" customHeight="1" x14ac:dyDescent="0.55000000000000004">
      <c r="A46" s="100"/>
      <c r="B46" s="495"/>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76"/>
      <c r="AZ46" s="62"/>
      <c r="BA46" s="62"/>
      <c r="BB46" s="62"/>
      <c r="BC46" s="62"/>
      <c r="BD46" s="62"/>
      <c r="BE46" s="62"/>
      <c r="BF46" s="62"/>
      <c r="BG46" s="62"/>
      <c r="BH46" s="1052"/>
      <c r="BI46" s="1052"/>
      <c r="BJ46" s="1052"/>
      <c r="BK46" s="1052"/>
      <c r="BL46" s="1052"/>
      <c r="BM46" s="1052"/>
      <c r="BN46" s="1052"/>
      <c r="BO46" s="1052"/>
      <c r="BP46" s="1052"/>
      <c r="BQ46" s="1052"/>
      <c r="BR46" s="1052"/>
      <c r="BS46" s="1052"/>
      <c r="BT46" s="1052"/>
      <c r="BU46" s="1052"/>
      <c r="BV46" s="1052"/>
      <c r="BW46" s="1053"/>
      <c r="BX46" s="1052"/>
      <c r="BY46" s="1052"/>
      <c r="BZ46" s="1052"/>
      <c r="CA46" s="1052"/>
      <c r="CB46" s="1052"/>
      <c r="CC46" s="494"/>
    </row>
    <row r="47" spans="1:81" s="731" customFormat="1" ht="14.4" customHeight="1" x14ac:dyDescent="0.55000000000000004">
      <c r="A47" s="91" t="s">
        <v>912</v>
      </c>
      <c r="B47" s="97"/>
      <c r="C47" s="610"/>
      <c r="D47" s="610"/>
      <c r="E47" s="610"/>
      <c r="F47" s="610"/>
      <c r="G47" s="610"/>
      <c r="H47" s="610"/>
      <c r="I47" s="610"/>
      <c r="J47" s="610"/>
      <c r="K47" s="610"/>
      <c r="L47" s="610"/>
      <c r="M47" s="610"/>
      <c r="N47" s="610"/>
      <c r="O47" s="610"/>
      <c r="P47" s="610"/>
      <c r="Q47" s="610"/>
      <c r="R47" s="610"/>
      <c r="S47" s="610"/>
      <c r="T47" s="610"/>
      <c r="U47" s="610"/>
      <c r="V47" s="610"/>
      <c r="W47" s="610"/>
      <c r="X47" s="610"/>
      <c r="Y47" s="610"/>
      <c r="Z47" s="610"/>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597"/>
      <c r="AZ47" s="610"/>
      <c r="BA47" s="610"/>
      <c r="BB47" s="610"/>
      <c r="BC47" s="610"/>
      <c r="BD47" s="610"/>
      <c r="BE47" s="610"/>
      <c r="BF47" s="610"/>
      <c r="BG47" s="610"/>
      <c r="BH47" s="1074"/>
      <c r="BI47" s="1074"/>
      <c r="BJ47" s="1074"/>
      <c r="BK47" s="1074"/>
      <c r="BL47" s="1074"/>
      <c r="BM47" s="1074"/>
      <c r="BN47" s="1074"/>
      <c r="BO47" s="1074"/>
      <c r="BP47" s="1074"/>
      <c r="BQ47" s="1074"/>
      <c r="BR47" s="1074"/>
      <c r="BS47" s="1126">
        <v>263.464</v>
      </c>
      <c r="BT47" s="1126">
        <v>311.06200000000001</v>
      </c>
      <c r="BU47" s="1126">
        <v>374.15300000000002</v>
      </c>
      <c r="BV47" s="1126">
        <v>416.31299999999999</v>
      </c>
      <c r="BW47" s="1075"/>
      <c r="BX47" s="1074"/>
      <c r="BY47" s="1074"/>
      <c r="BZ47" s="1074"/>
      <c r="CA47" s="1074"/>
      <c r="CB47" s="1074"/>
      <c r="CC47" s="502"/>
    </row>
    <row r="48" spans="1:81" s="731" customFormat="1" ht="14.4" customHeight="1" x14ac:dyDescent="0.55000000000000004">
      <c r="A48" s="91" t="s">
        <v>913</v>
      </c>
      <c r="B48" s="97"/>
      <c r="C48" s="610"/>
      <c r="D48" s="610"/>
      <c r="E48" s="610"/>
      <c r="F48" s="610"/>
      <c r="G48" s="610"/>
      <c r="H48" s="610"/>
      <c r="I48" s="610"/>
      <c r="J48" s="610"/>
      <c r="K48" s="610"/>
      <c r="L48" s="610"/>
      <c r="M48" s="610"/>
      <c r="N48" s="610"/>
      <c r="O48" s="610"/>
      <c r="P48" s="610"/>
      <c r="Q48" s="610"/>
      <c r="R48" s="610"/>
      <c r="S48" s="610"/>
      <c r="T48" s="610"/>
      <c r="U48" s="610"/>
      <c r="V48" s="610"/>
      <c r="W48" s="610"/>
      <c r="X48" s="610"/>
      <c r="Y48" s="610"/>
      <c r="Z48" s="610"/>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597"/>
      <c r="AZ48" s="610"/>
      <c r="BA48" s="610"/>
      <c r="BB48" s="610"/>
      <c r="BC48" s="610"/>
      <c r="BD48" s="610"/>
      <c r="BE48" s="610"/>
      <c r="BF48" s="610"/>
      <c r="BG48" s="610"/>
      <c r="BH48" s="1074"/>
      <c r="BI48" s="1074"/>
      <c r="BJ48" s="1074"/>
      <c r="BK48" s="1074"/>
      <c r="BL48" s="1074"/>
      <c r="BM48" s="1074"/>
      <c r="BN48" s="1074"/>
      <c r="BO48" s="1074"/>
      <c r="BP48" s="1074"/>
      <c r="BQ48" s="1074"/>
      <c r="BR48" s="1074"/>
      <c r="BS48" s="1074"/>
      <c r="BT48" s="1074"/>
      <c r="BU48" s="1074"/>
      <c r="BV48" s="1074"/>
      <c r="BW48" s="1075"/>
      <c r="BX48" s="1074"/>
      <c r="BY48" s="1074"/>
      <c r="BZ48" s="1074"/>
      <c r="CA48" s="1074"/>
      <c r="CB48" s="1074"/>
      <c r="CC48" s="502"/>
    </row>
    <row r="49" spans="1:81" s="731" customFormat="1" ht="14.4" customHeight="1" x14ac:dyDescent="0.55000000000000004">
      <c r="A49" s="497" t="s">
        <v>914</v>
      </c>
      <c r="B49" s="505"/>
      <c r="C49" s="620"/>
      <c r="D49" s="620"/>
      <c r="E49" s="620"/>
      <c r="F49" s="620"/>
      <c r="G49" s="620"/>
      <c r="H49" s="620"/>
      <c r="I49" s="620"/>
      <c r="J49" s="620"/>
      <c r="K49" s="620"/>
      <c r="L49" s="620"/>
      <c r="M49" s="620"/>
      <c r="N49" s="620"/>
      <c r="O49" s="620"/>
      <c r="P49" s="620"/>
      <c r="Q49" s="620"/>
      <c r="R49" s="620"/>
      <c r="S49" s="620"/>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77"/>
      <c r="AZ49" s="620"/>
      <c r="BA49" s="620"/>
      <c r="BB49" s="620"/>
      <c r="BC49" s="620"/>
      <c r="BD49" s="620"/>
      <c r="BE49" s="620"/>
      <c r="BF49" s="620"/>
      <c r="BG49" s="620"/>
      <c r="BH49" s="1131"/>
      <c r="BI49" s="1131"/>
      <c r="BJ49" s="1131"/>
      <c r="BK49" s="1131"/>
      <c r="BL49" s="1131"/>
      <c r="BM49" s="1131"/>
      <c r="BN49" s="1131"/>
      <c r="BO49" s="1131"/>
      <c r="BP49" s="1131"/>
      <c r="BQ49" s="1131"/>
      <c r="BR49" s="1131"/>
      <c r="BS49" s="1131">
        <f>BS47+BS48</f>
        <v>263.464</v>
      </c>
      <c r="BT49" s="1131">
        <f>BT47+BT48</f>
        <v>311.06200000000001</v>
      </c>
      <c r="BU49" s="1131">
        <f>BU47+BU48</f>
        <v>374.15300000000002</v>
      </c>
      <c r="BV49" s="1131">
        <f>BV47+BV48</f>
        <v>416.31299999999999</v>
      </c>
      <c r="BW49" s="1132"/>
      <c r="BX49" s="1131"/>
      <c r="BY49" s="1131"/>
      <c r="BZ49" s="1131"/>
      <c r="CA49" s="1131"/>
      <c r="CB49" s="1131"/>
      <c r="CC49" s="502"/>
    </row>
    <row r="50" spans="1:81" s="735" customFormat="1" ht="14.4" customHeight="1" x14ac:dyDescent="0.55000000000000004">
      <c r="A50" s="448"/>
      <c r="B50" s="495"/>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76"/>
      <c r="AZ50" s="62"/>
      <c r="BA50" s="62"/>
      <c r="BB50" s="62"/>
      <c r="BC50" s="62"/>
      <c r="BD50" s="62"/>
      <c r="BE50" s="62"/>
      <c r="BF50" s="62"/>
      <c r="BG50" s="62"/>
      <c r="BH50" s="1052"/>
      <c r="BI50" s="1052"/>
      <c r="BJ50" s="1052"/>
      <c r="BK50" s="1052"/>
      <c r="BL50" s="1052"/>
      <c r="BM50" s="1052"/>
      <c r="BN50" s="1052"/>
      <c r="BO50" s="1052"/>
      <c r="BP50" s="1052"/>
      <c r="BQ50" s="1052"/>
      <c r="BR50" s="1052"/>
      <c r="BS50" s="1052"/>
      <c r="BT50" s="1052"/>
      <c r="BU50" s="1052"/>
      <c r="BV50" s="1052"/>
      <c r="BW50" s="1053"/>
      <c r="BX50" s="1052"/>
      <c r="BY50" s="1052"/>
      <c r="BZ50" s="1052"/>
      <c r="CA50" s="1052"/>
      <c r="CB50" s="1052"/>
      <c r="CC50" s="494"/>
    </row>
    <row r="51" spans="1:81" s="731" customFormat="1" ht="14.4" hidden="1" customHeight="1" outlineLevel="1" x14ac:dyDescent="0.55000000000000004">
      <c r="A51" s="91" t="s">
        <v>915</v>
      </c>
      <c r="B51" s="97"/>
      <c r="C51" s="610"/>
      <c r="D51" s="610"/>
      <c r="E51" s="610"/>
      <c r="F51" s="610"/>
      <c r="G51" s="610"/>
      <c r="H51" s="610"/>
      <c r="I51" s="610"/>
      <c r="J51" s="610"/>
      <c r="K51" s="610"/>
      <c r="L51" s="610"/>
      <c r="M51" s="610"/>
      <c r="N51" s="610"/>
      <c r="O51" s="610"/>
      <c r="P51" s="610"/>
      <c r="Q51" s="610"/>
      <c r="R51" s="610"/>
      <c r="S51" s="610"/>
      <c r="T51" s="610"/>
      <c r="U51" s="610"/>
      <c r="V51" s="61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597"/>
      <c r="AZ51" s="610"/>
      <c r="BA51" s="610"/>
      <c r="BB51" s="610"/>
      <c r="BC51" s="610"/>
      <c r="BD51" s="610"/>
      <c r="BE51" s="610"/>
      <c r="BF51" s="610"/>
      <c r="BG51" s="610"/>
      <c r="BH51" s="1074"/>
      <c r="BI51" s="1074"/>
      <c r="BJ51" s="1074"/>
      <c r="BK51" s="1074"/>
      <c r="BL51" s="1074"/>
      <c r="BM51" s="1074"/>
      <c r="BN51" s="1074"/>
      <c r="BO51" s="1074"/>
      <c r="BP51" s="1074"/>
      <c r="BQ51" s="1074"/>
      <c r="BR51" s="1074"/>
      <c r="BS51" s="1074"/>
      <c r="BT51" s="1074"/>
      <c r="BU51" s="1126">
        <v>819.40599999999995</v>
      </c>
      <c r="BV51" s="1074"/>
      <c r="BW51" s="1075"/>
      <c r="BX51" s="1074"/>
      <c r="BY51" s="1074"/>
      <c r="BZ51" s="1074"/>
      <c r="CA51" s="1074"/>
      <c r="CB51" s="1074"/>
      <c r="CC51" s="502"/>
    </row>
    <row r="52" spans="1:81" s="731" customFormat="1" ht="14.4" hidden="1" customHeight="1" outlineLevel="1" x14ac:dyDescent="0.55000000000000004">
      <c r="A52" s="91" t="s">
        <v>916</v>
      </c>
      <c r="B52" s="97"/>
      <c r="C52" s="610"/>
      <c r="D52" s="610"/>
      <c r="E52" s="610"/>
      <c r="F52" s="610"/>
      <c r="G52" s="610"/>
      <c r="H52" s="610"/>
      <c r="I52" s="610"/>
      <c r="J52" s="610"/>
      <c r="K52" s="610"/>
      <c r="L52" s="610"/>
      <c r="M52" s="610"/>
      <c r="N52" s="610"/>
      <c r="O52" s="610"/>
      <c r="P52" s="610"/>
      <c r="Q52" s="610"/>
      <c r="R52" s="610"/>
      <c r="S52" s="610"/>
      <c r="T52" s="610"/>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597"/>
      <c r="AZ52" s="610"/>
      <c r="BA52" s="610"/>
      <c r="BB52" s="610"/>
      <c r="BC52" s="610"/>
      <c r="BD52" s="610"/>
      <c r="BE52" s="610"/>
      <c r="BF52" s="610"/>
      <c r="BG52" s="610"/>
      <c r="BH52" s="1074"/>
      <c r="BI52" s="1074"/>
      <c r="BJ52" s="1074"/>
      <c r="BK52" s="1074"/>
      <c r="BL52" s="1074"/>
      <c r="BM52" s="1074"/>
      <c r="BN52" s="1074"/>
      <c r="BO52" s="1074"/>
      <c r="BP52" s="1074"/>
      <c r="BQ52" s="1074"/>
      <c r="BR52" s="1074"/>
      <c r="BS52" s="1074"/>
      <c r="BT52" s="1074"/>
      <c r="BU52" s="1126">
        <v>298.38499999999999</v>
      </c>
      <c r="BV52" s="1074"/>
      <c r="BW52" s="1075"/>
      <c r="BX52" s="1074"/>
      <c r="BY52" s="1074"/>
      <c r="BZ52" s="1074"/>
      <c r="CA52" s="1074"/>
      <c r="CB52" s="1074"/>
      <c r="CC52" s="502"/>
    </row>
    <row r="53" spans="1:81" s="731" customFormat="1" ht="14.4" hidden="1" customHeight="1" outlineLevel="1" x14ac:dyDescent="0.55000000000000004">
      <c r="A53" s="91" t="s">
        <v>917</v>
      </c>
      <c r="B53" s="97"/>
      <c r="C53" s="610"/>
      <c r="D53" s="610"/>
      <c r="E53" s="610"/>
      <c r="F53" s="610"/>
      <c r="G53" s="610"/>
      <c r="H53" s="610"/>
      <c r="I53" s="610"/>
      <c r="J53" s="610"/>
      <c r="K53" s="610"/>
      <c r="L53" s="610"/>
      <c r="M53" s="610"/>
      <c r="N53" s="610"/>
      <c r="O53" s="610"/>
      <c r="P53" s="610"/>
      <c r="Q53" s="610"/>
      <c r="R53" s="610"/>
      <c r="S53" s="610"/>
      <c r="T53" s="610"/>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597"/>
      <c r="AZ53" s="610"/>
      <c r="BA53" s="610"/>
      <c r="BB53" s="610"/>
      <c r="BC53" s="610"/>
      <c r="BD53" s="610"/>
      <c r="BE53" s="610"/>
      <c r="BF53" s="610"/>
      <c r="BG53" s="610"/>
      <c r="BH53" s="1074"/>
      <c r="BI53" s="1074"/>
      <c r="BJ53" s="1074"/>
      <c r="BK53" s="1074"/>
      <c r="BL53" s="1074"/>
      <c r="BM53" s="1074"/>
      <c r="BN53" s="1074"/>
      <c r="BO53" s="1074"/>
      <c r="BP53" s="1074"/>
      <c r="BQ53" s="1074"/>
      <c r="BR53" s="1074"/>
      <c r="BS53" s="1074"/>
      <c r="BT53" s="1074"/>
      <c r="BU53" s="1126">
        <v>18719.017</v>
      </c>
      <c r="BV53" s="1074"/>
      <c r="BW53" s="1075"/>
      <c r="BX53" s="1074"/>
      <c r="BY53" s="1074"/>
      <c r="BZ53" s="1074"/>
      <c r="CA53" s="1074"/>
      <c r="CB53" s="1074"/>
      <c r="CC53" s="502"/>
    </row>
    <row r="54" spans="1:81" s="731" customFormat="1" ht="14.4" hidden="1" customHeight="1" outlineLevel="1" x14ac:dyDescent="0.55000000000000004">
      <c r="A54" s="91" t="s">
        <v>918</v>
      </c>
      <c r="B54" s="97"/>
      <c r="C54" s="610"/>
      <c r="D54" s="610"/>
      <c r="E54" s="610"/>
      <c r="F54" s="610"/>
      <c r="G54" s="610"/>
      <c r="H54" s="610"/>
      <c r="I54" s="610"/>
      <c r="J54" s="610"/>
      <c r="K54" s="610"/>
      <c r="L54" s="610"/>
      <c r="M54" s="610"/>
      <c r="N54" s="610"/>
      <c r="O54" s="610"/>
      <c r="P54" s="610"/>
      <c r="Q54" s="610"/>
      <c r="R54" s="610"/>
      <c r="S54" s="610"/>
      <c r="T54" s="610"/>
      <c r="U54" s="610"/>
      <c r="V54" s="610"/>
      <c r="W54" s="610"/>
      <c r="X54" s="610"/>
      <c r="Y54" s="610"/>
      <c r="Z54" s="610"/>
      <c r="AA54" s="610"/>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597"/>
      <c r="AZ54" s="610"/>
      <c r="BA54" s="610"/>
      <c r="BB54" s="610"/>
      <c r="BC54" s="610"/>
      <c r="BD54" s="610"/>
      <c r="BE54" s="610"/>
      <c r="BF54" s="610"/>
      <c r="BG54" s="610"/>
      <c r="BH54" s="1074"/>
      <c r="BI54" s="1074"/>
      <c r="BJ54" s="1074"/>
      <c r="BK54" s="1074"/>
      <c r="BL54" s="1074"/>
      <c r="BM54" s="1074"/>
      <c r="BN54" s="1074"/>
      <c r="BO54" s="1074"/>
      <c r="BP54" s="1074"/>
      <c r="BQ54" s="1074"/>
      <c r="BR54" s="1074"/>
      <c r="BS54" s="1074"/>
      <c r="BT54" s="1074"/>
      <c r="BU54" s="1126">
        <v>13562.956</v>
      </c>
      <c r="BV54" s="1074"/>
      <c r="BW54" s="1075"/>
      <c r="BX54" s="1074"/>
      <c r="BY54" s="1074"/>
      <c r="BZ54" s="1074"/>
      <c r="CA54" s="1074"/>
      <c r="CB54" s="1074"/>
      <c r="CC54" s="502"/>
    </row>
    <row r="55" spans="1:81" s="728" customFormat="1" ht="14.4" hidden="1" customHeight="1" outlineLevel="1" x14ac:dyDescent="0.55000000000000004">
      <c r="A55" s="93" t="s">
        <v>919</v>
      </c>
      <c r="B55" s="501"/>
      <c r="C55" s="619"/>
      <c r="D55" s="619"/>
      <c r="E55" s="619"/>
      <c r="F55" s="619"/>
      <c r="G55" s="619"/>
      <c r="H55" s="619"/>
      <c r="I55" s="619"/>
      <c r="J55" s="619"/>
      <c r="K55" s="619"/>
      <c r="L55" s="619"/>
      <c r="M55" s="619"/>
      <c r="N55" s="619"/>
      <c r="O55" s="619"/>
      <c r="P55" s="619"/>
      <c r="Q55" s="619"/>
      <c r="R55" s="619"/>
      <c r="S55" s="619"/>
      <c r="T55" s="619"/>
      <c r="U55" s="619"/>
      <c r="V55" s="619"/>
      <c r="W55" s="619"/>
      <c r="X55" s="619"/>
      <c r="Y55" s="619"/>
      <c r="Z55" s="619"/>
      <c r="AA55" s="619"/>
      <c r="AB55" s="619"/>
      <c r="AC55" s="619"/>
      <c r="AD55" s="619"/>
      <c r="AE55" s="619"/>
      <c r="AF55" s="619"/>
      <c r="AG55" s="619"/>
      <c r="AH55" s="619"/>
      <c r="AI55" s="619"/>
      <c r="AJ55" s="619"/>
      <c r="AK55" s="619"/>
      <c r="AL55" s="619"/>
      <c r="AM55" s="619"/>
      <c r="AN55" s="619"/>
      <c r="AO55" s="619"/>
      <c r="AP55" s="619"/>
      <c r="AQ55" s="619"/>
      <c r="AR55" s="619"/>
      <c r="AS55" s="619"/>
      <c r="AT55" s="619"/>
      <c r="AU55" s="619"/>
      <c r="AV55" s="619"/>
      <c r="AW55" s="619"/>
      <c r="AX55" s="619"/>
      <c r="AY55" s="673"/>
      <c r="AZ55" s="619"/>
      <c r="BA55" s="619"/>
      <c r="BB55" s="619"/>
      <c r="BC55" s="619"/>
      <c r="BD55" s="619"/>
      <c r="BE55" s="619"/>
      <c r="BF55" s="619"/>
      <c r="BG55" s="619"/>
      <c r="BH55" s="1127"/>
      <c r="BI55" s="1127"/>
      <c r="BJ55" s="1127"/>
      <c r="BK55" s="1127"/>
      <c r="BL55" s="1127"/>
      <c r="BM55" s="1127"/>
      <c r="BN55" s="1127"/>
      <c r="BO55" s="1127"/>
      <c r="BP55" s="1127"/>
      <c r="BQ55" s="1127"/>
      <c r="BR55" s="1127"/>
      <c r="BS55" s="1127"/>
      <c r="BT55" s="1127"/>
      <c r="BU55" s="1127">
        <f>SUM(BU51:BU54)</f>
        <v>33399.764000000003</v>
      </c>
      <c r="BV55" s="1127"/>
      <c r="BW55" s="1128"/>
      <c r="BX55" s="1127"/>
      <c r="BY55" s="1127"/>
      <c r="BZ55" s="1127"/>
      <c r="CA55" s="1127"/>
      <c r="CB55" s="1127"/>
      <c r="CC55" s="493"/>
    </row>
    <row r="56" spans="1:81" s="731" customFormat="1" ht="14.4" hidden="1" customHeight="1" outlineLevel="1" x14ac:dyDescent="0.55000000000000004">
      <c r="A56" s="91" t="s">
        <v>920</v>
      </c>
      <c r="B56" s="97"/>
      <c r="C56" s="610"/>
      <c r="D56" s="610"/>
      <c r="E56" s="610"/>
      <c r="F56" s="610"/>
      <c r="G56" s="610"/>
      <c r="H56" s="610"/>
      <c r="I56" s="610"/>
      <c r="J56" s="610"/>
      <c r="K56" s="610"/>
      <c r="L56" s="610"/>
      <c r="M56" s="610"/>
      <c r="N56" s="610"/>
      <c r="O56" s="610"/>
      <c r="P56" s="610"/>
      <c r="Q56" s="610"/>
      <c r="R56" s="610"/>
      <c r="S56" s="610"/>
      <c r="T56" s="610"/>
      <c r="U56" s="610"/>
      <c r="V56" s="610"/>
      <c r="W56" s="610"/>
      <c r="X56" s="610"/>
      <c r="Y56" s="610"/>
      <c r="Z56" s="610"/>
      <c r="AA56" s="610"/>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597"/>
      <c r="AZ56" s="610"/>
      <c r="BA56" s="610"/>
      <c r="BB56" s="610"/>
      <c r="BC56" s="610"/>
      <c r="BD56" s="610"/>
      <c r="BE56" s="610"/>
      <c r="BF56" s="610"/>
      <c r="BG56" s="610"/>
      <c r="BH56" s="1074"/>
      <c r="BI56" s="1074"/>
      <c r="BJ56" s="1074"/>
      <c r="BK56" s="1074"/>
      <c r="BL56" s="1074"/>
      <c r="BM56" s="1074"/>
      <c r="BN56" s="1074"/>
      <c r="BO56" s="1074"/>
      <c r="BP56" s="1074"/>
      <c r="BQ56" s="1074"/>
      <c r="BR56" s="1074"/>
      <c r="BS56" s="1074"/>
      <c r="BT56" s="1074"/>
      <c r="BU56" s="1126">
        <v>987.04600000000005</v>
      </c>
      <c r="BV56" s="1074"/>
      <c r="BW56" s="1075"/>
      <c r="BX56" s="1074"/>
      <c r="BY56" s="1074"/>
      <c r="BZ56" s="1074"/>
      <c r="CA56" s="1074"/>
      <c r="CB56" s="1074"/>
      <c r="CC56" s="502"/>
    </row>
    <row r="57" spans="1:81" s="731" customFormat="1" ht="14.4" hidden="1" customHeight="1" outlineLevel="1" x14ac:dyDescent="0.55000000000000004">
      <c r="A57" s="91" t="s">
        <v>921</v>
      </c>
      <c r="B57" s="97"/>
      <c r="C57" s="610"/>
      <c r="D57" s="610"/>
      <c r="E57" s="610"/>
      <c r="F57" s="610"/>
      <c r="G57" s="610"/>
      <c r="H57" s="610"/>
      <c r="I57" s="610"/>
      <c r="J57" s="610"/>
      <c r="K57" s="610"/>
      <c r="L57" s="610"/>
      <c r="M57" s="610"/>
      <c r="N57" s="610"/>
      <c r="O57" s="610"/>
      <c r="P57" s="610"/>
      <c r="Q57" s="610"/>
      <c r="R57" s="610"/>
      <c r="S57" s="610"/>
      <c r="T57" s="610"/>
      <c r="U57" s="610"/>
      <c r="V57" s="610"/>
      <c r="W57" s="610"/>
      <c r="X57" s="610"/>
      <c r="Y57" s="610"/>
      <c r="Z57" s="610"/>
      <c r="AA57" s="610"/>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597"/>
      <c r="AZ57" s="610"/>
      <c r="BA57" s="610"/>
      <c r="BB57" s="610"/>
      <c r="BC57" s="610"/>
      <c r="BD57" s="610"/>
      <c r="BE57" s="610"/>
      <c r="BF57" s="610"/>
      <c r="BG57" s="610"/>
      <c r="BH57" s="1074"/>
      <c r="BI57" s="1074"/>
      <c r="BJ57" s="1074"/>
      <c r="BK57" s="1074"/>
      <c r="BL57" s="1074"/>
      <c r="BM57" s="1074"/>
      <c r="BN57" s="1074"/>
      <c r="BO57" s="1074"/>
      <c r="BP57" s="1074"/>
      <c r="BQ57" s="1074"/>
      <c r="BR57" s="1074"/>
      <c r="BS57" s="1074"/>
      <c r="BT57" s="1074"/>
      <c r="BU57" s="1126">
        <v>786.55200000000002</v>
      </c>
      <c r="BV57" s="1074"/>
      <c r="BW57" s="1075"/>
      <c r="BX57" s="1074"/>
      <c r="BY57" s="1074"/>
      <c r="BZ57" s="1074"/>
      <c r="CA57" s="1074"/>
      <c r="CB57" s="1074"/>
      <c r="CC57" s="502"/>
    </row>
    <row r="58" spans="1:81" s="731" customFormat="1" ht="14.4" hidden="1" customHeight="1" outlineLevel="1" x14ac:dyDescent="0.55000000000000004">
      <c r="A58" s="91" t="s">
        <v>922</v>
      </c>
      <c r="B58" s="97"/>
      <c r="C58" s="610"/>
      <c r="D58" s="610"/>
      <c r="E58" s="610"/>
      <c r="F58" s="610"/>
      <c r="G58" s="610"/>
      <c r="H58" s="610"/>
      <c r="I58" s="610"/>
      <c r="J58" s="610"/>
      <c r="K58" s="610"/>
      <c r="L58" s="610"/>
      <c r="M58" s="610"/>
      <c r="N58" s="610"/>
      <c r="O58" s="610"/>
      <c r="P58" s="610"/>
      <c r="Q58" s="610"/>
      <c r="R58" s="610"/>
      <c r="S58" s="610"/>
      <c r="T58" s="610"/>
      <c r="U58" s="610"/>
      <c r="V58" s="610"/>
      <c r="W58" s="610"/>
      <c r="X58" s="610"/>
      <c r="Y58" s="610"/>
      <c r="Z58" s="610"/>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597"/>
      <c r="AZ58" s="610"/>
      <c r="BA58" s="610"/>
      <c r="BB58" s="610"/>
      <c r="BC58" s="610"/>
      <c r="BD58" s="610"/>
      <c r="BE58" s="610"/>
      <c r="BF58" s="610"/>
      <c r="BG58" s="610"/>
      <c r="BH58" s="1074"/>
      <c r="BI58" s="1074"/>
      <c r="BJ58" s="1074"/>
      <c r="BK58" s="1074"/>
      <c r="BL58" s="1074"/>
      <c r="BM58" s="1074"/>
      <c r="BN58" s="1074"/>
      <c r="BO58" s="1074"/>
      <c r="BP58" s="1074"/>
      <c r="BQ58" s="1074"/>
      <c r="BR58" s="1074"/>
      <c r="BS58" s="1074"/>
      <c r="BT58" s="1074"/>
      <c r="BU58" s="1126">
        <v>18510.451000000001</v>
      </c>
      <c r="BV58" s="1074"/>
      <c r="BW58" s="1075"/>
      <c r="BX58" s="1074"/>
      <c r="BY58" s="1074"/>
      <c r="BZ58" s="1074"/>
      <c r="CA58" s="1074"/>
      <c r="CB58" s="1074"/>
      <c r="CC58" s="502"/>
    </row>
    <row r="59" spans="1:81" s="731" customFormat="1" ht="14.4" hidden="1" customHeight="1" outlineLevel="1" x14ac:dyDescent="0.55000000000000004">
      <c r="A59" s="91" t="s">
        <v>923</v>
      </c>
      <c r="B59" s="97"/>
      <c r="C59" s="610"/>
      <c r="D59" s="610"/>
      <c r="E59" s="610"/>
      <c r="F59" s="610"/>
      <c r="G59" s="610"/>
      <c r="H59" s="610"/>
      <c r="I59" s="610"/>
      <c r="J59" s="610"/>
      <c r="K59" s="610"/>
      <c r="L59" s="610"/>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597"/>
      <c r="AZ59" s="610"/>
      <c r="BA59" s="610"/>
      <c r="BB59" s="610"/>
      <c r="BC59" s="610"/>
      <c r="BD59" s="610"/>
      <c r="BE59" s="610"/>
      <c r="BF59" s="610"/>
      <c r="BG59" s="610"/>
      <c r="BH59" s="1074"/>
      <c r="BI59" s="1074"/>
      <c r="BJ59" s="1074"/>
      <c r="BK59" s="1074"/>
      <c r="BL59" s="1074"/>
      <c r="BM59" s="1074"/>
      <c r="BN59" s="1074"/>
      <c r="BO59" s="1074"/>
      <c r="BP59" s="1074"/>
      <c r="BQ59" s="1074"/>
      <c r="BR59" s="1074"/>
      <c r="BS59" s="1074"/>
      <c r="BT59" s="1074"/>
      <c r="BU59" s="1126">
        <v>983.11500000000001</v>
      </c>
      <c r="BV59" s="1074"/>
      <c r="BW59" s="1075"/>
      <c r="BX59" s="1074"/>
      <c r="BY59" s="1074"/>
      <c r="BZ59" s="1074"/>
      <c r="CA59" s="1074"/>
      <c r="CB59" s="1074"/>
      <c r="CC59" s="502"/>
    </row>
    <row r="60" spans="1:81" s="728" customFormat="1" ht="14.4" hidden="1" customHeight="1" outlineLevel="1" x14ac:dyDescent="0.55000000000000004">
      <c r="A60" s="93" t="s">
        <v>924</v>
      </c>
      <c r="B60" s="501"/>
      <c r="C60" s="619"/>
      <c r="D60" s="619"/>
      <c r="E60" s="619"/>
      <c r="F60" s="619"/>
      <c r="G60" s="619"/>
      <c r="H60" s="619"/>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619"/>
      <c r="AJ60" s="619"/>
      <c r="AK60" s="619"/>
      <c r="AL60" s="619"/>
      <c r="AM60" s="619"/>
      <c r="AN60" s="619"/>
      <c r="AO60" s="619"/>
      <c r="AP60" s="619"/>
      <c r="AQ60" s="619"/>
      <c r="AR60" s="619"/>
      <c r="AS60" s="619"/>
      <c r="AT60" s="619"/>
      <c r="AU60" s="619"/>
      <c r="AV60" s="619"/>
      <c r="AW60" s="619"/>
      <c r="AX60" s="619"/>
      <c r="AY60" s="673"/>
      <c r="AZ60" s="619"/>
      <c r="BA60" s="619"/>
      <c r="BB60" s="619"/>
      <c r="BC60" s="619"/>
      <c r="BD60" s="619"/>
      <c r="BE60" s="619"/>
      <c r="BF60" s="619"/>
      <c r="BG60" s="619"/>
      <c r="BH60" s="1127"/>
      <c r="BI60" s="1127"/>
      <c r="BJ60" s="1127"/>
      <c r="BK60" s="1127"/>
      <c r="BL60" s="1127"/>
      <c r="BM60" s="1127"/>
      <c r="BN60" s="1127"/>
      <c r="BO60" s="1127"/>
      <c r="BP60" s="1127"/>
      <c r="BQ60" s="1127"/>
      <c r="BR60" s="1127"/>
      <c r="BS60" s="1127"/>
      <c r="BT60" s="1127"/>
      <c r="BU60" s="1127">
        <f>SUM(BU56:BU59)</f>
        <v>21267.164000000001</v>
      </c>
      <c r="BV60" s="1127"/>
      <c r="BW60" s="1128"/>
      <c r="BX60" s="1127"/>
      <c r="BY60" s="1127"/>
      <c r="BZ60" s="1127"/>
      <c r="CA60" s="1127"/>
      <c r="CB60" s="1127"/>
      <c r="CC60" s="493"/>
    </row>
    <row r="61" spans="1:81" s="731" customFormat="1" ht="14.4" customHeight="1" collapsed="1" x14ac:dyDescent="0.55000000000000004">
      <c r="A61" s="91" t="s">
        <v>925</v>
      </c>
      <c r="B61" s="97"/>
      <c r="C61" s="610"/>
      <c r="D61" s="610"/>
      <c r="E61" s="610"/>
      <c r="F61" s="610"/>
      <c r="G61" s="610"/>
      <c r="H61" s="610"/>
      <c r="I61" s="610"/>
      <c r="J61" s="610"/>
      <c r="K61" s="610"/>
      <c r="L61" s="610"/>
      <c r="M61" s="610"/>
      <c r="N61" s="610"/>
      <c r="O61" s="610"/>
      <c r="P61" s="610"/>
      <c r="Q61" s="610"/>
      <c r="R61" s="610"/>
      <c r="S61" s="610"/>
      <c r="T61" s="610"/>
      <c r="U61" s="610"/>
      <c r="V61" s="610"/>
      <c r="W61" s="610"/>
      <c r="X61" s="610"/>
      <c r="Y61" s="610"/>
      <c r="Z61" s="610"/>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597"/>
      <c r="AZ61" s="610"/>
      <c r="BA61" s="610"/>
      <c r="BB61" s="610"/>
      <c r="BC61" s="610"/>
      <c r="BD61" s="610"/>
      <c r="BE61" s="610"/>
      <c r="BF61" s="610"/>
      <c r="BG61" s="610"/>
      <c r="BH61" s="1074"/>
      <c r="BI61" s="1074"/>
      <c r="BJ61" s="1074"/>
      <c r="BK61" s="1074"/>
      <c r="BL61" s="1074"/>
      <c r="BM61" s="1074"/>
      <c r="BN61" s="1074"/>
      <c r="BO61" s="1074"/>
      <c r="BP61" s="1074"/>
      <c r="BQ61" s="1074"/>
      <c r="BR61" s="1074"/>
      <c r="BS61" s="1126">
        <v>918.077</v>
      </c>
      <c r="BT61" s="1126">
        <v>954.61500000000001</v>
      </c>
      <c r="BU61" s="1074">
        <f>BU51+BU56</f>
        <v>1806.452</v>
      </c>
      <c r="BV61" s="1126">
        <v>1104.2339999999999</v>
      </c>
      <c r="BW61" s="1075"/>
      <c r="BX61" s="1074"/>
      <c r="BY61" s="1074"/>
      <c r="BZ61" s="1074"/>
      <c r="CA61" s="1074"/>
      <c r="CB61" s="1074"/>
      <c r="CC61" s="502"/>
    </row>
    <row r="62" spans="1:81" s="731" customFormat="1" ht="14.4" customHeight="1" x14ac:dyDescent="0.55000000000000004">
      <c r="A62" s="91" t="s">
        <v>926</v>
      </c>
      <c r="B62" s="97"/>
      <c r="C62" s="610"/>
      <c r="D62" s="610"/>
      <c r="E62" s="610"/>
      <c r="F62" s="610"/>
      <c r="G62" s="610"/>
      <c r="H62" s="610"/>
      <c r="I62" s="610"/>
      <c r="J62" s="610"/>
      <c r="K62" s="610"/>
      <c r="L62" s="610"/>
      <c r="M62" s="610"/>
      <c r="N62" s="610"/>
      <c r="O62" s="610"/>
      <c r="P62" s="610"/>
      <c r="Q62" s="610"/>
      <c r="R62" s="610"/>
      <c r="S62" s="610"/>
      <c r="T62" s="610"/>
      <c r="U62" s="610"/>
      <c r="V62" s="610"/>
      <c r="W62" s="610"/>
      <c r="X62" s="610"/>
      <c r="Y62" s="610"/>
      <c r="Z62" s="610"/>
      <c r="AA62" s="610"/>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597"/>
      <c r="AZ62" s="610"/>
      <c r="BA62" s="610"/>
      <c r="BB62" s="610"/>
      <c r="BC62" s="610"/>
      <c r="BD62" s="610"/>
      <c r="BE62" s="610"/>
      <c r="BF62" s="610"/>
      <c r="BG62" s="610"/>
      <c r="BH62" s="1074"/>
      <c r="BI62" s="1074"/>
      <c r="BJ62" s="1074"/>
      <c r="BK62" s="1074"/>
      <c r="BL62" s="1074"/>
      <c r="BM62" s="1074"/>
      <c r="BN62" s="1074"/>
      <c r="BO62" s="1074"/>
      <c r="BP62" s="1074"/>
      <c r="BQ62" s="1074"/>
      <c r="BR62" s="1074"/>
      <c r="BS62" s="1126">
        <v>946.76700000000005</v>
      </c>
      <c r="BT62" s="1126">
        <v>849.447</v>
      </c>
      <c r="BU62" s="1074">
        <f>BU52+BU57</f>
        <v>1084.9369999999999</v>
      </c>
      <c r="BV62" s="1126">
        <v>1238.568</v>
      </c>
      <c r="BW62" s="1075"/>
      <c r="BX62" s="1074"/>
      <c r="BY62" s="1074"/>
      <c r="BZ62" s="1074"/>
      <c r="CA62" s="1074"/>
      <c r="CB62" s="1074"/>
      <c r="CC62" s="502"/>
    </row>
    <row r="63" spans="1:81" s="731" customFormat="1" ht="14.4" customHeight="1" x14ac:dyDescent="0.55000000000000004">
      <c r="A63" s="91" t="s">
        <v>927</v>
      </c>
      <c r="B63" s="97"/>
      <c r="C63" s="610"/>
      <c r="D63" s="610"/>
      <c r="E63" s="610"/>
      <c r="F63" s="610"/>
      <c r="G63" s="610"/>
      <c r="H63" s="610"/>
      <c r="I63" s="610"/>
      <c r="J63" s="610"/>
      <c r="K63" s="610"/>
      <c r="L63" s="610"/>
      <c r="M63" s="610"/>
      <c r="N63" s="610"/>
      <c r="O63" s="610"/>
      <c r="P63" s="610"/>
      <c r="Q63" s="610"/>
      <c r="R63" s="610"/>
      <c r="S63" s="610"/>
      <c r="T63" s="610"/>
      <c r="U63" s="610"/>
      <c r="V63" s="610"/>
      <c r="W63" s="610"/>
      <c r="X63" s="610"/>
      <c r="Y63" s="610"/>
      <c r="Z63" s="610"/>
      <c r="AA63" s="610"/>
      <c r="AB63" s="610"/>
      <c r="AC63" s="610"/>
      <c r="AD63" s="610"/>
      <c r="AE63" s="610"/>
      <c r="AF63" s="610"/>
      <c r="AG63" s="610"/>
      <c r="AH63" s="610"/>
      <c r="AI63" s="610"/>
      <c r="AJ63" s="610"/>
      <c r="AK63" s="610"/>
      <c r="AL63" s="610"/>
      <c r="AM63" s="610"/>
      <c r="AN63" s="610"/>
      <c r="AO63" s="610"/>
      <c r="AP63" s="610"/>
      <c r="AQ63" s="610"/>
      <c r="AR63" s="610"/>
      <c r="AS63" s="610"/>
      <c r="AT63" s="610"/>
      <c r="AU63" s="610"/>
      <c r="AV63" s="610"/>
      <c r="AW63" s="610"/>
      <c r="AX63" s="610"/>
      <c r="AY63" s="597"/>
      <c r="AZ63" s="610"/>
      <c r="BA63" s="610"/>
      <c r="BB63" s="610"/>
      <c r="BC63" s="610"/>
      <c r="BD63" s="610"/>
      <c r="BE63" s="610"/>
      <c r="BF63" s="610"/>
      <c r="BG63" s="610"/>
      <c r="BH63" s="1074"/>
      <c r="BI63" s="1074"/>
      <c r="BJ63" s="1074"/>
      <c r="BK63" s="1074"/>
      <c r="BL63" s="1074"/>
      <c r="BM63" s="1074"/>
      <c r="BN63" s="1074"/>
      <c r="BO63" s="1074"/>
      <c r="BP63" s="1074"/>
      <c r="BQ63" s="1074"/>
      <c r="BR63" s="1074"/>
      <c r="BS63" s="1126">
        <v>14370.187</v>
      </c>
      <c r="BT63" s="1126">
        <v>22169.901999999998</v>
      </c>
      <c r="BU63" s="1074">
        <f>BU53+BU58</f>
        <v>37229.468000000001</v>
      </c>
      <c r="BV63" s="1126">
        <v>21493.045999999998</v>
      </c>
      <c r="BW63" s="1075"/>
      <c r="BX63" s="1074"/>
      <c r="BY63" s="1074"/>
      <c r="BZ63" s="1074"/>
      <c r="CA63" s="1074"/>
      <c r="CB63" s="1074"/>
      <c r="CC63" s="502"/>
    </row>
    <row r="64" spans="1:81" s="731" customFormat="1" ht="14.4" customHeight="1" x14ac:dyDescent="0.55000000000000004">
      <c r="A64" s="91" t="s">
        <v>928</v>
      </c>
      <c r="B64" s="97"/>
      <c r="C64" s="610"/>
      <c r="D64" s="610"/>
      <c r="E64" s="610"/>
      <c r="F64" s="610"/>
      <c r="G64" s="610"/>
      <c r="H64" s="610"/>
      <c r="I64" s="610"/>
      <c r="J64" s="610"/>
      <c r="K64" s="610"/>
      <c r="L64" s="610"/>
      <c r="M64" s="610"/>
      <c r="N64" s="610"/>
      <c r="O64" s="610"/>
      <c r="P64" s="610"/>
      <c r="Q64" s="610"/>
      <c r="R64" s="610"/>
      <c r="S64" s="610"/>
      <c r="T64" s="610"/>
      <c r="U64" s="610"/>
      <c r="V64" s="610"/>
      <c r="W64" s="610"/>
      <c r="X64" s="610"/>
      <c r="Y64" s="610"/>
      <c r="Z64" s="610"/>
      <c r="AA64" s="610"/>
      <c r="AB64" s="610"/>
      <c r="AC64" s="610"/>
      <c r="AD64" s="610"/>
      <c r="AE64" s="610"/>
      <c r="AF64" s="610"/>
      <c r="AG64" s="610"/>
      <c r="AH64" s="610"/>
      <c r="AI64" s="610"/>
      <c r="AJ64" s="610"/>
      <c r="AK64" s="610"/>
      <c r="AL64" s="610"/>
      <c r="AM64" s="610"/>
      <c r="AN64" s="610"/>
      <c r="AO64" s="610"/>
      <c r="AP64" s="610"/>
      <c r="AQ64" s="610"/>
      <c r="AR64" s="610"/>
      <c r="AS64" s="610"/>
      <c r="AT64" s="610"/>
      <c r="AU64" s="610"/>
      <c r="AV64" s="610"/>
      <c r="AW64" s="610"/>
      <c r="AX64" s="610"/>
      <c r="AY64" s="597"/>
      <c r="AZ64" s="610"/>
      <c r="BA64" s="610"/>
      <c r="BB64" s="610"/>
      <c r="BC64" s="610"/>
      <c r="BD64" s="610"/>
      <c r="BE64" s="610"/>
      <c r="BF64" s="610"/>
      <c r="BG64" s="610"/>
      <c r="BH64" s="1074"/>
      <c r="BI64" s="1074"/>
      <c r="BJ64" s="1074"/>
      <c r="BK64" s="1074"/>
      <c r="BL64" s="1074"/>
      <c r="BM64" s="1074"/>
      <c r="BN64" s="1074"/>
      <c r="BO64" s="1074"/>
      <c r="BP64" s="1074"/>
      <c r="BQ64" s="1074"/>
      <c r="BR64" s="1074"/>
      <c r="BS64" s="1126">
        <v>8518.973</v>
      </c>
      <c r="BT64" s="1126">
        <v>11274.937</v>
      </c>
      <c r="BU64" s="1074">
        <f>BU54+BU59</f>
        <v>14546.071</v>
      </c>
      <c r="BV64" s="1126">
        <v>1722.64</v>
      </c>
      <c r="BW64" s="1075"/>
      <c r="BX64" s="1074"/>
      <c r="BY64" s="1074"/>
      <c r="BZ64" s="1074"/>
      <c r="CA64" s="1074"/>
      <c r="CB64" s="1074"/>
      <c r="CC64" s="502"/>
    </row>
    <row r="65" spans="1:81" s="728" customFormat="1" ht="14.4" customHeight="1" x14ac:dyDescent="0.55000000000000004">
      <c r="A65" s="93" t="s">
        <v>929</v>
      </c>
      <c r="B65" s="501"/>
      <c r="C65" s="619"/>
      <c r="D65" s="619"/>
      <c r="E65" s="619"/>
      <c r="F65" s="619"/>
      <c r="G65" s="619"/>
      <c r="H65" s="619"/>
      <c r="I65" s="619"/>
      <c r="J65" s="619"/>
      <c r="K65" s="619"/>
      <c r="L65" s="619"/>
      <c r="M65" s="619"/>
      <c r="N65" s="619"/>
      <c r="O65" s="619"/>
      <c r="P65" s="619"/>
      <c r="Q65" s="619"/>
      <c r="R65" s="619"/>
      <c r="S65" s="619"/>
      <c r="T65" s="619"/>
      <c r="U65" s="619"/>
      <c r="V65" s="619"/>
      <c r="W65" s="619"/>
      <c r="X65" s="619"/>
      <c r="Y65" s="619"/>
      <c r="Z65" s="619"/>
      <c r="AA65" s="619"/>
      <c r="AB65" s="619"/>
      <c r="AC65" s="619"/>
      <c r="AD65" s="619"/>
      <c r="AE65" s="619"/>
      <c r="AF65" s="619"/>
      <c r="AG65" s="619"/>
      <c r="AH65" s="619"/>
      <c r="AI65" s="619"/>
      <c r="AJ65" s="619"/>
      <c r="AK65" s="619"/>
      <c r="AL65" s="619"/>
      <c r="AM65" s="619"/>
      <c r="AN65" s="619"/>
      <c r="AO65" s="619"/>
      <c r="AP65" s="619"/>
      <c r="AQ65" s="619"/>
      <c r="AR65" s="619"/>
      <c r="AS65" s="619"/>
      <c r="AT65" s="619"/>
      <c r="AU65" s="619"/>
      <c r="AV65" s="619"/>
      <c r="AW65" s="619"/>
      <c r="AX65" s="619"/>
      <c r="AY65" s="673"/>
      <c r="AZ65" s="619"/>
      <c r="BA65" s="619"/>
      <c r="BB65" s="619"/>
      <c r="BC65" s="619"/>
      <c r="BD65" s="619"/>
      <c r="BE65" s="619"/>
      <c r="BF65" s="619"/>
      <c r="BG65" s="619"/>
      <c r="BH65" s="1127"/>
      <c r="BI65" s="1127"/>
      <c r="BJ65" s="1127"/>
      <c r="BK65" s="1127"/>
      <c r="BL65" s="1127"/>
      <c r="BM65" s="1127"/>
      <c r="BN65" s="1127"/>
      <c r="BO65" s="1127"/>
      <c r="BP65" s="1127"/>
      <c r="BQ65" s="1127"/>
      <c r="BR65" s="1127"/>
      <c r="BS65" s="1127">
        <f>SUM(BS61:BS64)</f>
        <v>24754.004000000001</v>
      </c>
      <c r="BT65" s="1127">
        <f>SUM(BT61:BT64)</f>
        <v>35248.900999999998</v>
      </c>
      <c r="BU65" s="1127">
        <f>SUM(BU61:BU64)</f>
        <v>54666.928</v>
      </c>
      <c r="BV65" s="1127">
        <f>SUM(BV61:BV64)</f>
        <v>25558.487999999998</v>
      </c>
      <c r="BW65" s="1128"/>
      <c r="BX65" s="1127"/>
      <c r="BY65" s="1127"/>
      <c r="BZ65" s="1127"/>
      <c r="CA65" s="1127"/>
      <c r="CB65" s="1127"/>
      <c r="CC65" s="493"/>
    </row>
    <row r="66" spans="1:81" s="734" customFormat="1" ht="14.4" customHeight="1" x14ac:dyDescent="0.55000000000000004">
      <c r="A66" s="100" t="s">
        <v>930</v>
      </c>
      <c r="B66" s="131"/>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674"/>
      <c r="AZ66" s="85"/>
      <c r="BA66" s="85"/>
      <c r="BB66" s="85"/>
      <c r="BC66" s="85"/>
      <c r="BD66" s="85"/>
      <c r="BE66" s="85"/>
      <c r="BF66" s="85"/>
      <c r="BG66" s="85"/>
      <c r="BH66" s="1070"/>
      <c r="BI66" s="1070"/>
      <c r="BJ66" s="1070"/>
      <c r="BK66" s="1070"/>
      <c r="BL66" s="1070"/>
      <c r="BM66" s="1070"/>
      <c r="BN66" s="1070"/>
      <c r="BO66" s="1070"/>
      <c r="BP66" s="1070"/>
      <c r="BQ66" s="1070"/>
      <c r="BR66" s="1070"/>
      <c r="BS66" s="1070">
        <f>BS63/BS65</f>
        <v>0.58051970097443628</v>
      </c>
      <c r="BT66" s="1070">
        <f>BT63/BT65</f>
        <v>0.62895299913038427</v>
      </c>
      <c r="BU66" s="1070">
        <f>BU63/BU65</f>
        <v>0.68102359803353141</v>
      </c>
      <c r="BV66" s="1070">
        <f>BV63/BV65</f>
        <v>0.8409357392346527</v>
      </c>
      <c r="BW66" s="1071"/>
      <c r="BX66" s="1070"/>
      <c r="BY66" s="1070"/>
      <c r="BZ66" s="1070"/>
      <c r="CA66" s="1070"/>
      <c r="CB66" s="1070"/>
      <c r="CC66" s="504"/>
    </row>
    <row r="67" spans="1:81" s="735" customFormat="1" ht="14.4" customHeight="1" x14ac:dyDescent="0.55000000000000004">
      <c r="A67" s="100"/>
      <c r="B67" s="495"/>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76"/>
      <c r="AZ67" s="62"/>
      <c r="BA67" s="62"/>
      <c r="BB67" s="62"/>
      <c r="BC67" s="62"/>
      <c r="BD67" s="62"/>
      <c r="BE67" s="62"/>
      <c r="BF67" s="62"/>
      <c r="BG67" s="62"/>
      <c r="BH67" s="1052"/>
      <c r="BI67" s="1052"/>
      <c r="BJ67" s="1052"/>
      <c r="BK67" s="1052"/>
      <c r="BL67" s="1052"/>
      <c r="BM67" s="1052"/>
      <c r="BN67" s="1052"/>
      <c r="BO67" s="1052"/>
      <c r="BP67" s="1052"/>
      <c r="BQ67" s="1052"/>
      <c r="BR67" s="1052"/>
      <c r="BS67" s="1052"/>
      <c r="BT67" s="1052"/>
      <c r="BU67" s="1052"/>
      <c r="BV67" s="1052"/>
      <c r="BW67" s="1053"/>
      <c r="BX67" s="1052"/>
      <c r="BY67" s="1052"/>
      <c r="BZ67" s="1052"/>
      <c r="CA67" s="1052"/>
      <c r="CB67" s="1052"/>
      <c r="CC67" s="494"/>
    </row>
    <row r="68" spans="1:81" s="731" customFormat="1" ht="14.4" customHeight="1" x14ac:dyDescent="0.55000000000000004">
      <c r="A68" s="91" t="s">
        <v>931</v>
      </c>
      <c r="B68" s="97"/>
      <c r="C68" s="610"/>
      <c r="D68" s="610"/>
      <c r="E68" s="610"/>
      <c r="F68" s="610"/>
      <c r="G68" s="610"/>
      <c r="H68" s="610"/>
      <c r="I68" s="610"/>
      <c r="J68" s="610"/>
      <c r="K68" s="610"/>
      <c r="L68" s="610"/>
      <c r="M68" s="610"/>
      <c r="N68" s="610"/>
      <c r="O68" s="610"/>
      <c r="P68" s="610"/>
      <c r="Q68" s="610"/>
      <c r="R68" s="610"/>
      <c r="S68" s="610"/>
      <c r="T68" s="610"/>
      <c r="U68" s="610"/>
      <c r="V68" s="610"/>
      <c r="W68" s="610"/>
      <c r="X68" s="610"/>
      <c r="Y68" s="610"/>
      <c r="Z68" s="610"/>
      <c r="AA68" s="610"/>
      <c r="AB68" s="610"/>
      <c r="AC68" s="610"/>
      <c r="AD68" s="610"/>
      <c r="AE68" s="610"/>
      <c r="AF68" s="610"/>
      <c r="AG68" s="610"/>
      <c r="AH68" s="610"/>
      <c r="AI68" s="610"/>
      <c r="AJ68" s="610"/>
      <c r="AK68" s="610"/>
      <c r="AL68" s="610"/>
      <c r="AM68" s="610"/>
      <c r="AN68" s="610"/>
      <c r="AO68" s="610"/>
      <c r="AP68" s="610"/>
      <c r="AQ68" s="610"/>
      <c r="AR68" s="610"/>
      <c r="AS68" s="610"/>
      <c r="AT68" s="610"/>
      <c r="AU68" s="610"/>
      <c r="AV68" s="610"/>
      <c r="AW68" s="610"/>
      <c r="AX68" s="610"/>
      <c r="AY68" s="597"/>
      <c r="AZ68" s="610"/>
      <c r="BA68" s="610"/>
      <c r="BB68" s="610"/>
      <c r="BC68" s="610"/>
      <c r="BD68" s="610"/>
      <c r="BE68" s="610"/>
      <c r="BF68" s="610"/>
      <c r="BG68" s="610"/>
      <c r="BH68" s="1074"/>
      <c r="BI68" s="1074"/>
      <c r="BJ68" s="1074"/>
      <c r="BK68" s="1074"/>
      <c r="BL68" s="1074"/>
      <c r="BM68" s="1074"/>
      <c r="BN68" s="1074"/>
      <c r="BO68" s="1074"/>
      <c r="BP68" s="1074"/>
      <c r="BQ68" s="1074"/>
      <c r="BR68" s="1074"/>
      <c r="BS68" s="1126">
        <v>1379.1790000000001</v>
      </c>
      <c r="BT68" s="1126">
        <v>1495.605</v>
      </c>
      <c r="BU68" s="1126">
        <v>110.33199999999999</v>
      </c>
      <c r="BV68" s="1126">
        <v>117.39700000000001</v>
      </c>
      <c r="BW68" s="1075"/>
      <c r="BX68" s="1074"/>
      <c r="BY68" s="1074"/>
      <c r="BZ68" s="1074"/>
      <c r="CA68" s="1074"/>
      <c r="CB68" s="1074"/>
      <c r="CC68" s="502"/>
    </row>
    <row r="69" spans="1:81" s="731" customFormat="1" ht="14.4" customHeight="1" x14ac:dyDescent="0.55000000000000004">
      <c r="A69" s="91" t="s">
        <v>932</v>
      </c>
      <c r="B69" s="97"/>
      <c r="C69" s="610"/>
      <c r="D69" s="610"/>
      <c r="E69" s="610"/>
      <c r="F69" s="610"/>
      <c r="G69" s="610"/>
      <c r="H69" s="610"/>
      <c r="I69" s="610"/>
      <c r="J69" s="610"/>
      <c r="K69" s="610"/>
      <c r="L69" s="610"/>
      <c r="M69" s="610"/>
      <c r="N69" s="610"/>
      <c r="O69" s="610"/>
      <c r="P69" s="610"/>
      <c r="Q69" s="610"/>
      <c r="R69" s="610"/>
      <c r="S69" s="610"/>
      <c r="T69" s="610"/>
      <c r="U69" s="610"/>
      <c r="V69" s="610"/>
      <c r="W69" s="610"/>
      <c r="X69" s="610"/>
      <c r="Y69" s="610"/>
      <c r="Z69" s="610"/>
      <c r="AA69" s="610"/>
      <c r="AB69" s="610"/>
      <c r="AC69" s="610"/>
      <c r="AD69" s="610"/>
      <c r="AE69" s="610"/>
      <c r="AF69" s="610"/>
      <c r="AG69" s="610"/>
      <c r="AH69" s="610"/>
      <c r="AI69" s="610"/>
      <c r="AJ69" s="610"/>
      <c r="AK69" s="610"/>
      <c r="AL69" s="610"/>
      <c r="AM69" s="610"/>
      <c r="AN69" s="610"/>
      <c r="AO69" s="610"/>
      <c r="AP69" s="610"/>
      <c r="AQ69" s="610"/>
      <c r="AR69" s="610"/>
      <c r="AS69" s="610"/>
      <c r="AT69" s="610"/>
      <c r="AU69" s="610"/>
      <c r="AV69" s="610"/>
      <c r="AW69" s="610"/>
      <c r="AX69" s="610"/>
      <c r="AY69" s="597"/>
      <c r="AZ69" s="610"/>
      <c r="BA69" s="610"/>
      <c r="BB69" s="610"/>
      <c r="BC69" s="610"/>
      <c r="BD69" s="610"/>
      <c r="BE69" s="610"/>
      <c r="BF69" s="610"/>
      <c r="BG69" s="610"/>
      <c r="BH69" s="1074"/>
      <c r="BI69" s="1074"/>
      <c r="BJ69" s="1074"/>
      <c r="BK69" s="1074"/>
      <c r="BL69" s="1074"/>
      <c r="BM69" s="1074"/>
      <c r="BN69" s="1074"/>
      <c r="BO69" s="1074"/>
      <c r="BP69" s="1074"/>
      <c r="BQ69" s="1074"/>
      <c r="BR69" s="1074"/>
      <c r="BS69" s="1074"/>
      <c r="BT69" s="1074"/>
      <c r="BU69" s="1074"/>
      <c r="BV69" s="1074"/>
      <c r="BW69" s="1075"/>
      <c r="BX69" s="1074"/>
      <c r="BY69" s="1074"/>
      <c r="BZ69" s="1074"/>
      <c r="CA69" s="1074"/>
      <c r="CB69" s="1074"/>
      <c r="CC69" s="502"/>
    </row>
    <row r="70" spans="1:81" s="731" customFormat="1" ht="14.4" customHeight="1" x14ac:dyDescent="0.55000000000000004">
      <c r="A70" s="497" t="s">
        <v>933</v>
      </c>
      <c r="B70" s="505"/>
      <c r="C70" s="620"/>
      <c r="D70" s="620"/>
      <c r="E70" s="620"/>
      <c r="F70" s="620"/>
      <c r="G70" s="620"/>
      <c r="H70" s="620"/>
      <c r="I70" s="620"/>
      <c r="J70" s="620"/>
      <c r="K70" s="620"/>
      <c r="L70" s="620"/>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77"/>
      <c r="AZ70" s="620"/>
      <c r="BA70" s="620"/>
      <c r="BB70" s="620"/>
      <c r="BC70" s="620"/>
      <c r="BD70" s="620"/>
      <c r="BE70" s="620"/>
      <c r="BF70" s="620"/>
      <c r="BG70" s="620"/>
      <c r="BH70" s="1131"/>
      <c r="BI70" s="1131"/>
      <c r="BJ70" s="1131"/>
      <c r="BK70" s="1131"/>
      <c r="BL70" s="1131"/>
      <c r="BM70" s="1131"/>
      <c r="BN70" s="1131"/>
      <c r="BO70" s="1131"/>
      <c r="BP70" s="1131"/>
      <c r="BQ70" s="1131"/>
      <c r="BR70" s="1131"/>
      <c r="BS70" s="1131">
        <f>BS68+BS69</f>
        <v>1379.1790000000001</v>
      </c>
      <c r="BT70" s="1131">
        <f>BT68+BT69</f>
        <v>1495.605</v>
      </c>
      <c r="BU70" s="1131">
        <f>BU68+BU69</f>
        <v>110.33199999999999</v>
      </c>
      <c r="BV70" s="1131">
        <f>BV68+BV69</f>
        <v>117.39700000000001</v>
      </c>
      <c r="BW70" s="1132"/>
      <c r="BX70" s="1131"/>
      <c r="BY70" s="1131"/>
      <c r="BZ70" s="1131"/>
      <c r="CA70" s="1131"/>
      <c r="CB70" s="1131"/>
      <c r="CC70" s="502"/>
    </row>
    <row r="71" spans="1:81" s="735" customFormat="1" ht="14.4" customHeight="1" x14ac:dyDescent="0.55000000000000004">
      <c r="A71" s="448"/>
      <c r="B71" s="495"/>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76"/>
      <c r="AZ71" s="62"/>
      <c r="BA71" s="62"/>
      <c r="BB71" s="62"/>
      <c r="BC71" s="62"/>
      <c r="BD71" s="62"/>
      <c r="BE71" s="62"/>
      <c r="BF71" s="62"/>
      <c r="BG71" s="62"/>
      <c r="BH71" s="1052"/>
      <c r="BI71" s="1052"/>
      <c r="BJ71" s="1052"/>
      <c r="BK71" s="1052"/>
      <c r="BL71" s="1052"/>
      <c r="BM71" s="1052"/>
      <c r="BN71" s="1052"/>
      <c r="BO71" s="1052"/>
      <c r="BP71" s="1052"/>
      <c r="BQ71" s="1052"/>
      <c r="BR71" s="1052"/>
      <c r="BS71" s="1052"/>
      <c r="BT71" s="1052"/>
      <c r="BU71" s="1052"/>
      <c r="BV71" s="1052"/>
      <c r="BW71" s="1053"/>
      <c r="BX71" s="1052"/>
      <c r="BY71" s="1052"/>
      <c r="BZ71" s="1052"/>
      <c r="CA71" s="1052"/>
      <c r="CB71" s="1052"/>
      <c r="CC71" s="494"/>
    </row>
    <row r="72" spans="1:81" s="731" customFormat="1" ht="14.4" customHeight="1" collapsed="1" x14ac:dyDescent="0.55000000000000004">
      <c r="A72" s="91" t="s">
        <v>934</v>
      </c>
      <c r="B72" s="97"/>
      <c r="C72" s="610"/>
      <c r="D72" s="610"/>
      <c r="E72" s="610"/>
      <c r="F72" s="610"/>
      <c r="G72" s="610"/>
      <c r="H72" s="610"/>
      <c r="I72" s="610"/>
      <c r="J72" s="610"/>
      <c r="K72" s="610"/>
      <c r="L72" s="610"/>
      <c r="M72" s="610"/>
      <c r="N72" s="610"/>
      <c r="O72" s="610"/>
      <c r="P72" s="610"/>
      <c r="Q72" s="610"/>
      <c r="R72" s="610"/>
      <c r="S72" s="610"/>
      <c r="T72" s="610"/>
      <c r="U72" s="610"/>
      <c r="V72" s="610"/>
      <c r="W72" s="610"/>
      <c r="X72" s="610"/>
      <c r="Y72" s="610"/>
      <c r="Z72" s="610"/>
      <c r="AA72" s="610"/>
      <c r="AB72" s="610"/>
      <c r="AC72" s="610"/>
      <c r="AD72" s="610"/>
      <c r="AE72" s="610"/>
      <c r="AF72" s="610"/>
      <c r="AG72" s="610"/>
      <c r="AH72" s="610"/>
      <c r="AI72" s="610"/>
      <c r="AJ72" s="610"/>
      <c r="AK72" s="610"/>
      <c r="AL72" s="610"/>
      <c r="AM72" s="610"/>
      <c r="AN72" s="610"/>
      <c r="AO72" s="610"/>
      <c r="AP72" s="610"/>
      <c r="AQ72" s="610"/>
      <c r="AR72" s="610"/>
      <c r="AS72" s="610"/>
      <c r="AT72" s="610"/>
      <c r="AU72" s="610"/>
      <c r="AV72" s="610"/>
      <c r="AW72" s="610"/>
      <c r="AX72" s="610"/>
      <c r="AY72" s="597"/>
      <c r="AZ72" s="610"/>
      <c r="BA72" s="610"/>
      <c r="BB72" s="610"/>
      <c r="BC72" s="610"/>
      <c r="BD72" s="610"/>
      <c r="BE72" s="610"/>
      <c r="BF72" s="610"/>
      <c r="BG72" s="610"/>
      <c r="BH72" s="1074"/>
      <c r="BI72" s="1074"/>
      <c r="BJ72" s="1074"/>
      <c r="BK72" s="1074"/>
      <c r="BL72" s="1074"/>
      <c r="BM72" s="1074"/>
      <c r="BN72" s="1074"/>
      <c r="BO72" s="1074"/>
      <c r="BP72" s="1074"/>
      <c r="BQ72" s="1074"/>
      <c r="BR72" s="1074"/>
      <c r="BS72" s="1126">
        <v>823.846</v>
      </c>
      <c r="BT72" s="1074"/>
      <c r="BU72" s="1126">
        <v>896.73800000000006</v>
      </c>
      <c r="BV72" s="1126">
        <v>936.346</v>
      </c>
      <c r="BW72" s="1075"/>
      <c r="BX72" s="1074"/>
      <c r="BY72" s="1074"/>
      <c r="BZ72" s="1074"/>
      <c r="CA72" s="1074"/>
      <c r="CB72" s="1074"/>
      <c r="CC72" s="502"/>
    </row>
    <row r="73" spans="1:81" s="731" customFormat="1" ht="14.4" customHeight="1" x14ac:dyDescent="0.55000000000000004">
      <c r="A73" s="91" t="s">
        <v>935</v>
      </c>
      <c r="B73" s="97"/>
      <c r="C73" s="610"/>
      <c r="D73" s="610"/>
      <c r="E73" s="610"/>
      <c r="F73" s="610"/>
      <c r="G73" s="610"/>
      <c r="H73" s="610"/>
      <c r="I73" s="610"/>
      <c r="J73" s="610"/>
      <c r="K73" s="610"/>
      <c r="L73" s="610"/>
      <c r="M73" s="610"/>
      <c r="N73" s="610"/>
      <c r="O73" s="610"/>
      <c r="P73" s="610"/>
      <c r="Q73" s="610"/>
      <c r="R73" s="610"/>
      <c r="S73" s="610"/>
      <c r="T73" s="610"/>
      <c r="U73" s="610"/>
      <c r="V73" s="610"/>
      <c r="W73" s="610"/>
      <c r="X73" s="610"/>
      <c r="Y73" s="610"/>
      <c r="Z73" s="610"/>
      <c r="AA73" s="610"/>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597"/>
      <c r="AZ73" s="610"/>
      <c r="BA73" s="610"/>
      <c r="BB73" s="610"/>
      <c r="BC73" s="610"/>
      <c r="BD73" s="610"/>
      <c r="BE73" s="610"/>
      <c r="BF73" s="610"/>
      <c r="BG73" s="610"/>
      <c r="BH73" s="1074"/>
      <c r="BI73" s="1074"/>
      <c r="BJ73" s="1074"/>
      <c r="BK73" s="1074"/>
      <c r="BL73" s="1074"/>
      <c r="BM73" s="1074"/>
      <c r="BN73" s="1074"/>
      <c r="BO73" s="1074"/>
      <c r="BP73" s="1074"/>
      <c r="BQ73" s="1074"/>
      <c r="BR73" s="1074"/>
      <c r="BS73" s="1126">
        <v>849.59199999999998</v>
      </c>
      <c r="BT73" s="1074"/>
      <c r="BU73" s="1126">
        <v>714.58799999999997</v>
      </c>
      <c r="BV73" s="1126">
        <v>1053.3920000000001</v>
      </c>
      <c r="BW73" s="1075"/>
      <c r="BX73" s="1074"/>
      <c r="BY73" s="1074"/>
      <c r="BZ73" s="1074"/>
      <c r="CA73" s="1074"/>
      <c r="CB73" s="1074"/>
      <c r="CC73" s="502"/>
    </row>
    <row r="74" spans="1:81" s="731" customFormat="1" ht="14.4" customHeight="1" x14ac:dyDescent="0.55000000000000004">
      <c r="A74" s="91" t="s">
        <v>936</v>
      </c>
      <c r="B74" s="97"/>
      <c r="C74" s="610"/>
      <c r="D74" s="610"/>
      <c r="E74" s="610"/>
      <c r="F74" s="610"/>
      <c r="G74" s="610"/>
      <c r="H74" s="610"/>
      <c r="I74" s="610"/>
      <c r="J74" s="610"/>
      <c r="K74" s="610"/>
      <c r="L74" s="610"/>
      <c r="M74" s="610"/>
      <c r="N74" s="610"/>
      <c r="O74" s="610"/>
      <c r="P74" s="610"/>
      <c r="Q74" s="610"/>
      <c r="R74" s="610"/>
      <c r="S74" s="610"/>
      <c r="T74" s="610"/>
      <c r="U74" s="610"/>
      <c r="V74" s="610"/>
      <c r="W74" s="610"/>
      <c r="X74" s="610"/>
      <c r="Y74" s="610"/>
      <c r="Z74" s="610"/>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597"/>
      <c r="AZ74" s="610"/>
      <c r="BA74" s="610"/>
      <c r="BB74" s="610"/>
      <c r="BC74" s="610"/>
      <c r="BD74" s="610"/>
      <c r="BE74" s="610"/>
      <c r="BF74" s="610"/>
      <c r="BG74" s="610"/>
      <c r="BH74" s="1074"/>
      <c r="BI74" s="1074"/>
      <c r="BJ74" s="1074"/>
      <c r="BK74" s="1074"/>
      <c r="BL74" s="1074"/>
      <c r="BM74" s="1074"/>
      <c r="BN74" s="1074"/>
      <c r="BO74" s="1074"/>
      <c r="BP74" s="1074"/>
      <c r="BQ74" s="1074"/>
      <c r="BR74" s="1074"/>
      <c r="BS74" s="1126">
        <v>14370.187</v>
      </c>
      <c r="BT74" s="1074"/>
      <c r="BU74" s="1126">
        <v>18510.451000000001</v>
      </c>
      <c r="BV74" s="1126">
        <v>21493.045999999998</v>
      </c>
      <c r="BW74" s="1075"/>
      <c r="BX74" s="1074"/>
      <c r="BY74" s="1074"/>
      <c r="BZ74" s="1074"/>
      <c r="CA74" s="1074"/>
      <c r="CB74" s="1074"/>
      <c r="CC74" s="502"/>
    </row>
    <row r="75" spans="1:81" s="731" customFormat="1" ht="14.4" customHeight="1" x14ac:dyDescent="0.55000000000000004">
      <c r="A75" s="91" t="s">
        <v>937</v>
      </c>
      <c r="B75" s="97"/>
      <c r="C75" s="610"/>
      <c r="D75" s="610"/>
      <c r="E75" s="610"/>
      <c r="F75" s="610"/>
      <c r="G75" s="610"/>
      <c r="H75" s="610"/>
      <c r="I75" s="610"/>
      <c r="J75" s="610"/>
      <c r="K75" s="610"/>
      <c r="L75" s="610"/>
      <c r="M75" s="610"/>
      <c r="N75" s="610"/>
      <c r="O75" s="610"/>
      <c r="P75" s="610"/>
      <c r="Q75" s="610"/>
      <c r="R75" s="610"/>
      <c r="S75" s="610"/>
      <c r="T75" s="610"/>
      <c r="U75" s="610"/>
      <c r="V75" s="610"/>
      <c r="W75" s="610"/>
      <c r="X75" s="610"/>
      <c r="Y75" s="610"/>
      <c r="Z75" s="610"/>
      <c r="AA75" s="610"/>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597"/>
      <c r="AZ75" s="610"/>
      <c r="BA75" s="610"/>
      <c r="BB75" s="610"/>
      <c r="BC75" s="610"/>
      <c r="BD75" s="610"/>
      <c r="BE75" s="610"/>
      <c r="BF75" s="610"/>
      <c r="BG75" s="610"/>
      <c r="BH75" s="1074"/>
      <c r="BI75" s="1074"/>
      <c r="BJ75" s="1074"/>
      <c r="BK75" s="1074"/>
      <c r="BL75" s="1074"/>
      <c r="BM75" s="1074"/>
      <c r="BN75" s="1074"/>
      <c r="BO75" s="1074"/>
      <c r="BP75" s="1074"/>
      <c r="BQ75" s="1074"/>
      <c r="BR75" s="1074"/>
      <c r="BS75" s="1126">
        <v>9.75</v>
      </c>
      <c r="BT75" s="1074"/>
      <c r="BU75" s="1126">
        <v>140.101</v>
      </c>
      <c r="BV75" s="1126">
        <v>11.25</v>
      </c>
      <c r="BW75" s="1075"/>
      <c r="BX75" s="1074"/>
      <c r="BY75" s="1074"/>
      <c r="BZ75" s="1074"/>
      <c r="CA75" s="1074"/>
      <c r="CB75" s="1074"/>
      <c r="CC75" s="502"/>
    </row>
    <row r="76" spans="1:81" s="728" customFormat="1" ht="14.4" customHeight="1" x14ac:dyDescent="0.55000000000000004">
      <c r="A76" s="93" t="s">
        <v>938</v>
      </c>
      <c r="B76" s="501"/>
      <c r="C76" s="619"/>
      <c r="D76" s="619"/>
      <c r="E76" s="619"/>
      <c r="F76" s="619"/>
      <c r="G76" s="619"/>
      <c r="H76" s="619"/>
      <c r="I76" s="619"/>
      <c r="J76" s="619"/>
      <c r="K76" s="619"/>
      <c r="L76" s="619"/>
      <c r="M76" s="619"/>
      <c r="N76" s="619"/>
      <c r="O76" s="619"/>
      <c r="P76" s="619"/>
      <c r="Q76" s="619"/>
      <c r="R76" s="619"/>
      <c r="S76" s="619"/>
      <c r="T76" s="619"/>
      <c r="U76" s="619"/>
      <c r="V76" s="619"/>
      <c r="W76" s="619"/>
      <c r="X76" s="619"/>
      <c r="Y76" s="619"/>
      <c r="Z76" s="619"/>
      <c r="AA76" s="619"/>
      <c r="AB76" s="619"/>
      <c r="AC76" s="619"/>
      <c r="AD76" s="619"/>
      <c r="AE76" s="619"/>
      <c r="AF76" s="619"/>
      <c r="AG76" s="619"/>
      <c r="AH76" s="619"/>
      <c r="AI76" s="619"/>
      <c r="AJ76" s="619"/>
      <c r="AK76" s="619"/>
      <c r="AL76" s="619"/>
      <c r="AM76" s="619"/>
      <c r="AN76" s="619"/>
      <c r="AO76" s="619"/>
      <c r="AP76" s="619"/>
      <c r="AQ76" s="619"/>
      <c r="AR76" s="619"/>
      <c r="AS76" s="619"/>
      <c r="AT76" s="619"/>
      <c r="AU76" s="619"/>
      <c r="AV76" s="619"/>
      <c r="AW76" s="619"/>
      <c r="AX76" s="619"/>
      <c r="AY76" s="673"/>
      <c r="AZ76" s="619"/>
      <c r="BA76" s="619"/>
      <c r="BB76" s="619"/>
      <c r="BC76" s="619"/>
      <c r="BD76" s="619"/>
      <c r="BE76" s="619"/>
      <c r="BF76" s="619"/>
      <c r="BG76" s="619"/>
      <c r="BH76" s="1127"/>
      <c r="BI76" s="1127"/>
      <c r="BJ76" s="1127"/>
      <c r="BK76" s="1127"/>
      <c r="BL76" s="1127"/>
      <c r="BM76" s="1127"/>
      <c r="BN76" s="1127"/>
      <c r="BO76" s="1127"/>
      <c r="BP76" s="1127"/>
      <c r="BQ76" s="1127"/>
      <c r="BR76" s="1127"/>
      <c r="BS76" s="1127">
        <f>SUM(BS72:BS75)</f>
        <v>16053.375</v>
      </c>
      <c r="BT76" s="1127"/>
      <c r="BU76" s="1127">
        <f>SUM(BU72:BU75)</f>
        <v>20261.878000000001</v>
      </c>
      <c r="BV76" s="1127">
        <f>SUM(BV72:BV75)</f>
        <v>23494.034</v>
      </c>
      <c r="BW76" s="1128"/>
      <c r="BX76" s="1127"/>
      <c r="BY76" s="1127"/>
      <c r="BZ76" s="1127"/>
      <c r="CA76" s="1127"/>
      <c r="CB76" s="1127"/>
      <c r="CC76" s="493"/>
    </row>
    <row r="77" spans="1:81" s="734" customFormat="1" ht="14.4" customHeight="1" x14ac:dyDescent="0.55000000000000004">
      <c r="A77" s="100" t="s">
        <v>939</v>
      </c>
      <c r="B77" s="131"/>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674"/>
      <c r="AZ77" s="85"/>
      <c r="BA77" s="85"/>
      <c r="BB77" s="85"/>
      <c r="BC77" s="85"/>
      <c r="BD77" s="85"/>
      <c r="BE77" s="85"/>
      <c r="BF77" s="85"/>
      <c r="BG77" s="85"/>
      <c r="BH77" s="1070"/>
      <c r="BI77" s="1070"/>
      <c r="BJ77" s="1070"/>
      <c r="BK77" s="1070"/>
      <c r="BL77" s="1070"/>
      <c r="BM77" s="1070"/>
      <c r="BN77" s="1070"/>
      <c r="BO77" s="1070"/>
      <c r="BP77" s="1070"/>
      <c r="BQ77" s="1070"/>
      <c r="BR77" s="1070"/>
      <c r="BS77" s="1070">
        <f>BS74/BS76</f>
        <v>0.89515052130782469</v>
      </c>
      <c r="BT77" s="1070"/>
      <c r="BU77" s="1070">
        <f>BU74/BU76</f>
        <v>0.91356048042535842</v>
      </c>
      <c r="BV77" s="1070">
        <f>BV74/BV76</f>
        <v>0.91482995214870289</v>
      </c>
      <c r="BW77" s="1071"/>
      <c r="BX77" s="1070"/>
      <c r="BY77" s="1070"/>
      <c r="BZ77" s="1070"/>
      <c r="CA77" s="1070"/>
      <c r="CB77" s="1070"/>
      <c r="CC77" s="504"/>
    </row>
    <row r="78" spans="1:81" s="735" customFormat="1" ht="14.4" customHeight="1" x14ac:dyDescent="0.55000000000000004">
      <c r="A78" s="100"/>
      <c r="B78" s="495"/>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76"/>
      <c r="AZ78" s="62"/>
      <c r="BA78" s="62"/>
      <c r="BB78" s="62"/>
      <c r="BC78" s="62"/>
      <c r="BD78" s="62"/>
      <c r="BE78" s="62"/>
      <c r="BF78" s="62"/>
      <c r="BG78" s="62"/>
      <c r="BH78" s="1052"/>
      <c r="BI78" s="1052"/>
      <c r="BJ78" s="1052"/>
      <c r="BK78" s="1052"/>
      <c r="BL78" s="1052"/>
      <c r="BM78" s="1052"/>
      <c r="BN78" s="1052"/>
      <c r="BO78" s="1052"/>
      <c r="BP78" s="1052"/>
      <c r="BQ78" s="1052"/>
      <c r="BR78" s="1052"/>
      <c r="BS78" s="1052"/>
      <c r="BT78" s="1052"/>
      <c r="BU78" s="1052"/>
      <c r="BV78" s="1052"/>
      <c r="BW78" s="1053"/>
      <c r="BX78" s="1052"/>
      <c r="BY78" s="1052"/>
      <c r="BZ78" s="1052"/>
      <c r="CA78" s="1052"/>
      <c r="CB78" s="1052"/>
      <c r="CC78" s="494"/>
    </row>
    <row r="79" spans="1:81" s="731" customFormat="1" ht="14.4" customHeight="1" x14ac:dyDescent="0.55000000000000004">
      <c r="A79" s="91" t="s">
        <v>940</v>
      </c>
      <c r="B79" s="97"/>
      <c r="C79" s="610"/>
      <c r="D79" s="610"/>
      <c r="E79" s="610"/>
      <c r="F79" s="610"/>
      <c r="G79" s="610"/>
      <c r="H79" s="610"/>
      <c r="I79" s="610"/>
      <c r="J79" s="610"/>
      <c r="K79" s="610"/>
      <c r="L79" s="610"/>
      <c r="M79" s="610"/>
      <c r="N79" s="610"/>
      <c r="O79" s="610"/>
      <c r="P79" s="610"/>
      <c r="Q79" s="610"/>
      <c r="R79" s="610"/>
      <c r="S79" s="610"/>
      <c r="T79" s="610"/>
      <c r="U79" s="610"/>
      <c r="V79" s="610"/>
      <c r="W79" s="610"/>
      <c r="X79" s="610"/>
      <c r="Y79" s="610"/>
      <c r="Z79" s="610"/>
      <c r="AA79" s="610"/>
      <c r="AB79" s="610"/>
      <c r="AC79" s="610"/>
      <c r="AD79" s="610"/>
      <c r="AE79" s="610"/>
      <c r="AF79" s="610"/>
      <c r="AG79" s="610"/>
      <c r="AH79" s="610"/>
      <c r="AI79" s="610"/>
      <c r="AJ79" s="610"/>
      <c r="AK79" s="610"/>
      <c r="AL79" s="610"/>
      <c r="AM79" s="610"/>
      <c r="AN79" s="610"/>
      <c r="AO79" s="610"/>
      <c r="AP79" s="610"/>
      <c r="AQ79" s="610"/>
      <c r="AR79" s="610"/>
      <c r="AS79" s="610"/>
      <c r="AT79" s="610"/>
      <c r="AU79" s="610"/>
      <c r="AV79" s="610"/>
      <c r="AW79" s="610"/>
      <c r="AX79" s="610"/>
      <c r="AY79" s="597"/>
      <c r="AZ79" s="610"/>
      <c r="BA79" s="610"/>
      <c r="BB79" s="610"/>
      <c r="BC79" s="610"/>
      <c r="BD79" s="610"/>
      <c r="BE79" s="610"/>
      <c r="BF79" s="610"/>
      <c r="BG79" s="610"/>
      <c r="BH79" s="1074"/>
      <c r="BI79" s="1074"/>
      <c r="BJ79" s="1074"/>
      <c r="BK79" s="1074"/>
      <c r="BL79" s="1074"/>
      <c r="BM79" s="1074"/>
      <c r="BN79" s="1074"/>
      <c r="BO79" s="1074"/>
      <c r="BP79" s="1074"/>
      <c r="BQ79" s="1074"/>
      <c r="BR79" s="1074"/>
      <c r="BS79" s="1126">
        <v>1062.1210000000001</v>
      </c>
      <c r="BT79" s="1074"/>
      <c r="BU79" s="1126">
        <v>96.977000000000004</v>
      </c>
      <c r="BV79" s="1126">
        <v>101.16</v>
      </c>
      <c r="BW79" s="1075"/>
      <c r="BX79" s="1074"/>
      <c r="BY79" s="1074"/>
      <c r="BZ79" s="1074"/>
      <c r="CA79" s="1074"/>
      <c r="CB79" s="1074"/>
      <c r="CC79" s="502"/>
    </row>
    <row r="80" spans="1:81" s="731" customFormat="1" ht="14.4" customHeight="1" x14ac:dyDescent="0.55000000000000004">
      <c r="A80" s="91" t="s">
        <v>941</v>
      </c>
      <c r="B80" s="97"/>
      <c r="C80" s="610"/>
      <c r="D80" s="610"/>
      <c r="E80" s="610"/>
      <c r="F80" s="610"/>
      <c r="G80" s="610"/>
      <c r="H80" s="610"/>
      <c r="I80" s="610"/>
      <c r="J80" s="610"/>
      <c r="K80" s="610"/>
      <c r="L80" s="610"/>
      <c r="M80" s="610"/>
      <c r="N80" s="610"/>
      <c r="O80" s="610"/>
      <c r="P80" s="610"/>
      <c r="Q80" s="610"/>
      <c r="R80" s="610"/>
      <c r="S80" s="610"/>
      <c r="T80" s="610"/>
      <c r="U80" s="610"/>
      <c r="V80" s="610"/>
      <c r="W80" s="610"/>
      <c r="X80" s="610"/>
      <c r="Y80" s="610"/>
      <c r="Z80" s="610"/>
      <c r="AA80" s="610"/>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597"/>
      <c r="AZ80" s="610"/>
      <c r="BA80" s="610"/>
      <c r="BB80" s="610"/>
      <c r="BC80" s="610"/>
      <c r="BD80" s="610"/>
      <c r="BE80" s="610"/>
      <c r="BF80" s="610"/>
      <c r="BG80" s="610"/>
      <c r="BH80" s="1074"/>
      <c r="BI80" s="1074"/>
      <c r="BJ80" s="1074"/>
      <c r="BK80" s="1074"/>
      <c r="BL80" s="1074"/>
      <c r="BM80" s="1074"/>
      <c r="BN80" s="1074"/>
      <c r="BO80" s="1074"/>
      <c r="BP80" s="1074"/>
      <c r="BQ80" s="1074"/>
      <c r="BR80" s="1074"/>
      <c r="BS80" s="1074"/>
      <c r="BT80" s="1074"/>
      <c r="BU80" s="1074"/>
      <c r="BV80" s="1074"/>
      <c r="BW80" s="1075"/>
      <c r="BX80" s="1074"/>
      <c r="BY80" s="1074"/>
      <c r="BZ80" s="1074"/>
      <c r="CA80" s="1074"/>
      <c r="CB80" s="1074"/>
      <c r="CC80" s="502"/>
    </row>
    <row r="81" spans="1:81" s="731" customFormat="1" ht="14.4" customHeight="1" x14ac:dyDescent="0.55000000000000004">
      <c r="A81" s="497" t="s">
        <v>942</v>
      </c>
      <c r="B81" s="505"/>
      <c r="C81" s="620"/>
      <c r="D81" s="620"/>
      <c r="E81" s="620"/>
      <c r="F81" s="620"/>
      <c r="G81" s="620"/>
      <c r="H81" s="620"/>
      <c r="I81" s="620"/>
      <c r="J81" s="620"/>
      <c r="K81" s="620"/>
      <c r="L81" s="620"/>
      <c r="M81" s="620"/>
      <c r="N81" s="620"/>
      <c r="O81" s="620"/>
      <c r="P81" s="620"/>
      <c r="Q81" s="620"/>
      <c r="R81" s="620"/>
      <c r="S81" s="620"/>
      <c r="T81" s="620"/>
      <c r="U81" s="620"/>
      <c r="V81" s="620"/>
      <c r="W81" s="620"/>
      <c r="X81" s="620"/>
      <c r="Y81" s="620"/>
      <c r="Z81" s="620"/>
      <c r="AA81" s="620"/>
      <c r="AB81" s="620"/>
      <c r="AC81" s="620"/>
      <c r="AD81" s="620"/>
      <c r="AE81" s="620"/>
      <c r="AF81" s="620"/>
      <c r="AG81" s="620"/>
      <c r="AH81" s="620"/>
      <c r="AI81" s="620"/>
      <c r="AJ81" s="620"/>
      <c r="AK81" s="620"/>
      <c r="AL81" s="620"/>
      <c r="AM81" s="620"/>
      <c r="AN81" s="620"/>
      <c r="AO81" s="620"/>
      <c r="AP81" s="620"/>
      <c r="AQ81" s="620"/>
      <c r="AR81" s="620"/>
      <c r="AS81" s="620"/>
      <c r="AT81" s="620"/>
      <c r="AU81" s="620"/>
      <c r="AV81" s="620"/>
      <c r="AW81" s="620"/>
      <c r="AX81" s="620"/>
      <c r="AY81" s="677"/>
      <c r="AZ81" s="620"/>
      <c r="BA81" s="620"/>
      <c r="BB81" s="620"/>
      <c r="BC81" s="620"/>
      <c r="BD81" s="620"/>
      <c r="BE81" s="620"/>
      <c r="BF81" s="620"/>
      <c r="BG81" s="620"/>
      <c r="BH81" s="1131"/>
      <c r="BI81" s="1131"/>
      <c r="BJ81" s="1131"/>
      <c r="BK81" s="1131"/>
      <c r="BL81" s="1131"/>
      <c r="BM81" s="1131"/>
      <c r="BN81" s="1131"/>
      <c r="BO81" s="1131"/>
      <c r="BP81" s="1131"/>
      <c r="BQ81" s="1131"/>
      <c r="BR81" s="1131"/>
      <c r="BS81" s="1131">
        <f>BS79+BS80</f>
        <v>1062.1210000000001</v>
      </c>
      <c r="BT81" s="1131"/>
      <c r="BU81" s="1131">
        <f>BU79+BU80</f>
        <v>96.977000000000004</v>
      </c>
      <c r="BV81" s="1131">
        <f>BV79+BV80</f>
        <v>101.16</v>
      </c>
      <c r="BW81" s="1132"/>
      <c r="BX81" s="1131"/>
      <c r="BY81" s="1131"/>
      <c r="BZ81" s="1131"/>
      <c r="CA81" s="1131"/>
      <c r="CB81" s="1131"/>
      <c r="CC81" s="502"/>
    </row>
    <row r="82" spans="1:81" s="735" customFormat="1" ht="14.4" customHeight="1" x14ac:dyDescent="0.55000000000000004">
      <c r="A82" s="448"/>
      <c r="B82" s="495"/>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76"/>
      <c r="AZ82" s="62"/>
      <c r="BA82" s="62"/>
      <c r="BB82" s="62"/>
      <c r="BC82" s="62"/>
      <c r="BD82" s="62"/>
      <c r="BE82" s="62"/>
      <c r="BF82" s="62"/>
      <c r="BG82" s="62"/>
      <c r="BH82" s="1052"/>
      <c r="BI82" s="1052"/>
      <c r="BJ82" s="1052"/>
      <c r="BK82" s="1052"/>
      <c r="BL82" s="1052"/>
      <c r="BM82" s="1052"/>
      <c r="BN82" s="1052"/>
      <c r="BO82" s="1052"/>
      <c r="BP82" s="1052"/>
      <c r="BQ82" s="1052"/>
      <c r="BR82" s="1052"/>
      <c r="BS82" s="1052"/>
      <c r="BT82" s="1052"/>
      <c r="BU82" s="1052"/>
      <c r="BV82" s="1052"/>
      <c r="BW82" s="1053"/>
      <c r="BX82" s="1052"/>
      <c r="BY82" s="1052"/>
      <c r="BZ82" s="1052"/>
      <c r="CA82" s="1052"/>
      <c r="CB82" s="1052"/>
      <c r="CC82" s="494"/>
    </row>
    <row r="83" spans="1:81" s="731" customFormat="1" ht="14.4" customHeight="1" collapsed="1" x14ac:dyDescent="0.55000000000000004">
      <c r="A83" s="91" t="s">
        <v>943</v>
      </c>
      <c r="B83" s="97"/>
      <c r="C83" s="610"/>
      <c r="D83" s="610"/>
      <c r="E83" s="610"/>
      <c r="F83" s="610"/>
      <c r="G83" s="610"/>
      <c r="H83" s="610"/>
      <c r="I83" s="610"/>
      <c r="J83" s="610"/>
      <c r="K83" s="610"/>
      <c r="L83" s="610"/>
      <c r="M83" s="610"/>
      <c r="N83" s="610"/>
      <c r="O83" s="610"/>
      <c r="P83" s="610"/>
      <c r="Q83" s="610"/>
      <c r="R83" s="610"/>
      <c r="S83" s="610"/>
      <c r="T83" s="610"/>
      <c r="U83" s="610"/>
      <c r="V83" s="610"/>
      <c r="W83" s="610"/>
      <c r="X83" s="610"/>
      <c r="Y83" s="610"/>
      <c r="Z83" s="610"/>
      <c r="AA83" s="610"/>
      <c r="AB83" s="610"/>
      <c r="AC83" s="610"/>
      <c r="AD83" s="610"/>
      <c r="AE83" s="610"/>
      <c r="AF83" s="610"/>
      <c r="AG83" s="610"/>
      <c r="AH83" s="610"/>
      <c r="AI83" s="610"/>
      <c r="AJ83" s="610"/>
      <c r="AK83" s="610"/>
      <c r="AL83" s="610"/>
      <c r="AM83" s="610"/>
      <c r="AN83" s="610"/>
      <c r="AO83" s="610"/>
      <c r="AP83" s="610"/>
      <c r="AQ83" s="610"/>
      <c r="AR83" s="610"/>
      <c r="AS83" s="610"/>
      <c r="AT83" s="610"/>
      <c r="AU83" s="610"/>
      <c r="AV83" s="610"/>
      <c r="AW83" s="610"/>
      <c r="AX83" s="610"/>
      <c r="AY83" s="597"/>
      <c r="AZ83" s="610"/>
      <c r="BA83" s="610"/>
      <c r="BB83" s="610"/>
      <c r="BC83" s="610"/>
      <c r="BD83" s="610"/>
      <c r="BE83" s="610"/>
      <c r="BF83" s="610"/>
      <c r="BG83" s="610"/>
      <c r="BH83" s="1074"/>
      <c r="BI83" s="1074"/>
      <c r="BJ83" s="1074"/>
      <c r="BK83" s="1074"/>
      <c r="BL83" s="1074"/>
      <c r="BM83" s="1074"/>
      <c r="BN83" s="1074"/>
      <c r="BO83" s="1074"/>
      <c r="BP83" s="1074"/>
      <c r="BQ83" s="1074"/>
      <c r="BR83" s="1074"/>
      <c r="BS83" s="1074"/>
      <c r="BT83" s="1126">
        <v>729.80799999999999</v>
      </c>
      <c r="BU83" s="1074"/>
      <c r="BV83" s="1074"/>
      <c r="BW83" s="1075"/>
      <c r="BX83" s="1074"/>
      <c r="BY83" s="1074"/>
      <c r="BZ83" s="1074"/>
      <c r="CA83" s="1074"/>
      <c r="CB83" s="1074"/>
      <c r="CC83" s="502"/>
    </row>
    <row r="84" spans="1:81" s="731" customFormat="1" ht="14.4" customHeight="1" x14ac:dyDescent="0.55000000000000004">
      <c r="A84" s="91" t="s">
        <v>944</v>
      </c>
      <c r="B84" s="97"/>
      <c r="C84" s="610"/>
      <c r="D84" s="610"/>
      <c r="E84" s="610"/>
      <c r="F84" s="610"/>
      <c r="G84" s="610"/>
      <c r="H84" s="610"/>
      <c r="I84" s="610"/>
      <c r="J84" s="610"/>
      <c r="K84" s="610"/>
      <c r="L84" s="610"/>
      <c r="M84" s="610"/>
      <c r="N84" s="610"/>
      <c r="O84" s="610"/>
      <c r="P84" s="610"/>
      <c r="Q84" s="610"/>
      <c r="R84" s="610"/>
      <c r="S84" s="610"/>
      <c r="T84" s="610"/>
      <c r="U84" s="610"/>
      <c r="V84" s="610"/>
      <c r="W84" s="610"/>
      <c r="X84" s="610"/>
      <c r="Y84" s="610"/>
      <c r="Z84" s="610"/>
      <c r="AA84" s="610"/>
      <c r="AB84" s="610"/>
      <c r="AC84" s="610"/>
      <c r="AD84" s="610"/>
      <c r="AE84" s="610"/>
      <c r="AF84" s="610"/>
      <c r="AG84" s="610"/>
      <c r="AH84" s="610"/>
      <c r="AI84" s="610"/>
      <c r="AJ84" s="610"/>
      <c r="AK84" s="610"/>
      <c r="AL84" s="610"/>
      <c r="AM84" s="610"/>
      <c r="AN84" s="610"/>
      <c r="AO84" s="610"/>
      <c r="AP84" s="610"/>
      <c r="AQ84" s="610"/>
      <c r="AR84" s="610"/>
      <c r="AS84" s="610"/>
      <c r="AT84" s="610"/>
      <c r="AU84" s="610"/>
      <c r="AV84" s="610"/>
      <c r="AW84" s="610"/>
      <c r="AX84" s="610"/>
      <c r="AY84" s="597"/>
      <c r="AZ84" s="610"/>
      <c r="BA84" s="610"/>
      <c r="BB84" s="610"/>
      <c r="BC84" s="610"/>
      <c r="BD84" s="610"/>
      <c r="BE84" s="610"/>
      <c r="BF84" s="610"/>
      <c r="BG84" s="610"/>
      <c r="BH84" s="1074"/>
      <c r="BI84" s="1074"/>
      <c r="BJ84" s="1074"/>
      <c r="BK84" s="1074"/>
      <c r="BL84" s="1074"/>
      <c r="BM84" s="1074"/>
      <c r="BN84" s="1074"/>
      <c r="BO84" s="1074"/>
      <c r="BP84" s="1074"/>
      <c r="BQ84" s="1074"/>
      <c r="BR84" s="1074"/>
      <c r="BS84" s="1074"/>
      <c r="BT84" s="1126">
        <v>643.29399999999998</v>
      </c>
      <c r="BU84" s="1074"/>
      <c r="BV84" s="1074"/>
      <c r="BW84" s="1075"/>
      <c r="BX84" s="1074"/>
      <c r="BY84" s="1074"/>
      <c r="BZ84" s="1074"/>
      <c r="CA84" s="1074"/>
      <c r="CB84" s="1074"/>
      <c r="CC84" s="502"/>
    </row>
    <row r="85" spans="1:81" s="731" customFormat="1" ht="14.4" customHeight="1" x14ac:dyDescent="0.55000000000000004">
      <c r="A85" s="91" t="s">
        <v>945</v>
      </c>
      <c r="B85" s="97"/>
      <c r="C85" s="610"/>
      <c r="D85" s="610"/>
      <c r="E85" s="610"/>
      <c r="F85" s="610"/>
      <c r="G85" s="610"/>
      <c r="H85" s="610"/>
      <c r="I85" s="610"/>
      <c r="J85" s="610"/>
      <c r="K85" s="610"/>
      <c r="L85" s="610"/>
      <c r="M85" s="610"/>
      <c r="N85" s="610"/>
      <c r="O85" s="610"/>
      <c r="P85" s="610"/>
      <c r="Q85" s="610"/>
      <c r="R85" s="610"/>
      <c r="S85" s="610"/>
      <c r="T85" s="610"/>
      <c r="U85" s="610"/>
      <c r="V85" s="610"/>
      <c r="W85" s="610"/>
      <c r="X85" s="610"/>
      <c r="Y85" s="610"/>
      <c r="Z85" s="610"/>
      <c r="AA85" s="610"/>
      <c r="AB85" s="610"/>
      <c r="AC85" s="610"/>
      <c r="AD85" s="610"/>
      <c r="AE85" s="610"/>
      <c r="AF85" s="610"/>
      <c r="AG85" s="610"/>
      <c r="AH85" s="610"/>
      <c r="AI85" s="610"/>
      <c r="AJ85" s="610"/>
      <c r="AK85" s="610"/>
      <c r="AL85" s="610"/>
      <c r="AM85" s="610"/>
      <c r="AN85" s="610"/>
      <c r="AO85" s="610"/>
      <c r="AP85" s="610"/>
      <c r="AQ85" s="610"/>
      <c r="AR85" s="610"/>
      <c r="AS85" s="610"/>
      <c r="AT85" s="610"/>
      <c r="AU85" s="610"/>
      <c r="AV85" s="610"/>
      <c r="AW85" s="610"/>
      <c r="AX85" s="610"/>
      <c r="AY85" s="597"/>
      <c r="AZ85" s="610"/>
      <c r="BA85" s="610"/>
      <c r="BB85" s="610"/>
      <c r="BC85" s="610"/>
      <c r="BD85" s="610"/>
      <c r="BE85" s="610"/>
      <c r="BF85" s="610"/>
      <c r="BG85" s="610"/>
      <c r="BH85" s="1074"/>
      <c r="BI85" s="1074"/>
      <c r="BJ85" s="1074"/>
      <c r="BK85" s="1074"/>
      <c r="BL85" s="1074"/>
      <c r="BM85" s="1074"/>
      <c r="BN85" s="1074"/>
      <c r="BO85" s="1074"/>
      <c r="BP85" s="1074"/>
      <c r="BQ85" s="1074"/>
      <c r="BR85" s="1074"/>
      <c r="BS85" s="1074"/>
      <c r="BT85" s="1126">
        <v>24941.213</v>
      </c>
      <c r="BU85" s="1074"/>
      <c r="BV85" s="1074"/>
      <c r="BW85" s="1075"/>
      <c r="BX85" s="1074"/>
      <c r="BY85" s="1074"/>
      <c r="BZ85" s="1074"/>
      <c r="CA85" s="1074"/>
      <c r="CB85" s="1074"/>
      <c r="CC85" s="502"/>
    </row>
    <row r="86" spans="1:81" s="731" customFormat="1" ht="14.4" customHeight="1" x14ac:dyDescent="0.55000000000000004">
      <c r="A86" s="91" t="s">
        <v>946</v>
      </c>
      <c r="B86" s="97"/>
      <c r="C86" s="610"/>
      <c r="D86" s="610"/>
      <c r="E86" s="610"/>
      <c r="F86" s="610"/>
      <c r="G86" s="610"/>
      <c r="H86" s="610"/>
      <c r="I86" s="610"/>
      <c r="J86" s="610"/>
      <c r="K86" s="610"/>
      <c r="L86" s="610"/>
      <c r="M86" s="610"/>
      <c r="N86" s="610"/>
      <c r="O86" s="610"/>
      <c r="P86" s="610"/>
      <c r="Q86" s="610"/>
      <c r="R86" s="610"/>
      <c r="S86" s="610"/>
      <c r="T86" s="610"/>
      <c r="U86" s="610"/>
      <c r="V86" s="610"/>
      <c r="W86" s="610"/>
      <c r="X86" s="610"/>
      <c r="Y86" s="610"/>
      <c r="Z86" s="610"/>
      <c r="AA86" s="610"/>
      <c r="AB86" s="610"/>
      <c r="AC86" s="610"/>
      <c r="AD86" s="610"/>
      <c r="AE86" s="610"/>
      <c r="AF86" s="610"/>
      <c r="AG86" s="610"/>
      <c r="AH86" s="610"/>
      <c r="AI86" s="610"/>
      <c r="AJ86" s="610"/>
      <c r="AK86" s="610"/>
      <c r="AL86" s="610"/>
      <c r="AM86" s="610"/>
      <c r="AN86" s="610"/>
      <c r="AO86" s="610"/>
      <c r="AP86" s="610"/>
      <c r="AQ86" s="610"/>
      <c r="AR86" s="610"/>
      <c r="AS86" s="610"/>
      <c r="AT86" s="610"/>
      <c r="AU86" s="610"/>
      <c r="AV86" s="610"/>
      <c r="AW86" s="610"/>
      <c r="AX86" s="610"/>
      <c r="AY86" s="597"/>
      <c r="AZ86" s="610"/>
      <c r="BA86" s="610"/>
      <c r="BB86" s="610"/>
      <c r="BC86" s="610"/>
      <c r="BD86" s="610"/>
      <c r="BE86" s="610"/>
      <c r="BF86" s="610"/>
      <c r="BG86" s="610"/>
      <c r="BH86" s="1074"/>
      <c r="BI86" s="1074"/>
      <c r="BJ86" s="1074"/>
      <c r="BK86" s="1074"/>
      <c r="BL86" s="1074"/>
      <c r="BM86" s="1074"/>
      <c r="BN86" s="1074"/>
      <c r="BO86" s="1074"/>
      <c r="BP86" s="1074"/>
      <c r="BQ86" s="1074"/>
      <c r="BR86" s="1074"/>
      <c r="BS86" s="1074"/>
      <c r="BT86" s="1126">
        <v>76.253</v>
      </c>
      <c r="BU86" s="1074"/>
      <c r="BV86" s="1074"/>
      <c r="BW86" s="1075"/>
      <c r="BX86" s="1074"/>
      <c r="BY86" s="1074"/>
      <c r="BZ86" s="1074"/>
      <c r="CA86" s="1074"/>
      <c r="CB86" s="1074"/>
      <c r="CC86" s="502"/>
    </row>
    <row r="87" spans="1:81" s="728" customFormat="1" ht="14.4" customHeight="1" x14ac:dyDescent="0.55000000000000004">
      <c r="A87" s="93" t="s">
        <v>947</v>
      </c>
      <c r="B87" s="501"/>
      <c r="C87" s="619"/>
      <c r="D87" s="619"/>
      <c r="E87" s="619"/>
      <c r="F87" s="619"/>
      <c r="G87" s="619"/>
      <c r="H87" s="619"/>
      <c r="I87" s="619"/>
      <c r="J87" s="619"/>
      <c r="K87" s="619"/>
      <c r="L87" s="619"/>
      <c r="M87" s="619"/>
      <c r="N87" s="619"/>
      <c r="O87" s="619"/>
      <c r="P87" s="619"/>
      <c r="Q87" s="619"/>
      <c r="R87" s="619"/>
      <c r="S87" s="619"/>
      <c r="T87" s="619"/>
      <c r="U87" s="619"/>
      <c r="V87" s="619"/>
      <c r="W87" s="619"/>
      <c r="X87" s="619"/>
      <c r="Y87" s="619"/>
      <c r="Z87" s="619"/>
      <c r="AA87" s="619"/>
      <c r="AB87" s="619"/>
      <c r="AC87" s="619"/>
      <c r="AD87" s="619"/>
      <c r="AE87" s="619"/>
      <c r="AF87" s="619"/>
      <c r="AG87" s="619"/>
      <c r="AH87" s="619"/>
      <c r="AI87" s="619"/>
      <c r="AJ87" s="619"/>
      <c r="AK87" s="619"/>
      <c r="AL87" s="619"/>
      <c r="AM87" s="619"/>
      <c r="AN87" s="619"/>
      <c r="AO87" s="619"/>
      <c r="AP87" s="619"/>
      <c r="AQ87" s="619"/>
      <c r="AR87" s="619"/>
      <c r="AS87" s="619"/>
      <c r="AT87" s="619"/>
      <c r="AU87" s="619"/>
      <c r="AV87" s="619"/>
      <c r="AW87" s="619"/>
      <c r="AX87" s="619"/>
      <c r="AY87" s="673"/>
      <c r="AZ87" s="619"/>
      <c r="BA87" s="619"/>
      <c r="BB87" s="619"/>
      <c r="BC87" s="619"/>
      <c r="BD87" s="619"/>
      <c r="BE87" s="619"/>
      <c r="BF87" s="619"/>
      <c r="BG87" s="619"/>
      <c r="BH87" s="1127"/>
      <c r="BI87" s="1127"/>
      <c r="BJ87" s="1127"/>
      <c r="BK87" s="1127"/>
      <c r="BL87" s="1127"/>
      <c r="BM87" s="1127"/>
      <c r="BN87" s="1127"/>
      <c r="BO87" s="1127"/>
      <c r="BP87" s="1127"/>
      <c r="BQ87" s="1127"/>
      <c r="BR87" s="1127"/>
      <c r="BS87" s="1127"/>
      <c r="BT87" s="1127">
        <f>SUM(BT83:BT86)</f>
        <v>26390.567999999999</v>
      </c>
      <c r="BU87" s="1127"/>
      <c r="BV87" s="1127"/>
      <c r="BW87" s="1128"/>
      <c r="BX87" s="1127"/>
      <c r="BY87" s="1127"/>
      <c r="BZ87" s="1127"/>
      <c r="CA87" s="1127"/>
      <c r="CB87" s="1127"/>
      <c r="CC87" s="493"/>
    </row>
    <row r="88" spans="1:81" s="734" customFormat="1" ht="14.4" customHeight="1" x14ac:dyDescent="0.55000000000000004">
      <c r="A88" s="100" t="s">
        <v>948</v>
      </c>
      <c r="B88" s="131"/>
      <c r="C88" s="85"/>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674"/>
      <c r="AZ88" s="85"/>
      <c r="BA88" s="85"/>
      <c r="BB88" s="85"/>
      <c r="BC88" s="85"/>
      <c r="BD88" s="85"/>
      <c r="BE88" s="85"/>
      <c r="BF88" s="85"/>
      <c r="BG88" s="85"/>
      <c r="BH88" s="1070"/>
      <c r="BI88" s="1070"/>
      <c r="BJ88" s="1070"/>
      <c r="BK88" s="1070"/>
      <c r="BL88" s="1070"/>
      <c r="BM88" s="1070"/>
      <c r="BN88" s="1070"/>
      <c r="BO88" s="1070"/>
      <c r="BP88" s="1070"/>
      <c r="BQ88" s="1070"/>
      <c r="BR88" s="1070"/>
      <c r="BS88" s="1070"/>
      <c r="BT88" s="1070">
        <f>BT85/BT87</f>
        <v>0.94508056817875241</v>
      </c>
      <c r="BU88" s="1070"/>
      <c r="BV88" s="1070"/>
      <c r="BW88" s="1071"/>
      <c r="BX88" s="1070"/>
      <c r="BY88" s="1070"/>
      <c r="BZ88" s="1070"/>
      <c r="CA88" s="1070"/>
      <c r="CB88" s="1070"/>
      <c r="CC88" s="504"/>
    </row>
    <row r="89" spans="1:81" s="735" customFormat="1" ht="14.4" customHeight="1" x14ac:dyDescent="0.55000000000000004">
      <c r="A89" s="100"/>
      <c r="B89" s="495"/>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76"/>
      <c r="AZ89" s="62"/>
      <c r="BA89" s="62"/>
      <c r="BB89" s="62"/>
      <c r="BC89" s="62"/>
      <c r="BD89" s="62"/>
      <c r="BE89" s="62"/>
      <c r="BF89" s="62"/>
      <c r="BG89" s="62"/>
      <c r="BH89" s="1052"/>
      <c r="BI89" s="1052"/>
      <c r="BJ89" s="1052"/>
      <c r="BK89" s="1052"/>
      <c r="BL89" s="1052"/>
      <c r="BM89" s="1052"/>
      <c r="BN89" s="1052"/>
      <c r="BO89" s="1052"/>
      <c r="BP89" s="1052"/>
      <c r="BQ89" s="1052"/>
      <c r="BR89" s="1052"/>
      <c r="BS89" s="1052"/>
      <c r="BT89" s="1052"/>
      <c r="BU89" s="1052"/>
      <c r="BV89" s="1052"/>
      <c r="BW89" s="1053"/>
      <c r="BX89" s="1052"/>
      <c r="BY89" s="1052"/>
      <c r="BZ89" s="1052"/>
      <c r="CA89" s="1052"/>
      <c r="CB89" s="1052"/>
      <c r="CC89" s="494"/>
    </row>
    <row r="90" spans="1:81" s="731" customFormat="1" ht="14.4" customHeight="1" x14ac:dyDescent="0.55000000000000004">
      <c r="A90" s="91" t="s">
        <v>949</v>
      </c>
      <c r="B90" s="97"/>
      <c r="C90" s="610"/>
      <c r="D90" s="610"/>
      <c r="E90" s="610"/>
      <c r="F90" s="610"/>
      <c r="G90" s="610"/>
      <c r="H90" s="610"/>
      <c r="I90" s="610"/>
      <c r="J90" s="610"/>
      <c r="K90" s="610"/>
      <c r="L90" s="610"/>
      <c r="M90" s="610"/>
      <c r="N90" s="610"/>
      <c r="O90" s="610"/>
      <c r="P90" s="610"/>
      <c r="Q90" s="610"/>
      <c r="R90" s="610"/>
      <c r="S90" s="610"/>
      <c r="T90" s="610"/>
      <c r="U90" s="610"/>
      <c r="V90" s="610"/>
      <c r="W90" s="610"/>
      <c r="X90" s="610"/>
      <c r="Y90" s="610"/>
      <c r="Z90" s="610"/>
      <c r="AA90" s="610"/>
      <c r="AB90" s="610"/>
      <c r="AC90" s="610"/>
      <c r="AD90" s="610"/>
      <c r="AE90" s="610"/>
      <c r="AF90" s="610"/>
      <c r="AG90" s="610"/>
      <c r="AH90" s="610"/>
      <c r="AI90" s="610"/>
      <c r="AJ90" s="610"/>
      <c r="AK90" s="610"/>
      <c r="AL90" s="610"/>
      <c r="AM90" s="610"/>
      <c r="AN90" s="610"/>
      <c r="AO90" s="610"/>
      <c r="AP90" s="610"/>
      <c r="AQ90" s="610"/>
      <c r="AR90" s="610"/>
      <c r="AS90" s="610"/>
      <c r="AT90" s="610"/>
      <c r="AU90" s="610"/>
      <c r="AV90" s="610"/>
      <c r="AW90" s="610"/>
      <c r="AX90" s="610"/>
      <c r="AY90" s="597"/>
      <c r="AZ90" s="610"/>
      <c r="BA90" s="610"/>
      <c r="BB90" s="610"/>
      <c r="BC90" s="610"/>
      <c r="BD90" s="610"/>
      <c r="BE90" s="610"/>
      <c r="BF90" s="610"/>
      <c r="BG90" s="610"/>
      <c r="BH90" s="1074"/>
      <c r="BI90" s="1074"/>
      <c r="BJ90" s="1074"/>
      <c r="BK90" s="1074"/>
      <c r="BL90" s="1074"/>
      <c r="BM90" s="1074"/>
      <c r="BN90" s="1074"/>
      <c r="BO90" s="1074"/>
      <c r="BP90" s="1074"/>
      <c r="BQ90" s="1074"/>
      <c r="BR90" s="1074"/>
      <c r="BS90" s="1074"/>
      <c r="BT90" s="1126">
        <v>33.262</v>
      </c>
      <c r="BU90" s="1074"/>
      <c r="BV90" s="1074"/>
      <c r="BW90" s="1075"/>
      <c r="BX90" s="1074"/>
      <c r="BY90" s="1074"/>
      <c r="BZ90" s="1074"/>
      <c r="CA90" s="1074"/>
      <c r="CB90" s="1074"/>
      <c r="CC90" s="502"/>
    </row>
    <row r="91" spans="1:81" s="731" customFormat="1" ht="14.4" customHeight="1" x14ac:dyDescent="0.55000000000000004">
      <c r="A91" s="91" t="s">
        <v>950</v>
      </c>
      <c r="B91" s="97"/>
      <c r="C91" s="610"/>
      <c r="D91" s="610"/>
      <c r="E91" s="610"/>
      <c r="F91" s="610"/>
      <c r="G91" s="610"/>
      <c r="H91" s="610"/>
      <c r="I91" s="610"/>
      <c r="J91" s="610"/>
      <c r="K91" s="610"/>
      <c r="L91" s="610"/>
      <c r="M91" s="610"/>
      <c r="N91" s="610"/>
      <c r="O91" s="610"/>
      <c r="P91" s="610"/>
      <c r="Q91" s="610"/>
      <c r="R91" s="610"/>
      <c r="S91" s="610"/>
      <c r="T91" s="610"/>
      <c r="U91" s="610"/>
      <c r="V91" s="610"/>
      <c r="W91" s="610"/>
      <c r="X91" s="610"/>
      <c r="Y91" s="610"/>
      <c r="Z91" s="610"/>
      <c r="AA91" s="610"/>
      <c r="AB91" s="610"/>
      <c r="AC91" s="610"/>
      <c r="AD91" s="610"/>
      <c r="AE91" s="610"/>
      <c r="AF91" s="610"/>
      <c r="AG91" s="610"/>
      <c r="AH91" s="610"/>
      <c r="AI91" s="610"/>
      <c r="AJ91" s="610"/>
      <c r="AK91" s="610"/>
      <c r="AL91" s="610"/>
      <c r="AM91" s="610"/>
      <c r="AN91" s="610"/>
      <c r="AO91" s="610"/>
      <c r="AP91" s="610"/>
      <c r="AQ91" s="610"/>
      <c r="AR91" s="610"/>
      <c r="AS91" s="610"/>
      <c r="AT91" s="610"/>
      <c r="AU91" s="610"/>
      <c r="AV91" s="610"/>
      <c r="AW91" s="610"/>
      <c r="AX91" s="610"/>
      <c r="AY91" s="597"/>
      <c r="AZ91" s="610"/>
      <c r="BA91" s="610"/>
      <c r="BB91" s="610"/>
      <c r="BC91" s="610"/>
      <c r="BD91" s="610"/>
      <c r="BE91" s="610"/>
      <c r="BF91" s="610"/>
      <c r="BG91" s="610"/>
      <c r="BH91" s="1074"/>
      <c r="BI91" s="1074"/>
      <c r="BJ91" s="1074"/>
      <c r="BK91" s="1074"/>
      <c r="BL91" s="1074"/>
      <c r="BM91" s="1074"/>
      <c r="BN91" s="1074"/>
      <c r="BO91" s="1074"/>
      <c r="BP91" s="1074"/>
      <c r="BQ91" s="1074"/>
      <c r="BR91" s="1074"/>
      <c r="BS91" s="1074"/>
      <c r="BT91" s="1074"/>
      <c r="BU91" s="1074"/>
      <c r="BV91" s="1074"/>
      <c r="BW91" s="1075"/>
      <c r="BX91" s="1074"/>
      <c r="BY91" s="1074"/>
      <c r="BZ91" s="1074"/>
      <c r="CA91" s="1074"/>
      <c r="CB91" s="1074"/>
      <c r="CC91" s="502"/>
    </row>
    <row r="92" spans="1:81" s="731" customFormat="1" ht="14.4" customHeight="1" x14ac:dyDescent="0.55000000000000004">
      <c r="A92" s="497" t="s">
        <v>951</v>
      </c>
      <c r="B92" s="505"/>
      <c r="C92" s="620"/>
      <c r="D92" s="620"/>
      <c r="E92" s="620"/>
      <c r="F92" s="620"/>
      <c r="G92" s="620"/>
      <c r="H92" s="620"/>
      <c r="I92" s="620"/>
      <c r="J92" s="620"/>
      <c r="K92" s="620"/>
      <c r="L92" s="620"/>
      <c r="M92" s="620"/>
      <c r="N92" s="620"/>
      <c r="O92" s="620"/>
      <c r="P92" s="620"/>
      <c r="Q92" s="620"/>
      <c r="R92" s="620"/>
      <c r="S92" s="620"/>
      <c r="T92" s="620"/>
      <c r="U92" s="620"/>
      <c r="V92" s="620"/>
      <c r="W92" s="620"/>
      <c r="X92" s="620"/>
      <c r="Y92" s="620"/>
      <c r="Z92" s="620"/>
      <c r="AA92" s="620"/>
      <c r="AB92" s="620"/>
      <c r="AC92" s="620"/>
      <c r="AD92" s="620"/>
      <c r="AE92" s="620"/>
      <c r="AF92" s="620"/>
      <c r="AG92" s="620"/>
      <c r="AH92" s="620"/>
      <c r="AI92" s="620"/>
      <c r="AJ92" s="620"/>
      <c r="AK92" s="620"/>
      <c r="AL92" s="620"/>
      <c r="AM92" s="620"/>
      <c r="AN92" s="620"/>
      <c r="AO92" s="620"/>
      <c r="AP92" s="620"/>
      <c r="AQ92" s="620"/>
      <c r="AR92" s="620"/>
      <c r="AS92" s="620"/>
      <c r="AT92" s="620"/>
      <c r="AU92" s="620"/>
      <c r="AV92" s="620"/>
      <c r="AW92" s="620"/>
      <c r="AX92" s="620"/>
      <c r="AY92" s="677"/>
      <c r="AZ92" s="620"/>
      <c r="BA92" s="620"/>
      <c r="BB92" s="620"/>
      <c r="BC92" s="620"/>
      <c r="BD92" s="620"/>
      <c r="BE92" s="620"/>
      <c r="BF92" s="620"/>
      <c r="BG92" s="620"/>
      <c r="BH92" s="1131"/>
      <c r="BI92" s="1131"/>
      <c r="BJ92" s="1131"/>
      <c r="BK92" s="1131"/>
      <c r="BL92" s="1131"/>
      <c r="BM92" s="1131"/>
      <c r="BN92" s="1131"/>
      <c r="BO92" s="1131"/>
      <c r="BP92" s="1131"/>
      <c r="BQ92" s="1131"/>
      <c r="BR92" s="1131"/>
      <c r="BS92" s="1131"/>
      <c r="BT92" s="1131">
        <f>BT90+BT91</f>
        <v>33.262</v>
      </c>
      <c r="BU92" s="1131"/>
      <c r="BV92" s="1131"/>
      <c r="BW92" s="1132"/>
      <c r="BX92" s="1131"/>
      <c r="BY92" s="1131"/>
      <c r="BZ92" s="1131"/>
      <c r="CA92" s="1131"/>
      <c r="CB92" s="1131"/>
      <c r="CC92" s="502"/>
    </row>
    <row r="93" spans="1:81" s="735" customFormat="1" ht="14.4" customHeight="1" x14ac:dyDescent="0.55000000000000004">
      <c r="A93" s="448"/>
      <c r="B93" s="495"/>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76"/>
      <c r="AZ93" s="62"/>
      <c r="BA93" s="62"/>
      <c r="BB93" s="62"/>
      <c r="BC93" s="62"/>
      <c r="BD93" s="62"/>
      <c r="BE93" s="62"/>
      <c r="BF93" s="62"/>
      <c r="BG93" s="62"/>
      <c r="BH93" s="1052"/>
      <c r="BI93" s="1052"/>
      <c r="BJ93" s="1052"/>
      <c r="BK93" s="1052"/>
      <c r="BL93" s="1052"/>
      <c r="BM93" s="1052"/>
      <c r="BN93" s="1052"/>
      <c r="BO93" s="1052"/>
      <c r="BP93" s="1052"/>
      <c r="BQ93" s="1052"/>
      <c r="BR93" s="1052"/>
      <c r="BS93" s="1052"/>
      <c r="BT93" s="1052"/>
      <c r="BU93" s="1052"/>
      <c r="BV93" s="1052"/>
      <c r="BW93" s="1053"/>
      <c r="BX93" s="1052"/>
      <c r="BY93" s="1052"/>
      <c r="BZ93" s="1052"/>
      <c r="CA93" s="1052"/>
      <c r="CB93" s="1052"/>
      <c r="CC93" s="494"/>
    </row>
    <row r="94" spans="1:81" s="728" customFormat="1" ht="14.4" customHeight="1" x14ac:dyDescent="0.55000000000000004">
      <c r="A94" s="608" t="s">
        <v>952</v>
      </c>
      <c r="B94" s="608"/>
      <c r="C94" s="608"/>
      <c r="D94" s="608"/>
      <c r="E94" s="608"/>
      <c r="F94" s="608"/>
      <c r="G94" s="608"/>
      <c r="H94" s="608"/>
      <c r="I94" s="608"/>
      <c r="J94" s="608"/>
      <c r="K94" s="608"/>
      <c r="L94" s="608"/>
      <c r="M94" s="608"/>
      <c r="N94" s="608"/>
      <c r="O94" s="608"/>
      <c r="P94" s="608"/>
      <c r="Q94" s="608"/>
      <c r="R94" s="608"/>
      <c r="S94" s="608"/>
      <c r="T94" s="608"/>
      <c r="U94" s="608"/>
      <c r="V94" s="608"/>
      <c r="W94" s="608"/>
      <c r="X94" s="608"/>
      <c r="Y94" s="608"/>
      <c r="Z94" s="608"/>
      <c r="AA94" s="608"/>
      <c r="AB94" s="608"/>
      <c r="AC94" s="608"/>
      <c r="AD94" s="608"/>
      <c r="AE94" s="608"/>
      <c r="AF94" s="608"/>
      <c r="AG94" s="608"/>
      <c r="AH94" s="608"/>
      <c r="AI94" s="608"/>
      <c r="AJ94" s="608"/>
      <c r="AK94" s="608"/>
      <c r="AL94" s="608"/>
      <c r="AM94" s="608"/>
      <c r="AN94" s="608"/>
      <c r="AO94" s="608"/>
      <c r="AP94" s="608"/>
      <c r="AQ94" s="608"/>
      <c r="AR94" s="608"/>
      <c r="AS94" s="608"/>
      <c r="AT94" s="608"/>
      <c r="AU94" s="608"/>
      <c r="AV94" s="608"/>
      <c r="AW94" s="608"/>
      <c r="AX94" s="608"/>
      <c r="AY94" s="609"/>
      <c r="AZ94" s="608"/>
      <c r="BA94" s="608"/>
      <c r="BB94" s="608"/>
      <c r="BC94" s="608"/>
      <c r="BD94" s="608"/>
      <c r="BE94" s="608"/>
      <c r="BF94" s="608"/>
      <c r="BG94" s="608"/>
      <c r="BH94" s="608"/>
      <c r="BI94" s="608"/>
      <c r="BJ94" s="608"/>
      <c r="BK94" s="608"/>
      <c r="BL94" s="608"/>
      <c r="BM94" s="608"/>
      <c r="BN94" s="608"/>
      <c r="BO94" s="608"/>
      <c r="BP94" s="608"/>
      <c r="BQ94" s="608"/>
      <c r="BR94" s="608"/>
      <c r="BS94" s="608"/>
      <c r="BT94" s="608"/>
      <c r="BU94" s="608"/>
      <c r="BV94" s="608"/>
      <c r="BW94" s="609"/>
      <c r="BX94" s="608"/>
      <c r="BY94" s="608"/>
      <c r="BZ94" s="608"/>
      <c r="CA94" s="608"/>
      <c r="CB94" s="608"/>
      <c r="CC94" s="493"/>
    </row>
    <row r="95" spans="1:81" s="741" customFormat="1" ht="15" customHeight="1" x14ac:dyDescent="0.55000000000000004">
      <c r="A95" s="496" t="s">
        <v>953</v>
      </c>
      <c r="B95" s="503"/>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675"/>
      <c r="AZ95" s="59"/>
      <c r="BA95" s="59"/>
      <c r="BB95" s="59"/>
      <c r="BC95" s="59"/>
      <c r="BD95" s="59"/>
      <c r="BE95" s="59"/>
      <c r="BF95" s="59"/>
      <c r="BG95" s="59"/>
      <c r="BH95" s="1054"/>
      <c r="BI95" s="1054"/>
      <c r="BJ95" s="1054"/>
      <c r="BK95" s="1054"/>
      <c r="BL95" s="1054"/>
      <c r="BM95" s="1054"/>
      <c r="BN95" s="1054"/>
      <c r="BO95" s="1054"/>
      <c r="BP95" s="1054"/>
      <c r="BQ95" s="1054"/>
      <c r="BR95" s="1054"/>
      <c r="BS95" s="1133">
        <v>9</v>
      </c>
      <c r="BT95" s="1133">
        <v>10</v>
      </c>
      <c r="BU95" s="1133">
        <v>9</v>
      </c>
      <c r="BV95" s="1133">
        <v>11</v>
      </c>
      <c r="BW95" s="1055"/>
      <c r="BX95" s="1054"/>
      <c r="BY95" s="1054"/>
      <c r="BZ95" s="1054"/>
      <c r="CA95" s="1054"/>
      <c r="CB95" s="1054"/>
      <c r="CC95" s="307"/>
    </row>
    <row r="96" spans="1:81" s="741" customFormat="1" ht="15" customHeight="1" x14ac:dyDescent="0.55000000000000004">
      <c r="A96" s="496" t="s">
        <v>954</v>
      </c>
      <c r="B96" s="503"/>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675"/>
      <c r="AZ96" s="59"/>
      <c r="BA96" s="59"/>
      <c r="BB96" s="59"/>
      <c r="BC96" s="59"/>
      <c r="BD96" s="59"/>
      <c r="BE96" s="59"/>
      <c r="BF96" s="59"/>
      <c r="BG96" s="59"/>
      <c r="BH96" s="1054"/>
      <c r="BI96" s="1054"/>
      <c r="BJ96" s="1054"/>
      <c r="BK96" s="1054"/>
      <c r="BL96" s="1054"/>
      <c r="BM96" s="1054"/>
      <c r="BN96" s="1054"/>
      <c r="BO96" s="1054"/>
      <c r="BP96" s="1054"/>
      <c r="BQ96" s="1054"/>
      <c r="BR96" s="1054"/>
      <c r="BS96" s="1133">
        <v>7</v>
      </c>
      <c r="BT96" s="1054"/>
      <c r="BU96" s="1133">
        <v>7</v>
      </c>
      <c r="BV96" s="1133">
        <v>9</v>
      </c>
      <c r="BW96" s="1055"/>
      <c r="BX96" s="1054"/>
      <c r="BY96" s="1054"/>
      <c r="BZ96" s="1054"/>
      <c r="CA96" s="1054"/>
      <c r="CB96" s="1054"/>
      <c r="CC96" s="307"/>
    </row>
    <row r="97" spans="1:81" s="741" customFormat="1" ht="15" customHeight="1" x14ac:dyDescent="0.55000000000000004">
      <c r="A97" s="496" t="s">
        <v>955</v>
      </c>
      <c r="B97" s="503"/>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675"/>
      <c r="AZ97" s="59"/>
      <c r="BA97" s="59"/>
      <c r="BB97" s="59"/>
      <c r="BC97" s="59"/>
      <c r="BD97" s="59"/>
      <c r="BE97" s="59"/>
      <c r="BF97" s="59"/>
      <c r="BG97" s="59"/>
      <c r="BH97" s="1054"/>
      <c r="BI97" s="1054"/>
      <c r="BJ97" s="1054"/>
      <c r="BK97" s="1054"/>
      <c r="BL97" s="1054"/>
      <c r="BM97" s="1054"/>
      <c r="BN97" s="1054"/>
      <c r="BO97" s="1054"/>
      <c r="BP97" s="1054"/>
      <c r="BQ97" s="1054"/>
      <c r="BR97" s="1054"/>
      <c r="BS97" s="1054"/>
      <c r="BT97" s="1133">
        <v>4</v>
      </c>
      <c r="BU97" s="1133">
        <v>4</v>
      </c>
      <c r="BV97" s="1133">
        <v>4</v>
      </c>
      <c r="BW97" s="1055"/>
      <c r="BX97" s="1054"/>
      <c r="BY97" s="1054"/>
      <c r="BZ97" s="1054"/>
      <c r="CA97" s="1054"/>
      <c r="CB97" s="1054"/>
      <c r="CC97" s="307"/>
    </row>
    <row r="98" spans="1:81" s="741" customFormat="1" ht="15" customHeight="1" x14ac:dyDescent="0.55000000000000004">
      <c r="A98" s="496"/>
      <c r="B98" s="503"/>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675"/>
      <c r="AZ98" s="59"/>
      <c r="BA98" s="59"/>
      <c r="BB98" s="59"/>
      <c r="BC98" s="59"/>
      <c r="BD98" s="59"/>
      <c r="BE98" s="59"/>
      <c r="BF98" s="59"/>
      <c r="BG98" s="59"/>
      <c r="BH98" s="1054"/>
      <c r="BI98" s="1054"/>
      <c r="BJ98" s="1054"/>
      <c r="BK98" s="1054"/>
      <c r="BL98" s="1054"/>
      <c r="BM98" s="1054"/>
      <c r="BN98" s="1054"/>
      <c r="BO98" s="1054"/>
      <c r="BP98" s="1054"/>
      <c r="BQ98" s="1054"/>
      <c r="BR98" s="1054"/>
      <c r="BS98" s="1054"/>
      <c r="BT98" s="1054"/>
      <c r="BU98" s="1054"/>
      <c r="BV98" s="1054"/>
      <c r="BW98" s="1055"/>
      <c r="BX98" s="1054"/>
      <c r="BY98" s="1054"/>
      <c r="BZ98" s="1054"/>
      <c r="CA98" s="1054"/>
      <c r="CB98" s="1054"/>
      <c r="CC98" s="307"/>
    </row>
    <row r="99" spans="1:81" s="741" customFormat="1" ht="15.75" customHeight="1" x14ac:dyDescent="0.55000000000000004">
      <c r="A99" s="496" t="s">
        <v>956</v>
      </c>
      <c r="B99" s="503"/>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675"/>
      <c r="AZ99" s="59"/>
      <c r="BA99" s="59"/>
      <c r="BB99" s="59"/>
      <c r="BC99" s="59"/>
      <c r="BD99" s="59"/>
      <c r="BE99" s="59"/>
      <c r="BF99" s="59"/>
      <c r="BG99" s="59"/>
      <c r="BH99" s="1054"/>
      <c r="BI99" s="1054"/>
      <c r="BJ99" s="1054"/>
      <c r="BK99" s="1054"/>
      <c r="BL99" s="1054"/>
      <c r="BM99" s="1054"/>
      <c r="BN99" s="1054"/>
      <c r="BO99" s="1054"/>
      <c r="BP99" s="1054"/>
      <c r="BQ99" s="1054"/>
      <c r="BR99" s="1054"/>
      <c r="BS99" s="1133">
        <v>9</v>
      </c>
      <c r="BT99" s="1133">
        <v>9</v>
      </c>
      <c r="BU99" s="1133">
        <v>9</v>
      </c>
      <c r="BV99" s="1133">
        <v>10</v>
      </c>
      <c r="BW99" s="1055"/>
      <c r="BX99" s="1054"/>
      <c r="BY99" s="1054"/>
      <c r="BZ99" s="1054"/>
      <c r="CA99" s="1054"/>
      <c r="CB99" s="1054"/>
      <c r="CC99" s="307"/>
    </row>
    <row r="100" spans="1:81" s="741" customFormat="1" ht="14.4" customHeight="1" x14ac:dyDescent="0.55000000000000004">
      <c r="A100" s="496" t="s">
        <v>957</v>
      </c>
      <c r="B100" s="503"/>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675"/>
      <c r="AZ100" s="59"/>
      <c r="BA100" s="59"/>
      <c r="BB100" s="59"/>
      <c r="BC100" s="59"/>
      <c r="BD100" s="59"/>
      <c r="BE100" s="59"/>
      <c r="BF100" s="59"/>
      <c r="BG100" s="59"/>
      <c r="BH100" s="1054"/>
      <c r="BI100" s="1054"/>
      <c r="BJ100" s="1054"/>
      <c r="BK100" s="1054"/>
      <c r="BL100" s="1054"/>
      <c r="BM100" s="1054"/>
      <c r="BN100" s="1054"/>
      <c r="BO100" s="1054"/>
      <c r="BP100" s="1054"/>
      <c r="BQ100" s="1054"/>
      <c r="BR100" s="1054"/>
      <c r="BS100" s="1133">
        <v>7</v>
      </c>
      <c r="BT100" s="1133">
        <v>7</v>
      </c>
      <c r="BU100" s="1133">
        <v>7</v>
      </c>
      <c r="BV100" s="1133">
        <v>9</v>
      </c>
      <c r="BW100" s="1055"/>
      <c r="BX100" s="1054"/>
      <c r="BY100" s="1054"/>
      <c r="BZ100" s="1054"/>
      <c r="CA100" s="1054"/>
      <c r="CB100" s="1054"/>
      <c r="CC100" s="307"/>
    </row>
    <row r="101" spans="1:81" s="741" customFormat="1" ht="14.4" customHeight="1" x14ac:dyDescent="0.55000000000000004">
      <c r="A101" s="496" t="s">
        <v>958</v>
      </c>
      <c r="B101" s="503"/>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675"/>
      <c r="AZ101" s="59"/>
      <c r="BA101" s="59"/>
      <c r="BB101" s="59"/>
      <c r="BC101" s="59"/>
      <c r="BD101" s="59"/>
      <c r="BE101" s="59"/>
      <c r="BF101" s="59"/>
      <c r="BG101" s="59"/>
      <c r="BH101" s="1054"/>
      <c r="BI101" s="1054"/>
      <c r="BJ101" s="1054"/>
      <c r="BK101" s="1054"/>
      <c r="BL101" s="1054"/>
      <c r="BM101" s="1054"/>
      <c r="BN101" s="1054"/>
      <c r="BO101" s="1054"/>
      <c r="BP101" s="1054"/>
      <c r="BQ101" s="1054"/>
      <c r="BR101" s="1054"/>
      <c r="BS101" s="1133">
        <v>4</v>
      </c>
      <c r="BT101" s="1054"/>
      <c r="BU101" s="1133">
        <v>4</v>
      </c>
      <c r="BV101" s="1133">
        <v>3</v>
      </c>
      <c r="BW101" s="1055"/>
      <c r="BX101" s="1054"/>
      <c r="BY101" s="1054"/>
      <c r="BZ101" s="1054"/>
      <c r="CA101" s="1054"/>
      <c r="CB101" s="1054"/>
      <c r="CC101" s="307"/>
    </row>
    <row r="102" spans="1:81" s="741" customFormat="1" ht="14.4" customHeight="1" x14ac:dyDescent="0.55000000000000004">
      <c r="A102" s="496"/>
      <c r="B102" s="503"/>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675"/>
      <c r="AZ102" s="59"/>
      <c r="BA102" s="59"/>
      <c r="BB102" s="59"/>
      <c r="BC102" s="59"/>
      <c r="BD102" s="59"/>
      <c r="BE102" s="59"/>
      <c r="BF102" s="59"/>
      <c r="BG102" s="59"/>
      <c r="BH102" s="1054"/>
      <c r="BI102" s="1054"/>
      <c r="BJ102" s="1054"/>
      <c r="BK102" s="1054"/>
      <c r="BL102" s="1054"/>
      <c r="BM102" s="1054"/>
      <c r="BN102" s="1054"/>
      <c r="BO102" s="1054"/>
      <c r="BP102" s="1054"/>
      <c r="BQ102" s="1054"/>
      <c r="BR102" s="1054"/>
      <c r="BS102" s="1054"/>
      <c r="BT102" s="1054"/>
      <c r="BU102" s="1054"/>
      <c r="BV102" s="1054"/>
      <c r="BW102" s="1055"/>
      <c r="BX102" s="1054"/>
      <c r="BY102" s="1054"/>
      <c r="BZ102" s="1054"/>
      <c r="CA102" s="1054"/>
      <c r="CB102" s="1054"/>
      <c r="CC102" s="307"/>
    </row>
    <row r="103" spans="1:81" s="728" customFormat="1" ht="14.4" customHeight="1" x14ac:dyDescent="0.55000000000000004">
      <c r="A103" s="608" t="s">
        <v>959</v>
      </c>
      <c r="B103" s="608"/>
      <c r="C103" s="608"/>
      <c r="D103" s="608"/>
      <c r="E103" s="608"/>
      <c r="F103" s="608"/>
      <c r="G103" s="608"/>
      <c r="H103" s="608"/>
      <c r="I103" s="608"/>
      <c r="J103" s="608"/>
      <c r="K103" s="608"/>
      <c r="L103" s="608"/>
      <c r="M103" s="608"/>
      <c r="N103" s="608"/>
      <c r="O103" s="608"/>
      <c r="P103" s="608"/>
      <c r="Q103" s="608"/>
      <c r="R103" s="608"/>
      <c r="S103" s="608"/>
      <c r="T103" s="608"/>
      <c r="U103" s="608"/>
      <c r="V103" s="608"/>
      <c r="W103" s="608"/>
      <c r="X103" s="608"/>
      <c r="Y103" s="608"/>
      <c r="Z103" s="608"/>
      <c r="AA103" s="608"/>
      <c r="AB103" s="608"/>
      <c r="AC103" s="608"/>
      <c r="AD103" s="608"/>
      <c r="AE103" s="608"/>
      <c r="AF103" s="608"/>
      <c r="AG103" s="608"/>
      <c r="AH103" s="608"/>
      <c r="AI103" s="608"/>
      <c r="AJ103" s="608"/>
      <c r="AK103" s="608"/>
      <c r="AL103" s="608"/>
      <c r="AM103" s="608"/>
      <c r="AN103" s="608"/>
      <c r="AO103" s="608"/>
      <c r="AP103" s="608"/>
      <c r="AQ103" s="608"/>
      <c r="AR103" s="608"/>
      <c r="AS103" s="608"/>
      <c r="AT103" s="608"/>
      <c r="AU103" s="608"/>
      <c r="AV103" s="608"/>
      <c r="AW103" s="608"/>
      <c r="AX103" s="608"/>
      <c r="AY103" s="609"/>
      <c r="AZ103" s="608"/>
      <c r="BA103" s="608"/>
      <c r="BB103" s="608"/>
      <c r="BC103" s="608"/>
      <c r="BD103" s="608"/>
      <c r="BE103" s="608"/>
      <c r="BF103" s="608"/>
      <c r="BG103" s="608"/>
      <c r="BH103" s="608"/>
      <c r="BI103" s="608"/>
      <c r="BJ103" s="608"/>
      <c r="BK103" s="608"/>
      <c r="BL103" s="608"/>
      <c r="BM103" s="608"/>
      <c r="BN103" s="608"/>
      <c r="BO103" s="608"/>
      <c r="BP103" s="608"/>
      <c r="BQ103" s="608"/>
      <c r="BR103" s="608"/>
      <c r="BS103" s="608"/>
      <c r="BT103" s="608"/>
      <c r="BU103" s="608"/>
      <c r="BV103" s="608"/>
      <c r="BW103" s="609"/>
      <c r="BX103" s="608"/>
      <c r="BY103" s="608"/>
      <c r="BZ103" s="608"/>
      <c r="CA103" s="608"/>
      <c r="CB103" s="608"/>
      <c r="CC103" s="493"/>
    </row>
    <row r="104" spans="1:81" s="731" customFormat="1" ht="14.4" hidden="1" customHeight="1" outlineLevel="1" x14ac:dyDescent="0.55000000000000004">
      <c r="A104" s="498" t="s">
        <v>960</v>
      </c>
      <c r="B104" s="97"/>
      <c r="C104" s="610"/>
      <c r="D104" s="610"/>
      <c r="E104" s="610"/>
      <c r="F104" s="610"/>
      <c r="G104" s="610"/>
      <c r="H104" s="610"/>
      <c r="I104" s="610"/>
      <c r="J104" s="610"/>
      <c r="K104" s="610"/>
      <c r="L104" s="610"/>
      <c r="M104" s="610"/>
      <c r="N104" s="610"/>
      <c r="O104" s="610"/>
      <c r="P104" s="610"/>
      <c r="Q104" s="610"/>
      <c r="R104" s="610"/>
      <c r="S104" s="610"/>
      <c r="T104" s="610"/>
      <c r="U104" s="610"/>
      <c r="V104" s="610"/>
      <c r="W104" s="610"/>
      <c r="X104" s="610"/>
      <c r="Y104" s="610"/>
      <c r="Z104" s="610"/>
      <c r="AA104" s="610"/>
      <c r="AB104" s="610"/>
      <c r="AC104" s="610"/>
      <c r="AD104" s="610"/>
      <c r="AE104" s="610"/>
      <c r="AF104" s="610"/>
      <c r="AG104" s="610"/>
      <c r="AH104" s="610"/>
      <c r="AI104" s="610"/>
      <c r="AJ104" s="610"/>
      <c r="AK104" s="610"/>
      <c r="AL104" s="610"/>
      <c r="AM104" s="610"/>
      <c r="AN104" s="610"/>
      <c r="AO104" s="610"/>
      <c r="AP104" s="610"/>
      <c r="AQ104" s="610"/>
      <c r="AR104" s="610"/>
      <c r="AS104" s="610"/>
      <c r="AT104" s="610"/>
      <c r="AU104" s="610"/>
      <c r="AV104" s="610"/>
      <c r="AW104" s="610"/>
      <c r="AX104" s="610"/>
      <c r="AY104" s="597"/>
      <c r="AZ104" s="610"/>
      <c r="BA104" s="610"/>
      <c r="BB104" s="610"/>
      <c r="BC104" s="610"/>
      <c r="BD104" s="610"/>
      <c r="BE104" s="610"/>
      <c r="BF104" s="610"/>
      <c r="BG104" s="610"/>
      <c r="BH104" s="1074"/>
      <c r="BI104" s="1074"/>
      <c r="BJ104" s="1074"/>
      <c r="BK104" s="1074"/>
      <c r="BL104" s="1074"/>
      <c r="BM104" s="1074"/>
      <c r="BN104" s="1074"/>
      <c r="BO104" s="1074"/>
      <c r="BP104" s="1074"/>
      <c r="BQ104" s="1074"/>
      <c r="BR104" s="1074"/>
      <c r="BS104" s="1126">
        <v>125.363</v>
      </c>
      <c r="BT104" s="1126">
        <v>162</v>
      </c>
      <c r="BU104" s="1126">
        <v>150</v>
      </c>
      <c r="BV104" s="1126">
        <v>163</v>
      </c>
      <c r="BW104" s="1075"/>
      <c r="BX104" s="1074"/>
      <c r="BY104" s="1074"/>
      <c r="BZ104" s="1074"/>
      <c r="CA104" s="1074"/>
      <c r="CB104" s="1074"/>
      <c r="CC104" s="502"/>
    </row>
    <row r="105" spans="1:81" s="731" customFormat="1" ht="14.4" hidden="1" customHeight="1" outlineLevel="1" x14ac:dyDescent="0.55000000000000004">
      <c r="A105" s="498" t="s">
        <v>961</v>
      </c>
      <c r="B105" s="97"/>
      <c r="C105" s="610"/>
      <c r="D105" s="610"/>
      <c r="E105" s="610"/>
      <c r="F105" s="610"/>
      <c r="G105" s="610"/>
      <c r="H105" s="610"/>
      <c r="I105" s="610"/>
      <c r="J105" s="610"/>
      <c r="K105" s="610"/>
      <c r="L105" s="610"/>
      <c r="M105" s="610"/>
      <c r="N105" s="610"/>
      <c r="O105" s="610"/>
      <c r="P105" s="610"/>
      <c r="Q105" s="610"/>
      <c r="R105" s="610"/>
      <c r="S105" s="610"/>
      <c r="T105" s="610"/>
      <c r="U105" s="610"/>
      <c r="V105" s="610"/>
      <c r="W105" s="610"/>
      <c r="X105" s="610"/>
      <c r="Y105" s="610"/>
      <c r="Z105" s="610"/>
      <c r="AA105" s="610"/>
      <c r="AB105" s="610"/>
      <c r="AC105" s="610"/>
      <c r="AD105" s="610"/>
      <c r="AE105" s="610"/>
      <c r="AF105" s="610"/>
      <c r="AG105" s="610"/>
      <c r="AH105" s="610"/>
      <c r="AI105" s="610"/>
      <c r="AJ105" s="610"/>
      <c r="AK105" s="610"/>
      <c r="AL105" s="610"/>
      <c r="AM105" s="610"/>
      <c r="AN105" s="610"/>
      <c r="AO105" s="610"/>
      <c r="AP105" s="610"/>
      <c r="AQ105" s="610"/>
      <c r="AR105" s="610"/>
      <c r="AS105" s="610"/>
      <c r="AT105" s="610"/>
      <c r="AU105" s="610"/>
      <c r="AV105" s="610"/>
      <c r="AW105" s="610"/>
      <c r="AX105" s="610"/>
      <c r="AY105" s="597"/>
      <c r="AZ105" s="610"/>
      <c r="BA105" s="610"/>
      <c r="BB105" s="610"/>
      <c r="BC105" s="610"/>
      <c r="BD105" s="610"/>
      <c r="BE105" s="610"/>
      <c r="BF105" s="610"/>
      <c r="BG105" s="610"/>
      <c r="BH105" s="1074"/>
      <c r="BI105" s="1074"/>
      <c r="BJ105" s="1074"/>
      <c r="BK105" s="1074"/>
      <c r="BL105" s="1074"/>
      <c r="BM105" s="1074"/>
      <c r="BN105" s="1074"/>
      <c r="BO105" s="1074"/>
      <c r="BP105" s="1074"/>
      <c r="BQ105" s="1074"/>
      <c r="BR105" s="1074"/>
      <c r="BS105" s="1126">
        <v>70</v>
      </c>
      <c r="BT105" s="1126">
        <v>52.277999999999999</v>
      </c>
      <c r="BU105" s="1126">
        <v>50</v>
      </c>
      <c r="BV105" s="1126">
        <v>50</v>
      </c>
      <c r="BW105" s="1075"/>
      <c r="BX105" s="1074"/>
      <c r="BY105" s="1074"/>
      <c r="BZ105" s="1074"/>
      <c r="CA105" s="1074"/>
      <c r="CB105" s="1074"/>
      <c r="CC105" s="502"/>
    </row>
    <row r="106" spans="1:81" s="731" customFormat="1" ht="14.4" hidden="1" customHeight="1" outlineLevel="1" x14ac:dyDescent="0.55000000000000004">
      <c r="A106" s="498" t="s">
        <v>962</v>
      </c>
      <c r="B106" s="97"/>
      <c r="C106" s="610"/>
      <c r="D106" s="610"/>
      <c r="E106" s="610"/>
      <c r="F106" s="610"/>
      <c r="G106" s="610"/>
      <c r="H106" s="610"/>
      <c r="I106" s="610"/>
      <c r="J106" s="610"/>
      <c r="K106" s="610"/>
      <c r="L106" s="610"/>
      <c r="M106" s="610"/>
      <c r="N106" s="610"/>
      <c r="O106" s="610"/>
      <c r="P106" s="610"/>
      <c r="Q106" s="610"/>
      <c r="R106" s="610"/>
      <c r="S106" s="610"/>
      <c r="T106" s="610"/>
      <c r="U106" s="610"/>
      <c r="V106" s="610"/>
      <c r="W106" s="610"/>
      <c r="X106" s="610"/>
      <c r="Y106" s="610"/>
      <c r="Z106" s="610"/>
      <c r="AA106" s="610"/>
      <c r="AB106" s="610"/>
      <c r="AC106" s="610"/>
      <c r="AD106" s="610"/>
      <c r="AE106" s="610"/>
      <c r="AF106" s="610"/>
      <c r="AG106" s="610"/>
      <c r="AH106" s="610"/>
      <c r="AI106" s="610"/>
      <c r="AJ106" s="610"/>
      <c r="AK106" s="610"/>
      <c r="AL106" s="610"/>
      <c r="AM106" s="610"/>
      <c r="AN106" s="610"/>
      <c r="AO106" s="610"/>
      <c r="AP106" s="610"/>
      <c r="AQ106" s="610"/>
      <c r="AR106" s="610"/>
      <c r="AS106" s="610"/>
      <c r="AT106" s="610"/>
      <c r="AU106" s="610"/>
      <c r="AV106" s="610"/>
      <c r="AW106" s="610"/>
      <c r="AX106" s="610"/>
      <c r="AY106" s="597"/>
      <c r="AZ106" s="610"/>
      <c r="BA106" s="610"/>
      <c r="BB106" s="610"/>
      <c r="BC106" s="610"/>
      <c r="BD106" s="610"/>
      <c r="BE106" s="610"/>
      <c r="BF106" s="610"/>
      <c r="BG106" s="610"/>
      <c r="BH106" s="1074"/>
      <c r="BI106" s="1074"/>
      <c r="BJ106" s="1074"/>
      <c r="BK106" s="1074"/>
      <c r="BL106" s="1074"/>
      <c r="BM106" s="1074"/>
      <c r="BN106" s="1074"/>
      <c r="BO106" s="1074"/>
      <c r="BP106" s="1074"/>
      <c r="BQ106" s="1074"/>
      <c r="BR106" s="1074"/>
      <c r="BS106" s="1126">
        <v>40.462000000000003</v>
      </c>
      <c r="BT106" s="1126">
        <v>102</v>
      </c>
      <c r="BU106" s="1126">
        <v>94</v>
      </c>
      <c r="BV106" s="1126">
        <v>84</v>
      </c>
      <c r="BW106" s="1075"/>
      <c r="BX106" s="1074"/>
      <c r="BY106" s="1074"/>
      <c r="BZ106" s="1074"/>
      <c r="CA106" s="1074"/>
      <c r="CB106" s="1074"/>
      <c r="CC106" s="502"/>
    </row>
    <row r="107" spans="1:81" s="731" customFormat="1" ht="14.4" hidden="1" customHeight="1" outlineLevel="1" x14ac:dyDescent="0.55000000000000004">
      <c r="A107" s="498" t="s">
        <v>963</v>
      </c>
      <c r="B107" s="97"/>
      <c r="C107" s="610"/>
      <c r="D107" s="610"/>
      <c r="E107" s="610"/>
      <c r="F107" s="610"/>
      <c r="G107" s="610"/>
      <c r="H107" s="610"/>
      <c r="I107" s="610"/>
      <c r="J107" s="610"/>
      <c r="K107" s="610"/>
      <c r="L107" s="610"/>
      <c r="M107" s="610"/>
      <c r="N107" s="610"/>
      <c r="O107" s="610"/>
      <c r="P107" s="610"/>
      <c r="Q107" s="610"/>
      <c r="R107" s="610"/>
      <c r="S107" s="610"/>
      <c r="T107" s="610"/>
      <c r="U107" s="610"/>
      <c r="V107" s="610"/>
      <c r="W107" s="610"/>
      <c r="X107" s="610"/>
      <c r="Y107" s="610"/>
      <c r="Z107" s="610"/>
      <c r="AA107" s="610"/>
      <c r="AB107" s="610"/>
      <c r="AC107" s="610"/>
      <c r="AD107" s="610"/>
      <c r="AE107" s="610"/>
      <c r="AF107" s="610"/>
      <c r="AG107" s="610"/>
      <c r="AH107" s="610"/>
      <c r="AI107" s="610"/>
      <c r="AJ107" s="610"/>
      <c r="AK107" s="610"/>
      <c r="AL107" s="610"/>
      <c r="AM107" s="610"/>
      <c r="AN107" s="610"/>
      <c r="AO107" s="610"/>
      <c r="AP107" s="610"/>
      <c r="AQ107" s="610"/>
      <c r="AR107" s="610"/>
      <c r="AS107" s="610"/>
      <c r="AT107" s="610"/>
      <c r="AU107" s="610"/>
      <c r="AV107" s="610"/>
      <c r="AW107" s="610"/>
      <c r="AX107" s="610"/>
      <c r="AY107" s="597"/>
      <c r="AZ107" s="610"/>
      <c r="BA107" s="610"/>
      <c r="BB107" s="610"/>
      <c r="BC107" s="610"/>
      <c r="BD107" s="610"/>
      <c r="BE107" s="610"/>
      <c r="BF107" s="610"/>
      <c r="BG107" s="610"/>
      <c r="BH107" s="1074"/>
      <c r="BI107" s="1074"/>
      <c r="BJ107" s="1074"/>
      <c r="BK107" s="1074"/>
      <c r="BL107" s="1074"/>
      <c r="BM107" s="1074"/>
      <c r="BN107" s="1074"/>
      <c r="BO107" s="1074"/>
      <c r="BP107" s="1074"/>
      <c r="BQ107" s="1074"/>
      <c r="BR107" s="1074"/>
      <c r="BS107" s="1126">
        <v>85.466999999999999</v>
      </c>
      <c r="BT107" s="1126">
        <v>185.72200000000001</v>
      </c>
      <c r="BU107" s="1126">
        <v>176</v>
      </c>
      <c r="BV107" s="1126">
        <v>168</v>
      </c>
      <c r="BW107" s="1075"/>
      <c r="BX107" s="1074"/>
      <c r="BY107" s="1074"/>
      <c r="BZ107" s="1074"/>
      <c r="CA107" s="1074"/>
      <c r="CB107" s="1074"/>
      <c r="CC107" s="502"/>
    </row>
    <row r="108" spans="1:81" s="731" customFormat="1" ht="14.4" hidden="1" customHeight="1" outlineLevel="1" x14ac:dyDescent="0.55000000000000004">
      <c r="A108" s="498" t="s">
        <v>964</v>
      </c>
      <c r="B108" s="97"/>
      <c r="C108" s="610"/>
      <c r="D108" s="610"/>
      <c r="E108" s="610"/>
      <c r="F108" s="610"/>
      <c r="G108" s="610"/>
      <c r="H108" s="610"/>
      <c r="I108" s="610"/>
      <c r="J108" s="610"/>
      <c r="K108" s="610"/>
      <c r="L108" s="610"/>
      <c r="M108" s="610"/>
      <c r="N108" s="610"/>
      <c r="O108" s="610"/>
      <c r="P108" s="610"/>
      <c r="Q108" s="610"/>
      <c r="R108" s="610"/>
      <c r="S108" s="610"/>
      <c r="T108" s="610"/>
      <c r="U108" s="610"/>
      <c r="V108" s="610"/>
      <c r="W108" s="610"/>
      <c r="X108" s="610"/>
      <c r="Y108" s="610"/>
      <c r="Z108" s="610"/>
      <c r="AA108" s="610"/>
      <c r="AB108" s="610"/>
      <c r="AC108" s="610"/>
      <c r="AD108" s="610"/>
      <c r="AE108" s="610"/>
      <c r="AF108" s="610"/>
      <c r="AG108" s="610"/>
      <c r="AH108" s="610"/>
      <c r="AI108" s="610"/>
      <c r="AJ108" s="610"/>
      <c r="AK108" s="610"/>
      <c r="AL108" s="610"/>
      <c r="AM108" s="610"/>
      <c r="AN108" s="610"/>
      <c r="AO108" s="610"/>
      <c r="AP108" s="610"/>
      <c r="AQ108" s="610"/>
      <c r="AR108" s="610"/>
      <c r="AS108" s="610"/>
      <c r="AT108" s="610"/>
      <c r="AU108" s="610"/>
      <c r="AV108" s="610"/>
      <c r="AW108" s="610"/>
      <c r="AX108" s="610"/>
      <c r="AY108" s="597"/>
      <c r="AZ108" s="610"/>
      <c r="BA108" s="610"/>
      <c r="BB108" s="610"/>
      <c r="BC108" s="610"/>
      <c r="BD108" s="610"/>
      <c r="BE108" s="610"/>
      <c r="BF108" s="610"/>
      <c r="BG108" s="610"/>
      <c r="BH108" s="1074"/>
      <c r="BI108" s="1074"/>
      <c r="BJ108" s="1074"/>
      <c r="BK108" s="1074"/>
      <c r="BL108" s="1074"/>
      <c r="BM108" s="1074"/>
      <c r="BN108" s="1074"/>
      <c r="BO108" s="1074"/>
      <c r="BP108" s="1074"/>
      <c r="BQ108" s="1074"/>
      <c r="BR108" s="1074"/>
      <c r="BS108" s="1126">
        <v>100.527</v>
      </c>
      <c r="BT108" s="1126">
        <v>272</v>
      </c>
      <c r="BU108" s="1126">
        <v>244</v>
      </c>
      <c r="BV108" s="1126">
        <v>240</v>
      </c>
      <c r="BW108" s="1075"/>
      <c r="BX108" s="1074"/>
      <c r="BY108" s="1074"/>
      <c r="BZ108" s="1074"/>
      <c r="CA108" s="1074"/>
      <c r="CB108" s="1074"/>
      <c r="CC108" s="502"/>
    </row>
    <row r="109" spans="1:81" s="731" customFormat="1" ht="14.4" hidden="1" customHeight="1" outlineLevel="1" x14ac:dyDescent="0.55000000000000004">
      <c r="A109" s="498" t="s">
        <v>965</v>
      </c>
      <c r="B109" s="97"/>
      <c r="C109" s="610"/>
      <c r="D109" s="610"/>
      <c r="E109" s="610"/>
      <c r="F109" s="610"/>
      <c r="G109" s="610"/>
      <c r="H109" s="610"/>
      <c r="I109" s="610"/>
      <c r="J109" s="610"/>
      <c r="K109" s="610"/>
      <c r="L109" s="610"/>
      <c r="M109" s="610"/>
      <c r="N109" s="610"/>
      <c r="O109" s="610"/>
      <c r="P109" s="610"/>
      <c r="Q109" s="610"/>
      <c r="R109" s="610"/>
      <c r="S109" s="610"/>
      <c r="T109" s="610"/>
      <c r="U109" s="610"/>
      <c r="V109" s="610"/>
      <c r="W109" s="610"/>
      <c r="X109" s="610"/>
      <c r="Y109" s="610"/>
      <c r="Z109" s="610"/>
      <c r="AA109" s="610"/>
      <c r="AB109" s="610"/>
      <c r="AC109" s="610"/>
      <c r="AD109" s="610"/>
      <c r="AE109" s="610"/>
      <c r="AF109" s="610"/>
      <c r="AG109" s="610"/>
      <c r="AH109" s="610"/>
      <c r="AI109" s="610"/>
      <c r="AJ109" s="610"/>
      <c r="AK109" s="610"/>
      <c r="AL109" s="610"/>
      <c r="AM109" s="610"/>
      <c r="AN109" s="610"/>
      <c r="AO109" s="610"/>
      <c r="AP109" s="610"/>
      <c r="AQ109" s="610"/>
      <c r="AR109" s="610"/>
      <c r="AS109" s="610"/>
      <c r="AT109" s="610"/>
      <c r="AU109" s="610"/>
      <c r="AV109" s="610"/>
      <c r="AW109" s="610"/>
      <c r="AX109" s="610"/>
      <c r="AY109" s="597"/>
      <c r="AZ109" s="610"/>
      <c r="BA109" s="610"/>
      <c r="BB109" s="610"/>
      <c r="BC109" s="610"/>
      <c r="BD109" s="610"/>
      <c r="BE109" s="610"/>
      <c r="BF109" s="610"/>
      <c r="BG109" s="610"/>
      <c r="BH109" s="1074"/>
      <c r="BI109" s="1074"/>
      <c r="BJ109" s="1074"/>
      <c r="BK109" s="1074"/>
      <c r="BL109" s="1074"/>
      <c r="BM109" s="1074"/>
      <c r="BN109" s="1074"/>
      <c r="BO109" s="1074"/>
      <c r="BP109" s="1074"/>
      <c r="BQ109" s="1074"/>
      <c r="BR109" s="1074"/>
      <c r="BS109" s="1126">
        <v>190.04400000000001</v>
      </c>
      <c r="BT109" s="1126">
        <v>50</v>
      </c>
      <c r="BU109" s="1126">
        <v>20.055</v>
      </c>
      <c r="BV109" s="1126">
        <v>66</v>
      </c>
      <c r="BW109" s="1075"/>
      <c r="BX109" s="1074"/>
      <c r="BY109" s="1074"/>
      <c r="BZ109" s="1074"/>
      <c r="CA109" s="1074"/>
      <c r="CB109" s="1074"/>
      <c r="CC109" s="502"/>
    </row>
    <row r="110" spans="1:81" s="731" customFormat="1" ht="14.4" hidden="1" customHeight="1" outlineLevel="1" x14ac:dyDescent="0.55000000000000004">
      <c r="A110" s="498" t="s">
        <v>966</v>
      </c>
      <c r="B110" s="97"/>
      <c r="C110" s="610"/>
      <c r="D110" s="610"/>
      <c r="E110" s="610"/>
      <c r="F110" s="610"/>
      <c r="G110" s="610"/>
      <c r="H110" s="610"/>
      <c r="I110" s="610"/>
      <c r="J110" s="610"/>
      <c r="K110" s="610"/>
      <c r="L110" s="610"/>
      <c r="M110" s="610"/>
      <c r="N110" s="610"/>
      <c r="O110" s="610"/>
      <c r="P110" s="610"/>
      <c r="Q110" s="610"/>
      <c r="R110" s="610"/>
      <c r="S110" s="610"/>
      <c r="T110" s="610"/>
      <c r="U110" s="610"/>
      <c r="V110" s="610"/>
      <c r="W110" s="610"/>
      <c r="X110" s="610"/>
      <c r="Y110" s="610"/>
      <c r="Z110" s="610"/>
      <c r="AA110" s="610"/>
      <c r="AB110" s="610"/>
      <c r="AC110" s="610"/>
      <c r="AD110" s="610"/>
      <c r="AE110" s="610"/>
      <c r="AF110" s="610"/>
      <c r="AG110" s="610"/>
      <c r="AH110" s="610"/>
      <c r="AI110" s="610"/>
      <c r="AJ110" s="610"/>
      <c r="AK110" s="610"/>
      <c r="AL110" s="610"/>
      <c r="AM110" s="610"/>
      <c r="AN110" s="610"/>
      <c r="AO110" s="610"/>
      <c r="AP110" s="610"/>
      <c r="AQ110" s="610"/>
      <c r="AR110" s="610"/>
      <c r="AS110" s="610"/>
      <c r="AT110" s="610"/>
      <c r="AU110" s="610"/>
      <c r="AV110" s="610"/>
      <c r="AW110" s="610"/>
      <c r="AX110" s="610"/>
      <c r="AY110" s="597"/>
      <c r="AZ110" s="610"/>
      <c r="BA110" s="610"/>
      <c r="BB110" s="610"/>
      <c r="BC110" s="610"/>
      <c r="BD110" s="610"/>
      <c r="BE110" s="610"/>
      <c r="BF110" s="610"/>
      <c r="BG110" s="610"/>
      <c r="BH110" s="1074"/>
      <c r="BI110" s="1074"/>
      <c r="BJ110" s="1074"/>
      <c r="BK110" s="1074"/>
      <c r="BL110" s="1074"/>
      <c r="BM110" s="1074"/>
      <c r="BN110" s="1074"/>
      <c r="BO110" s="1074"/>
      <c r="BP110" s="1074"/>
      <c r="BQ110" s="1074"/>
      <c r="BR110" s="1074"/>
      <c r="BS110" s="1126">
        <v>50</v>
      </c>
      <c r="BT110" s="1126">
        <v>156</v>
      </c>
      <c r="BU110" s="1126">
        <v>152</v>
      </c>
      <c r="BV110" s="1126">
        <v>140</v>
      </c>
      <c r="BW110" s="1075"/>
      <c r="BX110" s="1074"/>
      <c r="BY110" s="1074"/>
      <c r="BZ110" s="1074"/>
      <c r="CA110" s="1074"/>
      <c r="CB110" s="1074"/>
      <c r="CC110" s="502"/>
    </row>
    <row r="111" spans="1:81" s="731" customFormat="1" ht="14.4" hidden="1" customHeight="1" outlineLevel="1" x14ac:dyDescent="0.55000000000000004">
      <c r="A111" s="498" t="s">
        <v>967</v>
      </c>
      <c r="B111" s="97"/>
      <c r="C111" s="610"/>
      <c r="D111" s="610"/>
      <c r="E111" s="610"/>
      <c r="F111" s="610"/>
      <c r="G111" s="610"/>
      <c r="H111" s="610"/>
      <c r="I111" s="610"/>
      <c r="J111" s="610"/>
      <c r="K111" s="610"/>
      <c r="L111" s="610"/>
      <c r="M111" s="610"/>
      <c r="N111" s="610"/>
      <c r="O111" s="610"/>
      <c r="P111" s="610"/>
      <c r="Q111" s="610"/>
      <c r="R111" s="610"/>
      <c r="S111" s="610"/>
      <c r="T111" s="610"/>
      <c r="U111" s="610"/>
      <c r="V111" s="610"/>
      <c r="W111" s="610"/>
      <c r="X111" s="610"/>
      <c r="Y111" s="610"/>
      <c r="Z111" s="610"/>
      <c r="AA111" s="610"/>
      <c r="AB111" s="610"/>
      <c r="AC111" s="610"/>
      <c r="AD111" s="610"/>
      <c r="AE111" s="610"/>
      <c r="AF111" s="610"/>
      <c r="AG111" s="610"/>
      <c r="AH111" s="610"/>
      <c r="AI111" s="610"/>
      <c r="AJ111" s="610"/>
      <c r="AK111" s="610"/>
      <c r="AL111" s="610"/>
      <c r="AM111" s="610"/>
      <c r="AN111" s="610"/>
      <c r="AO111" s="610"/>
      <c r="AP111" s="610"/>
      <c r="AQ111" s="610"/>
      <c r="AR111" s="610"/>
      <c r="AS111" s="610"/>
      <c r="AT111" s="610"/>
      <c r="AU111" s="610"/>
      <c r="AV111" s="610"/>
      <c r="AW111" s="610"/>
      <c r="AX111" s="610"/>
      <c r="AY111" s="597"/>
      <c r="AZ111" s="610"/>
      <c r="BA111" s="610"/>
      <c r="BB111" s="610"/>
      <c r="BC111" s="610"/>
      <c r="BD111" s="610"/>
      <c r="BE111" s="610"/>
      <c r="BF111" s="610"/>
      <c r="BG111" s="610"/>
      <c r="BH111" s="1074"/>
      <c r="BI111" s="1074"/>
      <c r="BJ111" s="1074"/>
      <c r="BK111" s="1074"/>
      <c r="BL111" s="1074"/>
      <c r="BM111" s="1074"/>
      <c r="BN111" s="1074"/>
      <c r="BO111" s="1074"/>
      <c r="BP111" s="1074"/>
      <c r="BQ111" s="1074"/>
      <c r="BR111" s="1074"/>
      <c r="BS111" s="1126">
        <v>114.72499999999999</v>
      </c>
      <c r="BT111" s="1074"/>
      <c r="BU111" s="1126">
        <v>88.611000000000004</v>
      </c>
      <c r="BV111" s="1126">
        <v>84</v>
      </c>
      <c r="BW111" s="1075"/>
      <c r="BX111" s="1074"/>
      <c r="BY111" s="1074"/>
      <c r="BZ111" s="1074"/>
      <c r="CA111" s="1074"/>
      <c r="CB111" s="1074"/>
      <c r="CC111" s="502"/>
    </row>
    <row r="112" spans="1:81" s="731" customFormat="1" ht="14.4" hidden="1" customHeight="1" outlineLevel="1" x14ac:dyDescent="0.55000000000000004">
      <c r="A112" s="506" t="s">
        <v>968</v>
      </c>
      <c r="B112" s="507"/>
      <c r="C112" s="621"/>
      <c r="D112" s="621"/>
      <c r="E112" s="621"/>
      <c r="F112" s="621"/>
      <c r="G112" s="621"/>
      <c r="H112" s="621"/>
      <c r="I112" s="621"/>
      <c r="J112" s="621"/>
      <c r="K112" s="621"/>
      <c r="L112" s="621"/>
      <c r="M112" s="621"/>
      <c r="N112" s="621"/>
      <c r="O112" s="621"/>
      <c r="P112" s="621"/>
      <c r="Q112" s="621"/>
      <c r="R112" s="621"/>
      <c r="S112" s="621"/>
      <c r="T112" s="621"/>
      <c r="U112" s="621"/>
      <c r="V112" s="621"/>
      <c r="W112" s="621"/>
      <c r="X112" s="621"/>
      <c r="Y112" s="621"/>
      <c r="Z112" s="621"/>
      <c r="AA112" s="621"/>
      <c r="AB112" s="621"/>
      <c r="AC112" s="621"/>
      <c r="AD112" s="621"/>
      <c r="AE112" s="621"/>
      <c r="AF112" s="621"/>
      <c r="AG112" s="621"/>
      <c r="AH112" s="621"/>
      <c r="AI112" s="621"/>
      <c r="AJ112" s="621"/>
      <c r="AK112" s="621"/>
      <c r="AL112" s="621"/>
      <c r="AM112" s="621"/>
      <c r="AN112" s="621"/>
      <c r="AO112" s="621"/>
      <c r="AP112" s="621"/>
      <c r="AQ112" s="621"/>
      <c r="AR112" s="621"/>
      <c r="AS112" s="621"/>
      <c r="AT112" s="621"/>
      <c r="AU112" s="621"/>
      <c r="AV112" s="621"/>
      <c r="AW112" s="621"/>
      <c r="AX112" s="621"/>
      <c r="AY112" s="678"/>
      <c r="AZ112" s="621"/>
      <c r="BA112" s="621"/>
      <c r="BB112" s="621"/>
      <c r="BC112" s="621"/>
      <c r="BD112" s="621"/>
      <c r="BE112" s="621"/>
      <c r="BF112" s="621"/>
      <c r="BG112" s="621"/>
      <c r="BH112" s="1134"/>
      <c r="BI112" s="1134"/>
      <c r="BJ112" s="1134"/>
      <c r="BK112" s="1134"/>
      <c r="BL112" s="1134"/>
      <c r="BM112" s="1134"/>
      <c r="BN112" s="1134"/>
      <c r="BO112" s="1134"/>
      <c r="BP112" s="1134"/>
      <c r="BQ112" s="1134"/>
      <c r="BR112" s="1134"/>
      <c r="BS112" s="1135">
        <v>52.658999999999999</v>
      </c>
      <c r="BT112" s="1134"/>
      <c r="BU112" s="1134"/>
      <c r="BV112" s="1134"/>
      <c r="BW112" s="1136"/>
      <c r="BX112" s="1134"/>
      <c r="BY112" s="1134"/>
      <c r="BZ112" s="1134"/>
      <c r="CA112" s="1134"/>
      <c r="CB112" s="1134"/>
      <c r="CC112" s="502"/>
    </row>
    <row r="113" spans="1:81" s="731" customFormat="1" ht="14.4" customHeight="1" collapsed="1" x14ac:dyDescent="0.55000000000000004">
      <c r="A113" s="91" t="s">
        <v>969</v>
      </c>
      <c r="B113" s="97"/>
      <c r="C113" s="610"/>
      <c r="D113" s="610"/>
      <c r="E113" s="610"/>
      <c r="F113" s="610"/>
      <c r="G113" s="610"/>
      <c r="H113" s="610"/>
      <c r="I113" s="610"/>
      <c r="J113" s="610"/>
      <c r="K113" s="610"/>
      <c r="L113" s="610"/>
      <c r="M113" s="610"/>
      <c r="N113" s="610"/>
      <c r="O113" s="610"/>
      <c r="P113" s="610"/>
      <c r="Q113" s="610"/>
      <c r="R113" s="610"/>
      <c r="S113" s="610"/>
      <c r="T113" s="610"/>
      <c r="U113" s="610"/>
      <c r="V113" s="610"/>
      <c r="W113" s="610"/>
      <c r="X113" s="610"/>
      <c r="Y113" s="610"/>
      <c r="Z113" s="610"/>
      <c r="AA113" s="610"/>
      <c r="AB113" s="610"/>
      <c r="AC113" s="610"/>
      <c r="AD113" s="610"/>
      <c r="AE113" s="610"/>
      <c r="AF113" s="610"/>
      <c r="AG113" s="610"/>
      <c r="AH113" s="610"/>
      <c r="AI113" s="610"/>
      <c r="AJ113" s="610"/>
      <c r="AK113" s="610"/>
      <c r="AL113" s="610"/>
      <c r="AM113" s="610"/>
      <c r="AN113" s="610"/>
      <c r="AO113" s="610"/>
      <c r="AP113" s="610"/>
      <c r="AQ113" s="610"/>
      <c r="AR113" s="610"/>
      <c r="AS113" s="610"/>
      <c r="AT113" s="610"/>
      <c r="AU113" s="610"/>
      <c r="AV113" s="610"/>
      <c r="AW113" s="610"/>
      <c r="AX113" s="610"/>
      <c r="AY113" s="597"/>
      <c r="AZ113" s="610"/>
      <c r="BA113" s="610"/>
      <c r="BB113" s="610"/>
      <c r="BC113" s="610"/>
      <c r="BD113" s="610"/>
      <c r="BE113" s="610"/>
      <c r="BF113" s="610"/>
      <c r="BG113" s="610"/>
      <c r="BH113" s="1074"/>
      <c r="BI113" s="1074"/>
      <c r="BJ113" s="1074"/>
      <c r="BK113" s="1074"/>
      <c r="BL113" s="1074"/>
      <c r="BM113" s="1074"/>
      <c r="BN113" s="1074"/>
      <c r="BO113" s="1074"/>
      <c r="BP113" s="1074"/>
      <c r="BQ113" s="1074"/>
      <c r="BR113" s="1074"/>
      <c r="BS113" s="1074">
        <f>SUM(BS104:BS112)</f>
        <v>829.24699999999996</v>
      </c>
      <c r="BT113" s="1074">
        <f>SUM(BT104:BT112)</f>
        <v>980</v>
      </c>
      <c r="BU113" s="1074">
        <f>SUM(BU104:BU112)</f>
        <v>974.66599999999994</v>
      </c>
      <c r="BV113" s="1074">
        <f>SUM(BV104:BV112)</f>
        <v>995</v>
      </c>
      <c r="BW113" s="1075"/>
      <c r="BX113" s="1074"/>
      <c r="BY113" s="1074"/>
      <c r="BZ113" s="1074"/>
      <c r="CA113" s="1074"/>
      <c r="CB113" s="1074"/>
      <c r="CC113" s="502"/>
    </row>
    <row r="114" spans="1:81" s="731" customFormat="1" ht="14.4" hidden="1" customHeight="1" outlineLevel="1" x14ac:dyDescent="0.55000000000000004">
      <c r="A114" s="498" t="s">
        <v>970</v>
      </c>
      <c r="B114" s="97"/>
      <c r="C114" s="610"/>
      <c r="D114" s="610"/>
      <c r="E114" s="610"/>
      <c r="F114" s="610"/>
      <c r="G114" s="610"/>
      <c r="H114" s="610"/>
      <c r="I114" s="610"/>
      <c r="J114" s="610"/>
      <c r="K114" s="610"/>
      <c r="L114" s="610"/>
      <c r="M114" s="610"/>
      <c r="N114" s="610"/>
      <c r="O114" s="610"/>
      <c r="P114" s="610"/>
      <c r="Q114" s="610"/>
      <c r="R114" s="610"/>
      <c r="S114" s="610"/>
      <c r="T114" s="610"/>
      <c r="U114" s="610"/>
      <c r="V114" s="610"/>
      <c r="W114" s="610"/>
      <c r="X114" s="610"/>
      <c r="Y114" s="610"/>
      <c r="Z114" s="610"/>
      <c r="AA114" s="610"/>
      <c r="AB114" s="610"/>
      <c r="AC114" s="610"/>
      <c r="AD114" s="610"/>
      <c r="AE114" s="610"/>
      <c r="AF114" s="610"/>
      <c r="AG114" s="610"/>
      <c r="AH114" s="610"/>
      <c r="AI114" s="610"/>
      <c r="AJ114" s="610"/>
      <c r="AK114" s="610"/>
      <c r="AL114" s="610"/>
      <c r="AM114" s="610"/>
      <c r="AN114" s="610"/>
      <c r="AO114" s="610"/>
      <c r="AP114" s="610"/>
      <c r="AQ114" s="610"/>
      <c r="AR114" s="610"/>
      <c r="AS114" s="610"/>
      <c r="AT114" s="610"/>
      <c r="AU114" s="610"/>
      <c r="AV114" s="610"/>
      <c r="AW114" s="610"/>
      <c r="AX114" s="610"/>
      <c r="AY114" s="597"/>
      <c r="AZ114" s="610"/>
      <c r="BA114" s="610"/>
      <c r="BB114" s="610"/>
      <c r="BC114" s="610"/>
      <c r="BD114" s="610"/>
      <c r="BE114" s="610"/>
      <c r="BF114" s="610"/>
      <c r="BG114" s="610"/>
      <c r="BH114" s="1074"/>
      <c r="BI114" s="1074"/>
      <c r="BJ114" s="1074"/>
      <c r="BK114" s="1074"/>
      <c r="BL114" s="1074"/>
      <c r="BM114" s="1074"/>
      <c r="BN114" s="1074"/>
      <c r="BO114" s="1074"/>
      <c r="BP114" s="1074"/>
      <c r="BQ114" s="1074"/>
      <c r="BR114" s="1074"/>
      <c r="BS114" s="1126">
        <v>402.69</v>
      </c>
      <c r="BT114" s="1126">
        <v>398.03899999999999</v>
      </c>
      <c r="BU114" s="1126">
        <v>321.25700000000001</v>
      </c>
      <c r="BV114" s="1126">
        <v>434.3</v>
      </c>
      <c r="BW114" s="1075"/>
      <c r="BX114" s="1074"/>
      <c r="BY114" s="1074"/>
      <c r="BZ114" s="1074"/>
      <c r="CA114" s="1074"/>
      <c r="CB114" s="1074"/>
      <c r="CC114" s="502"/>
    </row>
    <row r="115" spans="1:81" s="731" customFormat="1" ht="14.4" hidden="1" customHeight="1" outlineLevel="1" x14ac:dyDescent="0.55000000000000004">
      <c r="A115" s="498" t="s">
        <v>971</v>
      </c>
      <c r="B115" s="97"/>
      <c r="C115" s="610"/>
      <c r="D115" s="610"/>
      <c r="E115" s="610"/>
      <c r="F115" s="610"/>
      <c r="G115" s="610"/>
      <c r="H115" s="610"/>
      <c r="I115" s="610"/>
      <c r="J115" s="610"/>
      <c r="K115" s="610"/>
      <c r="L115" s="610"/>
      <c r="M115" s="610"/>
      <c r="N115" s="610"/>
      <c r="O115" s="610"/>
      <c r="P115" s="610"/>
      <c r="Q115" s="610"/>
      <c r="R115" s="610"/>
      <c r="S115" s="610"/>
      <c r="T115" s="610"/>
      <c r="U115" s="610"/>
      <c r="V115" s="610"/>
      <c r="W115" s="610"/>
      <c r="X115" s="610"/>
      <c r="Y115" s="610"/>
      <c r="Z115" s="610"/>
      <c r="AA115" s="610"/>
      <c r="AB115" s="610"/>
      <c r="AC115" s="610"/>
      <c r="AD115" s="610"/>
      <c r="AE115" s="610"/>
      <c r="AF115" s="610"/>
      <c r="AG115" s="610"/>
      <c r="AH115" s="610"/>
      <c r="AI115" s="610"/>
      <c r="AJ115" s="610"/>
      <c r="AK115" s="610"/>
      <c r="AL115" s="610"/>
      <c r="AM115" s="610"/>
      <c r="AN115" s="610"/>
      <c r="AO115" s="610"/>
      <c r="AP115" s="610"/>
      <c r="AQ115" s="610"/>
      <c r="AR115" s="610"/>
      <c r="AS115" s="610"/>
      <c r="AT115" s="610"/>
      <c r="AU115" s="610"/>
      <c r="AV115" s="610"/>
      <c r="AW115" s="610"/>
      <c r="AX115" s="610"/>
      <c r="AY115" s="597"/>
      <c r="AZ115" s="610"/>
      <c r="BA115" s="610"/>
      <c r="BB115" s="610"/>
      <c r="BC115" s="610"/>
      <c r="BD115" s="610"/>
      <c r="BE115" s="610"/>
      <c r="BF115" s="610"/>
      <c r="BG115" s="610"/>
      <c r="BH115" s="1074"/>
      <c r="BI115" s="1074"/>
      <c r="BJ115" s="1074"/>
      <c r="BK115" s="1074"/>
      <c r="BL115" s="1074"/>
      <c r="BM115" s="1074"/>
      <c r="BN115" s="1074"/>
      <c r="BO115" s="1074"/>
      <c r="BP115" s="1074"/>
      <c r="BQ115" s="1074"/>
      <c r="BR115" s="1074"/>
      <c r="BS115" s="1126">
        <v>322.245</v>
      </c>
      <c r="BT115" s="1126">
        <v>318.56599999999997</v>
      </c>
      <c r="BU115" s="1126">
        <v>257.07299999999998</v>
      </c>
      <c r="BV115" s="1126">
        <v>347.49599999999998</v>
      </c>
      <c r="BW115" s="1075"/>
      <c r="BX115" s="1074"/>
      <c r="BY115" s="1074"/>
      <c r="BZ115" s="1074"/>
      <c r="CA115" s="1074"/>
      <c r="CB115" s="1074"/>
      <c r="CC115" s="502"/>
    </row>
    <row r="116" spans="1:81" s="731" customFormat="1" ht="14.4" hidden="1" customHeight="1" outlineLevel="1" x14ac:dyDescent="0.55000000000000004">
      <c r="A116" s="498" t="s">
        <v>972</v>
      </c>
      <c r="B116" s="97"/>
      <c r="C116" s="610"/>
      <c r="D116" s="610"/>
      <c r="E116" s="610"/>
      <c r="F116" s="610"/>
      <c r="G116" s="610"/>
      <c r="H116" s="610"/>
      <c r="I116" s="610"/>
      <c r="J116" s="610"/>
      <c r="K116" s="610"/>
      <c r="L116" s="610"/>
      <c r="M116" s="610"/>
      <c r="N116" s="610"/>
      <c r="O116" s="610"/>
      <c r="P116" s="610"/>
      <c r="Q116" s="610"/>
      <c r="R116" s="610"/>
      <c r="S116" s="610"/>
      <c r="T116" s="610"/>
      <c r="U116" s="610"/>
      <c r="V116" s="610"/>
      <c r="W116" s="610"/>
      <c r="X116" s="610"/>
      <c r="Y116" s="610"/>
      <c r="Z116" s="610"/>
      <c r="AA116" s="610"/>
      <c r="AB116" s="610"/>
      <c r="AC116" s="610"/>
      <c r="AD116" s="610"/>
      <c r="AE116" s="610"/>
      <c r="AF116" s="610"/>
      <c r="AG116" s="610"/>
      <c r="AH116" s="610"/>
      <c r="AI116" s="610"/>
      <c r="AJ116" s="610"/>
      <c r="AK116" s="610"/>
      <c r="AL116" s="610"/>
      <c r="AM116" s="610"/>
      <c r="AN116" s="610"/>
      <c r="AO116" s="610"/>
      <c r="AP116" s="610"/>
      <c r="AQ116" s="610"/>
      <c r="AR116" s="610"/>
      <c r="AS116" s="610"/>
      <c r="AT116" s="610"/>
      <c r="AU116" s="610"/>
      <c r="AV116" s="610"/>
      <c r="AW116" s="610"/>
      <c r="AX116" s="610"/>
      <c r="AY116" s="597"/>
      <c r="AZ116" s="610"/>
      <c r="BA116" s="610"/>
      <c r="BB116" s="610"/>
      <c r="BC116" s="610"/>
      <c r="BD116" s="610"/>
      <c r="BE116" s="610"/>
      <c r="BF116" s="610"/>
      <c r="BG116" s="610"/>
      <c r="BH116" s="1074"/>
      <c r="BI116" s="1074"/>
      <c r="BJ116" s="1074"/>
      <c r="BK116" s="1074"/>
      <c r="BL116" s="1074"/>
      <c r="BM116" s="1074"/>
      <c r="BN116" s="1074"/>
      <c r="BO116" s="1074"/>
      <c r="BP116" s="1074"/>
      <c r="BQ116" s="1074"/>
      <c r="BR116" s="1074"/>
      <c r="BS116" s="1074"/>
      <c r="BT116" s="1126">
        <v>398.03899999999999</v>
      </c>
      <c r="BU116" s="1126">
        <v>321.25700000000001</v>
      </c>
      <c r="BV116" s="1126">
        <v>434.3</v>
      </c>
      <c r="BW116" s="1075"/>
      <c r="BX116" s="1074"/>
      <c r="BY116" s="1074"/>
      <c r="BZ116" s="1074"/>
      <c r="CA116" s="1074"/>
      <c r="CB116" s="1074"/>
      <c r="CC116" s="502"/>
    </row>
    <row r="117" spans="1:81" s="731" customFormat="1" ht="14.4" hidden="1" customHeight="1" outlineLevel="1" x14ac:dyDescent="0.55000000000000004">
      <c r="A117" s="498" t="s">
        <v>973</v>
      </c>
      <c r="B117" s="97"/>
      <c r="C117" s="610"/>
      <c r="D117" s="610"/>
      <c r="E117" s="610"/>
      <c r="F117" s="610"/>
      <c r="G117" s="610"/>
      <c r="H117" s="610"/>
      <c r="I117" s="610"/>
      <c r="J117" s="610"/>
      <c r="K117" s="610"/>
      <c r="L117" s="610"/>
      <c r="M117" s="610"/>
      <c r="N117" s="610"/>
      <c r="O117" s="610"/>
      <c r="P117" s="610"/>
      <c r="Q117" s="610"/>
      <c r="R117" s="610"/>
      <c r="S117" s="610"/>
      <c r="T117" s="610"/>
      <c r="U117" s="610"/>
      <c r="V117" s="610"/>
      <c r="W117" s="610"/>
      <c r="X117" s="610"/>
      <c r="Y117" s="610"/>
      <c r="Z117" s="610"/>
      <c r="AA117" s="610"/>
      <c r="AB117" s="610"/>
      <c r="AC117" s="610"/>
      <c r="AD117" s="610"/>
      <c r="AE117" s="610"/>
      <c r="AF117" s="610"/>
      <c r="AG117" s="610"/>
      <c r="AH117" s="610"/>
      <c r="AI117" s="610"/>
      <c r="AJ117" s="610"/>
      <c r="AK117" s="610"/>
      <c r="AL117" s="610"/>
      <c r="AM117" s="610"/>
      <c r="AN117" s="610"/>
      <c r="AO117" s="610"/>
      <c r="AP117" s="610"/>
      <c r="AQ117" s="610"/>
      <c r="AR117" s="610"/>
      <c r="AS117" s="610"/>
      <c r="AT117" s="610"/>
      <c r="AU117" s="610"/>
      <c r="AV117" s="610"/>
      <c r="AW117" s="610"/>
      <c r="AX117" s="610"/>
      <c r="AY117" s="597"/>
      <c r="AZ117" s="610"/>
      <c r="BA117" s="610"/>
      <c r="BB117" s="610"/>
      <c r="BC117" s="610"/>
      <c r="BD117" s="610"/>
      <c r="BE117" s="610"/>
      <c r="BF117" s="610"/>
      <c r="BG117" s="610"/>
      <c r="BH117" s="1074"/>
      <c r="BI117" s="1074"/>
      <c r="BJ117" s="1074"/>
      <c r="BK117" s="1074"/>
      <c r="BL117" s="1074"/>
      <c r="BM117" s="1074"/>
      <c r="BN117" s="1074"/>
      <c r="BO117" s="1074"/>
      <c r="BP117" s="1074"/>
      <c r="BQ117" s="1074"/>
      <c r="BR117" s="1074"/>
      <c r="BS117" s="1126">
        <v>1561.07</v>
      </c>
      <c r="BT117" s="1126">
        <v>398.03899999999999</v>
      </c>
      <c r="BU117" s="1126">
        <v>321.25700000000001</v>
      </c>
      <c r="BV117" s="1126">
        <v>434.3</v>
      </c>
      <c r="BW117" s="1075"/>
      <c r="BX117" s="1074"/>
      <c r="BY117" s="1074"/>
      <c r="BZ117" s="1074"/>
      <c r="CA117" s="1074"/>
      <c r="CB117" s="1074"/>
      <c r="CC117" s="502"/>
    </row>
    <row r="118" spans="1:81" s="731" customFormat="1" ht="14.4" hidden="1" customHeight="1" outlineLevel="1" x14ac:dyDescent="0.55000000000000004">
      <c r="A118" s="498" t="s">
        <v>974</v>
      </c>
      <c r="B118" s="97"/>
      <c r="C118" s="610"/>
      <c r="D118" s="610"/>
      <c r="E118" s="610"/>
      <c r="F118" s="610"/>
      <c r="G118" s="610"/>
      <c r="H118" s="610"/>
      <c r="I118" s="610"/>
      <c r="J118" s="610"/>
      <c r="K118" s="610"/>
      <c r="L118" s="610"/>
      <c r="M118" s="610"/>
      <c r="N118" s="610"/>
      <c r="O118" s="610"/>
      <c r="P118" s="610"/>
      <c r="Q118" s="610"/>
      <c r="R118" s="610"/>
      <c r="S118" s="610"/>
      <c r="T118" s="610"/>
      <c r="U118" s="610"/>
      <c r="V118" s="610"/>
      <c r="W118" s="610"/>
      <c r="X118" s="610"/>
      <c r="Y118" s="610"/>
      <c r="Z118" s="610"/>
      <c r="AA118" s="610"/>
      <c r="AB118" s="610"/>
      <c r="AC118" s="610"/>
      <c r="AD118" s="610"/>
      <c r="AE118" s="610"/>
      <c r="AF118" s="610"/>
      <c r="AG118" s="610"/>
      <c r="AH118" s="610"/>
      <c r="AI118" s="610"/>
      <c r="AJ118" s="610"/>
      <c r="AK118" s="610"/>
      <c r="AL118" s="610"/>
      <c r="AM118" s="610"/>
      <c r="AN118" s="610"/>
      <c r="AO118" s="610"/>
      <c r="AP118" s="610"/>
      <c r="AQ118" s="610"/>
      <c r="AR118" s="610"/>
      <c r="AS118" s="610"/>
      <c r="AT118" s="610"/>
      <c r="AU118" s="610"/>
      <c r="AV118" s="610"/>
      <c r="AW118" s="610"/>
      <c r="AX118" s="610"/>
      <c r="AY118" s="597"/>
      <c r="AZ118" s="610"/>
      <c r="BA118" s="610"/>
      <c r="BB118" s="610"/>
      <c r="BC118" s="610"/>
      <c r="BD118" s="610"/>
      <c r="BE118" s="610"/>
      <c r="BF118" s="610"/>
      <c r="BG118" s="610"/>
      <c r="BH118" s="1074"/>
      <c r="BI118" s="1074"/>
      <c r="BJ118" s="1074"/>
      <c r="BK118" s="1074"/>
      <c r="BL118" s="1074"/>
      <c r="BM118" s="1074"/>
      <c r="BN118" s="1074"/>
      <c r="BO118" s="1074"/>
      <c r="BP118" s="1074"/>
      <c r="BQ118" s="1074"/>
      <c r="BR118" s="1074"/>
      <c r="BS118" s="1126">
        <v>1562.7629999999999</v>
      </c>
      <c r="BT118" s="1126">
        <v>398.03899999999999</v>
      </c>
      <c r="BU118" s="1126">
        <v>321.25700000000001</v>
      </c>
      <c r="BV118" s="1126">
        <v>434.3</v>
      </c>
      <c r="BW118" s="1075"/>
      <c r="BX118" s="1074"/>
      <c r="BY118" s="1074"/>
      <c r="BZ118" s="1074"/>
      <c r="CA118" s="1074"/>
      <c r="CB118" s="1074"/>
      <c r="CC118" s="502"/>
    </row>
    <row r="119" spans="1:81" s="731" customFormat="1" ht="14.4" hidden="1" customHeight="1" outlineLevel="1" x14ac:dyDescent="0.55000000000000004">
      <c r="A119" s="498" t="s">
        <v>975</v>
      </c>
      <c r="B119" s="97"/>
      <c r="C119" s="610"/>
      <c r="D119" s="610"/>
      <c r="E119" s="610"/>
      <c r="F119" s="610"/>
      <c r="G119" s="610"/>
      <c r="H119" s="610"/>
      <c r="I119" s="610"/>
      <c r="J119" s="610"/>
      <c r="K119" s="610"/>
      <c r="L119" s="610"/>
      <c r="M119" s="610"/>
      <c r="N119" s="610"/>
      <c r="O119" s="610"/>
      <c r="P119" s="610"/>
      <c r="Q119" s="610"/>
      <c r="R119" s="610"/>
      <c r="S119" s="610"/>
      <c r="T119" s="610"/>
      <c r="U119" s="610"/>
      <c r="V119" s="610"/>
      <c r="W119" s="610"/>
      <c r="X119" s="610"/>
      <c r="Y119" s="610"/>
      <c r="Z119" s="610"/>
      <c r="AA119" s="610"/>
      <c r="AB119" s="610"/>
      <c r="AC119" s="610"/>
      <c r="AD119" s="610"/>
      <c r="AE119" s="610"/>
      <c r="AF119" s="610"/>
      <c r="AG119" s="610"/>
      <c r="AH119" s="610"/>
      <c r="AI119" s="610"/>
      <c r="AJ119" s="610"/>
      <c r="AK119" s="610"/>
      <c r="AL119" s="610"/>
      <c r="AM119" s="610"/>
      <c r="AN119" s="610"/>
      <c r="AO119" s="610"/>
      <c r="AP119" s="610"/>
      <c r="AQ119" s="610"/>
      <c r="AR119" s="610"/>
      <c r="AS119" s="610"/>
      <c r="AT119" s="610"/>
      <c r="AU119" s="610"/>
      <c r="AV119" s="610"/>
      <c r="AW119" s="610"/>
      <c r="AX119" s="610"/>
      <c r="AY119" s="597"/>
      <c r="AZ119" s="610"/>
      <c r="BA119" s="610"/>
      <c r="BB119" s="610"/>
      <c r="BC119" s="610"/>
      <c r="BD119" s="610"/>
      <c r="BE119" s="610"/>
      <c r="BF119" s="610"/>
      <c r="BG119" s="610"/>
      <c r="BH119" s="1074"/>
      <c r="BI119" s="1074"/>
      <c r="BJ119" s="1074"/>
      <c r="BK119" s="1074"/>
      <c r="BL119" s="1074"/>
      <c r="BM119" s="1074"/>
      <c r="BN119" s="1074"/>
      <c r="BO119" s="1074"/>
      <c r="BP119" s="1074"/>
      <c r="BQ119" s="1074"/>
      <c r="BR119" s="1074"/>
      <c r="BS119" s="1126">
        <v>1559.2650000000001</v>
      </c>
      <c r="BT119" s="1126">
        <v>318.56599999999997</v>
      </c>
      <c r="BU119" s="1074"/>
      <c r="BV119" s="1126">
        <v>434.3</v>
      </c>
      <c r="BW119" s="1075"/>
      <c r="BX119" s="1074"/>
      <c r="BY119" s="1074"/>
      <c r="BZ119" s="1074"/>
      <c r="CA119" s="1074"/>
      <c r="CB119" s="1074"/>
      <c r="CC119" s="502"/>
    </row>
    <row r="120" spans="1:81" s="731" customFormat="1" ht="14.4" hidden="1" customHeight="1" outlineLevel="1" x14ac:dyDescent="0.55000000000000004">
      <c r="A120" s="498" t="s">
        <v>976</v>
      </c>
      <c r="B120" s="97"/>
      <c r="C120" s="610"/>
      <c r="D120" s="610"/>
      <c r="E120" s="610"/>
      <c r="F120" s="610"/>
      <c r="G120" s="610"/>
      <c r="H120" s="610"/>
      <c r="I120" s="610"/>
      <c r="J120" s="610"/>
      <c r="K120" s="610"/>
      <c r="L120" s="610"/>
      <c r="M120" s="610"/>
      <c r="N120" s="610"/>
      <c r="O120" s="610"/>
      <c r="P120" s="610"/>
      <c r="Q120" s="610"/>
      <c r="R120" s="610"/>
      <c r="S120" s="610"/>
      <c r="T120" s="610"/>
      <c r="U120" s="610"/>
      <c r="V120" s="610"/>
      <c r="W120" s="610"/>
      <c r="X120" s="610"/>
      <c r="Y120" s="610"/>
      <c r="Z120" s="610"/>
      <c r="AA120" s="610"/>
      <c r="AB120" s="610"/>
      <c r="AC120" s="610"/>
      <c r="AD120" s="610"/>
      <c r="AE120" s="610"/>
      <c r="AF120" s="610"/>
      <c r="AG120" s="610"/>
      <c r="AH120" s="610"/>
      <c r="AI120" s="610"/>
      <c r="AJ120" s="610"/>
      <c r="AK120" s="610"/>
      <c r="AL120" s="610"/>
      <c r="AM120" s="610"/>
      <c r="AN120" s="610"/>
      <c r="AO120" s="610"/>
      <c r="AP120" s="610"/>
      <c r="AQ120" s="610"/>
      <c r="AR120" s="610"/>
      <c r="AS120" s="610"/>
      <c r="AT120" s="610"/>
      <c r="AU120" s="610"/>
      <c r="AV120" s="610"/>
      <c r="AW120" s="610"/>
      <c r="AX120" s="610"/>
      <c r="AY120" s="597"/>
      <c r="AZ120" s="610"/>
      <c r="BA120" s="610"/>
      <c r="BB120" s="610"/>
      <c r="BC120" s="610"/>
      <c r="BD120" s="610"/>
      <c r="BE120" s="610"/>
      <c r="BF120" s="610"/>
      <c r="BG120" s="610"/>
      <c r="BH120" s="1074"/>
      <c r="BI120" s="1074"/>
      <c r="BJ120" s="1074"/>
      <c r="BK120" s="1074"/>
      <c r="BL120" s="1074"/>
      <c r="BM120" s="1074"/>
      <c r="BN120" s="1074"/>
      <c r="BO120" s="1074"/>
      <c r="BP120" s="1074"/>
      <c r="BQ120" s="1074"/>
      <c r="BR120" s="1074"/>
      <c r="BS120" s="1126">
        <v>322.245</v>
      </c>
      <c r="BT120" s="1126">
        <v>398.03899999999999</v>
      </c>
      <c r="BU120" s="1126">
        <v>321.25700000000001</v>
      </c>
      <c r="BV120" s="1126">
        <v>434.3</v>
      </c>
      <c r="BW120" s="1075"/>
      <c r="BX120" s="1074"/>
      <c r="BY120" s="1074"/>
      <c r="BZ120" s="1074"/>
      <c r="CA120" s="1074"/>
      <c r="CB120" s="1074"/>
      <c r="CC120" s="502"/>
    </row>
    <row r="121" spans="1:81" s="731" customFormat="1" ht="14.4" hidden="1" customHeight="1" outlineLevel="1" x14ac:dyDescent="0.55000000000000004">
      <c r="A121" s="498" t="s">
        <v>977</v>
      </c>
      <c r="B121" s="97"/>
      <c r="C121" s="610"/>
      <c r="D121" s="610"/>
      <c r="E121" s="610"/>
      <c r="F121" s="610"/>
      <c r="G121" s="610"/>
      <c r="H121" s="610"/>
      <c r="I121" s="610"/>
      <c r="J121" s="610"/>
      <c r="K121" s="610"/>
      <c r="L121" s="610"/>
      <c r="M121" s="610"/>
      <c r="N121" s="610"/>
      <c r="O121" s="610"/>
      <c r="P121" s="610"/>
      <c r="Q121" s="610"/>
      <c r="R121" s="610"/>
      <c r="S121" s="610"/>
      <c r="T121" s="610"/>
      <c r="U121" s="610"/>
      <c r="V121" s="610"/>
      <c r="W121" s="610"/>
      <c r="X121" s="610"/>
      <c r="Y121" s="610"/>
      <c r="Z121" s="610"/>
      <c r="AA121" s="610"/>
      <c r="AB121" s="610"/>
      <c r="AC121" s="610"/>
      <c r="AD121" s="610"/>
      <c r="AE121" s="610"/>
      <c r="AF121" s="610"/>
      <c r="AG121" s="610"/>
      <c r="AH121" s="610"/>
      <c r="AI121" s="610"/>
      <c r="AJ121" s="610"/>
      <c r="AK121" s="610"/>
      <c r="AL121" s="610"/>
      <c r="AM121" s="610"/>
      <c r="AN121" s="610"/>
      <c r="AO121" s="610"/>
      <c r="AP121" s="610"/>
      <c r="AQ121" s="610"/>
      <c r="AR121" s="610"/>
      <c r="AS121" s="610"/>
      <c r="AT121" s="610"/>
      <c r="AU121" s="610"/>
      <c r="AV121" s="610"/>
      <c r="AW121" s="610"/>
      <c r="AX121" s="610"/>
      <c r="AY121" s="597"/>
      <c r="AZ121" s="610"/>
      <c r="BA121" s="610"/>
      <c r="BB121" s="610"/>
      <c r="BC121" s="610"/>
      <c r="BD121" s="610"/>
      <c r="BE121" s="610"/>
      <c r="BF121" s="610"/>
      <c r="BG121" s="610"/>
      <c r="BH121" s="1074"/>
      <c r="BI121" s="1074"/>
      <c r="BJ121" s="1074"/>
      <c r="BK121" s="1074"/>
      <c r="BL121" s="1074"/>
      <c r="BM121" s="1074"/>
      <c r="BN121" s="1074"/>
      <c r="BO121" s="1074"/>
      <c r="BP121" s="1074"/>
      <c r="BQ121" s="1074"/>
      <c r="BR121" s="1074"/>
      <c r="BS121" s="1126">
        <v>1562.7629999999999</v>
      </c>
      <c r="BT121" s="1074"/>
      <c r="BU121" s="1126">
        <v>1406.7850000000001</v>
      </c>
      <c r="BV121" s="1126">
        <v>434.3</v>
      </c>
      <c r="BW121" s="1075"/>
      <c r="BX121" s="1074"/>
      <c r="BY121" s="1074"/>
      <c r="BZ121" s="1074"/>
      <c r="CA121" s="1074"/>
      <c r="CB121" s="1074"/>
      <c r="CC121" s="502"/>
    </row>
    <row r="122" spans="1:81" s="731" customFormat="1" ht="14.4" hidden="1" customHeight="1" outlineLevel="1" x14ac:dyDescent="0.55000000000000004">
      <c r="A122" s="506" t="s">
        <v>978</v>
      </c>
      <c r="B122" s="507"/>
      <c r="C122" s="621"/>
      <c r="D122" s="621"/>
      <c r="E122" s="621"/>
      <c r="F122" s="621"/>
      <c r="G122" s="621"/>
      <c r="H122" s="621"/>
      <c r="I122" s="621"/>
      <c r="J122" s="621"/>
      <c r="K122" s="621"/>
      <c r="L122" s="621"/>
      <c r="M122" s="621"/>
      <c r="N122" s="621"/>
      <c r="O122" s="621"/>
      <c r="P122" s="621"/>
      <c r="Q122" s="621"/>
      <c r="R122" s="621"/>
      <c r="S122" s="621"/>
      <c r="T122" s="621"/>
      <c r="U122" s="621"/>
      <c r="V122" s="621"/>
      <c r="W122" s="621"/>
      <c r="X122" s="621"/>
      <c r="Y122" s="621"/>
      <c r="Z122" s="621"/>
      <c r="AA122" s="621"/>
      <c r="AB122" s="621"/>
      <c r="AC122" s="621"/>
      <c r="AD122" s="621"/>
      <c r="AE122" s="621"/>
      <c r="AF122" s="621"/>
      <c r="AG122" s="621"/>
      <c r="AH122" s="621"/>
      <c r="AI122" s="621"/>
      <c r="AJ122" s="621"/>
      <c r="AK122" s="621"/>
      <c r="AL122" s="621"/>
      <c r="AM122" s="621"/>
      <c r="AN122" s="621"/>
      <c r="AO122" s="621"/>
      <c r="AP122" s="621"/>
      <c r="AQ122" s="621"/>
      <c r="AR122" s="621"/>
      <c r="AS122" s="621"/>
      <c r="AT122" s="621"/>
      <c r="AU122" s="621"/>
      <c r="AV122" s="621"/>
      <c r="AW122" s="621"/>
      <c r="AX122" s="621"/>
      <c r="AY122" s="678"/>
      <c r="AZ122" s="621"/>
      <c r="BA122" s="621"/>
      <c r="BB122" s="621"/>
      <c r="BC122" s="621"/>
      <c r="BD122" s="621"/>
      <c r="BE122" s="621"/>
      <c r="BF122" s="621"/>
      <c r="BG122" s="621"/>
      <c r="BH122" s="1134"/>
      <c r="BI122" s="1134"/>
      <c r="BJ122" s="1134"/>
      <c r="BK122" s="1134"/>
      <c r="BL122" s="1134"/>
      <c r="BM122" s="1134"/>
      <c r="BN122" s="1134"/>
      <c r="BO122" s="1134"/>
      <c r="BP122" s="1134"/>
      <c r="BQ122" s="1134"/>
      <c r="BR122" s="1134"/>
      <c r="BS122" s="1134"/>
      <c r="BT122" s="1134"/>
      <c r="BU122" s="1134"/>
      <c r="BV122" s="1134"/>
      <c r="BW122" s="1136"/>
      <c r="BX122" s="1134"/>
      <c r="BY122" s="1134"/>
      <c r="BZ122" s="1134"/>
      <c r="CA122" s="1134"/>
      <c r="CB122" s="1134"/>
      <c r="CC122" s="502"/>
    </row>
    <row r="123" spans="1:81" s="731" customFormat="1" ht="14.4" customHeight="1" collapsed="1" x14ac:dyDescent="0.55000000000000004">
      <c r="A123" s="91" t="s">
        <v>979</v>
      </c>
      <c r="B123" s="97"/>
      <c r="C123" s="610"/>
      <c r="D123" s="610"/>
      <c r="E123" s="610"/>
      <c r="F123" s="610"/>
      <c r="G123" s="610"/>
      <c r="H123" s="610"/>
      <c r="I123" s="610"/>
      <c r="J123" s="610"/>
      <c r="K123" s="610"/>
      <c r="L123" s="610"/>
      <c r="M123" s="610"/>
      <c r="N123" s="610"/>
      <c r="O123" s="610"/>
      <c r="P123" s="610"/>
      <c r="Q123" s="610"/>
      <c r="R123" s="610"/>
      <c r="S123" s="610"/>
      <c r="T123" s="610"/>
      <c r="U123" s="610"/>
      <c r="V123" s="610"/>
      <c r="W123" s="610"/>
      <c r="X123" s="610"/>
      <c r="Y123" s="610"/>
      <c r="Z123" s="610"/>
      <c r="AA123" s="610"/>
      <c r="AB123" s="610"/>
      <c r="AC123" s="610"/>
      <c r="AD123" s="610"/>
      <c r="AE123" s="610"/>
      <c r="AF123" s="610"/>
      <c r="AG123" s="610"/>
      <c r="AH123" s="610"/>
      <c r="AI123" s="610"/>
      <c r="AJ123" s="610"/>
      <c r="AK123" s="610"/>
      <c r="AL123" s="610"/>
      <c r="AM123" s="610"/>
      <c r="AN123" s="610"/>
      <c r="AO123" s="610"/>
      <c r="AP123" s="610"/>
      <c r="AQ123" s="610"/>
      <c r="AR123" s="610"/>
      <c r="AS123" s="610"/>
      <c r="AT123" s="610"/>
      <c r="AU123" s="610"/>
      <c r="AV123" s="610"/>
      <c r="AW123" s="610"/>
      <c r="AX123" s="610"/>
      <c r="AY123" s="597"/>
      <c r="AZ123" s="610"/>
      <c r="BA123" s="610"/>
      <c r="BB123" s="610"/>
      <c r="BC123" s="610"/>
      <c r="BD123" s="610"/>
      <c r="BE123" s="610"/>
      <c r="BF123" s="610"/>
      <c r="BG123" s="610"/>
      <c r="BH123" s="1074"/>
      <c r="BI123" s="1074"/>
      <c r="BJ123" s="1074"/>
      <c r="BK123" s="1074"/>
      <c r="BL123" s="1074"/>
      <c r="BM123" s="1074"/>
      <c r="BN123" s="1074"/>
      <c r="BO123" s="1074"/>
      <c r="BP123" s="1074"/>
      <c r="BQ123" s="1074"/>
      <c r="BR123" s="1074"/>
      <c r="BS123" s="1074">
        <f>SUM(BS114:BS122)</f>
        <v>7293.0410000000002</v>
      </c>
      <c r="BT123" s="1074">
        <f>SUM(BT114:BT122)</f>
        <v>2627.3270000000002</v>
      </c>
      <c r="BU123" s="1074">
        <f>SUM(BU114:BU122)</f>
        <v>3270.143</v>
      </c>
      <c r="BV123" s="1074">
        <f>SUM(BV114:BV122)</f>
        <v>3387.5960000000005</v>
      </c>
      <c r="BW123" s="1075"/>
      <c r="BX123" s="1074"/>
      <c r="BY123" s="1074"/>
      <c r="BZ123" s="1074"/>
      <c r="CA123" s="1074"/>
      <c r="CB123" s="1074"/>
      <c r="CC123" s="502"/>
    </row>
    <row r="124" spans="1:81" s="731" customFormat="1" ht="14.4" hidden="1" customHeight="1" outlineLevel="1" x14ac:dyDescent="0.55000000000000004">
      <c r="A124" s="498" t="s">
        <v>980</v>
      </c>
      <c r="B124" s="97"/>
      <c r="C124" s="610"/>
      <c r="D124" s="610"/>
      <c r="E124" s="610"/>
      <c r="F124" s="610"/>
      <c r="G124" s="610"/>
      <c r="H124" s="610"/>
      <c r="I124" s="610"/>
      <c r="J124" s="610"/>
      <c r="K124" s="610"/>
      <c r="L124" s="610"/>
      <c r="M124" s="610"/>
      <c r="N124" s="610"/>
      <c r="O124" s="610"/>
      <c r="P124" s="610"/>
      <c r="Q124" s="610"/>
      <c r="R124" s="610"/>
      <c r="S124" s="610"/>
      <c r="T124" s="610"/>
      <c r="U124" s="610"/>
      <c r="V124" s="610"/>
      <c r="W124" s="610"/>
      <c r="X124" s="610"/>
      <c r="Y124" s="610"/>
      <c r="Z124" s="610"/>
      <c r="AA124" s="610"/>
      <c r="AB124" s="610"/>
      <c r="AC124" s="610"/>
      <c r="AD124" s="610"/>
      <c r="AE124" s="610"/>
      <c r="AF124" s="610"/>
      <c r="AG124" s="610"/>
      <c r="AH124" s="610"/>
      <c r="AI124" s="610"/>
      <c r="AJ124" s="610"/>
      <c r="AK124" s="610"/>
      <c r="AL124" s="610"/>
      <c r="AM124" s="610"/>
      <c r="AN124" s="610"/>
      <c r="AO124" s="610"/>
      <c r="AP124" s="610"/>
      <c r="AQ124" s="610"/>
      <c r="AR124" s="610"/>
      <c r="AS124" s="610"/>
      <c r="AT124" s="610"/>
      <c r="AU124" s="610"/>
      <c r="AV124" s="610"/>
      <c r="AW124" s="610"/>
      <c r="AX124" s="610"/>
      <c r="AY124" s="597"/>
      <c r="AZ124" s="610"/>
      <c r="BA124" s="610"/>
      <c r="BB124" s="610"/>
      <c r="BC124" s="610"/>
      <c r="BD124" s="610"/>
      <c r="BE124" s="610"/>
      <c r="BF124" s="610"/>
      <c r="BG124" s="610"/>
      <c r="BH124" s="1074"/>
      <c r="BI124" s="1074"/>
      <c r="BJ124" s="1074"/>
      <c r="BK124" s="1074"/>
      <c r="BL124" s="1074"/>
      <c r="BM124" s="1074"/>
      <c r="BN124" s="1074"/>
      <c r="BO124" s="1074"/>
      <c r="BP124" s="1074"/>
      <c r="BQ124" s="1074"/>
      <c r="BR124" s="1074"/>
      <c r="BS124" s="1074"/>
      <c r="BT124" s="1126">
        <v>1499.789</v>
      </c>
      <c r="BU124" s="1126">
        <v>1784.6110000000001</v>
      </c>
      <c r="BV124" s="1126">
        <v>1757.4069999999999</v>
      </c>
      <c r="BW124" s="1075"/>
      <c r="BX124" s="1074"/>
      <c r="BY124" s="1074"/>
      <c r="BZ124" s="1074"/>
      <c r="CA124" s="1074"/>
      <c r="CB124" s="1074"/>
      <c r="CC124" s="502"/>
    </row>
    <row r="125" spans="1:81" s="731" customFormat="1" ht="14.4" hidden="1" customHeight="1" outlineLevel="1" x14ac:dyDescent="0.55000000000000004">
      <c r="A125" s="498" t="s">
        <v>981</v>
      </c>
      <c r="B125" s="97"/>
      <c r="C125" s="610"/>
      <c r="D125" s="610"/>
      <c r="E125" s="610"/>
      <c r="F125" s="610"/>
      <c r="G125" s="610"/>
      <c r="H125" s="610"/>
      <c r="I125" s="610"/>
      <c r="J125" s="610"/>
      <c r="K125" s="610"/>
      <c r="L125" s="610"/>
      <c r="M125" s="610"/>
      <c r="N125" s="610"/>
      <c r="O125" s="610"/>
      <c r="P125" s="610"/>
      <c r="Q125" s="610"/>
      <c r="R125" s="610"/>
      <c r="S125" s="610"/>
      <c r="T125" s="610"/>
      <c r="U125" s="610"/>
      <c r="V125" s="610"/>
      <c r="W125" s="610"/>
      <c r="X125" s="610"/>
      <c r="Y125" s="610"/>
      <c r="Z125" s="610"/>
      <c r="AA125" s="610"/>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597"/>
      <c r="AZ125" s="610"/>
      <c r="BA125" s="610"/>
      <c r="BB125" s="610"/>
      <c r="BC125" s="610"/>
      <c r="BD125" s="610"/>
      <c r="BE125" s="610"/>
      <c r="BF125" s="610"/>
      <c r="BG125" s="610"/>
      <c r="BH125" s="1074"/>
      <c r="BI125" s="1074"/>
      <c r="BJ125" s="1074"/>
      <c r="BK125" s="1074"/>
      <c r="BL125" s="1074"/>
      <c r="BM125" s="1074"/>
      <c r="BN125" s="1074"/>
      <c r="BO125" s="1074"/>
      <c r="BP125" s="1074"/>
      <c r="BQ125" s="1074"/>
      <c r="BR125" s="1074"/>
      <c r="BS125" s="1074"/>
      <c r="BT125" s="1074"/>
      <c r="BU125" s="1074"/>
      <c r="BV125" s="1074"/>
      <c r="BW125" s="1075"/>
      <c r="BX125" s="1074"/>
      <c r="BY125" s="1074"/>
      <c r="BZ125" s="1074"/>
      <c r="CA125" s="1074"/>
      <c r="CB125" s="1074"/>
      <c r="CC125" s="502"/>
    </row>
    <row r="126" spans="1:81" s="731" customFormat="1" ht="14.4" hidden="1" customHeight="1" outlineLevel="1" x14ac:dyDescent="0.55000000000000004">
      <c r="A126" s="498" t="s">
        <v>982</v>
      </c>
      <c r="B126" s="97"/>
      <c r="C126" s="610"/>
      <c r="D126" s="610"/>
      <c r="E126" s="610"/>
      <c r="F126" s="610"/>
      <c r="G126" s="610"/>
      <c r="H126" s="610"/>
      <c r="I126" s="610"/>
      <c r="J126" s="610"/>
      <c r="K126" s="610"/>
      <c r="L126" s="610"/>
      <c r="M126" s="610"/>
      <c r="N126" s="610"/>
      <c r="O126" s="610"/>
      <c r="P126" s="610"/>
      <c r="Q126" s="610"/>
      <c r="R126" s="610"/>
      <c r="S126" s="610"/>
      <c r="T126" s="610"/>
      <c r="U126" s="610"/>
      <c r="V126" s="610"/>
      <c r="W126" s="610"/>
      <c r="X126" s="610"/>
      <c r="Y126" s="610"/>
      <c r="Z126" s="610"/>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597"/>
      <c r="AZ126" s="610"/>
      <c r="BA126" s="610"/>
      <c r="BB126" s="610"/>
      <c r="BC126" s="610"/>
      <c r="BD126" s="610"/>
      <c r="BE126" s="610"/>
      <c r="BF126" s="610"/>
      <c r="BG126" s="610"/>
      <c r="BH126" s="1074"/>
      <c r="BI126" s="1074"/>
      <c r="BJ126" s="1074"/>
      <c r="BK126" s="1074"/>
      <c r="BL126" s="1074"/>
      <c r="BM126" s="1074"/>
      <c r="BN126" s="1074"/>
      <c r="BO126" s="1074"/>
      <c r="BP126" s="1074"/>
      <c r="BQ126" s="1074"/>
      <c r="BR126" s="1074"/>
      <c r="BS126" s="1074"/>
      <c r="BT126" s="1074"/>
      <c r="BU126" s="1074"/>
      <c r="BV126" s="1074"/>
      <c r="BW126" s="1075"/>
      <c r="BX126" s="1074"/>
      <c r="BY126" s="1074"/>
      <c r="BZ126" s="1074"/>
      <c r="CA126" s="1074"/>
      <c r="CB126" s="1074"/>
      <c r="CC126" s="502"/>
    </row>
    <row r="127" spans="1:81" s="731" customFormat="1" ht="14.4" hidden="1" customHeight="1" outlineLevel="1" x14ac:dyDescent="0.55000000000000004">
      <c r="A127" s="498" t="s">
        <v>983</v>
      </c>
      <c r="B127" s="97"/>
      <c r="C127" s="610"/>
      <c r="D127" s="610"/>
      <c r="E127" s="610"/>
      <c r="F127" s="610"/>
      <c r="G127" s="610"/>
      <c r="H127" s="610"/>
      <c r="I127" s="610"/>
      <c r="J127" s="610"/>
      <c r="K127" s="610"/>
      <c r="L127" s="610"/>
      <c r="M127" s="610"/>
      <c r="N127" s="610"/>
      <c r="O127" s="610"/>
      <c r="P127" s="610"/>
      <c r="Q127" s="610"/>
      <c r="R127" s="610"/>
      <c r="S127" s="610"/>
      <c r="T127" s="610"/>
      <c r="U127" s="610"/>
      <c r="V127" s="610"/>
      <c r="W127" s="610"/>
      <c r="X127" s="610"/>
      <c r="Y127" s="610"/>
      <c r="Z127" s="610"/>
      <c r="AA127" s="610"/>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597"/>
      <c r="AZ127" s="610"/>
      <c r="BA127" s="610"/>
      <c r="BB127" s="610"/>
      <c r="BC127" s="610"/>
      <c r="BD127" s="610"/>
      <c r="BE127" s="610"/>
      <c r="BF127" s="610"/>
      <c r="BG127" s="610"/>
      <c r="BH127" s="1074"/>
      <c r="BI127" s="1074"/>
      <c r="BJ127" s="1074"/>
      <c r="BK127" s="1074"/>
      <c r="BL127" s="1074"/>
      <c r="BM127" s="1074"/>
      <c r="BN127" s="1074"/>
      <c r="BO127" s="1074"/>
      <c r="BP127" s="1074"/>
      <c r="BQ127" s="1074"/>
      <c r="BR127" s="1074"/>
      <c r="BS127" s="1074"/>
      <c r="BT127" s="1074"/>
      <c r="BU127" s="1074"/>
      <c r="BV127" s="1074"/>
      <c r="BW127" s="1075"/>
      <c r="BX127" s="1074"/>
      <c r="BY127" s="1074"/>
      <c r="BZ127" s="1074"/>
      <c r="CA127" s="1074"/>
      <c r="CB127" s="1074"/>
      <c r="CC127" s="502"/>
    </row>
    <row r="128" spans="1:81" s="731" customFormat="1" ht="14.4" hidden="1" customHeight="1" outlineLevel="1" x14ac:dyDescent="0.55000000000000004">
      <c r="A128" s="498" t="s">
        <v>984</v>
      </c>
      <c r="B128" s="97"/>
      <c r="C128" s="610"/>
      <c r="D128" s="610"/>
      <c r="E128" s="610"/>
      <c r="F128" s="610"/>
      <c r="G128" s="610"/>
      <c r="H128" s="610"/>
      <c r="I128" s="610"/>
      <c r="J128" s="610"/>
      <c r="K128" s="610"/>
      <c r="L128" s="610"/>
      <c r="M128" s="610"/>
      <c r="N128" s="610"/>
      <c r="O128" s="610"/>
      <c r="P128" s="610"/>
      <c r="Q128" s="610"/>
      <c r="R128" s="610"/>
      <c r="S128" s="610"/>
      <c r="T128" s="610"/>
      <c r="U128" s="610"/>
      <c r="V128" s="610"/>
      <c r="W128" s="610"/>
      <c r="X128" s="610"/>
      <c r="Y128" s="610"/>
      <c r="Z128" s="610"/>
      <c r="AA128" s="610"/>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597"/>
      <c r="AZ128" s="610"/>
      <c r="BA128" s="610"/>
      <c r="BB128" s="610"/>
      <c r="BC128" s="610"/>
      <c r="BD128" s="610"/>
      <c r="BE128" s="610"/>
      <c r="BF128" s="610"/>
      <c r="BG128" s="610"/>
      <c r="BH128" s="1074"/>
      <c r="BI128" s="1074"/>
      <c r="BJ128" s="1074"/>
      <c r="BK128" s="1074"/>
      <c r="BL128" s="1074"/>
      <c r="BM128" s="1074"/>
      <c r="BN128" s="1074"/>
      <c r="BO128" s="1074"/>
      <c r="BP128" s="1074"/>
      <c r="BQ128" s="1074"/>
      <c r="BR128" s="1074"/>
      <c r="BS128" s="1074"/>
      <c r="BT128" s="1074"/>
      <c r="BU128" s="1074"/>
      <c r="BV128" s="1074"/>
      <c r="BW128" s="1075"/>
      <c r="BX128" s="1074"/>
      <c r="BY128" s="1074"/>
      <c r="BZ128" s="1074"/>
      <c r="CA128" s="1074"/>
      <c r="CB128" s="1074"/>
      <c r="CC128" s="502"/>
    </row>
    <row r="129" spans="1:81" s="731" customFormat="1" ht="14.4" hidden="1" customHeight="1" outlineLevel="1" x14ac:dyDescent="0.55000000000000004">
      <c r="A129" s="498" t="s">
        <v>985</v>
      </c>
      <c r="B129" s="97"/>
      <c r="C129" s="610"/>
      <c r="D129" s="610"/>
      <c r="E129" s="610"/>
      <c r="F129" s="610"/>
      <c r="G129" s="610"/>
      <c r="H129" s="610"/>
      <c r="I129" s="610"/>
      <c r="J129" s="610"/>
      <c r="K129" s="610"/>
      <c r="L129" s="610"/>
      <c r="M129" s="610"/>
      <c r="N129" s="610"/>
      <c r="O129" s="610"/>
      <c r="P129" s="610"/>
      <c r="Q129" s="610"/>
      <c r="R129" s="610"/>
      <c r="S129" s="610"/>
      <c r="T129" s="610"/>
      <c r="U129" s="610"/>
      <c r="V129" s="610"/>
      <c r="W129" s="610"/>
      <c r="X129" s="610"/>
      <c r="Y129" s="610"/>
      <c r="Z129" s="610"/>
      <c r="AA129" s="610"/>
      <c r="AB129" s="610"/>
      <c r="AC129" s="610"/>
      <c r="AD129" s="610"/>
      <c r="AE129" s="610"/>
      <c r="AF129" s="610"/>
      <c r="AG129" s="610"/>
      <c r="AH129" s="610"/>
      <c r="AI129" s="610"/>
      <c r="AJ129" s="610"/>
      <c r="AK129" s="610"/>
      <c r="AL129" s="610"/>
      <c r="AM129" s="610"/>
      <c r="AN129" s="610"/>
      <c r="AO129" s="610"/>
      <c r="AP129" s="610"/>
      <c r="AQ129" s="610"/>
      <c r="AR129" s="610"/>
      <c r="AS129" s="610"/>
      <c r="AT129" s="610"/>
      <c r="AU129" s="610"/>
      <c r="AV129" s="610"/>
      <c r="AW129" s="610"/>
      <c r="AX129" s="610"/>
      <c r="AY129" s="597"/>
      <c r="AZ129" s="610"/>
      <c r="BA129" s="610"/>
      <c r="BB129" s="610"/>
      <c r="BC129" s="610"/>
      <c r="BD129" s="610"/>
      <c r="BE129" s="610"/>
      <c r="BF129" s="610"/>
      <c r="BG129" s="610"/>
      <c r="BH129" s="1074"/>
      <c r="BI129" s="1074"/>
      <c r="BJ129" s="1074"/>
      <c r="BK129" s="1074"/>
      <c r="BL129" s="1074"/>
      <c r="BM129" s="1074"/>
      <c r="BN129" s="1074"/>
      <c r="BO129" s="1074"/>
      <c r="BP129" s="1074"/>
      <c r="BQ129" s="1074"/>
      <c r="BR129" s="1074"/>
      <c r="BS129" s="1074"/>
      <c r="BT129" s="1074"/>
      <c r="BU129" s="1074"/>
      <c r="BV129" s="1126">
        <v>3751.4479999999999</v>
      </c>
      <c r="BW129" s="1075"/>
      <c r="BX129" s="1074"/>
      <c r="BY129" s="1074"/>
      <c r="BZ129" s="1074"/>
      <c r="CA129" s="1074"/>
      <c r="CB129" s="1074"/>
      <c r="CC129" s="502"/>
    </row>
    <row r="130" spans="1:81" s="731" customFormat="1" ht="14.4" hidden="1" customHeight="1" outlineLevel="1" x14ac:dyDescent="0.55000000000000004">
      <c r="A130" s="498" t="s">
        <v>986</v>
      </c>
      <c r="B130" s="97"/>
      <c r="C130" s="610"/>
      <c r="D130" s="610"/>
      <c r="E130" s="610"/>
      <c r="F130" s="610"/>
      <c r="G130" s="610"/>
      <c r="H130" s="610"/>
      <c r="I130" s="610"/>
      <c r="J130" s="610"/>
      <c r="K130" s="610"/>
      <c r="L130" s="610"/>
      <c r="M130" s="610"/>
      <c r="N130" s="610"/>
      <c r="O130" s="610"/>
      <c r="P130" s="610"/>
      <c r="Q130" s="610"/>
      <c r="R130" s="610"/>
      <c r="S130" s="610"/>
      <c r="T130" s="610"/>
      <c r="U130" s="610"/>
      <c r="V130" s="610"/>
      <c r="W130" s="610"/>
      <c r="X130" s="610"/>
      <c r="Y130" s="610"/>
      <c r="Z130" s="610"/>
      <c r="AA130" s="610"/>
      <c r="AB130" s="610"/>
      <c r="AC130" s="610"/>
      <c r="AD130" s="610"/>
      <c r="AE130" s="610"/>
      <c r="AF130" s="610"/>
      <c r="AG130" s="610"/>
      <c r="AH130" s="610"/>
      <c r="AI130" s="610"/>
      <c r="AJ130" s="610"/>
      <c r="AK130" s="610"/>
      <c r="AL130" s="610"/>
      <c r="AM130" s="610"/>
      <c r="AN130" s="610"/>
      <c r="AO130" s="610"/>
      <c r="AP130" s="610"/>
      <c r="AQ130" s="610"/>
      <c r="AR130" s="610"/>
      <c r="AS130" s="610"/>
      <c r="AT130" s="610"/>
      <c r="AU130" s="610"/>
      <c r="AV130" s="610"/>
      <c r="AW130" s="610"/>
      <c r="AX130" s="610"/>
      <c r="AY130" s="597"/>
      <c r="AZ130" s="610"/>
      <c r="BA130" s="610"/>
      <c r="BB130" s="610"/>
      <c r="BC130" s="610"/>
      <c r="BD130" s="610"/>
      <c r="BE130" s="610"/>
      <c r="BF130" s="610"/>
      <c r="BG130" s="610"/>
      <c r="BH130" s="1074"/>
      <c r="BI130" s="1074"/>
      <c r="BJ130" s="1074"/>
      <c r="BK130" s="1074"/>
      <c r="BL130" s="1074"/>
      <c r="BM130" s="1074"/>
      <c r="BN130" s="1074"/>
      <c r="BO130" s="1074"/>
      <c r="BP130" s="1074"/>
      <c r="BQ130" s="1074"/>
      <c r="BR130" s="1074"/>
      <c r="BS130" s="1074"/>
      <c r="BT130" s="1126">
        <v>430.42</v>
      </c>
      <c r="BU130" s="1074"/>
      <c r="BV130" s="1074"/>
      <c r="BW130" s="1075"/>
      <c r="BX130" s="1074"/>
      <c r="BY130" s="1074"/>
      <c r="BZ130" s="1074"/>
      <c r="CA130" s="1074"/>
      <c r="CB130" s="1074"/>
      <c r="CC130" s="502"/>
    </row>
    <row r="131" spans="1:81" s="731" customFormat="1" ht="14.4" hidden="1" customHeight="1" outlineLevel="1" x14ac:dyDescent="0.55000000000000004">
      <c r="A131" s="498" t="s">
        <v>987</v>
      </c>
      <c r="B131" s="97"/>
      <c r="C131" s="610"/>
      <c r="D131" s="610"/>
      <c r="E131" s="610"/>
      <c r="F131" s="610"/>
      <c r="G131" s="610"/>
      <c r="H131" s="610"/>
      <c r="I131" s="610"/>
      <c r="J131" s="610"/>
      <c r="K131" s="610"/>
      <c r="L131" s="610"/>
      <c r="M131" s="610"/>
      <c r="N131" s="610"/>
      <c r="O131" s="610"/>
      <c r="P131" s="610"/>
      <c r="Q131" s="610"/>
      <c r="R131" s="610"/>
      <c r="S131" s="610"/>
      <c r="T131" s="610"/>
      <c r="U131" s="610"/>
      <c r="V131" s="610"/>
      <c r="W131" s="610"/>
      <c r="X131" s="610"/>
      <c r="Y131" s="610"/>
      <c r="Z131" s="610"/>
      <c r="AA131" s="610"/>
      <c r="AB131" s="610"/>
      <c r="AC131" s="610"/>
      <c r="AD131" s="610"/>
      <c r="AE131" s="610"/>
      <c r="AF131" s="610"/>
      <c r="AG131" s="610"/>
      <c r="AH131" s="610"/>
      <c r="AI131" s="610"/>
      <c r="AJ131" s="610"/>
      <c r="AK131" s="610"/>
      <c r="AL131" s="610"/>
      <c r="AM131" s="610"/>
      <c r="AN131" s="610"/>
      <c r="AO131" s="610"/>
      <c r="AP131" s="610"/>
      <c r="AQ131" s="610"/>
      <c r="AR131" s="610"/>
      <c r="AS131" s="610"/>
      <c r="AT131" s="610"/>
      <c r="AU131" s="610"/>
      <c r="AV131" s="610"/>
      <c r="AW131" s="610"/>
      <c r="AX131" s="610"/>
      <c r="AY131" s="597"/>
      <c r="AZ131" s="610"/>
      <c r="BA131" s="610"/>
      <c r="BB131" s="610"/>
      <c r="BC131" s="610"/>
      <c r="BD131" s="610"/>
      <c r="BE131" s="610"/>
      <c r="BF131" s="610"/>
      <c r="BG131" s="610"/>
      <c r="BH131" s="1074"/>
      <c r="BI131" s="1074"/>
      <c r="BJ131" s="1074"/>
      <c r="BK131" s="1074"/>
      <c r="BL131" s="1074"/>
      <c r="BM131" s="1074"/>
      <c r="BN131" s="1074"/>
      <c r="BO131" s="1074"/>
      <c r="BP131" s="1074"/>
      <c r="BQ131" s="1074"/>
      <c r="BR131" s="1074"/>
      <c r="BS131" s="1074"/>
      <c r="BT131" s="1074"/>
      <c r="BU131" s="1074"/>
      <c r="BV131" s="1074"/>
      <c r="BW131" s="1075"/>
      <c r="BX131" s="1074"/>
      <c r="BY131" s="1074"/>
      <c r="BZ131" s="1074"/>
      <c r="CA131" s="1074"/>
      <c r="CB131" s="1074"/>
      <c r="CC131" s="502"/>
    </row>
    <row r="132" spans="1:81" s="731" customFormat="1" ht="14.4" hidden="1" customHeight="1" outlineLevel="1" x14ac:dyDescent="0.55000000000000004">
      <c r="A132" s="506" t="s">
        <v>988</v>
      </c>
      <c r="B132" s="507"/>
      <c r="C132" s="621"/>
      <c r="D132" s="621"/>
      <c r="E132" s="621"/>
      <c r="F132" s="621"/>
      <c r="G132" s="621"/>
      <c r="H132" s="621"/>
      <c r="I132" s="621"/>
      <c r="J132" s="621"/>
      <c r="K132" s="621"/>
      <c r="L132" s="621"/>
      <c r="M132" s="621"/>
      <c r="N132" s="621"/>
      <c r="O132" s="621"/>
      <c r="P132" s="621"/>
      <c r="Q132" s="621"/>
      <c r="R132" s="621"/>
      <c r="S132" s="621"/>
      <c r="T132" s="621"/>
      <c r="U132" s="621"/>
      <c r="V132" s="621"/>
      <c r="W132" s="621"/>
      <c r="X132" s="621"/>
      <c r="Y132" s="621"/>
      <c r="Z132" s="621"/>
      <c r="AA132" s="621"/>
      <c r="AB132" s="621"/>
      <c r="AC132" s="621"/>
      <c r="AD132" s="621"/>
      <c r="AE132" s="621"/>
      <c r="AF132" s="621"/>
      <c r="AG132" s="621"/>
      <c r="AH132" s="621"/>
      <c r="AI132" s="621"/>
      <c r="AJ132" s="621"/>
      <c r="AK132" s="621"/>
      <c r="AL132" s="621"/>
      <c r="AM132" s="621"/>
      <c r="AN132" s="621"/>
      <c r="AO132" s="621"/>
      <c r="AP132" s="621"/>
      <c r="AQ132" s="621"/>
      <c r="AR132" s="621"/>
      <c r="AS132" s="621"/>
      <c r="AT132" s="621"/>
      <c r="AU132" s="621"/>
      <c r="AV132" s="621"/>
      <c r="AW132" s="621"/>
      <c r="AX132" s="621"/>
      <c r="AY132" s="678"/>
      <c r="AZ132" s="621"/>
      <c r="BA132" s="621"/>
      <c r="BB132" s="621"/>
      <c r="BC132" s="621"/>
      <c r="BD132" s="621"/>
      <c r="BE132" s="621"/>
      <c r="BF132" s="621"/>
      <c r="BG132" s="621"/>
      <c r="BH132" s="1134"/>
      <c r="BI132" s="1134"/>
      <c r="BJ132" s="1134"/>
      <c r="BK132" s="1134"/>
      <c r="BL132" s="1134"/>
      <c r="BM132" s="1134"/>
      <c r="BN132" s="1134"/>
      <c r="BO132" s="1134"/>
      <c r="BP132" s="1134"/>
      <c r="BQ132" s="1134"/>
      <c r="BR132" s="1134"/>
      <c r="BS132" s="1134"/>
      <c r="BT132" s="1134"/>
      <c r="BU132" s="1134"/>
      <c r="BV132" s="1134"/>
      <c r="BW132" s="1136"/>
      <c r="BX132" s="1134"/>
      <c r="BY132" s="1134"/>
      <c r="BZ132" s="1134"/>
      <c r="CA132" s="1134"/>
      <c r="CB132" s="1134"/>
      <c r="CC132" s="502"/>
    </row>
    <row r="133" spans="1:81" s="731" customFormat="1" ht="14.4" customHeight="1" collapsed="1" x14ac:dyDescent="0.55000000000000004">
      <c r="A133" s="183" t="s">
        <v>989</v>
      </c>
      <c r="B133" s="507"/>
      <c r="C133" s="621"/>
      <c r="D133" s="621"/>
      <c r="E133" s="621"/>
      <c r="F133" s="621"/>
      <c r="G133" s="621"/>
      <c r="H133" s="621"/>
      <c r="I133" s="621"/>
      <c r="J133" s="621"/>
      <c r="K133" s="621"/>
      <c r="L133" s="621"/>
      <c r="M133" s="621"/>
      <c r="N133" s="621"/>
      <c r="O133" s="621"/>
      <c r="P133" s="621"/>
      <c r="Q133" s="621"/>
      <c r="R133" s="621"/>
      <c r="S133" s="621"/>
      <c r="T133" s="621"/>
      <c r="U133" s="621"/>
      <c r="V133" s="621"/>
      <c r="W133" s="621"/>
      <c r="X133" s="621"/>
      <c r="Y133" s="621"/>
      <c r="Z133" s="621"/>
      <c r="AA133" s="621"/>
      <c r="AB133" s="621"/>
      <c r="AC133" s="621"/>
      <c r="AD133" s="621"/>
      <c r="AE133" s="621"/>
      <c r="AF133" s="621"/>
      <c r="AG133" s="621"/>
      <c r="AH133" s="621"/>
      <c r="AI133" s="621"/>
      <c r="AJ133" s="621"/>
      <c r="AK133" s="621"/>
      <c r="AL133" s="621"/>
      <c r="AM133" s="621"/>
      <c r="AN133" s="621"/>
      <c r="AO133" s="621"/>
      <c r="AP133" s="621"/>
      <c r="AQ133" s="621"/>
      <c r="AR133" s="621"/>
      <c r="AS133" s="621"/>
      <c r="AT133" s="621"/>
      <c r="AU133" s="621"/>
      <c r="AV133" s="621"/>
      <c r="AW133" s="621"/>
      <c r="AX133" s="621"/>
      <c r="AY133" s="678"/>
      <c r="AZ133" s="621"/>
      <c r="BA133" s="621"/>
      <c r="BB133" s="621"/>
      <c r="BC133" s="621"/>
      <c r="BD133" s="621"/>
      <c r="BE133" s="621"/>
      <c r="BF133" s="621"/>
      <c r="BG133" s="621"/>
      <c r="BH133" s="1134"/>
      <c r="BI133" s="1134"/>
      <c r="BJ133" s="1134"/>
      <c r="BK133" s="1134"/>
      <c r="BL133" s="1134"/>
      <c r="BM133" s="1134"/>
      <c r="BN133" s="1134"/>
      <c r="BO133" s="1134"/>
      <c r="BP133" s="1134"/>
      <c r="BQ133" s="1134"/>
      <c r="BR133" s="1134"/>
      <c r="BS133" s="1134">
        <f>SUM(BS124:BS132)</f>
        <v>0</v>
      </c>
      <c r="BT133" s="1134">
        <f>SUM(BT124:BT132)</f>
        <v>1930.2090000000001</v>
      </c>
      <c r="BU133" s="1134">
        <f>SUM(BU124:BU132)</f>
        <v>1784.6110000000001</v>
      </c>
      <c r="BV133" s="1134">
        <f>SUM(BV124:BV132)</f>
        <v>5508.8549999999996</v>
      </c>
      <c r="BW133" s="1136"/>
      <c r="BX133" s="1134"/>
      <c r="BY133" s="1134"/>
      <c r="BZ133" s="1134"/>
      <c r="CA133" s="1134"/>
      <c r="CB133" s="1134"/>
      <c r="CC133" s="502"/>
    </row>
    <row r="134" spans="1:81" s="728" customFormat="1" ht="14.4" customHeight="1" x14ac:dyDescent="0.55000000000000004">
      <c r="A134" s="90" t="s">
        <v>990</v>
      </c>
      <c r="B134" s="500"/>
      <c r="C134" s="607"/>
      <c r="D134" s="607"/>
      <c r="E134" s="607"/>
      <c r="F134" s="607"/>
      <c r="G134" s="607"/>
      <c r="H134" s="607"/>
      <c r="I134" s="607"/>
      <c r="J134" s="607"/>
      <c r="K134" s="607"/>
      <c r="L134" s="607"/>
      <c r="M134" s="607"/>
      <c r="N134" s="607"/>
      <c r="O134" s="607"/>
      <c r="P134" s="607"/>
      <c r="Q134" s="607"/>
      <c r="R134" s="607"/>
      <c r="S134" s="607"/>
      <c r="T134" s="607"/>
      <c r="U134" s="607"/>
      <c r="V134" s="607"/>
      <c r="W134" s="607"/>
      <c r="X134" s="607"/>
      <c r="Y134" s="607"/>
      <c r="Z134" s="607"/>
      <c r="AA134" s="607"/>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79"/>
      <c r="AZ134" s="607"/>
      <c r="BA134" s="607"/>
      <c r="BB134" s="607"/>
      <c r="BC134" s="607"/>
      <c r="BD134" s="607"/>
      <c r="BE134" s="607"/>
      <c r="BF134" s="607"/>
      <c r="BG134" s="607"/>
      <c r="BH134" s="1060"/>
      <c r="BI134" s="1060"/>
      <c r="BJ134" s="1060"/>
      <c r="BK134" s="1060"/>
      <c r="BL134" s="1060"/>
      <c r="BM134" s="1060"/>
      <c r="BN134" s="1060"/>
      <c r="BO134" s="1060"/>
      <c r="BP134" s="1060"/>
      <c r="BQ134" s="1060"/>
      <c r="BR134" s="1060"/>
      <c r="BS134" s="1060">
        <f>BS113+BS123+BS133</f>
        <v>8122.2880000000005</v>
      </c>
      <c r="BT134" s="1060">
        <f>BT113+BT123+BT133</f>
        <v>5537.5360000000001</v>
      </c>
      <c r="BU134" s="1060">
        <f>BU113+BU123+BU133</f>
        <v>6029.42</v>
      </c>
      <c r="BV134" s="1060">
        <f>BV113+BV123+BV133</f>
        <v>9891.4510000000009</v>
      </c>
      <c r="BW134" s="1061"/>
      <c r="BX134" s="1060"/>
      <c r="BY134" s="1060"/>
      <c r="BZ134" s="1060"/>
      <c r="CA134" s="1060"/>
      <c r="CB134" s="1060"/>
      <c r="CC134" s="493"/>
    </row>
    <row r="135" spans="1:81" s="741" customFormat="1" ht="14.4" customHeight="1" x14ac:dyDescent="0.55000000000000004">
      <c r="A135" s="446" t="s">
        <v>883</v>
      </c>
      <c r="B135" s="503"/>
      <c r="C135" s="59">
        <f t="shared" ref="C135:AH135" si="6">C13</f>
        <v>64130.296792999994</v>
      </c>
      <c r="D135" s="59">
        <f t="shared" si="6"/>
        <v>62470.62408912</v>
      </c>
      <c r="E135" s="59">
        <f t="shared" si="6"/>
        <v>130047.12000000001</v>
      </c>
      <c r="F135" s="59">
        <f t="shared" si="6"/>
        <v>141503.51158132</v>
      </c>
      <c r="G135" s="59">
        <f t="shared" si="6"/>
        <v>157046.16999999998</v>
      </c>
      <c r="H135" s="59">
        <f t="shared" si="6"/>
        <v>177111.99999999997</v>
      </c>
      <c r="I135" s="59">
        <f t="shared" si="6"/>
        <v>209587</v>
      </c>
      <c r="J135" s="59">
        <f t="shared" si="6"/>
        <v>224422.75057776002</v>
      </c>
      <c r="K135" s="59">
        <f t="shared" si="6"/>
        <v>236356.99499999997</v>
      </c>
      <c r="L135" s="59">
        <f t="shared" si="6"/>
        <v>244873.19999999998</v>
      </c>
      <c r="M135" s="59">
        <f t="shared" si="6"/>
        <v>248656.23</v>
      </c>
      <c r="N135" s="59">
        <f t="shared" si="6"/>
        <v>306657.14</v>
      </c>
      <c r="O135" s="59">
        <f t="shared" si="6"/>
        <v>334006.40000000002</v>
      </c>
      <c r="P135" s="59">
        <f t="shared" si="6"/>
        <v>334146.32</v>
      </c>
      <c r="Q135" s="59">
        <f t="shared" si="6"/>
        <v>373894.71</v>
      </c>
      <c r="R135" s="59">
        <f t="shared" si="6"/>
        <v>338477.1</v>
      </c>
      <c r="S135" s="59">
        <f t="shared" si="6"/>
        <v>419539.86</v>
      </c>
      <c r="T135" s="59">
        <f t="shared" si="6"/>
        <v>445719.03999999998</v>
      </c>
      <c r="U135" s="59">
        <f t="shared" si="6"/>
        <v>505091.72000000003</v>
      </c>
      <c r="V135" s="59">
        <f t="shared" si="6"/>
        <v>521086.38</v>
      </c>
      <c r="W135" s="59">
        <f t="shared" si="6"/>
        <v>469942.38999999996</v>
      </c>
      <c r="X135" s="59">
        <f t="shared" si="6"/>
        <v>568580.31999999995</v>
      </c>
      <c r="Y135" s="59">
        <f t="shared" si="6"/>
        <v>477098.46</v>
      </c>
      <c r="Z135" s="59">
        <f t="shared" si="6"/>
        <v>382017.6</v>
      </c>
      <c r="AA135" s="59">
        <f t="shared" si="6"/>
        <v>478233.61</v>
      </c>
      <c r="AB135" s="59">
        <f t="shared" si="6"/>
        <v>554682</v>
      </c>
      <c r="AC135" s="59">
        <f t="shared" si="6"/>
        <v>508985.39999999997</v>
      </c>
      <c r="AD135" s="59">
        <f t="shared" si="6"/>
        <v>586656.69999999995</v>
      </c>
      <c r="AE135" s="59">
        <f t="shared" si="6"/>
        <v>475944.6</v>
      </c>
      <c r="AF135" s="59">
        <f t="shared" si="6"/>
        <v>635222.55999999994</v>
      </c>
      <c r="AG135" s="59">
        <f t="shared" si="6"/>
        <v>756834.89</v>
      </c>
      <c r="AH135" s="59">
        <f t="shared" si="6"/>
        <v>785432.43</v>
      </c>
      <c r="AI135" s="59">
        <f t="shared" ref="AI135:AY135" si="7">AI13</f>
        <v>828288</v>
      </c>
      <c r="AJ135" s="59">
        <f t="shared" si="7"/>
        <v>1009572.4099999999</v>
      </c>
      <c r="AK135" s="59">
        <f t="shared" si="7"/>
        <v>963813.18</v>
      </c>
      <c r="AL135" s="59">
        <f t="shared" si="7"/>
        <v>955599</v>
      </c>
      <c r="AM135" s="59">
        <f t="shared" si="7"/>
        <v>622258.35</v>
      </c>
      <c r="AN135" s="59">
        <f t="shared" si="7"/>
        <v>443621.64</v>
      </c>
      <c r="AO135" s="59">
        <f t="shared" si="7"/>
        <v>364214.7</v>
      </c>
      <c r="AP135" s="59">
        <f t="shared" si="7"/>
        <v>314809.44</v>
      </c>
      <c r="AQ135" s="59">
        <f t="shared" si="7"/>
        <v>535188</v>
      </c>
      <c r="AR135" s="59">
        <f t="shared" si="7"/>
        <v>736764.00999999989</v>
      </c>
      <c r="AS135" s="59">
        <f t="shared" si="7"/>
        <v>791353.55999999994</v>
      </c>
      <c r="AT135" s="59">
        <f t="shared" si="7"/>
        <v>929145</v>
      </c>
      <c r="AU135" s="59">
        <f t="shared" si="7"/>
        <v>1270762.8599999999</v>
      </c>
      <c r="AV135" s="59">
        <f t="shared" si="7"/>
        <v>1315509.98</v>
      </c>
      <c r="AW135" s="59">
        <f t="shared" si="7"/>
        <v>1472299.2</v>
      </c>
      <c r="AX135" s="59">
        <f t="shared" si="7"/>
        <v>1539588.96</v>
      </c>
      <c r="AY135" s="675">
        <f t="shared" si="7"/>
        <v>1489719.42</v>
      </c>
      <c r="AZ135" s="59"/>
      <c r="BA135" s="59"/>
      <c r="BB135" s="59"/>
      <c r="BC135" s="59"/>
      <c r="BD135" s="59"/>
      <c r="BE135" s="59"/>
      <c r="BF135" s="59"/>
      <c r="BG135" s="59"/>
      <c r="BH135" s="1054">
        <f t="shared" ref="BH135:BW135" si="8">BH13</f>
        <v>0</v>
      </c>
      <c r="BI135" s="1054">
        <f t="shared" si="8"/>
        <v>0</v>
      </c>
      <c r="BJ135" s="1054">
        <f t="shared" si="8"/>
        <v>0</v>
      </c>
      <c r="BK135" s="1054">
        <f t="shared" si="8"/>
        <v>65288.585248684001</v>
      </c>
      <c r="BL135" s="1054">
        <f t="shared" si="8"/>
        <v>141503.51158132</v>
      </c>
      <c r="BM135" s="1054">
        <f t="shared" si="8"/>
        <v>224422.75057776002</v>
      </c>
      <c r="BN135" s="1054">
        <f t="shared" si="8"/>
        <v>306657.14</v>
      </c>
      <c r="BO135" s="1054">
        <f t="shared" si="8"/>
        <v>338477.1</v>
      </c>
      <c r="BP135" s="1054">
        <f t="shared" si="8"/>
        <v>521086.38</v>
      </c>
      <c r="BQ135" s="1054">
        <f t="shared" si="8"/>
        <v>382017.6</v>
      </c>
      <c r="BR135" s="1054">
        <f t="shared" si="8"/>
        <v>586656.69999999995</v>
      </c>
      <c r="BS135" s="1054">
        <f t="shared" si="8"/>
        <v>785432.43</v>
      </c>
      <c r="BT135" s="1054">
        <f t="shared" si="8"/>
        <v>955599</v>
      </c>
      <c r="BU135" s="1054">
        <f t="shared" si="8"/>
        <v>314809.44</v>
      </c>
      <c r="BV135" s="1054">
        <f t="shared" si="8"/>
        <v>929145</v>
      </c>
      <c r="BW135" s="1055">
        <f t="shared" si="8"/>
        <v>1539588.96</v>
      </c>
      <c r="BX135" s="1054"/>
      <c r="BY135" s="1054"/>
      <c r="BZ135" s="1054"/>
      <c r="CA135" s="1054"/>
      <c r="CB135" s="1054"/>
      <c r="CC135" s="307"/>
    </row>
    <row r="136" spans="1:81" s="735" customFormat="1" ht="14.4" customHeight="1" x14ac:dyDescent="0.55000000000000004">
      <c r="A136" s="448"/>
      <c r="B136" s="495"/>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76"/>
      <c r="AZ136" s="62"/>
      <c r="BA136" s="62"/>
      <c r="BB136" s="62"/>
      <c r="BC136" s="62"/>
      <c r="BD136" s="62"/>
      <c r="BE136" s="62"/>
      <c r="BF136" s="62"/>
      <c r="BG136" s="62"/>
      <c r="BH136" s="1052"/>
      <c r="BI136" s="1052"/>
      <c r="BJ136" s="1052"/>
      <c r="BK136" s="1052"/>
      <c r="BL136" s="1052"/>
      <c r="BM136" s="1052"/>
      <c r="BN136" s="1052"/>
      <c r="BO136" s="1052"/>
      <c r="BP136" s="1052"/>
      <c r="BQ136" s="1052"/>
      <c r="BR136" s="1052"/>
      <c r="BS136" s="1052"/>
      <c r="BT136" s="1052"/>
      <c r="BU136" s="1052"/>
      <c r="BV136" s="1052"/>
      <c r="BW136" s="1053"/>
      <c r="BX136" s="1052"/>
      <c r="BY136" s="1052"/>
      <c r="BZ136" s="1052"/>
      <c r="CA136" s="1052"/>
      <c r="CB136" s="1052"/>
      <c r="CC136" s="494"/>
    </row>
    <row r="137" spans="1:81" s="728" customFormat="1" ht="14.4" customHeight="1" x14ac:dyDescent="0.55000000000000004">
      <c r="A137" s="608" t="s">
        <v>991</v>
      </c>
      <c r="B137" s="608"/>
      <c r="C137" s="608"/>
      <c r="D137" s="608"/>
      <c r="E137" s="608"/>
      <c r="F137" s="608"/>
      <c r="G137" s="608"/>
      <c r="H137" s="608"/>
      <c r="I137" s="608"/>
      <c r="J137" s="608"/>
      <c r="K137" s="608"/>
      <c r="L137" s="608"/>
      <c r="M137" s="608"/>
      <c r="N137" s="608"/>
      <c r="O137" s="608"/>
      <c r="P137" s="608"/>
      <c r="Q137" s="608"/>
      <c r="R137" s="608"/>
      <c r="S137" s="608"/>
      <c r="T137" s="608"/>
      <c r="U137" s="608"/>
      <c r="V137" s="608"/>
      <c r="W137" s="608"/>
      <c r="X137" s="608"/>
      <c r="Y137" s="608"/>
      <c r="Z137" s="608"/>
      <c r="AA137" s="608"/>
      <c r="AB137" s="608"/>
      <c r="AC137" s="608"/>
      <c r="AD137" s="608"/>
      <c r="AE137" s="608"/>
      <c r="AF137" s="608"/>
      <c r="AG137" s="608"/>
      <c r="AH137" s="608"/>
      <c r="AI137" s="608"/>
      <c r="AJ137" s="608"/>
      <c r="AK137" s="608"/>
      <c r="AL137" s="608"/>
      <c r="AM137" s="608"/>
      <c r="AN137" s="608"/>
      <c r="AO137" s="608"/>
      <c r="AP137" s="608"/>
      <c r="AQ137" s="608"/>
      <c r="AR137" s="608"/>
      <c r="AS137" s="608"/>
      <c r="AT137" s="608"/>
      <c r="AU137" s="608"/>
      <c r="AV137" s="608"/>
      <c r="AW137" s="608"/>
      <c r="AX137" s="608"/>
      <c r="AY137" s="609"/>
      <c r="AZ137" s="608"/>
      <c r="BA137" s="608"/>
      <c r="BB137" s="608"/>
      <c r="BC137" s="608"/>
      <c r="BD137" s="608"/>
      <c r="BE137" s="608"/>
      <c r="BF137" s="608"/>
      <c r="BG137" s="608"/>
      <c r="BH137" s="608"/>
      <c r="BI137" s="608"/>
      <c r="BJ137" s="608"/>
      <c r="BK137" s="608"/>
      <c r="BL137" s="608"/>
      <c r="BM137" s="608"/>
      <c r="BN137" s="608"/>
      <c r="BO137" s="608"/>
      <c r="BP137" s="608"/>
      <c r="BQ137" s="608"/>
      <c r="BR137" s="608"/>
      <c r="BS137" s="608"/>
      <c r="BT137" s="608"/>
      <c r="BU137" s="608"/>
      <c r="BV137" s="608"/>
      <c r="BW137" s="609"/>
      <c r="BX137" s="608"/>
      <c r="BY137" s="608"/>
      <c r="BZ137" s="608"/>
      <c r="CA137" s="608"/>
      <c r="CB137" s="608"/>
      <c r="CC137" s="493"/>
    </row>
    <row r="138" spans="1:81" s="742" customFormat="1" ht="14.4" customHeight="1" x14ac:dyDescent="0.55000000000000004">
      <c r="A138" s="499" t="s">
        <v>992</v>
      </c>
      <c r="B138" s="509"/>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c r="AU138" s="70"/>
      <c r="AV138" s="70"/>
      <c r="AW138" s="70"/>
      <c r="AX138" s="70"/>
      <c r="AY138" s="680"/>
      <c r="AZ138" s="70"/>
      <c r="BA138" s="70"/>
      <c r="BB138" s="70"/>
      <c r="BC138" s="70"/>
      <c r="BD138" s="70"/>
      <c r="BE138" s="70"/>
      <c r="BF138" s="70"/>
      <c r="BG138" s="70"/>
      <c r="BH138" s="1137"/>
      <c r="BI138" s="1137"/>
      <c r="BJ138" s="1137"/>
      <c r="BK138" s="1137"/>
      <c r="BL138" s="1137"/>
      <c r="BM138" s="1137"/>
      <c r="BN138" s="1137"/>
      <c r="BO138" s="1137"/>
      <c r="BP138" s="1137"/>
      <c r="BQ138" s="1137"/>
      <c r="BR138" s="1137"/>
      <c r="BS138" s="1138">
        <v>4</v>
      </c>
      <c r="BT138" s="1138">
        <v>4</v>
      </c>
      <c r="BU138" s="1138">
        <v>4</v>
      </c>
      <c r="BV138" s="1138">
        <v>4</v>
      </c>
      <c r="BW138" s="1139"/>
      <c r="BX138" s="1137"/>
      <c r="BY138" s="1137"/>
      <c r="BZ138" s="1137"/>
      <c r="CA138" s="1137"/>
      <c r="CB138" s="1137"/>
      <c r="CC138" s="510"/>
    </row>
    <row r="139" spans="1:81" s="742" customFormat="1" ht="14.4" customHeight="1" x14ac:dyDescent="0.55000000000000004">
      <c r="A139" s="499" t="s">
        <v>993</v>
      </c>
      <c r="B139" s="509"/>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W139" s="70"/>
      <c r="AX139" s="70"/>
      <c r="AY139" s="680"/>
      <c r="AZ139" s="70"/>
      <c r="BA139" s="70"/>
      <c r="BB139" s="70"/>
      <c r="BC139" s="70"/>
      <c r="BD139" s="70"/>
      <c r="BE139" s="70"/>
      <c r="BF139" s="70"/>
      <c r="BG139" s="70"/>
      <c r="BH139" s="1137"/>
      <c r="BI139" s="1137"/>
      <c r="BJ139" s="1137"/>
      <c r="BK139" s="1137"/>
      <c r="BL139" s="1137"/>
      <c r="BM139" s="1137"/>
      <c r="BN139" s="1137"/>
      <c r="BO139" s="1137"/>
      <c r="BP139" s="1137"/>
      <c r="BQ139" s="1137"/>
      <c r="BR139" s="1137"/>
      <c r="BS139" s="1138">
        <v>0.5</v>
      </c>
      <c r="BT139" s="1138">
        <v>0.5</v>
      </c>
      <c r="BU139" s="1138">
        <v>0.5</v>
      </c>
      <c r="BV139" s="1138">
        <v>0.5</v>
      </c>
      <c r="BW139" s="1139"/>
      <c r="BX139" s="1137"/>
      <c r="BY139" s="1137"/>
      <c r="BZ139" s="1137"/>
      <c r="CA139" s="1137"/>
      <c r="CB139" s="1137"/>
      <c r="CC139" s="510"/>
    </row>
    <row r="140" spans="1:81" s="744" customFormat="1" ht="14.4" customHeight="1" x14ac:dyDescent="0.55000000000000004">
      <c r="A140" s="508" t="s">
        <v>994</v>
      </c>
      <c r="B140" s="511"/>
      <c r="C140" s="512"/>
      <c r="D140" s="512"/>
      <c r="E140" s="512"/>
      <c r="F140" s="512"/>
      <c r="G140" s="512"/>
      <c r="H140" s="512"/>
      <c r="I140" s="512"/>
      <c r="J140" s="512"/>
      <c r="K140" s="512"/>
      <c r="L140" s="512"/>
      <c r="M140" s="512"/>
      <c r="N140" s="512"/>
      <c r="O140" s="512"/>
      <c r="P140" s="512"/>
      <c r="Q140" s="512"/>
      <c r="R140" s="512"/>
      <c r="S140" s="512"/>
      <c r="T140" s="512"/>
      <c r="U140" s="512"/>
      <c r="V140" s="512"/>
      <c r="W140" s="512"/>
      <c r="X140" s="512"/>
      <c r="Y140" s="512"/>
      <c r="Z140" s="512"/>
      <c r="AA140" s="512"/>
      <c r="AB140" s="512"/>
      <c r="AC140" s="512"/>
      <c r="AD140" s="512"/>
      <c r="AE140" s="512"/>
      <c r="AF140" s="512"/>
      <c r="AG140" s="512"/>
      <c r="AH140" s="512"/>
      <c r="AI140" s="512"/>
      <c r="AJ140" s="512"/>
      <c r="AK140" s="512"/>
      <c r="AL140" s="512"/>
      <c r="AM140" s="512"/>
      <c r="AN140" s="512"/>
      <c r="AO140" s="512"/>
      <c r="AP140" s="512"/>
      <c r="AQ140" s="512"/>
      <c r="AR140" s="512"/>
      <c r="AS140" s="512"/>
      <c r="AT140" s="512"/>
      <c r="AU140" s="512"/>
      <c r="AV140" s="512"/>
      <c r="AW140" s="512"/>
      <c r="AX140" s="512"/>
      <c r="AY140" s="681"/>
      <c r="AZ140" s="512"/>
      <c r="BA140" s="512"/>
      <c r="BB140" s="512"/>
      <c r="BC140" s="512"/>
      <c r="BD140" s="512"/>
      <c r="BE140" s="512"/>
      <c r="BF140" s="512"/>
      <c r="BG140" s="512"/>
      <c r="BH140" s="1140"/>
      <c r="BI140" s="1140"/>
      <c r="BJ140" s="1140"/>
      <c r="BK140" s="1140"/>
      <c r="BL140" s="1140"/>
      <c r="BM140" s="1140"/>
      <c r="BN140" s="1140"/>
      <c r="BO140" s="1140"/>
      <c r="BP140" s="1140"/>
      <c r="BQ140" s="1140"/>
      <c r="BR140" s="1140"/>
      <c r="BS140" s="1141">
        <v>0.75</v>
      </c>
      <c r="BT140" s="1141">
        <v>0.75</v>
      </c>
      <c r="BU140" s="1141">
        <v>0.75</v>
      </c>
      <c r="BV140" s="1141">
        <v>0.75</v>
      </c>
      <c r="BW140" s="1142"/>
      <c r="BX140" s="1140"/>
      <c r="BY140" s="1140"/>
      <c r="BZ140" s="1140"/>
      <c r="CA140" s="1140"/>
      <c r="CB140" s="1140"/>
      <c r="CC140" s="513"/>
    </row>
    <row r="141" spans="1:81" s="735" customFormat="1" ht="14.4" customHeight="1" x14ac:dyDescent="0.55000000000000004">
      <c r="A141" s="448"/>
      <c r="B141" s="495"/>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76"/>
      <c r="AZ141" s="62"/>
      <c r="BA141" s="62"/>
      <c r="BB141" s="62"/>
      <c r="BC141" s="62"/>
      <c r="BD141" s="62"/>
      <c r="BE141" s="62"/>
      <c r="BF141" s="62"/>
      <c r="BG141" s="62"/>
      <c r="BH141" s="1052"/>
      <c r="BI141" s="1052"/>
      <c r="BJ141" s="1052"/>
      <c r="BK141" s="1052"/>
      <c r="BL141" s="1052"/>
      <c r="BM141" s="1052"/>
      <c r="BN141" s="1052"/>
      <c r="BO141" s="1052"/>
      <c r="BP141" s="1052"/>
      <c r="BQ141" s="1052"/>
      <c r="BR141" s="1052"/>
      <c r="BS141" s="1052"/>
      <c r="BT141" s="1052"/>
      <c r="BU141" s="1052"/>
      <c r="BV141" s="1052"/>
      <c r="BW141" s="1053"/>
      <c r="BX141" s="1052"/>
      <c r="BY141" s="1052"/>
      <c r="BZ141" s="1052"/>
      <c r="CA141" s="1052"/>
      <c r="CB141" s="1052"/>
      <c r="CC141" s="494"/>
    </row>
    <row r="142" spans="1:81" ht="14.4" customHeight="1" x14ac:dyDescent="0.55000000000000004">
      <c r="A142" s="608" t="s">
        <v>1025</v>
      </c>
      <c r="B142" s="310"/>
      <c r="C142" s="310"/>
      <c r="D142" s="310"/>
      <c r="E142" s="310"/>
      <c r="F142" s="310"/>
      <c r="G142" s="310"/>
      <c r="H142" s="31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c r="AS142" s="310"/>
      <c r="AT142" s="310"/>
      <c r="AU142" s="310"/>
      <c r="AV142" s="310"/>
      <c r="AW142" s="310"/>
      <c r="AX142" s="310"/>
      <c r="AY142" s="747"/>
      <c r="AZ142" s="310"/>
      <c r="BA142" s="310"/>
      <c r="BB142" s="310"/>
      <c r="BC142" s="310"/>
      <c r="BD142" s="310"/>
      <c r="BE142" s="310"/>
      <c r="BF142" s="310"/>
      <c r="BG142" s="310"/>
      <c r="BH142" s="310"/>
      <c r="BI142" s="310"/>
      <c r="BJ142" s="310"/>
      <c r="BK142" s="310"/>
      <c r="BL142" s="310"/>
      <c r="BM142" s="310"/>
      <c r="BN142" s="310"/>
      <c r="BO142" s="310"/>
      <c r="BP142" s="310"/>
      <c r="BQ142" s="310"/>
      <c r="BR142" s="310"/>
      <c r="BS142" s="310"/>
      <c r="BT142" s="310"/>
      <c r="BU142" s="310"/>
      <c r="BV142" s="310"/>
      <c r="BW142" s="747"/>
      <c r="BX142" s="310"/>
      <c r="BY142" s="310"/>
      <c r="BZ142" s="310"/>
      <c r="CA142" s="310"/>
      <c r="CB142" s="310"/>
      <c r="CC142" s="308"/>
    </row>
    <row r="143" spans="1:81" ht="14.4" x14ac:dyDescent="0.55000000000000004">
      <c r="A143" s="308"/>
      <c r="B143" s="308"/>
      <c r="C143" s="308"/>
      <c r="D143" s="308"/>
      <c r="E143" s="308"/>
      <c r="F143" s="308"/>
      <c r="G143" s="115"/>
      <c r="H143" s="115"/>
      <c r="I143" s="115"/>
      <c r="J143" s="115"/>
      <c r="K143" s="308"/>
      <c r="L143" s="115"/>
      <c r="M143" s="115"/>
      <c r="N143" s="115"/>
      <c r="O143" s="115"/>
      <c r="P143" s="308"/>
      <c r="Q143" s="115"/>
      <c r="R143" s="115"/>
      <c r="S143" s="115"/>
      <c r="T143" s="115"/>
      <c r="U143" s="308"/>
      <c r="V143" s="115"/>
      <c r="W143" s="115"/>
      <c r="X143" s="115"/>
      <c r="Y143" s="115"/>
      <c r="Z143" s="308"/>
      <c r="AA143" s="115"/>
      <c r="AB143" s="115"/>
      <c r="AC143" s="115"/>
      <c r="AD143" s="115"/>
      <c r="AE143" s="308"/>
      <c r="AF143" s="115"/>
      <c r="AG143" s="115"/>
      <c r="AH143" s="115"/>
      <c r="AI143" s="115"/>
      <c r="AJ143" s="308"/>
      <c r="AK143" s="115"/>
      <c r="AL143" s="115"/>
      <c r="AM143" s="115"/>
      <c r="AN143" s="115"/>
      <c r="AO143" s="308"/>
      <c r="AP143" s="115"/>
      <c r="AQ143" s="115"/>
      <c r="AR143" s="115"/>
      <c r="AS143" s="115"/>
      <c r="AT143" s="308"/>
      <c r="AU143" s="115"/>
      <c r="AV143" s="115"/>
      <c r="AW143" s="115"/>
      <c r="AX143" s="115"/>
      <c r="AY143" s="308"/>
      <c r="AZ143" s="115"/>
      <c r="BA143" s="115"/>
      <c r="BB143" s="115"/>
      <c r="BC143" s="115"/>
      <c r="BD143" s="308"/>
      <c r="BE143" s="115"/>
      <c r="BF143" s="115"/>
      <c r="BG143" s="115"/>
      <c r="BH143" s="115"/>
      <c r="BI143" s="115"/>
      <c r="BJ143" s="308"/>
      <c r="BK143" s="115"/>
      <c r="BL143" s="115"/>
      <c r="BM143" s="115"/>
      <c r="BN143" s="115"/>
      <c r="BO143" s="308"/>
      <c r="BP143" s="115"/>
      <c r="BQ143" s="115"/>
      <c r="BR143" s="115"/>
      <c r="BS143" s="115"/>
      <c r="BT143" s="308"/>
      <c r="BU143" s="115"/>
      <c r="BV143" s="115"/>
      <c r="BW143" s="115"/>
      <c r="BX143" s="115"/>
      <c r="BY143" s="308"/>
      <c r="BZ143" s="308"/>
      <c r="CA143" s="308"/>
      <c r="CB143" s="308"/>
      <c r="CC143" s="308"/>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330D7-7DA6-43FD-BD45-E1C1D89EACB9}">
  <sheetPr codeName="Sheet4"/>
  <dimension ref="A1:U161"/>
  <sheetViews>
    <sheetView workbookViewId="0">
      <pane ySplit="5" topLeftCell="A6" activePane="bottomLeft" state="frozenSplit"/>
      <selection pane="bottomLeft" activeCell="J7" sqref="J7"/>
    </sheetView>
  </sheetViews>
  <sheetFormatPr defaultColWidth="8.734375" defaultRowHeight="14.4" outlineLevelCol="1" x14ac:dyDescent="0.55000000000000004"/>
  <cols>
    <col min="1" max="1" width="3.41796875" style="722" customWidth="1"/>
    <col min="2" max="2" width="9.26171875" bestFit="1" customWidth="1"/>
    <col min="3" max="3" width="2.734375" customWidth="1"/>
    <col min="4" max="4" width="23.734375" style="703" bestFit="1" customWidth="1"/>
    <col min="5" max="5" width="21.734375" style="705" hidden="1" customWidth="1" outlineLevel="1"/>
    <col min="6" max="6" width="14.41796875" bestFit="1" customWidth="1" collapsed="1"/>
    <col min="7" max="7" width="14.41796875" hidden="1" customWidth="1" outlineLevel="1" collapsed="1"/>
    <col min="8" max="8" width="2.734375" customWidth="1" collapsed="1"/>
    <col min="9" max="10" width="10.5234375" bestFit="1" customWidth="1"/>
    <col min="11" max="11" width="10.26171875" bestFit="1" customWidth="1"/>
    <col min="12" max="12" width="2.734375" customWidth="1"/>
    <col min="13" max="13" width="8.734375" bestFit="1" customWidth="1"/>
    <col min="14" max="14" width="12.5234375" style="703" bestFit="1" customWidth="1"/>
    <col min="15" max="15" width="2.734375" customWidth="1"/>
    <col min="16" max="16" width="13.41796875" bestFit="1" customWidth="1"/>
    <col min="17" max="17" width="14.26171875" style="709" bestFit="1" customWidth="1"/>
    <col min="18" max="18" width="2.734375" customWidth="1"/>
    <col min="19" max="19" width="10.734375" style="723" bestFit="1" customWidth="1"/>
    <col min="20" max="20" width="13.26171875" style="724" bestFit="1" customWidth="1"/>
  </cols>
  <sheetData>
    <row r="1" spans="1:21" ht="28.2" x14ac:dyDescent="1.05">
      <c r="A1" s="149"/>
      <c r="B1" s="141" t="str">
        <f>MO.CompanyName</f>
        <v>Meta Platforms, Inc.</v>
      </c>
      <c r="C1" s="126"/>
      <c r="D1" s="126"/>
      <c r="E1" s="143"/>
      <c r="F1" s="126"/>
      <c r="G1" s="126"/>
      <c r="H1" s="126"/>
      <c r="I1" s="126"/>
      <c r="J1" s="126"/>
      <c r="K1" s="126"/>
      <c r="L1" s="126"/>
      <c r="M1" s="126"/>
      <c r="N1" s="126"/>
      <c r="O1" s="126"/>
      <c r="P1" s="126"/>
      <c r="Q1" s="55"/>
      <c r="R1" s="126"/>
      <c r="S1" s="144"/>
      <c r="T1" s="126"/>
      <c r="U1" s="126"/>
    </row>
    <row r="2" spans="1:21" x14ac:dyDescent="0.55000000000000004">
      <c r="A2" s="149"/>
      <c r="B2" s="142" t="s">
        <v>376</v>
      </c>
      <c r="C2" s="126"/>
      <c r="D2" s="126"/>
      <c r="E2" s="143"/>
      <c r="F2" s="126" t="str">
        <f>UL.MRQ</f>
        <v>Q1-2025</v>
      </c>
      <c r="G2" s="126"/>
      <c r="H2" s="126"/>
      <c r="I2" s="126"/>
      <c r="J2" s="126"/>
      <c r="K2" s="126"/>
      <c r="L2" s="126"/>
      <c r="M2" s="126"/>
      <c r="N2" s="126"/>
      <c r="O2" s="126"/>
      <c r="P2" s="126"/>
      <c r="Q2" s="55"/>
      <c r="R2" s="126"/>
      <c r="S2" s="144"/>
      <c r="T2" s="126"/>
      <c r="U2" s="126"/>
    </row>
    <row r="3" spans="1:21" x14ac:dyDescent="0.55000000000000004">
      <c r="A3" s="149"/>
      <c r="B3" s="126"/>
      <c r="C3" s="126"/>
      <c r="D3" s="126"/>
      <c r="E3" s="143"/>
      <c r="F3" s="126"/>
      <c r="G3" s="126"/>
      <c r="H3" s="126"/>
      <c r="I3" s="126"/>
      <c r="J3" s="126"/>
      <c r="K3" s="126"/>
      <c r="L3" s="126"/>
      <c r="M3" s="126"/>
      <c r="N3" s="126"/>
      <c r="O3" s="126"/>
      <c r="P3" s="126"/>
      <c r="Q3" s="55"/>
      <c r="R3" s="126"/>
      <c r="S3" s="126"/>
      <c r="T3" s="126"/>
      <c r="U3" s="126"/>
    </row>
    <row r="4" spans="1:21" s="725" customFormat="1" x14ac:dyDescent="0.55000000000000004">
      <c r="A4" s="149"/>
      <c r="B4" s="150"/>
      <c r="C4" s="159"/>
      <c r="D4" s="150"/>
      <c r="E4" s="150"/>
      <c r="F4" s="150"/>
      <c r="G4" s="150"/>
      <c r="H4" s="159"/>
      <c r="I4" s="151" t="s">
        <v>356</v>
      </c>
      <c r="J4" s="151"/>
      <c r="K4" s="151"/>
      <c r="L4" s="159"/>
      <c r="M4" s="151" t="s">
        <v>357</v>
      </c>
      <c r="N4" s="151"/>
      <c r="O4" s="159"/>
      <c r="P4" s="151" t="s">
        <v>358</v>
      </c>
      <c r="Q4" s="151"/>
      <c r="R4" s="159"/>
      <c r="S4" s="151" t="s">
        <v>359</v>
      </c>
      <c r="T4" s="151"/>
      <c r="U4" s="144"/>
    </row>
    <row r="5" spans="1:21" s="726" customFormat="1" x14ac:dyDescent="0.55000000000000004">
      <c r="A5" s="149"/>
      <c r="B5" s="150" t="s">
        <v>360</v>
      </c>
      <c r="C5" s="160"/>
      <c r="D5" s="150" t="s">
        <v>361</v>
      </c>
      <c r="E5" s="150" t="s">
        <v>362</v>
      </c>
      <c r="F5" s="150" t="s">
        <v>363</v>
      </c>
      <c r="G5" s="150" t="s">
        <v>266</v>
      </c>
      <c r="H5" s="160"/>
      <c r="I5" s="152" t="s">
        <v>237</v>
      </c>
      <c r="J5" s="152" t="s">
        <v>236</v>
      </c>
      <c r="K5" s="152" t="s">
        <v>364</v>
      </c>
      <c r="L5" s="160"/>
      <c r="M5" s="150" t="s">
        <v>360</v>
      </c>
      <c r="N5" s="152" t="s">
        <v>365</v>
      </c>
      <c r="O5" s="160"/>
      <c r="P5" s="152" t="s">
        <v>366</v>
      </c>
      <c r="Q5" s="153" t="s">
        <v>367</v>
      </c>
      <c r="R5" s="160"/>
      <c r="S5" s="152" t="s">
        <v>368</v>
      </c>
      <c r="T5" s="152" t="s">
        <v>369</v>
      </c>
      <c r="U5" s="147"/>
    </row>
    <row r="6" spans="1:21" x14ac:dyDescent="0.55000000000000004">
      <c r="A6" s="149">
        <v>155</v>
      </c>
      <c r="B6" s="154" t="str">
        <f>IF(INDEX(MO_SNA_IsHistoricalPeriod,,MATCH(F6,MO_Common_ColumnHeader,0)),"Historical","Forward")</f>
        <v>Forward</v>
      </c>
      <c r="C6" s="126"/>
      <c r="D6" s="161" t="s">
        <v>380</v>
      </c>
      <c r="E6" s="155" t="s">
        <v>730</v>
      </c>
      <c r="F6" s="154" t="s">
        <v>1084</v>
      </c>
      <c r="G6" s="154"/>
      <c r="H6" s="126"/>
      <c r="I6" s="186">
        <v>113000</v>
      </c>
      <c r="J6" s="186">
        <v>118000</v>
      </c>
      <c r="K6" s="186">
        <f>AVERAGE(I6:J6)</f>
        <v>115500</v>
      </c>
      <c r="L6" s="126"/>
      <c r="M6" s="154" t="str">
        <f>IF(INDEX(MO_SNA_IsHistoricalPeriod,,MATCH(F6,MO_Common_ColumnHeader,0)),"Actual","Estimate")</f>
        <v>Estimate</v>
      </c>
      <c r="N6" s="186">
        <f>INDEX(MO_RIS_COGS,0,MATCH(F6,MO_Common_ColumnHeader,0))+INDEX(MO_RIS_SM,0,MATCH(F6,MO_Common_ColumnHeader,0))+INDEX(MO_RIS_GA,0,MATCH(F6,MO_Common_ColumnHeader,0))+INDEX(MO_RIS_RD,0,MATCH(F6,MO_Common_ColumnHeader,0))</f>
        <v>115548.60657086216</v>
      </c>
      <c r="O6" s="126"/>
      <c r="P6" s="187">
        <f>IF(ISNUMBER(N6),N6-K6,"N/A")</f>
        <v>48.606570862160879</v>
      </c>
      <c r="Q6" s="162">
        <f>IFERROR(IF(ISNUMBER(N6),(N6-K6)/ABS(K6),"N/A"),"N/A")</f>
        <v>4.2083611136070024E-4</v>
      </c>
      <c r="R6" s="126"/>
      <c r="S6" s="157">
        <v>45777</v>
      </c>
      <c r="T6" s="164" t="s">
        <v>404</v>
      </c>
      <c r="U6" s="126"/>
    </row>
    <row r="7" spans="1:21" x14ac:dyDescent="0.55000000000000004">
      <c r="A7" s="149">
        <v>154</v>
      </c>
      <c r="B7" s="154" t="str">
        <f>IF(INDEX(MO_SNA_IsHistoricalPeriod,,MATCH(F7,MO_Common_ColumnHeader,0)),"Historical","Forward")</f>
        <v>Forward</v>
      </c>
      <c r="C7" s="126"/>
      <c r="D7" s="161" t="str">
        <f ca="1">INDEX(INDIRECT(E7),0,COLUMN(MO_Common_Column_A))</f>
        <v>Capex</v>
      </c>
      <c r="E7" s="155" t="s">
        <v>375</v>
      </c>
      <c r="F7" s="154" t="s">
        <v>1084</v>
      </c>
      <c r="G7" s="154"/>
      <c r="H7" s="126"/>
      <c r="I7" s="158">
        <v>-64000</v>
      </c>
      <c r="J7" s="158">
        <v>-72000</v>
      </c>
      <c r="K7" s="158">
        <f>AVERAGE(I7:J7)</f>
        <v>-68000</v>
      </c>
      <c r="L7" s="126"/>
      <c r="M7" s="154" t="str">
        <f>IF(INDEX(MO_SNA_IsHistoricalPeriod,,MATCH(F7,MO_Common_ColumnHeader,0)),"Actual","Estimate")</f>
        <v>Estimate</v>
      </c>
      <c r="N7" s="158">
        <f ca="1">IFERROR(INDEX(INDIRECT(E7),0,MATCH(F7,MO_Common_ColumnHeader,0)),"N/A")</f>
        <v>-60567</v>
      </c>
      <c r="O7" s="126"/>
      <c r="P7" s="163">
        <f ca="1">IF(ISNUMBER(N7),N7-K7,"N/A")</f>
        <v>7433</v>
      </c>
      <c r="Q7" s="162">
        <f ca="1">IFERROR(IF(ISNUMBER(N7),(N7-K7)/ABS(K7),"N/A"),"N/A")</f>
        <v>0.10930882352941176</v>
      </c>
      <c r="R7" s="126"/>
      <c r="S7" s="157">
        <v>45777</v>
      </c>
      <c r="T7" s="164" t="s">
        <v>404</v>
      </c>
      <c r="U7" s="126"/>
    </row>
    <row r="8" spans="1:21" x14ac:dyDescent="0.55000000000000004">
      <c r="A8" s="149">
        <v>153</v>
      </c>
      <c r="B8" s="154" t="str">
        <f>IF(INDEX(MO_SNA_IsHistoricalPeriod,,MATCH(F8,MO_Common_ColumnHeader,0)),"Historical","Forward")</f>
        <v>Forward</v>
      </c>
      <c r="C8" s="126"/>
      <c r="D8" s="161" t="s">
        <v>381</v>
      </c>
      <c r="E8" s="155"/>
      <c r="F8" s="154" t="s">
        <v>1084</v>
      </c>
      <c r="G8" s="154"/>
      <c r="H8" s="126"/>
      <c r="I8" s="156">
        <v>0.12</v>
      </c>
      <c r="J8" s="156">
        <v>0.15</v>
      </c>
      <c r="K8" s="156">
        <f>AVERAGE(I8:J8)</f>
        <v>0.13500000000000001</v>
      </c>
      <c r="L8" s="126"/>
      <c r="M8" s="154" t="str">
        <f>IF(INDEX(MO_SNA_IsHistoricalPeriod,,MATCH(F8,MO_Common_ColumnHeader,0)),"Actual","Estimate")</f>
        <v>Estimate</v>
      </c>
      <c r="N8" s="156">
        <f ca="1">INDEX(MO_RIS_TaxRate_Current,0,MATCH(F8,MO_Common_ColumnHeader,0))+INDEX(MO_RIS_TaxRate_Deferred,0,MATCH(F8,MO_Common_ColumnHeader,0))</f>
        <v>0.12664911570948878</v>
      </c>
      <c r="O8" s="126"/>
      <c r="P8" s="162">
        <f ca="1">IF(ISNUMBER(N8),N8-K8,"N/A")</f>
        <v>-8.350884290511229E-3</v>
      </c>
      <c r="Q8" s="162">
        <f ca="1">IFERROR(IF(ISNUMBER(N8),(N8-K8)/ABS(K8),"N/A"),"N/A")</f>
        <v>-6.1858402151935027E-2</v>
      </c>
      <c r="R8" s="126"/>
      <c r="S8" s="157">
        <v>45777</v>
      </c>
      <c r="T8" s="164" t="s">
        <v>404</v>
      </c>
      <c r="U8" s="126"/>
    </row>
    <row r="9" spans="1:21" x14ac:dyDescent="0.55000000000000004">
      <c r="A9" s="149">
        <v>152</v>
      </c>
      <c r="B9" s="126"/>
      <c r="C9" s="126"/>
      <c r="D9" s="142"/>
      <c r="E9" s="143"/>
      <c r="F9" s="126"/>
      <c r="G9" s="126"/>
      <c r="H9" s="126"/>
      <c r="I9" s="600"/>
      <c r="J9" s="600"/>
      <c r="K9" s="600"/>
      <c r="L9" s="126"/>
      <c r="M9" s="126"/>
      <c r="N9" s="600"/>
      <c r="O9" s="126"/>
      <c r="P9" s="188"/>
      <c r="Q9" s="215"/>
      <c r="R9" s="126"/>
      <c r="S9" s="145"/>
      <c r="T9" s="189"/>
      <c r="U9" s="126"/>
    </row>
    <row r="10" spans="1:21" x14ac:dyDescent="0.55000000000000004">
      <c r="A10" s="149">
        <v>151</v>
      </c>
      <c r="B10" s="154" t="str">
        <f>IF(INDEX(MO_SNA_IsHistoricalPeriod,,MATCH(F10,MO_Common_ColumnHeader,0)),"Historical","Forward")</f>
        <v>Forward</v>
      </c>
      <c r="C10" s="126"/>
      <c r="D10" s="161" t="str">
        <f ca="1">INDEX(INDIRECT(E10),0,COLUMN(MO_Common_Column_A))</f>
        <v>Net Revenue</v>
      </c>
      <c r="E10" s="155" t="s">
        <v>494</v>
      </c>
      <c r="F10" s="154" t="s">
        <v>1095</v>
      </c>
      <c r="G10" s="154"/>
      <c r="H10" s="126"/>
      <c r="I10" s="186">
        <v>42500</v>
      </c>
      <c r="J10" s="186">
        <v>45500</v>
      </c>
      <c r="K10" s="186">
        <f>AVERAGE(I10:J10)</f>
        <v>44000</v>
      </c>
      <c r="L10" s="600"/>
      <c r="M10" s="154" t="str">
        <f>IF(INDEX(MO_SNA_IsHistoricalPeriod,,MATCH(F10,MO_Common_ColumnHeader,0)),"Actual","Estimate")</f>
        <v>Estimate</v>
      </c>
      <c r="N10" s="186">
        <f ca="1">IFERROR(INDEX(INDIRECT(E10),0,MATCH(F10,MO_Common_ColumnHeader,0)),"N/A")</f>
        <v>43477.474999999999</v>
      </c>
      <c r="O10" s="600"/>
      <c r="P10" s="187">
        <f ca="1">IF(ISNUMBER(N10),N10-K10,"N/A")</f>
        <v>-522.52500000000146</v>
      </c>
      <c r="Q10" s="162">
        <f ca="1">IFERROR(IF(ISNUMBER(N10),(N10-K10)/ABS(K10),"N/A"),"N/A")</f>
        <v>-1.1875568181818215E-2</v>
      </c>
      <c r="R10" s="126"/>
      <c r="S10" s="157">
        <v>45777</v>
      </c>
      <c r="T10" s="164" t="s">
        <v>404</v>
      </c>
      <c r="U10" s="126"/>
    </row>
    <row r="11" spans="1:21" x14ac:dyDescent="0.55000000000000004">
      <c r="A11" s="149">
        <v>150</v>
      </c>
      <c r="B11" s="126"/>
      <c r="C11" s="126"/>
      <c r="D11" s="142"/>
      <c r="E11" s="143"/>
      <c r="F11" s="126"/>
      <c r="G11" s="126"/>
      <c r="H11" s="126"/>
      <c r="I11" s="600"/>
      <c r="J11" s="600"/>
      <c r="K11" s="600"/>
      <c r="L11" s="126"/>
      <c r="M11" s="126"/>
      <c r="N11" s="600"/>
      <c r="O11" s="126"/>
      <c r="P11" s="188"/>
      <c r="Q11" s="215"/>
      <c r="R11" s="126"/>
      <c r="S11" s="145"/>
      <c r="T11" s="189"/>
      <c r="U11" s="126"/>
    </row>
    <row r="12" spans="1:21" x14ac:dyDescent="0.55000000000000004">
      <c r="A12" s="149">
        <v>149</v>
      </c>
      <c r="B12" s="154" t="str">
        <f>IF(INDEX(MO_SNA_IsHistoricalPeriod,,MATCH(F12,MO_Common_ColumnHeader,0)),"Historical","Forward")</f>
        <v>Forward</v>
      </c>
      <c r="C12" s="126"/>
      <c r="D12" s="161" t="s">
        <v>380</v>
      </c>
      <c r="E12" s="155" t="s">
        <v>730</v>
      </c>
      <c r="F12" s="154" t="s">
        <v>1084</v>
      </c>
      <c r="G12" s="154"/>
      <c r="H12" s="126"/>
      <c r="I12" s="186">
        <v>114000</v>
      </c>
      <c r="J12" s="186">
        <v>119000</v>
      </c>
      <c r="K12" s="186">
        <f>AVERAGE(I12:J12)</f>
        <v>116500</v>
      </c>
      <c r="L12" s="126"/>
      <c r="M12" s="154" t="str">
        <f>IF(INDEX(MO_SNA_IsHistoricalPeriod,,MATCH(F12,MO_Common_ColumnHeader,0)),"Actual","Estimate")</f>
        <v>Estimate</v>
      </c>
      <c r="N12" s="186">
        <f>INDEX(MO_RIS_COGS,0,MATCH(F12,MO_Common_ColumnHeader,0))+INDEX(MO_RIS_SM,0,MATCH(F12,MO_Common_ColumnHeader,0))+INDEX(MO_RIS_GA,0,MATCH(F12,MO_Common_ColumnHeader,0))+INDEX(MO_RIS_RD,0,MATCH(F12,MO_Common_ColumnHeader,0))</f>
        <v>115548.60657086216</v>
      </c>
      <c r="O12" s="126"/>
      <c r="P12" s="187">
        <f>IF(ISNUMBER(N12),N12-K12,"N/A")</f>
        <v>-951.39342913783912</v>
      </c>
      <c r="Q12" s="162">
        <f>IFERROR(IF(ISNUMBER(N12),(N12-K12)/ABS(K12),"N/A"),"N/A")</f>
        <v>-8.1664672028999071E-3</v>
      </c>
      <c r="R12" s="126"/>
      <c r="S12" s="157">
        <v>45686</v>
      </c>
      <c r="T12" s="164" t="s">
        <v>404</v>
      </c>
      <c r="U12" s="126"/>
    </row>
    <row r="13" spans="1:21" x14ac:dyDescent="0.55000000000000004">
      <c r="A13" s="149">
        <v>148</v>
      </c>
      <c r="B13" s="154" t="str">
        <f>IF(INDEX(MO_SNA_IsHistoricalPeriod,,MATCH(F13,MO_Common_ColumnHeader,0)),"Historical","Forward")</f>
        <v>Forward</v>
      </c>
      <c r="C13" s="126"/>
      <c r="D13" s="161" t="str">
        <f ca="1">INDEX(INDIRECT(E13),0,COLUMN(MO_Common_Column_A))</f>
        <v>Capex</v>
      </c>
      <c r="E13" s="155" t="s">
        <v>375</v>
      </c>
      <c r="F13" s="154" t="s">
        <v>1084</v>
      </c>
      <c r="G13" s="154"/>
      <c r="H13" s="126"/>
      <c r="I13" s="158">
        <v>-60000</v>
      </c>
      <c r="J13" s="158">
        <v>-65000</v>
      </c>
      <c r="K13" s="158">
        <f>AVERAGE(I13:J13)</f>
        <v>-62500</v>
      </c>
      <c r="L13" s="126"/>
      <c r="M13" s="154" t="str">
        <f>IF(INDEX(MO_SNA_IsHistoricalPeriod,,MATCH(F13,MO_Common_ColumnHeader,0)),"Actual","Estimate")</f>
        <v>Estimate</v>
      </c>
      <c r="N13" s="158">
        <f ca="1">IFERROR(INDEX(INDIRECT(E13),0,MATCH(F13,MO_Common_ColumnHeader,0)),"N/A")</f>
        <v>-60567</v>
      </c>
      <c r="O13" s="126"/>
      <c r="P13" s="163">
        <f ca="1">IF(ISNUMBER(N13),N13-K13,"N/A")</f>
        <v>1933</v>
      </c>
      <c r="Q13" s="162">
        <f ca="1">IFERROR(IF(ISNUMBER(N13),(N13-K13)/ABS(K13),"N/A"),"N/A")</f>
        <v>3.0928000000000001E-2</v>
      </c>
      <c r="R13" s="126"/>
      <c r="S13" s="157">
        <v>45686</v>
      </c>
      <c r="T13" s="164" t="s">
        <v>404</v>
      </c>
      <c r="U13" s="126"/>
    </row>
    <row r="14" spans="1:21" x14ac:dyDescent="0.55000000000000004">
      <c r="A14" s="149">
        <v>147</v>
      </c>
      <c r="B14" s="154" t="str">
        <f>IF(INDEX(MO_SNA_IsHistoricalPeriod,,MATCH(F14,MO_Common_ColumnHeader,0)),"Historical","Forward")</f>
        <v>Forward</v>
      </c>
      <c r="C14" s="126"/>
      <c r="D14" s="161" t="s">
        <v>381</v>
      </c>
      <c r="E14" s="155"/>
      <c r="F14" s="154" t="s">
        <v>1084</v>
      </c>
      <c r="G14" s="154"/>
      <c r="H14" s="126"/>
      <c r="I14" s="156">
        <v>0.12</v>
      </c>
      <c r="J14" s="156">
        <v>0.15</v>
      </c>
      <c r="K14" s="156">
        <f>AVERAGE(I14:J14)</f>
        <v>0.13500000000000001</v>
      </c>
      <c r="L14" s="126"/>
      <c r="M14" s="154" t="str">
        <f>IF(INDEX(MO_SNA_IsHistoricalPeriod,,MATCH(F14,MO_Common_ColumnHeader,0)),"Actual","Estimate")</f>
        <v>Estimate</v>
      </c>
      <c r="N14" s="156">
        <f ca="1">INDEX(MO_RIS_TaxRate_Current,0,MATCH(F14,MO_Common_ColumnHeader,0))+INDEX(MO_RIS_TaxRate_Deferred,0,MATCH(F14,MO_Common_ColumnHeader,0))</f>
        <v>0.12664911570948878</v>
      </c>
      <c r="O14" s="126"/>
      <c r="P14" s="162">
        <f ca="1">IF(ISNUMBER(N14),N14-K14,"N/A")</f>
        <v>-8.350884290511229E-3</v>
      </c>
      <c r="Q14" s="162">
        <f ca="1">IFERROR(IF(ISNUMBER(N14),(N14-K14)/ABS(K14),"N/A"),"N/A")</f>
        <v>-6.1858402151935027E-2</v>
      </c>
      <c r="R14" s="126"/>
      <c r="S14" s="157">
        <v>45686</v>
      </c>
      <c r="T14" s="164" t="s">
        <v>404</v>
      </c>
      <c r="U14" s="126"/>
    </row>
    <row r="15" spans="1:21" x14ac:dyDescent="0.55000000000000004">
      <c r="A15" s="149">
        <v>146</v>
      </c>
      <c r="B15" s="126"/>
      <c r="C15" s="126"/>
      <c r="D15" s="142"/>
      <c r="E15" s="143"/>
      <c r="F15" s="126"/>
      <c r="G15" s="126"/>
      <c r="H15" s="126"/>
      <c r="I15" s="600"/>
      <c r="J15" s="600"/>
      <c r="K15" s="600"/>
      <c r="L15" s="126"/>
      <c r="M15" s="126"/>
      <c r="N15" s="600"/>
      <c r="O15" s="126"/>
      <c r="P15" s="188"/>
      <c r="Q15" s="215"/>
      <c r="R15" s="126"/>
      <c r="S15" s="145"/>
      <c r="T15" s="189"/>
      <c r="U15" s="126"/>
    </row>
    <row r="16" spans="1:21" x14ac:dyDescent="0.55000000000000004">
      <c r="A16" s="149">
        <v>145</v>
      </c>
      <c r="B16" s="154" t="str">
        <f>IF(INDEX(MO_SNA_IsHistoricalPeriod,,MATCH(F16,MO_Common_ColumnHeader,0)),"Historical","Forward")</f>
        <v>Historical</v>
      </c>
      <c r="C16" s="126"/>
      <c r="D16" s="161" t="str">
        <f ca="1">INDEX(INDIRECT(E16),0,COLUMN(MO_Common_Column_A))</f>
        <v>Net Revenue</v>
      </c>
      <c r="E16" s="155" t="s">
        <v>494</v>
      </c>
      <c r="F16" s="154" t="s">
        <v>1082</v>
      </c>
      <c r="G16" s="154"/>
      <c r="H16" s="126"/>
      <c r="I16" s="186">
        <v>39500</v>
      </c>
      <c r="J16" s="186">
        <v>41800</v>
      </c>
      <c r="K16" s="186">
        <f>AVERAGE(I16:J16)</f>
        <v>40650</v>
      </c>
      <c r="L16" s="600"/>
      <c r="M16" s="154" t="str">
        <f>IF(INDEX(MO_SNA_IsHistoricalPeriod,,MATCH(F16,MO_Common_ColumnHeader,0)),"Actual","Estimate")</f>
        <v>Actual</v>
      </c>
      <c r="N16" s="186">
        <f ca="1">IFERROR(INDEX(INDIRECT(E16),0,MATCH(F16,MO_Common_ColumnHeader,0)),"N/A")</f>
        <v>42314</v>
      </c>
      <c r="O16" s="600"/>
      <c r="P16" s="187">
        <f ca="1">IF(ISNUMBER(N16),N16-K16,"N/A")</f>
        <v>1664</v>
      </c>
      <c r="Q16" s="162">
        <f ca="1">IFERROR(IF(ISNUMBER(N16),(N16-K16)/ABS(K16),"N/A"),"N/A")</f>
        <v>4.093480934809348E-2</v>
      </c>
      <c r="R16" s="126"/>
      <c r="S16" s="157">
        <v>45686</v>
      </c>
      <c r="T16" s="164" t="s">
        <v>404</v>
      </c>
      <c r="U16" s="126"/>
    </row>
    <row r="17" spans="1:21" x14ac:dyDescent="0.55000000000000004">
      <c r="A17" s="149">
        <v>144</v>
      </c>
      <c r="B17" s="154" t="str">
        <f>IF(INDEX(MO_SNA_IsHistoricalPeriod,,MATCH(F17,MO_Common_ColumnHeader,0)),"Historical","Forward")</f>
        <v>Historical</v>
      </c>
      <c r="C17" s="126"/>
      <c r="D17" s="161" t="str">
        <f ca="1">INDEX(INDIRECT(E17),0,COLUMN(MO_Common_Column_A))</f>
        <v>Y/Y Total constant currency revenue growth, %</v>
      </c>
      <c r="E17" s="155" t="s">
        <v>1083</v>
      </c>
      <c r="F17" s="154" t="s">
        <v>1082</v>
      </c>
      <c r="G17" s="154"/>
      <c r="H17" s="126"/>
      <c r="I17" s="156">
        <v>0.11</v>
      </c>
      <c r="J17" s="156">
        <v>0.18</v>
      </c>
      <c r="K17" s="156">
        <f>AVERAGE(I17:J17)</f>
        <v>0.14499999999999999</v>
      </c>
      <c r="L17" s="600"/>
      <c r="M17" s="154" t="str">
        <f>IF(INDEX(MO_SNA_IsHistoricalPeriod,,MATCH(F17,MO_Common_ColumnHeader,0)),"Actual","Estimate")</f>
        <v>Actual</v>
      </c>
      <c r="N17" s="156">
        <f ca="1">IF(B17="Historical",IFERROR(INDEX(INDIRECT(E17),0,MATCH(F17,MO_Common_ColumnHeader,0)),"N/A"),"N/A")</f>
        <v>0.19465093951446999</v>
      </c>
      <c r="O17" s="600"/>
      <c r="P17" s="162">
        <f ca="1">IF(ISNUMBER(N17),N17-K17,"N/A")</f>
        <v>4.9650939514469999E-2</v>
      </c>
      <c r="Q17" s="162">
        <f ca="1">IFERROR(IF(ISNUMBER(N17),(N17-K17)/ABS(K17),"N/A"),"N/A")</f>
        <v>0.3424202725135862</v>
      </c>
      <c r="R17" s="126"/>
      <c r="S17" s="157">
        <v>45686</v>
      </c>
      <c r="T17" s="164" t="s">
        <v>404</v>
      </c>
      <c r="U17" s="126"/>
    </row>
    <row r="18" spans="1:21" x14ac:dyDescent="0.55000000000000004">
      <c r="A18" s="149">
        <v>143</v>
      </c>
      <c r="B18" s="126"/>
      <c r="C18" s="126"/>
      <c r="D18" s="142"/>
      <c r="E18" s="143"/>
      <c r="F18" s="126"/>
      <c r="G18" s="126"/>
      <c r="H18" s="126"/>
      <c r="I18" s="600"/>
      <c r="J18" s="600"/>
      <c r="K18" s="600"/>
      <c r="L18" s="126"/>
      <c r="M18" s="126"/>
      <c r="N18" s="600"/>
      <c r="O18" s="126"/>
      <c r="P18" s="188"/>
      <c r="Q18" s="215"/>
      <c r="R18" s="126"/>
      <c r="S18" s="145"/>
      <c r="T18" s="189"/>
      <c r="U18" s="126"/>
    </row>
    <row r="19" spans="1:21" x14ac:dyDescent="0.55000000000000004">
      <c r="A19" s="149">
        <v>142</v>
      </c>
      <c r="B19" s="154" t="str">
        <f>IF(INDEX(MO_SNA_IsHistoricalPeriod,,MATCH(F19,MO_Common_ColumnHeader,0)),"Historical","Forward")</f>
        <v>Historical</v>
      </c>
      <c r="C19" s="126"/>
      <c r="D19" s="161" t="s">
        <v>380</v>
      </c>
      <c r="E19" s="155" t="s">
        <v>730</v>
      </c>
      <c r="F19" s="154" t="s">
        <v>869</v>
      </c>
      <c r="G19" s="154"/>
      <c r="H19" s="126"/>
      <c r="I19" s="186">
        <v>96000</v>
      </c>
      <c r="J19" s="186">
        <v>98000</v>
      </c>
      <c r="K19" s="186">
        <f>AVERAGE(I19:J19)</f>
        <v>97000</v>
      </c>
      <c r="L19" s="126"/>
      <c r="M19" s="154" t="str">
        <f>IF(INDEX(MO_SNA_IsHistoricalPeriod,,MATCH(F19,MO_Common_ColumnHeader,0)),"Actual","Estimate")</f>
        <v>Actual</v>
      </c>
      <c r="N19" s="186">
        <f>INDEX(MO_RIS_COGS,0,MATCH(F19,MO_Common_ColumnHeader,0))+INDEX(MO_RIS_SM,0,MATCH(F19,MO_Common_ColumnHeader,0))+INDEX(MO_RIS_GA,0,MATCH(F19,MO_Common_ColumnHeader,0))+INDEX(MO_RIS_RD,0,MATCH(F19,MO_Common_ColumnHeader,0))</f>
        <v>95121</v>
      </c>
      <c r="O19" s="126"/>
      <c r="P19" s="187">
        <f>IF(ISNUMBER(N19),N19-K19,"N/A")</f>
        <v>-1879</v>
      </c>
      <c r="Q19" s="162">
        <f>IFERROR(IF(ISNUMBER(N19),(N19-K19)/ABS(K19),"N/A"),"N/A")</f>
        <v>-1.9371134020618557E-2</v>
      </c>
      <c r="R19" s="126"/>
      <c r="S19" s="157">
        <v>45595</v>
      </c>
      <c r="T19" s="164" t="s">
        <v>404</v>
      </c>
      <c r="U19" s="126"/>
    </row>
    <row r="20" spans="1:21" x14ac:dyDescent="0.55000000000000004">
      <c r="A20" s="149">
        <v>141</v>
      </c>
      <c r="B20" s="154" t="str">
        <f>IF(INDEX(MO_SNA_IsHistoricalPeriod,,MATCH(F20,MO_Common_ColumnHeader,0)),"Historical","Forward")</f>
        <v>Historical</v>
      </c>
      <c r="C20" s="126"/>
      <c r="D20" s="161" t="str">
        <f ca="1">INDEX(INDIRECT(E20),0,COLUMN(MO_Common_Column_A))</f>
        <v>Capex</v>
      </c>
      <c r="E20" s="155" t="s">
        <v>375</v>
      </c>
      <c r="F20" s="154" t="s">
        <v>869</v>
      </c>
      <c r="G20" s="154"/>
      <c r="H20" s="126"/>
      <c r="I20" s="158">
        <v>-40000</v>
      </c>
      <c r="J20" s="158">
        <v>-38000</v>
      </c>
      <c r="K20" s="158">
        <f>AVERAGE(I20:J20)</f>
        <v>-39000</v>
      </c>
      <c r="L20" s="126"/>
      <c r="M20" s="154" t="str">
        <f>IF(INDEX(MO_SNA_IsHistoricalPeriod,,MATCH(F20,MO_Common_ColumnHeader,0)),"Actual","Estimate")</f>
        <v>Actual</v>
      </c>
      <c r="N20" s="158">
        <f ca="1">IFERROR(INDEX(INDIRECT(E20),0,MATCH(F20,MO_Common_ColumnHeader,0)),"N/A")</f>
        <v>-39225</v>
      </c>
      <c r="O20" s="126"/>
      <c r="P20" s="163">
        <f ca="1">IF(ISNUMBER(N20),N20-K20,"N/A")</f>
        <v>-225</v>
      </c>
      <c r="Q20" s="162">
        <f ca="1">IFERROR(IF(ISNUMBER(N20),(N20-K20)/ABS(K20),"N/A"),"N/A")</f>
        <v>-5.7692307692307696E-3</v>
      </c>
      <c r="R20" s="126"/>
      <c r="S20" s="157">
        <v>45595</v>
      </c>
      <c r="T20" s="164" t="s">
        <v>404</v>
      </c>
      <c r="U20" s="126"/>
    </row>
    <row r="21" spans="1:21" x14ac:dyDescent="0.55000000000000004">
      <c r="A21" s="149">
        <v>140</v>
      </c>
      <c r="B21" s="126"/>
      <c r="C21" s="126"/>
      <c r="D21" s="142"/>
      <c r="E21" s="143"/>
      <c r="F21" s="126"/>
      <c r="G21" s="126"/>
      <c r="H21" s="126"/>
      <c r="I21" s="600"/>
      <c r="J21" s="600"/>
      <c r="K21" s="600"/>
      <c r="L21" s="126"/>
      <c r="M21" s="126"/>
      <c r="N21" s="600"/>
      <c r="O21" s="126"/>
      <c r="P21" s="188"/>
      <c r="Q21" s="215"/>
      <c r="R21" s="126"/>
      <c r="S21" s="145"/>
      <c r="T21" s="189"/>
      <c r="U21" s="126"/>
    </row>
    <row r="22" spans="1:21" x14ac:dyDescent="0.55000000000000004">
      <c r="A22" s="149">
        <v>139</v>
      </c>
      <c r="B22" s="154" t="str">
        <f>IF(INDEX(MO_SNA_IsHistoricalPeriod,,MATCH(F22,MO_Common_ColumnHeader,0)),"Historical","Forward")</f>
        <v>Historical</v>
      </c>
      <c r="C22" s="126"/>
      <c r="D22" s="161" t="str">
        <f ca="1">INDEX(INDIRECT(E22),0,COLUMN(MO_Common_Column_A))</f>
        <v>Net Revenue</v>
      </c>
      <c r="E22" s="155" t="s">
        <v>494</v>
      </c>
      <c r="F22" s="154" t="s">
        <v>1058</v>
      </c>
      <c r="G22" s="154"/>
      <c r="H22" s="126"/>
      <c r="I22" s="186">
        <v>45000</v>
      </c>
      <c r="J22" s="186">
        <v>48000</v>
      </c>
      <c r="K22" s="186">
        <f>AVERAGE(I22:J22)</f>
        <v>46500</v>
      </c>
      <c r="L22" s="600"/>
      <c r="M22" s="154" t="str">
        <f>IF(INDEX(MO_SNA_IsHistoricalPeriod,,MATCH(F22,MO_Common_ColumnHeader,0)),"Actual","Estimate")</f>
        <v>Actual</v>
      </c>
      <c r="N22" s="186">
        <f ca="1">IFERROR(INDEX(INDIRECT(E22),0,MATCH(F22,MO_Common_ColumnHeader,0)),"N/A")</f>
        <v>48385</v>
      </c>
      <c r="O22" s="600"/>
      <c r="P22" s="187">
        <f ca="1">IF(ISNUMBER(N22),N22-K22,"N/A")</f>
        <v>1885</v>
      </c>
      <c r="Q22" s="162">
        <f ca="1">IFERROR(IF(ISNUMBER(N22),(N22-K22)/ABS(K22),"N/A"),"N/A")</f>
        <v>4.0537634408602148E-2</v>
      </c>
      <c r="R22" s="126"/>
      <c r="S22" s="157">
        <v>45595</v>
      </c>
      <c r="T22" s="164" t="s">
        <v>404</v>
      </c>
      <c r="U22" s="126"/>
    </row>
    <row r="23" spans="1:21" x14ac:dyDescent="0.55000000000000004">
      <c r="A23" s="149">
        <v>138</v>
      </c>
      <c r="B23" s="154" t="str">
        <f>IF(INDEX(MO_SNA_IsHistoricalPeriod,,MATCH(F23,MO_Common_ColumnHeader,0)),"Historical","Forward")</f>
        <v>Historical</v>
      </c>
      <c r="C23" s="126"/>
      <c r="D23" s="161" t="s">
        <v>381</v>
      </c>
      <c r="E23" s="155"/>
      <c r="F23" s="154" t="s">
        <v>1058</v>
      </c>
      <c r="G23" s="154"/>
      <c r="H23" s="126"/>
      <c r="I23" s="156">
        <v>0.1</v>
      </c>
      <c r="J23" s="156">
        <v>0.14000000000000001</v>
      </c>
      <c r="K23" s="156">
        <f>AVERAGE(I23:J23)</f>
        <v>0.12000000000000001</v>
      </c>
      <c r="L23" s="126"/>
      <c r="M23" s="154" t="str">
        <f>IF(INDEX(MO_SNA_IsHistoricalPeriod,,MATCH(F23,MO_Common_ColumnHeader,0)),"Actual","Estimate")</f>
        <v>Actual</v>
      </c>
      <c r="N23" s="156">
        <f>INDEX(MO_RIS_TaxRate_Current,0,MATCH(F23,MO_Common_ColumnHeader,0))+INDEX(MO_RIS_TaxRate_Deferred,0,MATCH(F23,MO_Common_ColumnHeader,0))</f>
        <v>0.11527193988027001</v>
      </c>
      <c r="O23" s="126"/>
      <c r="P23" s="162">
        <f>IF(ISNUMBER(N23),N23-K23,"N/A")</f>
        <v>-4.728060119729996E-3</v>
      </c>
      <c r="Q23" s="162">
        <f>IFERROR(IF(ISNUMBER(N23),(N23-K23)/ABS(K23),"N/A"),"N/A")</f>
        <v>-3.9400500997749964E-2</v>
      </c>
      <c r="R23" s="126"/>
      <c r="S23" s="157">
        <v>45595</v>
      </c>
      <c r="T23" s="164" t="s">
        <v>404</v>
      </c>
      <c r="U23" s="126"/>
    </row>
    <row r="24" spans="1:21" x14ac:dyDescent="0.55000000000000004">
      <c r="A24" s="149">
        <v>137</v>
      </c>
      <c r="B24" s="126"/>
      <c r="C24" s="126"/>
      <c r="D24" s="142"/>
      <c r="E24" s="143"/>
      <c r="F24" s="126"/>
      <c r="G24" s="126"/>
      <c r="H24" s="126"/>
      <c r="I24" s="600"/>
      <c r="J24" s="600"/>
      <c r="K24" s="600"/>
      <c r="L24" s="126"/>
      <c r="M24" s="126"/>
      <c r="N24" s="600"/>
      <c r="O24" s="126"/>
      <c r="P24" s="188"/>
      <c r="Q24" s="215"/>
      <c r="R24" s="126"/>
      <c r="S24" s="145"/>
      <c r="T24" s="189"/>
      <c r="U24" s="126"/>
    </row>
    <row r="25" spans="1:21" x14ac:dyDescent="0.55000000000000004">
      <c r="A25" s="149">
        <v>136</v>
      </c>
      <c r="B25" s="154" t="str">
        <f>IF(INDEX(MO_SNA_IsHistoricalPeriod,,MATCH(F25,MO_Common_ColumnHeader,0)),"Historical","Forward")</f>
        <v>Historical</v>
      </c>
      <c r="C25" s="126"/>
      <c r="D25" s="161" t="s">
        <v>380</v>
      </c>
      <c r="E25" s="155" t="s">
        <v>730</v>
      </c>
      <c r="F25" s="154" t="s">
        <v>869</v>
      </c>
      <c r="G25" s="154"/>
      <c r="H25" s="126"/>
      <c r="I25" s="186">
        <v>96000</v>
      </c>
      <c r="J25" s="186">
        <v>99000</v>
      </c>
      <c r="K25" s="186">
        <f>AVERAGE(I25:J25)</f>
        <v>97500</v>
      </c>
      <c r="L25" s="126"/>
      <c r="M25" s="154" t="str">
        <f>IF(INDEX(MO_SNA_IsHistoricalPeriod,,MATCH(F25,MO_Common_ColumnHeader,0)),"Actual","Estimate")</f>
        <v>Actual</v>
      </c>
      <c r="N25" s="186">
        <f>INDEX(MO_RIS_COGS,0,MATCH(F25,MO_Common_ColumnHeader,0))+INDEX(MO_RIS_SM,0,MATCH(F25,MO_Common_ColumnHeader,0))+INDEX(MO_RIS_GA,0,MATCH(F25,MO_Common_ColumnHeader,0))+INDEX(MO_RIS_RD,0,MATCH(F25,MO_Common_ColumnHeader,0))</f>
        <v>95121</v>
      </c>
      <c r="O25" s="126"/>
      <c r="P25" s="187">
        <f>IF(ISNUMBER(N25),N25-K25,"N/A")</f>
        <v>-2379</v>
      </c>
      <c r="Q25" s="162">
        <f>IFERROR(IF(ISNUMBER(N25),(N25-K25)/ABS(K25),"N/A"),"N/A")</f>
        <v>-2.4400000000000002E-2</v>
      </c>
      <c r="R25" s="126"/>
      <c r="S25" s="157">
        <v>45504</v>
      </c>
      <c r="T25" s="164" t="s">
        <v>404</v>
      </c>
      <c r="U25" s="126"/>
    </row>
    <row r="26" spans="1:21" x14ac:dyDescent="0.55000000000000004">
      <c r="A26" s="149">
        <v>135</v>
      </c>
      <c r="B26" s="154" t="str">
        <f>IF(INDEX(MO_SNA_IsHistoricalPeriod,,MATCH(F26,MO_Common_ColumnHeader,0)),"Historical","Forward")</f>
        <v>Historical</v>
      </c>
      <c r="C26" s="126"/>
      <c r="D26" s="161" t="str">
        <f ca="1">INDEX(INDIRECT(E26),0,COLUMN(MO_Common_Column_A))</f>
        <v>Capex</v>
      </c>
      <c r="E26" s="155" t="s">
        <v>375</v>
      </c>
      <c r="F26" s="154" t="s">
        <v>869</v>
      </c>
      <c r="G26" s="154"/>
      <c r="H26" s="126"/>
      <c r="I26" s="158">
        <v>-37000</v>
      </c>
      <c r="J26" s="158">
        <v>-40000</v>
      </c>
      <c r="K26" s="158">
        <f>AVERAGE(I26:J26)</f>
        <v>-38500</v>
      </c>
      <c r="L26" s="126"/>
      <c r="M26" s="154" t="str">
        <f>IF(INDEX(MO_SNA_IsHistoricalPeriod,,MATCH(F26,MO_Common_ColumnHeader,0)),"Actual","Estimate")</f>
        <v>Actual</v>
      </c>
      <c r="N26" s="158">
        <f ca="1">IFERROR(INDEX(INDIRECT(E26),0,MATCH(F26,MO_Common_ColumnHeader,0)),"N/A")</f>
        <v>-39225</v>
      </c>
      <c r="O26" s="126"/>
      <c r="P26" s="163">
        <f ca="1">IF(ISNUMBER(N26),N26-K26,"N/A")</f>
        <v>-725</v>
      </c>
      <c r="Q26" s="162">
        <f ca="1">IFERROR(IF(ISNUMBER(N26),(N26-K26)/ABS(K26),"N/A"),"N/A")</f>
        <v>-1.8831168831168831E-2</v>
      </c>
      <c r="R26" s="126"/>
      <c r="S26" s="157">
        <v>45504</v>
      </c>
      <c r="T26" s="164" t="s">
        <v>404</v>
      </c>
      <c r="U26" s="126"/>
    </row>
    <row r="27" spans="1:21" x14ac:dyDescent="0.55000000000000004">
      <c r="A27" s="149">
        <v>134</v>
      </c>
      <c r="B27" s="154" t="str">
        <f>IF(INDEX(MO_SNA_IsHistoricalPeriod,,MATCH(F27,MO_Common_ColumnHeader,0)),"Historical","Forward")</f>
        <v>Historical</v>
      </c>
      <c r="C27" s="126"/>
      <c r="D27" s="161" t="s">
        <v>381</v>
      </c>
      <c r="E27" s="155"/>
      <c r="F27" s="154" t="s">
        <v>869</v>
      </c>
      <c r="G27" s="154"/>
      <c r="H27" s="126"/>
      <c r="I27" s="156">
        <v>0.125</v>
      </c>
      <c r="J27" s="156">
        <v>0.17499999999999999</v>
      </c>
      <c r="K27" s="156">
        <f>AVERAGE(I27:J27)</f>
        <v>0.15</v>
      </c>
      <c r="L27" s="126"/>
      <c r="M27" s="154" t="str">
        <f>IF(INDEX(MO_SNA_IsHistoricalPeriod,,MATCH(F27,MO_Common_ColumnHeader,0)),"Actual","Estimate")</f>
        <v>Actual</v>
      </c>
      <c r="N27" s="156">
        <f>INDEX(MO_RIS_TaxRate_Current,0,MATCH(F27,MO_Common_ColumnHeader,0))+INDEX(MO_RIS_TaxRate_Deferred,0,MATCH(F27,MO_Common_ColumnHeader,0))</f>
        <v>0.11750137978857395</v>
      </c>
      <c r="O27" s="126"/>
      <c r="P27" s="162">
        <f>IF(ISNUMBER(N27),N27-K27,"N/A")</f>
        <v>-3.2498620211426049E-2</v>
      </c>
      <c r="Q27" s="162">
        <f>IFERROR(IF(ISNUMBER(N27),(N27-K27)/ABS(K27),"N/A"),"N/A")</f>
        <v>-0.21665746807617367</v>
      </c>
      <c r="R27" s="126"/>
      <c r="S27" s="157">
        <v>45504</v>
      </c>
      <c r="T27" s="164" t="s">
        <v>404</v>
      </c>
      <c r="U27" s="126"/>
    </row>
    <row r="28" spans="1:21" x14ac:dyDescent="0.55000000000000004">
      <c r="A28" s="149">
        <v>133</v>
      </c>
      <c r="B28" s="126"/>
      <c r="C28" s="126"/>
      <c r="D28" s="142"/>
      <c r="E28" s="143"/>
      <c r="F28" s="126"/>
      <c r="G28" s="126"/>
      <c r="H28" s="126"/>
      <c r="I28" s="600"/>
      <c r="J28" s="600"/>
      <c r="K28" s="600"/>
      <c r="L28" s="126"/>
      <c r="M28" s="126"/>
      <c r="N28" s="600"/>
      <c r="O28" s="126"/>
      <c r="P28" s="188"/>
      <c r="Q28" s="215"/>
      <c r="R28" s="126"/>
      <c r="S28" s="145"/>
      <c r="T28" s="189"/>
      <c r="U28" s="126"/>
    </row>
    <row r="29" spans="1:21" x14ac:dyDescent="0.55000000000000004">
      <c r="A29" s="149">
        <v>132</v>
      </c>
      <c r="B29" s="154" t="str">
        <f>IF(INDEX(MO_SNA_IsHistoricalPeriod,,MATCH(F29,MO_Common_ColumnHeader,0)),"Historical","Forward")</f>
        <v>Historical</v>
      </c>
      <c r="C29" s="126"/>
      <c r="D29" s="161" t="str">
        <f ca="1">INDEX(INDIRECT(E29),0,COLUMN(MO_Common_Column_A))</f>
        <v>Net Revenue</v>
      </c>
      <c r="E29" s="155" t="s">
        <v>494</v>
      </c>
      <c r="F29" s="154" t="s">
        <v>1053</v>
      </c>
      <c r="G29" s="154"/>
      <c r="H29" s="126"/>
      <c r="I29" s="186">
        <v>38500</v>
      </c>
      <c r="J29" s="186">
        <v>41000</v>
      </c>
      <c r="K29" s="186">
        <f>AVERAGE(I29:J29)</f>
        <v>39750</v>
      </c>
      <c r="L29" s="600"/>
      <c r="M29" s="154" t="str">
        <f>IF(INDEX(MO_SNA_IsHistoricalPeriod,,MATCH(F29,MO_Common_ColumnHeader,0)),"Actual","Estimate")</f>
        <v>Actual</v>
      </c>
      <c r="N29" s="186">
        <f ca="1">IFERROR(INDEX(INDIRECT(E29),0,MATCH(F29,MO_Common_ColumnHeader,0)),"N/A")</f>
        <v>40589</v>
      </c>
      <c r="O29" s="600"/>
      <c r="P29" s="187">
        <f ca="1">IF(ISNUMBER(N29),N29-K29,"N/A")</f>
        <v>839</v>
      </c>
      <c r="Q29" s="162">
        <f ca="1">IFERROR(IF(ISNUMBER(N29),(N29-K29)/ABS(K29),"N/A"),"N/A")</f>
        <v>2.1106918238993709E-2</v>
      </c>
      <c r="R29" s="126"/>
      <c r="S29" s="157">
        <v>45504</v>
      </c>
      <c r="T29" s="164" t="s">
        <v>404</v>
      </c>
      <c r="U29" s="126"/>
    </row>
    <row r="30" spans="1:21" x14ac:dyDescent="0.55000000000000004">
      <c r="A30" s="149">
        <v>131</v>
      </c>
      <c r="B30" s="126"/>
      <c r="C30" s="126"/>
      <c r="D30" s="142"/>
      <c r="E30" s="143"/>
      <c r="F30" s="126"/>
      <c r="G30" s="126"/>
      <c r="H30" s="126"/>
      <c r="I30" s="600"/>
      <c r="J30" s="600"/>
      <c r="K30" s="600"/>
      <c r="L30" s="126"/>
      <c r="M30" s="126"/>
      <c r="N30" s="600"/>
      <c r="O30" s="126"/>
      <c r="P30" s="188"/>
      <c r="Q30" s="215"/>
      <c r="R30" s="126"/>
      <c r="S30" s="145"/>
      <c r="T30" s="189"/>
      <c r="U30" s="126"/>
    </row>
    <row r="31" spans="1:21" x14ac:dyDescent="0.55000000000000004">
      <c r="A31" s="149">
        <v>130</v>
      </c>
      <c r="B31" s="154" t="str">
        <f>IF(INDEX(MO_SNA_IsHistoricalPeriod,,MATCH(F31,MO_Common_ColumnHeader,0)),"Historical","Forward")</f>
        <v>Historical</v>
      </c>
      <c r="C31" s="126"/>
      <c r="D31" s="161" t="s">
        <v>380</v>
      </c>
      <c r="E31" s="155" t="s">
        <v>730</v>
      </c>
      <c r="F31" s="154" t="s">
        <v>869</v>
      </c>
      <c r="G31" s="154"/>
      <c r="H31" s="126"/>
      <c r="I31" s="186">
        <v>96000</v>
      </c>
      <c r="J31" s="186">
        <v>99000</v>
      </c>
      <c r="K31" s="186">
        <f>AVERAGE(I31:J31)</f>
        <v>97500</v>
      </c>
      <c r="L31" s="126"/>
      <c r="M31" s="154" t="str">
        <f>IF(INDEX(MO_SNA_IsHistoricalPeriod,,MATCH(F31,MO_Common_ColumnHeader,0)),"Actual","Estimate")</f>
        <v>Actual</v>
      </c>
      <c r="N31" s="186">
        <f>INDEX(MO_RIS_COGS,0,MATCH(F31,MO_Common_ColumnHeader,0))+INDEX(MO_RIS_SM,0,MATCH(F31,MO_Common_ColumnHeader,0))+INDEX(MO_RIS_GA,0,MATCH(F31,MO_Common_ColumnHeader,0))+INDEX(MO_RIS_RD,0,MATCH(F31,MO_Common_ColumnHeader,0))</f>
        <v>95121</v>
      </c>
      <c r="O31" s="126"/>
      <c r="P31" s="187">
        <f>IF(ISNUMBER(N31),N31-K31,"N/A")</f>
        <v>-2379</v>
      </c>
      <c r="Q31" s="162">
        <f>IFERROR(IF(ISNUMBER(N31),(N31-K31)/ABS(K31),"N/A"),"N/A")</f>
        <v>-2.4400000000000002E-2</v>
      </c>
      <c r="R31" s="126"/>
      <c r="S31" s="157">
        <v>45406</v>
      </c>
      <c r="T31" s="164" t="s">
        <v>404</v>
      </c>
      <c r="U31" s="126"/>
    </row>
    <row r="32" spans="1:21" x14ac:dyDescent="0.55000000000000004">
      <c r="A32" s="149">
        <v>129</v>
      </c>
      <c r="B32" s="154" t="str">
        <f>IF(INDEX(MO_SNA_IsHistoricalPeriod,,MATCH(F32,MO_Common_ColumnHeader,0)),"Historical","Forward")</f>
        <v>Historical</v>
      </c>
      <c r="C32" s="126"/>
      <c r="D32" s="161" t="str">
        <f ca="1">INDEX(INDIRECT(E32),0,COLUMN(MO_Common_Column_A))</f>
        <v>Capex</v>
      </c>
      <c r="E32" s="155" t="s">
        <v>375</v>
      </c>
      <c r="F32" s="154" t="s">
        <v>869</v>
      </c>
      <c r="G32" s="154"/>
      <c r="H32" s="126"/>
      <c r="I32" s="158">
        <v>-35000</v>
      </c>
      <c r="J32" s="158">
        <v>-40000</v>
      </c>
      <c r="K32" s="158">
        <f>AVERAGE(I32:J32)</f>
        <v>-37500</v>
      </c>
      <c r="L32" s="126"/>
      <c r="M32" s="154" t="str">
        <f>IF(INDEX(MO_SNA_IsHistoricalPeriod,,MATCH(F32,MO_Common_ColumnHeader,0)),"Actual","Estimate")</f>
        <v>Actual</v>
      </c>
      <c r="N32" s="158">
        <f ca="1">IFERROR(INDEX(INDIRECT(E32),0,MATCH(F32,MO_Common_ColumnHeader,0)),"N/A")</f>
        <v>-39225</v>
      </c>
      <c r="O32" s="126"/>
      <c r="P32" s="163">
        <f ca="1">IF(ISNUMBER(N32),N32-K32,"N/A")</f>
        <v>-1725</v>
      </c>
      <c r="Q32" s="162">
        <f ca="1">IFERROR(IF(ISNUMBER(N32),(N32-K32)/ABS(K32),"N/A"),"N/A")</f>
        <v>-4.5999999999999999E-2</v>
      </c>
      <c r="R32" s="126"/>
      <c r="S32" s="157">
        <v>45406</v>
      </c>
      <c r="T32" s="164" t="s">
        <v>404</v>
      </c>
      <c r="U32" s="126"/>
    </row>
    <row r="33" spans="1:21" x14ac:dyDescent="0.55000000000000004">
      <c r="A33" s="149">
        <v>128</v>
      </c>
      <c r="B33" s="154" t="str">
        <f>IF(INDEX(MO_SNA_IsHistoricalPeriod,,MATCH(F33,MO_Common_ColumnHeader,0)),"Historical","Forward")</f>
        <v>Historical</v>
      </c>
      <c r="C33" s="126"/>
      <c r="D33" s="161" t="s">
        <v>381</v>
      </c>
      <c r="E33" s="155"/>
      <c r="F33" s="154" t="s">
        <v>869</v>
      </c>
      <c r="G33" s="154"/>
      <c r="H33" s="126"/>
      <c r="I33" s="156">
        <v>0.125</v>
      </c>
      <c r="J33" s="156">
        <v>0.17499999999999999</v>
      </c>
      <c r="K33" s="156">
        <f>AVERAGE(I33:J33)</f>
        <v>0.15</v>
      </c>
      <c r="L33" s="126"/>
      <c r="M33" s="154" t="str">
        <f>IF(INDEX(MO_SNA_IsHistoricalPeriod,,MATCH(F33,MO_Common_ColumnHeader,0)),"Actual","Estimate")</f>
        <v>Actual</v>
      </c>
      <c r="N33" s="156">
        <f>INDEX(MO_RIS_TaxRate_Current,0,MATCH(F33,MO_Common_ColumnHeader,0))+INDEX(MO_RIS_TaxRate_Deferred,0,MATCH(F33,MO_Common_ColumnHeader,0))</f>
        <v>0.11750137978857395</v>
      </c>
      <c r="O33" s="126"/>
      <c r="P33" s="162">
        <f>IF(ISNUMBER(N33),N33-K33,"N/A")</f>
        <v>-3.2498620211426049E-2</v>
      </c>
      <c r="Q33" s="162">
        <f>IFERROR(IF(ISNUMBER(N33),(N33-K33)/ABS(K33),"N/A"),"N/A")</f>
        <v>-0.21665746807617367</v>
      </c>
      <c r="R33" s="126"/>
      <c r="S33" s="157">
        <v>45406</v>
      </c>
      <c r="T33" s="164" t="s">
        <v>404</v>
      </c>
      <c r="U33" s="126"/>
    </row>
    <row r="34" spans="1:21" x14ac:dyDescent="0.55000000000000004">
      <c r="A34" s="149">
        <v>127</v>
      </c>
      <c r="B34" s="126"/>
      <c r="C34" s="126"/>
      <c r="D34" s="142"/>
      <c r="E34" s="143"/>
      <c r="F34" s="126"/>
      <c r="G34" s="126"/>
      <c r="H34" s="126"/>
      <c r="I34" s="600"/>
      <c r="J34" s="600"/>
      <c r="K34" s="600"/>
      <c r="L34" s="126"/>
      <c r="M34" s="126"/>
      <c r="N34" s="600"/>
      <c r="O34" s="126"/>
      <c r="P34" s="188"/>
      <c r="Q34" s="215"/>
      <c r="R34" s="126"/>
      <c r="S34" s="145"/>
      <c r="T34" s="189"/>
      <c r="U34" s="126"/>
    </row>
    <row r="35" spans="1:21" x14ac:dyDescent="0.55000000000000004">
      <c r="A35" s="149">
        <v>126</v>
      </c>
      <c r="B35" s="154" t="str">
        <f>IF(INDEX(MO_SNA_IsHistoricalPeriod,,MATCH(F35,MO_Common_ColumnHeader,0)),"Historical","Forward")</f>
        <v>Historical</v>
      </c>
      <c r="C35" s="126"/>
      <c r="D35" s="161" t="str">
        <f ca="1">INDEX(INDIRECT(E35),0,COLUMN(MO_Common_Column_A))</f>
        <v>Net Revenue</v>
      </c>
      <c r="E35" s="155" t="s">
        <v>494</v>
      </c>
      <c r="F35" s="154" t="s">
        <v>1010</v>
      </c>
      <c r="G35" s="154"/>
      <c r="H35" s="126"/>
      <c r="I35" s="186">
        <v>36500</v>
      </c>
      <c r="J35" s="186">
        <v>39000</v>
      </c>
      <c r="K35" s="186">
        <f>AVERAGE(I35:J35)</f>
        <v>37750</v>
      </c>
      <c r="L35" s="600"/>
      <c r="M35" s="154" t="str">
        <f>IF(INDEX(MO_SNA_IsHistoricalPeriod,,MATCH(F35,MO_Common_ColumnHeader,0)),"Actual","Estimate")</f>
        <v>Actual</v>
      </c>
      <c r="N35" s="186">
        <f ca="1">IFERROR(INDEX(INDIRECT(E35),0,MATCH(F35,MO_Common_ColumnHeader,0)),"N/A")</f>
        <v>39071</v>
      </c>
      <c r="O35" s="600"/>
      <c r="P35" s="187">
        <f ca="1">IF(ISNUMBER(N35),N35-K35,"N/A")</f>
        <v>1321</v>
      </c>
      <c r="Q35" s="162">
        <f ca="1">IFERROR(IF(ISNUMBER(N35),(N35-K35)/ABS(K35),"N/A"),"N/A")</f>
        <v>3.4993377483443708E-2</v>
      </c>
      <c r="R35" s="126"/>
      <c r="S35" s="157">
        <v>45406</v>
      </c>
      <c r="T35" s="164" t="s">
        <v>404</v>
      </c>
      <c r="U35" s="126"/>
    </row>
    <row r="36" spans="1:21" x14ac:dyDescent="0.55000000000000004">
      <c r="A36" s="149">
        <v>125</v>
      </c>
      <c r="B36" s="126"/>
      <c r="C36" s="126"/>
      <c r="D36" s="142"/>
      <c r="E36" s="143"/>
      <c r="F36" s="126"/>
      <c r="G36" s="126"/>
      <c r="H36" s="126"/>
      <c r="I36" s="600"/>
      <c r="J36" s="600"/>
      <c r="K36" s="600"/>
      <c r="L36" s="126"/>
      <c r="M36" s="126"/>
      <c r="N36" s="600"/>
      <c r="O36" s="126"/>
      <c r="P36" s="188"/>
      <c r="Q36" s="215"/>
      <c r="R36" s="126"/>
      <c r="S36" s="145"/>
      <c r="T36" s="189"/>
      <c r="U36" s="126"/>
    </row>
    <row r="37" spans="1:21" x14ac:dyDescent="0.55000000000000004">
      <c r="A37" s="149">
        <v>124</v>
      </c>
      <c r="B37" s="154" t="str">
        <f>IF(INDEX(MO_SNA_IsHistoricalPeriod,,MATCH(F37,MO_Common_ColumnHeader,0)),"Historical","Forward")</f>
        <v>Historical</v>
      </c>
      <c r="C37" s="126"/>
      <c r="D37" s="161" t="s">
        <v>380</v>
      </c>
      <c r="E37" s="155" t="s">
        <v>730</v>
      </c>
      <c r="F37" s="154" t="s">
        <v>869</v>
      </c>
      <c r="G37" s="154"/>
      <c r="H37" s="126"/>
      <c r="I37" s="186">
        <v>94000</v>
      </c>
      <c r="J37" s="186">
        <v>99000</v>
      </c>
      <c r="K37" s="186">
        <f>AVERAGE(I37:J37)</f>
        <v>96500</v>
      </c>
      <c r="L37" s="126"/>
      <c r="M37" s="154" t="str">
        <f>IF(INDEX(MO_SNA_IsHistoricalPeriod,,MATCH(F37,MO_Common_ColumnHeader,0)),"Actual","Estimate")</f>
        <v>Actual</v>
      </c>
      <c r="N37" s="186">
        <f>INDEX(MO_RIS_COGS,0,MATCH(F37,MO_Common_ColumnHeader,0))+INDEX(MO_RIS_SM,0,MATCH(F37,MO_Common_ColumnHeader,0))+INDEX(MO_RIS_GA,0,MATCH(F37,MO_Common_ColumnHeader,0))+INDEX(MO_RIS_RD,0,MATCH(F37,MO_Common_ColumnHeader,0))</f>
        <v>95121</v>
      </c>
      <c r="O37" s="126"/>
      <c r="P37" s="187">
        <f>IF(ISNUMBER(N37),N37-K37,"N/A")</f>
        <v>-1379</v>
      </c>
      <c r="Q37" s="162">
        <f>IFERROR(IF(ISNUMBER(N37),(N37-K37)/ABS(K37),"N/A"),"N/A")</f>
        <v>-1.4290155440414508E-2</v>
      </c>
      <c r="R37" s="126"/>
      <c r="S37" s="157">
        <v>45323</v>
      </c>
      <c r="T37" s="164" t="s">
        <v>404</v>
      </c>
      <c r="U37" s="126"/>
    </row>
    <row r="38" spans="1:21" x14ac:dyDescent="0.55000000000000004">
      <c r="A38" s="149">
        <v>123</v>
      </c>
      <c r="B38" s="154" t="str">
        <f>IF(INDEX(MO_SNA_IsHistoricalPeriod,,MATCH(F38,MO_Common_ColumnHeader,0)),"Historical","Forward")</f>
        <v>Historical</v>
      </c>
      <c r="C38" s="126"/>
      <c r="D38" s="161" t="str">
        <f ca="1">INDEX(INDIRECT(E38),0,COLUMN(MO_Common_Column_A))</f>
        <v>Capex</v>
      </c>
      <c r="E38" s="155" t="s">
        <v>375</v>
      </c>
      <c r="F38" s="154" t="s">
        <v>869</v>
      </c>
      <c r="G38" s="154"/>
      <c r="H38" s="126"/>
      <c r="I38" s="158">
        <v>-30000</v>
      </c>
      <c r="J38" s="158">
        <v>-37000</v>
      </c>
      <c r="K38" s="158">
        <f>AVERAGE(I38:J38)</f>
        <v>-33500</v>
      </c>
      <c r="L38" s="126"/>
      <c r="M38" s="154" t="str">
        <f>IF(INDEX(MO_SNA_IsHistoricalPeriod,,MATCH(F38,MO_Common_ColumnHeader,0)),"Actual","Estimate")</f>
        <v>Actual</v>
      </c>
      <c r="N38" s="158">
        <f ca="1">IFERROR(INDEX(INDIRECT(E38),0,MATCH(F38,MO_Common_ColumnHeader,0)),"N/A")</f>
        <v>-39225</v>
      </c>
      <c r="O38" s="126"/>
      <c r="P38" s="163">
        <f ca="1">IF(ISNUMBER(N38),N38-K38,"N/A")</f>
        <v>-5725</v>
      </c>
      <c r="Q38" s="162">
        <f ca="1">IFERROR(IF(ISNUMBER(N38),(N38-K38)/ABS(K38),"N/A"),"N/A")</f>
        <v>-0.17089552238805969</v>
      </c>
      <c r="R38" s="126"/>
      <c r="S38" s="157">
        <v>45323</v>
      </c>
      <c r="T38" s="164" t="s">
        <v>404</v>
      </c>
      <c r="U38" s="126"/>
    </row>
    <row r="39" spans="1:21" x14ac:dyDescent="0.55000000000000004">
      <c r="A39" s="149">
        <v>122</v>
      </c>
      <c r="B39" s="154" t="str">
        <f>IF(INDEX(MO_SNA_IsHistoricalPeriod,,MATCH(F39,MO_Common_ColumnHeader,0)),"Historical","Forward")</f>
        <v>Historical</v>
      </c>
      <c r="C39" s="126"/>
      <c r="D39" s="161" t="s">
        <v>381</v>
      </c>
      <c r="E39" s="155"/>
      <c r="F39" s="154" t="s">
        <v>869</v>
      </c>
      <c r="G39" s="154"/>
      <c r="H39" s="126"/>
      <c r="I39" s="156">
        <v>0.125</v>
      </c>
      <c r="J39" s="156">
        <v>0.17499999999999999</v>
      </c>
      <c r="K39" s="156">
        <f>AVERAGE(I39:J39)</f>
        <v>0.15</v>
      </c>
      <c r="L39" s="126"/>
      <c r="M39" s="154" t="str">
        <f>IF(INDEX(MO_SNA_IsHistoricalPeriod,,MATCH(F39,MO_Common_ColumnHeader,0)),"Actual","Estimate")</f>
        <v>Actual</v>
      </c>
      <c r="N39" s="156">
        <f>INDEX(MO_RIS_TaxRate_Current,0,MATCH(F39,MO_Common_ColumnHeader,0))+INDEX(MO_RIS_TaxRate_Deferred,0,MATCH(F39,MO_Common_ColumnHeader,0))</f>
        <v>0.11750137978857395</v>
      </c>
      <c r="O39" s="126"/>
      <c r="P39" s="162">
        <f>IF(ISNUMBER(N39),N39-K39,"N/A")</f>
        <v>-3.2498620211426049E-2</v>
      </c>
      <c r="Q39" s="162">
        <f>IFERROR(IF(ISNUMBER(N39),(N39-K39)/ABS(K39),"N/A"),"N/A")</f>
        <v>-0.21665746807617367</v>
      </c>
      <c r="R39" s="126"/>
      <c r="S39" s="157">
        <v>45323</v>
      </c>
      <c r="T39" s="164" t="s">
        <v>404</v>
      </c>
      <c r="U39" s="126"/>
    </row>
    <row r="40" spans="1:21" x14ac:dyDescent="0.55000000000000004">
      <c r="A40" s="149">
        <v>121</v>
      </c>
      <c r="B40" s="126"/>
      <c r="C40" s="126"/>
      <c r="D40" s="142"/>
      <c r="E40" s="143"/>
      <c r="F40" s="126"/>
      <c r="G40" s="126"/>
      <c r="H40" s="126"/>
      <c r="I40" s="600"/>
      <c r="J40" s="600"/>
      <c r="K40" s="600"/>
      <c r="L40" s="126"/>
      <c r="M40" s="126"/>
      <c r="N40" s="600"/>
      <c r="O40" s="126"/>
      <c r="P40" s="188"/>
      <c r="Q40" s="215"/>
      <c r="R40" s="126"/>
      <c r="S40" s="145"/>
      <c r="T40" s="189"/>
      <c r="U40" s="126"/>
    </row>
    <row r="41" spans="1:21" x14ac:dyDescent="0.55000000000000004">
      <c r="A41" s="149">
        <v>120</v>
      </c>
      <c r="B41" s="154" t="str">
        <f>IF(INDEX(MO_SNA_IsHistoricalPeriod,,MATCH(F41,MO_Common_ColumnHeader,0)),"Historical","Forward")</f>
        <v>Historical</v>
      </c>
      <c r="C41" s="126"/>
      <c r="D41" s="161" t="str">
        <f ca="1">INDEX(INDIRECT(E41),0,COLUMN(MO_Common_Column_A))</f>
        <v>Net Revenue</v>
      </c>
      <c r="E41" s="155" t="s">
        <v>494</v>
      </c>
      <c r="F41" s="154" t="s">
        <v>875</v>
      </c>
      <c r="G41" s="154"/>
      <c r="H41" s="126"/>
      <c r="I41" s="186">
        <v>34500</v>
      </c>
      <c r="J41" s="186">
        <v>37000</v>
      </c>
      <c r="K41" s="186">
        <f>AVERAGE(I41:J41)</f>
        <v>35750</v>
      </c>
      <c r="L41" s="600"/>
      <c r="M41" s="154" t="str">
        <f>IF(INDEX(MO_SNA_IsHistoricalPeriod,,MATCH(F41,MO_Common_ColumnHeader,0)),"Actual","Estimate")</f>
        <v>Actual</v>
      </c>
      <c r="N41" s="186">
        <f ca="1">IFERROR(INDEX(INDIRECT(E41),0,MATCH(F41,MO_Common_ColumnHeader,0)),"N/A")</f>
        <v>36455</v>
      </c>
      <c r="O41" s="600"/>
      <c r="P41" s="187">
        <f ca="1">IF(ISNUMBER(N41),N41-K41,"N/A")</f>
        <v>705</v>
      </c>
      <c r="Q41" s="162">
        <f ca="1">IFERROR(IF(ISNUMBER(N41),(N41-K41)/ABS(K41),"N/A"),"N/A")</f>
        <v>1.9720279720279722E-2</v>
      </c>
      <c r="R41" s="126"/>
      <c r="S41" s="157">
        <v>45323</v>
      </c>
      <c r="T41" s="164" t="s">
        <v>404</v>
      </c>
      <c r="U41" s="126"/>
    </row>
    <row r="42" spans="1:21" x14ac:dyDescent="0.55000000000000004">
      <c r="A42" s="149">
        <v>119</v>
      </c>
      <c r="B42" s="126"/>
      <c r="C42" s="126"/>
      <c r="D42" s="142"/>
      <c r="E42" s="143"/>
      <c r="F42" s="126"/>
      <c r="G42" s="126"/>
      <c r="H42" s="126"/>
      <c r="I42" s="600"/>
      <c r="J42" s="600"/>
      <c r="K42" s="600"/>
      <c r="L42" s="126"/>
      <c r="M42" s="126"/>
      <c r="N42" s="600"/>
      <c r="O42" s="126"/>
      <c r="P42" s="188"/>
      <c r="Q42" s="215"/>
      <c r="R42" s="126"/>
      <c r="S42" s="145"/>
      <c r="T42" s="189"/>
      <c r="U42" s="126"/>
    </row>
    <row r="43" spans="1:21" x14ac:dyDescent="0.55000000000000004">
      <c r="A43" s="149">
        <v>118</v>
      </c>
      <c r="B43" s="154" t="str">
        <f>IF(INDEX(MO_SNA_IsHistoricalPeriod,,MATCH(F43,MO_Common_ColumnHeader,0)),"Historical","Forward")</f>
        <v>Historical</v>
      </c>
      <c r="C43" s="126"/>
      <c r="D43" s="161" t="s">
        <v>380</v>
      </c>
      <c r="E43" s="155" t="s">
        <v>730</v>
      </c>
      <c r="F43" s="154" t="s">
        <v>869</v>
      </c>
      <c r="G43" s="154"/>
      <c r="H43" s="126"/>
      <c r="I43" s="186">
        <v>94000</v>
      </c>
      <c r="J43" s="186">
        <v>99000</v>
      </c>
      <c r="K43" s="186">
        <f>AVERAGE(I43:J43)</f>
        <v>96500</v>
      </c>
      <c r="L43" s="126"/>
      <c r="M43" s="154" t="str">
        <f>IF(INDEX(MO_SNA_IsHistoricalPeriod,,MATCH(F43,MO_Common_ColumnHeader,0)),"Actual","Estimate")</f>
        <v>Actual</v>
      </c>
      <c r="N43" s="186">
        <f>INDEX(MO_RIS_COGS,0,MATCH(F43,MO_Common_ColumnHeader,0))+INDEX(MO_RIS_SM,0,MATCH(F43,MO_Common_ColumnHeader,0))+INDEX(MO_RIS_GA,0,MATCH(F43,MO_Common_ColumnHeader,0))+INDEX(MO_RIS_RD,0,MATCH(F43,MO_Common_ColumnHeader,0))</f>
        <v>95121</v>
      </c>
      <c r="O43" s="126"/>
      <c r="P43" s="187">
        <f>IF(ISNUMBER(N43),N43-K43,"N/A")</f>
        <v>-1379</v>
      </c>
      <c r="Q43" s="162">
        <f>IFERROR(IF(ISNUMBER(N43),(N43-K43)/ABS(K43),"N/A"),"N/A")</f>
        <v>-1.4290155440414508E-2</v>
      </c>
      <c r="R43" s="126"/>
      <c r="S43" s="157">
        <v>45224</v>
      </c>
      <c r="T43" s="164" t="s">
        <v>404</v>
      </c>
      <c r="U43" s="126"/>
    </row>
    <row r="44" spans="1:21" x14ac:dyDescent="0.55000000000000004">
      <c r="A44" s="149">
        <v>117</v>
      </c>
      <c r="B44" s="154" t="str">
        <f>IF(INDEX(MO_SNA_IsHistoricalPeriod,,MATCH(F44,MO_Common_ColumnHeader,0)),"Historical","Forward")</f>
        <v>Historical</v>
      </c>
      <c r="C44" s="126"/>
      <c r="D44" s="161" t="str">
        <f ca="1">INDEX(INDIRECT(E44),0,COLUMN(MO_Common_Column_A))</f>
        <v>Capex</v>
      </c>
      <c r="E44" s="155" t="s">
        <v>375</v>
      </c>
      <c r="F44" s="154" t="s">
        <v>869</v>
      </c>
      <c r="G44" s="154"/>
      <c r="H44" s="126"/>
      <c r="I44" s="158">
        <v>-30000</v>
      </c>
      <c r="J44" s="158">
        <v>-35000</v>
      </c>
      <c r="K44" s="158">
        <f>AVERAGE(I44:J44)</f>
        <v>-32500</v>
      </c>
      <c r="L44" s="126"/>
      <c r="M44" s="154" t="str">
        <f>IF(INDEX(MO_SNA_IsHistoricalPeriod,,MATCH(F44,MO_Common_ColumnHeader,0)),"Actual","Estimate")</f>
        <v>Actual</v>
      </c>
      <c r="N44" s="158">
        <f ca="1">IFERROR(INDEX(INDIRECT(E44),0,MATCH(F44,MO_Common_ColumnHeader,0)),"N/A")</f>
        <v>-39225</v>
      </c>
      <c r="O44" s="126"/>
      <c r="P44" s="163">
        <f ca="1">IF(ISNUMBER(N44),N44-K44,"N/A")</f>
        <v>-6725</v>
      </c>
      <c r="Q44" s="162">
        <f ca="1">IFERROR(IF(ISNUMBER(N44),(N44-K44)/ABS(K44),"N/A"),"N/A")</f>
        <v>-0.20692307692307693</v>
      </c>
      <c r="R44" s="126"/>
      <c r="S44" s="157">
        <v>45224</v>
      </c>
      <c r="T44" s="164" t="s">
        <v>404</v>
      </c>
      <c r="U44" s="126"/>
    </row>
    <row r="45" spans="1:21" x14ac:dyDescent="0.55000000000000004">
      <c r="A45" s="149">
        <v>116</v>
      </c>
      <c r="B45" s="154" t="str">
        <f>IF(INDEX(MO_SNA_IsHistoricalPeriod,,MATCH(F45,MO_Common_ColumnHeader,0)),"Historical","Forward")</f>
        <v>Historical</v>
      </c>
      <c r="C45" s="126"/>
      <c r="D45" s="161" t="s">
        <v>381</v>
      </c>
      <c r="E45" s="155"/>
      <c r="F45" s="154" t="s">
        <v>869</v>
      </c>
      <c r="G45" s="154"/>
      <c r="H45" s="126"/>
      <c r="I45" s="156">
        <v>0.17399999999999999</v>
      </c>
      <c r="J45" s="156">
        <v>0.17399999999999999</v>
      </c>
      <c r="K45" s="156">
        <f>AVERAGE(I45:J45)</f>
        <v>0.17399999999999999</v>
      </c>
      <c r="L45" s="126"/>
      <c r="M45" s="154" t="str">
        <f>IF(INDEX(MO_SNA_IsHistoricalPeriod,,MATCH(F45,MO_Common_ColumnHeader,0)),"Actual","Estimate")</f>
        <v>Actual</v>
      </c>
      <c r="N45" s="156">
        <f>INDEX(MO_RIS_TaxRate_Current,0,MATCH(F45,MO_Common_ColumnHeader,0))+INDEX(MO_RIS_TaxRate_Deferred,0,MATCH(F45,MO_Common_ColumnHeader,0))</f>
        <v>0.11750137978857395</v>
      </c>
      <c r="O45" s="126"/>
      <c r="P45" s="162">
        <f>IF(ISNUMBER(N45),N45-K45,"N/A")</f>
        <v>-5.6498620211426043E-2</v>
      </c>
      <c r="Q45" s="162">
        <f>IFERROR(IF(ISNUMBER(N45),(N45-K45)/ABS(K45),"N/A"),"N/A")</f>
        <v>-0.32470471385877037</v>
      </c>
      <c r="R45" s="126"/>
      <c r="S45" s="157">
        <v>45224</v>
      </c>
      <c r="T45" s="164" t="s">
        <v>404</v>
      </c>
      <c r="U45" s="126"/>
    </row>
    <row r="46" spans="1:21" x14ac:dyDescent="0.55000000000000004">
      <c r="A46" s="149">
        <v>115</v>
      </c>
      <c r="B46" s="126"/>
      <c r="C46" s="126"/>
      <c r="D46" s="142"/>
      <c r="E46" s="143"/>
      <c r="F46" s="126"/>
      <c r="G46" s="126"/>
      <c r="H46" s="126"/>
      <c r="I46" s="600"/>
      <c r="J46" s="600"/>
      <c r="K46" s="600"/>
      <c r="L46" s="126"/>
      <c r="M46" s="126"/>
      <c r="N46" s="600"/>
      <c r="O46" s="126"/>
      <c r="P46" s="188"/>
      <c r="Q46" s="215"/>
      <c r="R46" s="126"/>
      <c r="S46" s="145"/>
      <c r="T46" s="189"/>
      <c r="U46" s="126"/>
    </row>
    <row r="47" spans="1:21" x14ac:dyDescent="0.55000000000000004">
      <c r="A47" s="149">
        <v>114</v>
      </c>
      <c r="B47" s="154" t="str">
        <f>IF(INDEX(MO_SNA_IsHistoricalPeriod,,MATCH(F47,MO_Common_ColumnHeader,0)),"Historical","Forward")</f>
        <v>Historical</v>
      </c>
      <c r="C47" s="126"/>
      <c r="D47" s="161" t="s">
        <v>380</v>
      </c>
      <c r="E47" s="155" t="s">
        <v>730</v>
      </c>
      <c r="F47" s="154" t="s">
        <v>609</v>
      </c>
      <c r="G47" s="154"/>
      <c r="H47" s="126"/>
      <c r="I47" s="186">
        <v>87000</v>
      </c>
      <c r="J47" s="186">
        <v>89000</v>
      </c>
      <c r="K47" s="186">
        <f>AVERAGE(I47:J47)</f>
        <v>88000</v>
      </c>
      <c r="L47" s="126"/>
      <c r="M47" s="154" t="str">
        <f>IF(INDEX(MO_SNA_IsHistoricalPeriod,,MATCH(F47,MO_Common_ColumnHeader,0)),"Actual","Estimate")</f>
        <v>Actual</v>
      </c>
      <c r="N47" s="186">
        <f>INDEX(MO_RIS_COGS,0,MATCH(F47,MO_Common_ColumnHeader,0))+INDEX(MO_RIS_SM,0,MATCH(F47,MO_Common_ColumnHeader,0))+INDEX(MO_RIS_GA,0,MATCH(F47,MO_Common_ColumnHeader,0))+INDEX(MO_RIS_RD,0,MATCH(F47,MO_Common_ColumnHeader,0))</f>
        <v>88151</v>
      </c>
      <c r="O47" s="126"/>
      <c r="P47" s="187">
        <f>IF(ISNUMBER(N47),N47-K47,"N/A")</f>
        <v>151</v>
      </c>
      <c r="Q47" s="162">
        <f>IFERROR(IF(ISNUMBER(N47),(N47-K47)/ABS(K47),"N/A"),"N/A")</f>
        <v>1.7159090909090909E-3</v>
      </c>
      <c r="R47" s="126"/>
      <c r="S47" s="157">
        <v>45224</v>
      </c>
      <c r="T47" s="164" t="s">
        <v>404</v>
      </c>
      <c r="U47" s="126"/>
    </row>
    <row r="48" spans="1:21" x14ac:dyDescent="0.55000000000000004">
      <c r="A48" s="149">
        <v>113</v>
      </c>
      <c r="B48" s="154" t="str">
        <f>IF(INDEX(MO_SNA_IsHistoricalPeriod,,MATCH(F48,MO_Common_ColumnHeader,0)),"Historical","Forward")</f>
        <v>Historical</v>
      </c>
      <c r="C48" s="126"/>
      <c r="D48" s="161" t="str">
        <f ca="1">INDEX(INDIRECT(E48),0,COLUMN(MO_Common_Column_A))</f>
        <v>Capex</v>
      </c>
      <c r="E48" s="155" t="s">
        <v>375</v>
      </c>
      <c r="F48" s="154" t="s">
        <v>609</v>
      </c>
      <c r="G48" s="154"/>
      <c r="H48" s="126"/>
      <c r="I48" s="158">
        <v>-27000</v>
      </c>
      <c r="J48" s="158">
        <v>-29000</v>
      </c>
      <c r="K48" s="158">
        <f>AVERAGE(I48:J48)</f>
        <v>-28000</v>
      </c>
      <c r="L48" s="126"/>
      <c r="M48" s="154" t="str">
        <f>IF(INDEX(MO_SNA_IsHistoricalPeriod,,MATCH(F48,MO_Common_ColumnHeader,0)),"Actual","Estimate")</f>
        <v>Actual</v>
      </c>
      <c r="N48" s="158">
        <f ca="1">IFERROR(INDEX(INDIRECT(E48),0,MATCH(F48,MO_Common_ColumnHeader,0)),"N/A")</f>
        <v>-28324</v>
      </c>
      <c r="O48" s="126"/>
      <c r="P48" s="163">
        <f ca="1">IF(ISNUMBER(N48),N48-K48,"N/A")</f>
        <v>-324</v>
      </c>
      <c r="Q48" s="162">
        <f ca="1">IFERROR(IF(ISNUMBER(N48),(N48-K48)/ABS(K48),"N/A"),"N/A")</f>
        <v>-1.1571428571428571E-2</v>
      </c>
      <c r="R48" s="126"/>
      <c r="S48" s="157">
        <v>45224</v>
      </c>
      <c r="T48" s="164" t="s">
        <v>404</v>
      </c>
      <c r="U48" s="126"/>
    </row>
    <row r="49" spans="1:21" x14ac:dyDescent="0.55000000000000004">
      <c r="A49" s="149">
        <v>112</v>
      </c>
      <c r="B49" s="126"/>
      <c r="C49" s="126"/>
      <c r="D49" s="142"/>
      <c r="E49" s="143"/>
      <c r="F49" s="126"/>
      <c r="G49" s="126"/>
      <c r="H49" s="126"/>
      <c r="I49" s="600"/>
      <c r="J49" s="600"/>
      <c r="K49" s="600"/>
      <c r="L49" s="126"/>
      <c r="M49" s="126"/>
      <c r="N49" s="600"/>
      <c r="O49" s="126"/>
      <c r="P49" s="188"/>
      <c r="Q49" s="215"/>
      <c r="R49" s="126"/>
      <c r="S49" s="145"/>
      <c r="T49" s="189"/>
      <c r="U49" s="126"/>
    </row>
    <row r="50" spans="1:21" x14ac:dyDescent="0.55000000000000004">
      <c r="A50" s="149">
        <v>111</v>
      </c>
      <c r="B50" s="154" t="str">
        <f>IF(INDEX(MO_SNA_IsHistoricalPeriod,,MATCH(F50,MO_Common_ColumnHeader,0)),"Historical","Forward")</f>
        <v>Historical</v>
      </c>
      <c r="C50" s="126"/>
      <c r="D50" s="161" t="str">
        <f ca="1">INDEX(INDIRECT(E50),0,COLUMN(MO_Common_Column_A))</f>
        <v>Net Revenue</v>
      </c>
      <c r="E50" s="155" t="s">
        <v>494</v>
      </c>
      <c r="F50" s="154" t="s">
        <v>868</v>
      </c>
      <c r="G50" s="154"/>
      <c r="H50" s="126"/>
      <c r="I50" s="186">
        <v>36500</v>
      </c>
      <c r="J50" s="186">
        <v>40000</v>
      </c>
      <c r="K50" s="186">
        <f>AVERAGE(I50:J50)</f>
        <v>38250</v>
      </c>
      <c r="L50" s="600"/>
      <c r="M50" s="154" t="str">
        <f>IF(INDEX(MO_SNA_IsHistoricalPeriod,,MATCH(F50,MO_Common_ColumnHeader,0)),"Actual","Estimate")</f>
        <v>Actual</v>
      </c>
      <c r="N50" s="186">
        <f ca="1">IFERROR(INDEX(INDIRECT(E50),0,MATCH(F50,MO_Common_ColumnHeader,0)),"N/A")</f>
        <v>40111</v>
      </c>
      <c r="O50" s="600"/>
      <c r="P50" s="187">
        <f ca="1">IF(ISNUMBER(N50),N50-K50,"N/A")</f>
        <v>1861</v>
      </c>
      <c r="Q50" s="162">
        <f ca="1">IFERROR(IF(ISNUMBER(N50),(N50-K50)/ABS(K50),"N/A"),"N/A")</f>
        <v>4.8653594771241829E-2</v>
      </c>
      <c r="R50" s="126"/>
      <c r="S50" s="157">
        <v>45224</v>
      </c>
      <c r="T50" s="164" t="s">
        <v>404</v>
      </c>
      <c r="U50" s="126"/>
    </row>
    <row r="51" spans="1:21" x14ac:dyDescent="0.55000000000000004">
      <c r="A51" s="149">
        <v>110</v>
      </c>
      <c r="B51" s="154" t="str">
        <f>IF(INDEX(MO_SNA_IsHistoricalPeriod,,MATCH(F51,MO_Common_ColumnHeader,0)),"Historical","Forward")</f>
        <v>Historical</v>
      </c>
      <c r="C51" s="126"/>
      <c r="D51" s="161" t="s">
        <v>381</v>
      </c>
      <c r="E51" s="155"/>
      <c r="F51" s="154" t="s">
        <v>868</v>
      </c>
      <c r="G51" s="154"/>
      <c r="H51" s="126"/>
      <c r="I51" s="156">
        <v>0.17399999999999999</v>
      </c>
      <c r="J51" s="156">
        <v>0.17399999999999999</v>
      </c>
      <c r="K51" s="156">
        <f>AVERAGE(I51:J51)</f>
        <v>0.17399999999999999</v>
      </c>
      <c r="L51" s="126"/>
      <c r="M51" s="154" t="str">
        <f>IF(INDEX(MO_SNA_IsHistoricalPeriod,,MATCH(F51,MO_Common_ColumnHeader,0)),"Actual","Estimate")</f>
        <v>Actual</v>
      </c>
      <c r="N51" s="156">
        <f>INDEX(MO_RIS_TaxRate_Current,0,MATCH(F51,MO_Common_ColumnHeader,0))+INDEX(MO_RIS_TaxRate_Deferred,0,MATCH(F51,MO_Common_ColumnHeader,0))</f>
        <v>0.16605188005711566</v>
      </c>
      <c r="O51" s="126"/>
      <c r="P51" s="162">
        <f>IF(ISNUMBER(N51),N51-K51,"N/A")</f>
        <v>-7.9481199428843297E-3</v>
      </c>
      <c r="Q51" s="162">
        <f>IFERROR(IF(ISNUMBER(N51),(N51-K51)/ABS(K51),"N/A"),"N/A")</f>
        <v>-4.5678850246461671E-2</v>
      </c>
      <c r="R51" s="126"/>
      <c r="S51" s="157">
        <v>45224</v>
      </c>
      <c r="T51" s="164" t="s">
        <v>404</v>
      </c>
      <c r="U51" s="126"/>
    </row>
    <row r="52" spans="1:21" x14ac:dyDescent="0.55000000000000004">
      <c r="A52" s="149">
        <v>109</v>
      </c>
      <c r="B52" s="126"/>
      <c r="C52" s="126"/>
      <c r="D52" s="142"/>
      <c r="E52" s="143"/>
      <c r="F52" s="126"/>
      <c r="G52" s="126"/>
      <c r="H52" s="126"/>
      <c r="I52" s="600"/>
      <c r="J52" s="600"/>
      <c r="K52" s="600"/>
      <c r="L52" s="126"/>
      <c r="M52" s="126"/>
      <c r="N52" s="600"/>
      <c r="O52" s="126"/>
      <c r="P52" s="188"/>
      <c r="Q52" s="215"/>
      <c r="R52" s="126"/>
      <c r="S52" s="145"/>
      <c r="T52" s="189"/>
      <c r="U52" s="126"/>
    </row>
    <row r="53" spans="1:21" x14ac:dyDescent="0.55000000000000004">
      <c r="A53" s="149">
        <v>108</v>
      </c>
      <c r="B53" s="154" t="str">
        <f>IF(INDEX(MO_SNA_IsHistoricalPeriod,,MATCH(F53,MO_Common_ColumnHeader,0)),"Historical","Forward")</f>
        <v>Historical</v>
      </c>
      <c r="C53" s="126"/>
      <c r="D53" s="161" t="s">
        <v>380</v>
      </c>
      <c r="E53" s="155" t="s">
        <v>730</v>
      </c>
      <c r="F53" s="154" t="s">
        <v>609</v>
      </c>
      <c r="G53" s="154"/>
      <c r="H53" s="126"/>
      <c r="I53" s="186">
        <v>88000</v>
      </c>
      <c r="J53" s="186">
        <v>91000</v>
      </c>
      <c r="K53" s="186">
        <f>AVERAGE(I53:J53)</f>
        <v>89500</v>
      </c>
      <c r="L53" s="126"/>
      <c r="M53" s="154" t="str">
        <f>IF(INDEX(MO_SNA_IsHistoricalPeriod,,MATCH(F53,MO_Common_ColumnHeader,0)),"Actual","Estimate")</f>
        <v>Actual</v>
      </c>
      <c r="N53" s="186">
        <f>INDEX(MO_RIS_COGS,0,MATCH(F53,MO_Common_ColumnHeader,0))+INDEX(MO_RIS_SM,0,MATCH(F53,MO_Common_ColumnHeader,0))+INDEX(MO_RIS_GA,0,MATCH(F53,MO_Common_ColumnHeader,0))+INDEX(MO_RIS_RD,0,MATCH(F53,MO_Common_ColumnHeader,0))</f>
        <v>88151</v>
      </c>
      <c r="O53" s="126"/>
      <c r="P53" s="187">
        <f>IF(ISNUMBER(N53),N53-K53,"N/A")</f>
        <v>-1349</v>
      </c>
      <c r="Q53" s="162">
        <f>IFERROR(IF(ISNUMBER(N53),(N53-K53)/ABS(K53),"N/A"),"N/A")</f>
        <v>-1.5072625698324023E-2</v>
      </c>
      <c r="R53" s="126"/>
      <c r="S53" s="157">
        <v>45133</v>
      </c>
      <c r="T53" s="164" t="s">
        <v>404</v>
      </c>
      <c r="U53" s="126"/>
    </row>
    <row r="54" spans="1:21" x14ac:dyDescent="0.55000000000000004">
      <c r="A54" s="149">
        <v>107</v>
      </c>
      <c r="B54" s="154" t="str">
        <f>IF(INDEX(MO_SNA_IsHistoricalPeriod,,MATCH(F54,MO_Common_ColumnHeader,0)),"Historical","Forward")</f>
        <v>Historical</v>
      </c>
      <c r="C54" s="126"/>
      <c r="D54" s="161" t="str">
        <f ca="1">INDEX(INDIRECT(E54),0,COLUMN(MO_Common_Column_A))</f>
        <v>Capex</v>
      </c>
      <c r="E54" s="155" t="s">
        <v>375</v>
      </c>
      <c r="F54" s="154" t="s">
        <v>609</v>
      </c>
      <c r="G54" s="154"/>
      <c r="H54" s="126"/>
      <c r="I54" s="158">
        <v>-27000</v>
      </c>
      <c r="J54" s="158">
        <v>-30000</v>
      </c>
      <c r="K54" s="158">
        <f>AVERAGE(I54:J54)</f>
        <v>-28500</v>
      </c>
      <c r="L54" s="126"/>
      <c r="M54" s="154" t="str">
        <f>IF(INDEX(MO_SNA_IsHistoricalPeriod,,MATCH(F54,MO_Common_ColumnHeader,0)),"Actual","Estimate")</f>
        <v>Actual</v>
      </c>
      <c r="N54" s="158">
        <f ca="1">IFERROR(INDEX(INDIRECT(E54),0,MATCH(F54,MO_Common_ColumnHeader,0)),"N/A")</f>
        <v>-28324</v>
      </c>
      <c r="O54" s="126"/>
      <c r="P54" s="163">
        <f ca="1">IF(ISNUMBER(N54),N54-K54,"N/A")</f>
        <v>176</v>
      </c>
      <c r="Q54" s="162">
        <f ca="1">IFERROR(IF(ISNUMBER(N54),(N54-K54)/ABS(K54),"N/A"),"N/A")</f>
        <v>6.175438596491228E-3</v>
      </c>
      <c r="R54" s="126"/>
      <c r="S54" s="157">
        <v>45133</v>
      </c>
      <c r="T54" s="164" t="s">
        <v>404</v>
      </c>
      <c r="U54" s="126"/>
    </row>
    <row r="55" spans="1:21" x14ac:dyDescent="0.55000000000000004">
      <c r="A55" s="149">
        <v>106</v>
      </c>
      <c r="B55" s="154" t="str">
        <f>IF(INDEX(MO_SNA_IsHistoricalPeriod,,MATCH(F55,MO_Common_ColumnHeader,0)),"Historical","Forward")</f>
        <v>Historical</v>
      </c>
      <c r="C55" s="126"/>
      <c r="D55" s="161" t="s">
        <v>381</v>
      </c>
      <c r="E55" s="155"/>
      <c r="F55" s="154" t="s">
        <v>609</v>
      </c>
      <c r="G55" s="154"/>
      <c r="H55" s="126"/>
      <c r="I55" s="156">
        <v>0.16200000000000001</v>
      </c>
      <c r="J55" s="156">
        <v>0.16200000000000001</v>
      </c>
      <c r="K55" s="156">
        <f>AVERAGE(I55:J55)</f>
        <v>0.16200000000000001</v>
      </c>
      <c r="L55" s="126"/>
      <c r="M55" s="154" t="str">
        <f>IF(INDEX(MO_SNA_IsHistoricalPeriod,,MATCH(F55,MO_Common_ColumnHeader,0)),"Actual","Estimate")</f>
        <v>Actual</v>
      </c>
      <c r="N55" s="156">
        <f>INDEX(MO_RIS_TaxRate_Current,0,MATCH(F55,MO_Common_ColumnHeader,0))+INDEX(MO_RIS_TaxRate_Deferred,0,MATCH(F55,MO_Common_ColumnHeader,0))</f>
        <v>0.17563464620055663</v>
      </c>
      <c r="O55" s="126"/>
      <c r="P55" s="162">
        <f>IF(ISNUMBER(N55),N55-K55,"N/A")</f>
        <v>1.3634646200556627E-2</v>
      </c>
      <c r="Q55" s="162">
        <f>IFERROR(IF(ISNUMBER(N55),(N55-K55)/ABS(K55),"N/A"),"N/A")</f>
        <v>8.4164482719485345E-2</v>
      </c>
      <c r="R55" s="126"/>
      <c r="S55" s="157">
        <v>45133</v>
      </c>
      <c r="T55" s="164" t="s">
        <v>404</v>
      </c>
      <c r="U55" s="126"/>
    </row>
    <row r="56" spans="1:21" x14ac:dyDescent="0.55000000000000004">
      <c r="A56" s="149">
        <v>105</v>
      </c>
      <c r="B56" s="126"/>
      <c r="C56" s="126"/>
      <c r="D56" s="142"/>
      <c r="E56" s="143"/>
      <c r="F56" s="126"/>
      <c r="G56" s="126"/>
      <c r="H56" s="126"/>
      <c r="I56" s="600"/>
      <c r="J56" s="600"/>
      <c r="K56" s="600"/>
      <c r="L56" s="126"/>
      <c r="M56" s="126"/>
      <c r="N56" s="600"/>
      <c r="O56" s="126"/>
      <c r="P56" s="188"/>
      <c r="Q56" s="215"/>
      <c r="R56" s="126"/>
      <c r="S56" s="145"/>
      <c r="T56" s="189"/>
      <c r="U56" s="126"/>
    </row>
    <row r="57" spans="1:21" x14ac:dyDescent="0.55000000000000004">
      <c r="A57" s="149">
        <v>104</v>
      </c>
      <c r="B57" s="154" t="str">
        <f>IF(INDEX(MO_SNA_IsHistoricalPeriod,,MATCH(F57,MO_Common_ColumnHeader,0)),"Historical","Forward")</f>
        <v>Historical</v>
      </c>
      <c r="C57" s="126"/>
      <c r="D57" s="161" t="str">
        <f ca="1">INDEX(INDIRECT(E57),0,COLUMN(MO_Common_Column_A))</f>
        <v>Net Revenue</v>
      </c>
      <c r="E57" s="155" t="s">
        <v>494</v>
      </c>
      <c r="F57" s="154" t="s">
        <v>841</v>
      </c>
      <c r="G57" s="154"/>
      <c r="H57" s="126"/>
      <c r="I57" s="186">
        <v>32000</v>
      </c>
      <c r="J57" s="186">
        <v>34500</v>
      </c>
      <c r="K57" s="186">
        <f>AVERAGE(I57:J57)</f>
        <v>33250</v>
      </c>
      <c r="L57" s="600"/>
      <c r="M57" s="154" t="str">
        <f>IF(INDEX(MO_SNA_IsHistoricalPeriod,,MATCH(F57,MO_Common_ColumnHeader,0)),"Actual","Estimate")</f>
        <v>Actual</v>
      </c>
      <c r="N57" s="186">
        <f ca="1">IFERROR(INDEX(INDIRECT(E57),0,MATCH(F57,MO_Common_ColumnHeader,0)),"N/A")</f>
        <v>34146</v>
      </c>
      <c r="O57" s="600"/>
      <c r="P57" s="187">
        <f ca="1">IF(ISNUMBER(N57),N57-K57,"N/A")</f>
        <v>896</v>
      </c>
      <c r="Q57" s="162">
        <f ca="1">IFERROR(IF(ISNUMBER(N57),(N57-K57)/ABS(K57),"N/A"),"N/A")</f>
        <v>2.6947368421052633E-2</v>
      </c>
      <c r="R57" s="126"/>
      <c r="S57" s="157">
        <v>45133</v>
      </c>
      <c r="T57" s="164" t="s">
        <v>404</v>
      </c>
      <c r="U57" s="126"/>
    </row>
    <row r="58" spans="1:21" x14ac:dyDescent="0.55000000000000004">
      <c r="A58" s="149">
        <v>103</v>
      </c>
      <c r="B58" s="126"/>
      <c r="C58" s="126"/>
      <c r="D58" s="142"/>
      <c r="E58" s="143"/>
      <c r="F58" s="126"/>
      <c r="G58" s="126"/>
      <c r="H58" s="126"/>
      <c r="I58" s="600"/>
      <c r="J58" s="600"/>
      <c r="K58" s="600"/>
      <c r="L58" s="126"/>
      <c r="M58" s="126"/>
      <c r="N58" s="600"/>
      <c r="O58" s="126"/>
      <c r="P58" s="188"/>
      <c r="Q58" s="215"/>
      <c r="R58" s="126"/>
      <c r="S58" s="145"/>
      <c r="T58" s="189"/>
      <c r="U58" s="126"/>
    </row>
    <row r="59" spans="1:21" x14ac:dyDescent="0.55000000000000004">
      <c r="A59" s="149">
        <v>102</v>
      </c>
      <c r="B59" s="154" t="str">
        <f>IF(INDEX(MO_SNA_IsHistoricalPeriod,,MATCH(F59,MO_Common_ColumnHeader,0)),"Historical","Forward")</f>
        <v>Historical</v>
      </c>
      <c r="C59" s="126"/>
      <c r="D59" s="161" t="s">
        <v>380</v>
      </c>
      <c r="E59" s="155" t="s">
        <v>730</v>
      </c>
      <c r="F59" s="154" t="s">
        <v>609</v>
      </c>
      <c r="G59" s="154"/>
      <c r="H59" s="126"/>
      <c r="I59" s="186">
        <v>86000</v>
      </c>
      <c r="J59" s="186">
        <v>90000</v>
      </c>
      <c r="K59" s="186">
        <f>AVERAGE(I59:J59)</f>
        <v>88000</v>
      </c>
      <c r="L59" s="126"/>
      <c r="M59" s="154" t="str">
        <f>IF(INDEX(MO_SNA_IsHistoricalPeriod,,MATCH(F59,MO_Common_ColumnHeader,0)),"Actual","Estimate")</f>
        <v>Actual</v>
      </c>
      <c r="N59" s="186">
        <f>INDEX(MO_RIS_COGS,0,MATCH(F59,MO_Common_ColumnHeader,0))+INDEX(MO_RIS_SM,0,MATCH(F59,MO_Common_ColumnHeader,0))+INDEX(MO_RIS_GA,0,MATCH(F59,MO_Common_ColumnHeader,0))+INDEX(MO_RIS_RD,0,MATCH(F59,MO_Common_ColumnHeader,0))</f>
        <v>88151</v>
      </c>
      <c r="O59" s="126"/>
      <c r="P59" s="187">
        <f>IF(ISNUMBER(N59),N59-K59,"N/A")</f>
        <v>151</v>
      </c>
      <c r="Q59" s="162">
        <f>IFERROR(IF(ISNUMBER(N59),(N59-K59)/ABS(K59),"N/A"),"N/A")</f>
        <v>1.7159090909090909E-3</v>
      </c>
      <c r="R59" s="126"/>
      <c r="S59" s="157">
        <v>45042</v>
      </c>
      <c r="T59" s="164" t="s">
        <v>404</v>
      </c>
      <c r="U59" s="126"/>
    </row>
    <row r="60" spans="1:21" x14ac:dyDescent="0.55000000000000004">
      <c r="A60" s="149">
        <v>101</v>
      </c>
      <c r="B60" s="154" t="str">
        <f>IF(INDEX(MO_SNA_IsHistoricalPeriod,,MATCH(F60,MO_Common_ColumnHeader,0)),"Historical","Forward")</f>
        <v>Historical</v>
      </c>
      <c r="C60" s="126"/>
      <c r="D60" s="161" t="str">
        <f ca="1">INDEX(INDIRECT(E60),0,COLUMN(MO_Common_Column_A))</f>
        <v>Capex</v>
      </c>
      <c r="E60" s="155" t="s">
        <v>375</v>
      </c>
      <c r="F60" s="154" t="s">
        <v>609</v>
      </c>
      <c r="G60" s="154"/>
      <c r="H60" s="126"/>
      <c r="I60" s="158">
        <v>-33000</v>
      </c>
      <c r="J60" s="158">
        <v>-30000</v>
      </c>
      <c r="K60" s="158">
        <f>AVERAGE(I60:J60)</f>
        <v>-31500</v>
      </c>
      <c r="L60" s="126"/>
      <c r="M60" s="154" t="str">
        <f>IF(INDEX(MO_SNA_IsHistoricalPeriod,,MATCH(F60,MO_Common_ColumnHeader,0)),"Actual","Estimate")</f>
        <v>Actual</v>
      </c>
      <c r="N60" s="158">
        <f ca="1">IFERROR(INDEX(INDIRECT(E60),0,MATCH(F60,MO_Common_ColumnHeader,0)),"N/A")</f>
        <v>-28324</v>
      </c>
      <c r="O60" s="126"/>
      <c r="P60" s="163">
        <f ca="1">IF(ISNUMBER(N60),N60-K60,"N/A")</f>
        <v>3176</v>
      </c>
      <c r="Q60" s="162">
        <f ca="1">IFERROR(IF(ISNUMBER(N60),(N60-K60)/ABS(K60),"N/A"),"N/A")</f>
        <v>0.10082539682539683</v>
      </c>
      <c r="R60" s="126"/>
      <c r="S60" s="157">
        <v>45042</v>
      </c>
      <c r="T60" s="164" t="s">
        <v>404</v>
      </c>
      <c r="U60" s="126"/>
    </row>
    <row r="61" spans="1:21" x14ac:dyDescent="0.55000000000000004">
      <c r="A61" s="149">
        <v>100</v>
      </c>
      <c r="B61" s="154" t="str">
        <f>IF(INDEX(MO_SNA_IsHistoricalPeriod,,MATCH(F61,MO_Common_ColumnHeader,0)),"Historical","Forward")</f>
        <v>Historical</v>
      </c>
      <c r="C61" s="126"/>
      <c r="D61" s="161" t="s">
        <v>381</v>
      </c>
      <c r="E61" s="155"/>
      <c r="F61" s="154" t="s">
        <v>609</v>
      </c>
      <c r="G61" s="154"/>
      <c r="H61" s="126"/>
      <c r="I61" s="156">
        <v>0.2</v>
      </c>
      <c r="J61" s="156">
        <v>0.2</v>
      </c>
      <c r="K61" s="156">
        <f>AVERAGE(I61:J61)</f>
        <v>0.2</v>
      </c>
      <c r="L61" s="126"/>
      <c r="M61" s="154" t="str">
        <f>IF(INDEX(MO_SNA_IsHistoricalPeriod,,MATCH(F61,MO_Common_ColumnHeader,0)),"Actual","Estimate")</f>
        <v>Actual</v>
      </c>
      <c r="N61" s="156">
        <f>INDEX(MO_RIS_TaxRate_Current,0,MATCH(F61,MO_Common_ColumnHeader,0))+INDEX(MO_RIS_TaxRate_Deferred,0,MATCH(F61,MO_Common_ColumnHeader,0))</f>
        <v>0.17563464620055663</v>
      </c>
      <c r="O61" s="126"/>
      <c r="P61" s="162">
        <f>IF(ISNUMBER(N61),N61-K61,"N/A")</f>
        <v>-2.4365353799443379E-2</v>
      </c>
      <c r="Q61" s="162">
        <f>IFERROR(IF(ISNUMBER(N61),(N61-K61)/ABS(K61),"N/A"),"N/A")</f>
        <v>-0.12182676899721689</v>
      </c>
      <c r="R61" s="126"/>
      <c r="S61" s="157">
        <v>45042</v>
      </c>
      <c r="T61" s="164" t="s">
        <v>404</v>
      </c>
      <c r="U61" s="126"/>
    </row>
    <row r="62" spans="1:21" x14ac:dyDescent="0.55000000000000004">
      <c r="A62" s="149">
        <v>99</v>
      </c>
      <c r="B62" s="126"/>
      <c r="C62" s="126"/>
      <c r="D62" s="142"/>
      <c r="E62" s="143"/>
      <c r="F62" s="126"/>
      <c r="G62" s="126"/>
      <c r="H62" s="126"/>
      <c r="I62" s="600"/>
      <c r="J62" s="600"/>
      <c r="K62" s="600"/>
      <c r="L62" s="126"/>
      <c r="M62" s="126"/>
      <c r="N62" s="600"/>
      <c r="O62" s="126"/>
      <c r="P62" s="188"/>
      <c r="Q62" s="215"/>
      <c r="R62" s="126"/>
      <c r="S62" s="145"/>
      <c r="T62" s="189"/>
      <c r="U62" s="126"/>
    </row>
    <row r="63" spans="1:21" x14ac:dyDescent="0.55000000000000004">
      <c r="A63" s="149">
        <v>98</v>
      </c>
      <c r="B63" s="154" t="str">
        <f>IF(INDEX(MO_SNA_IsHistoricalPeriod,,MATCH(F63,MO_Common_ColumnHeader,0)),"Historical","Forward")</f>
        <v>Historical</v>
      </c>
      <c r="C63" s="126"/>
      <c r="D63" s="161" t="str">
        <f ca="1">INDEX(INDIRECT(E63),0,COLUMN(MO_Common_Column_A))</f>
        <v>Net Revenue</v>
      </c>
      <c r="E63" s="155" t="s">
        <v>494</v>
      </c>
      <c r="F63" s="154" t="s">
        <v>697</v>
      </c>
      <c r="G63" s="154"/>
      <c r="H63" s="126"/>
      <c r="I63" s="186">
        <v>29500</v>
      </c>
      <c r="J63" s="186">
        <v>32000</v>
      </c>
      <c r="K63" s="186">
        <f>AVERAGE(I63:J63)</f>
        <v>30750</v>
      </c>
      <c r="L63" s="600"/>
      <c r="M63" s="154" t="str">
        <f>IF(INDEX(MO_SNA_IsHistoricalPeriod,,MATCH(F63,MO_Common_ColumnHeader,0)),"Actual","Estimate")</f>
        <v>Actual</v>
      </c>
      <c r="N63" s="186">
        <f ca="1">IFERROR(INDEX(INDIRECT(E63),0,MATCH(F63,MO_Common_ColumnHeader,0)),"N/A")</f>
        <v>31999</v>
      </c>
      <c r="O63" s="600"/>
      <c r="P63" s="187">
        <f ca="1">IF(ISNUMBER(N63),N63-K63,"N/A")</f>
        <v>1249</v>
      </c>
      <c r="Q63" s="162">
        <f ca="1">IFERROR(IF(ISNUMBER(N63),(N63-K63)/ABS(K63),"N/A"),"N/A")</f>
        <v>4.0617886178861785E-2</v>
      </c>
      <c r="R63" s="126"/>
      <c r="S63" s="157">
        <v>45042</v>
      </c>
      <c r="T63" s="164" t="s">
        <v>404</v>
      </c>
      <c r="U63" s="126"/>
    </row>
    <row r="64" spans="1:21" x14ac:dyDescent="0.55000000000000004">
      <c r="A64" s="149">
        <v>97</v>
      </c>
      <c r="B64" s="126"/>
      <c r="C64" s="126"/>
      <c r="D64" s="142"/>
      <c r="E64" s="143"/>
      <c r="F64" s="126"/>
      <c r="G64" s="126"/>
      <c r="H64" s="126"/>
      <c r="I64" s="600"/>
      <c r="J64" s="600"/>
      <c r="K64" s="600"/>
      <c r="L64" s="126"/>
      <c r="M64" s="126"/>
      <c r="N64" s="600"/>
      <c r="O64" s="126"/>
      <c r="P64" s="188"/>
      <c r="Q64" s="215"/>
      <c r="R64" s="126"/>
      <c r="S64" s="145"/>
      <c r="T64" s="189"/>
      <c r="U64" s="126"/>
    </row>
    <row r="65" spans="1:21" x14ac:dyDescent="0.55000000000000004">
      <c r="A65" s="149">
        <v>96</v>
      </c>
      <c r="B65" s="154" t="str">
        <f>IF(INDEX(MO_SNA_IsHistoricalPeriod,,MATCH(F65,MO_Common_ColumnHeader,0)),"Historical","Forward")</f>
        <v>Historical</v>
      </c>
      <c r="C65" s="126"/>
      <c r="D65" s="161" t="s">
        <v>380</v>
      </c>
      <c r="E65" s="155" t="s">
        <v>730</v>
      </c>
      <c r="F65" s="154" t="s">
        <v>609</v>
      </c>
      <c r="G65" s="154"/>
      <c r="H65" s="126"/>
      <c r="I65" s="186">
        <v>89000</v>
      </c>
      <c r="J65" s="186">
        <v>95000</v>
      </c>
      <c r="K65" s="186">
        <f>AVERAGE(I65:J65)</f>
        <v>92000</v>
      </c>
      <c r="L65" s="126"/>
      <c r="M65" s="154" t="str">
        <f>IF(INDEX(MO_SNA_IsHistoricalPeriod,,MATCH(F65,MO_Common_ColumnHeader,0)),"Actual","Estimate")</f>
        <v>Actual</v>
      </c>
      <c r="N65" s="186">
        <f>INDEX(MO_RIS_COGS,0,MATCH(F65,MO_Common_ColumnHeader,0))+INDEX(MO_RIS_SM,0,MATCH(F65,MO_Common_ColumnHeader,0))+INDEX(MO_RIS_GA,0,MATCH(F65,MO_Common_ColumnHeader,0))+INDEX(MO_RIS_RD,0,MATCH(F65,MO_Common_ColumnHeader,0))</f>
        <v>88151</v>
      </c>
      <c r="O65" s="126"/>
      <c r="P65" s="187">
        <f>IF(ISNUMBER(N65),N65-K65,"N/A")</f>
        <v>-3849</v>
      </c>
      <c r="Q65" s="162">
        <f>IFERROR(IF(ISNUMBER(N65),(N65-K65)/ABS(K65),"N/A"),"N/A")</f>
        <v>-4.1836956521739133E-2</v>
      </c>
      <c r="R65" s="126"/>
      <c r="S65" s="157">
        <v>44928</v>
      </c>
      <c r="T65" s="164" t="s">
        <v>404</v>
      </c>
      <c r="U65" s="126"/>
    </row>
    <row r="66" spans="1:21" x14ac:dyDescent="0.55000000000000004">
      <c r="A66" s="149">
        <v>95</v>
      </c>
      <c r="B66" s="154" t="str">
        <f>IF(INDEX(MO_SNA_IsHistoricalPeriod,,MATCH(F66,MO_Common_ColumnHeader,0)),"Historical","Forward")</f>
        <v>Historical</v>
      </c>
      <c r="C66" s="126"/>
      <c r="D66" s="161" t="str">
        <f ca="1">INDEX(INDIRECT(E66),0,COLUMN(MO_Common_Column_A))</f>
        <v>Capex</v>
      </c>
      <c r="E66" s="155" t="s">
        <v>375</v>
      </c>
      <c r="F66" s="154" t="s">
        <v>609</v>
      </c>
      <c r="G66" s="154"/>
      <c r="H66" s="126"/>
      <c r="I66" s="158">
        <v>-33000</v>
      </c>
      <c r="J66" s="158">
        <v>-30000</v>
      </c>
      <c r="K66" s="158">
        <f>AVERAGE(I66:J66)</f>
        <v>-31500</v>
      </c>
      <c r="L66" s="126"/>
      <c r="M66" s="154" t="str">
        <f>IF(INDEX(MO_SNA_IsHistoricalPeriod,,MATCH(F66,MO_Common_ColumnHeader,0)),"Actual","Estimate")</f>
        <v>Actual</v>
      </c>
      <c r="N66" s="158">
        <f ca="1">IFERROR(INDEX(INDIRECT(E66),0,MATCH(F66,MO_Common_ColumnHeader,0)),"N/A")</f>
        <v>-28324</v>
      </c>
      <c r="O66" s="126"/>
      <c r="P66" s="163">
        <f ca="1">IF(ISNUMBER(N66),N66-K66,"N/A")</f>
        <v>3176</v>
      </c>
      <c r="Q66" s="162">
        <f ca="1">IFERROR(IF(ISNUMBER(N66),(N66-K66)/ABS(K66),"N/A"),"N/A")</f>
        <v>0.10082539682539683</v>
      </c>
      <c r="R66" s="126"/>
      <c r="S66" s="157">
        <v>44928</v>
      </c>
      <c r="T66" s="164" t="s">
        <v>404</v>
      </c>
      <c r="U66" s="126"/>
    </row>
    <row r="67" spans="1:21" x14ac:dyDescent="0.55000000000000004">
      <c r="A67" s="149">
        <v>94</v>
      </c>
      <c r="B67" s="154" t="str">
        <f>IF(INDEX(MO_SNA_IsHistoricalPeriod,,MATCH(F67,MO_Common_ColumnHeader,0)),"Historical","Forward")</f>
        <v>Historical</v>
      </c>
      <c r="C67" s="126"/>
      <c r="D67" s="161" t="s">
        <v>381</v>
      </c>
      <c r="E67" s="155"/>
      <c r="F67" s="154" t="s">
        <v>609</v>
      </c>
      <c r="G67" s="154"/>
      <c r="H67" s="126"/>
      <c r="I67" s="156">
        <v>0.21</v>
      </c>
      <c r="J67" s="156">
        <v>0.22</v>
      </c>
      <c r="K67" s="156">
        <f>AVERAGE(I67:J67)</f>
        <v>0.215</v>
      </c>
      <c r="L67" s="126"/>
      <c r="M67" s="154" t="str">
        <f>IF(INDEX(MO_SNA_IsHistoricalPeriod,,MATCH(F67,MO_Common_ColumnHeader,0)),"Actual","Estimate")</f>
        <v>Actual</v>
      </c>
      <c r="N67" s="156">
        <f>INDEX(MO_RIS_TaxRate_Current,0,MATCH(F67,MO_Common_ColumnHeader,0))+INDEX(MO_RIS_TaxRate_Deferred,0,MATCH(F67,MO_Common_ColumnHeader,0))</f>
        <v>0.17563464620055663</v>
      </c>
      <c r="O67" s="126"/>
      <c r="P67" s="162">
        <f>IF(ISNUMBER(N67),N67-K67,"N/A")</f>
        <v>-3.9365353799443364E-2</v>
      </c>
      <c r="Q67" s="162">
        <f>IFERROR(IF(ISNUMBER(N67),(N67-K67)/ABS(K67),"N/A"),"N/A")</f>
        <v>-0.18309466883462031</v>
      </c>
      <c r="R67" s="126"/>
      <c r="S67" s="157">
        <v>44928</v>
      </c>
      <c r="T67" s="164" t="s">
        <v>404</v>
      </c>
      <c r="U67" s="126"/>
    </row>
    <row r="68" spans="1:21" x14ac:dyDescent="0.55000000000000004">
      <c r="A68" s="149">
        <v>93</v>
      </c>
      <c r="B68" s="126"/>
      <c r="C68" s="126"/>
      <c r="D68" s="142"/>
      <c r="E68" s="143"/>
      <c r="F68" s="126"/>
      <c r="G68" s="126"/>
      <c r="H68" s="126"/>
      <c r="I68" s="600"/>
      <c r="J68" s="600"/>
      <c r="K68" s="600"/>
      <c r="L68" s="126"/>
      <c r="M68" s="126"/>
      <c r="N68" s="600"/>
      <c r="O68" s="126"/>
      <c r="P68" s="188"/>
      <c r="Q68" s="215"/>
      <c r="R68" s="126"/>
      <c r="S68" s="145"/>
      <c r="T68" s="189"/>
      <c r="U68" s="126"/>
    </row>
    <row r="69" spans="1:21" x14ac:dyDescent="0.55000000000000004">
      <c r="A69" s="149">
        <v>92</v>
      </c>
      <c r="B69" s="154" t="str">
        <f>IF(INDEX(MO_SNA_IsHistoricalPeriod,,MATCH(F69,MO_Common_ColumnHeader,0)),"Historical","Forward")</f>
        <v>Historical</v>
      </c>
      <c r="C69" s="126"/>
      <c r="D69" s="161" t="str">
        <f ca="1">INDEX(INDIRECT(E69),0,COLUMN(MO_Common_Column_A))</f>
        <v>Net Revenue</v>
      </c>
      <c r="E69" s="155" t="s">
        <v>494</v>
      </c>
      <c r="F69" s="154" t="s">
        <v>617</v>
      </c>
      <c r="G69" s="154"/>
      <c r="H69" s="126"/>
      <c r="I69" s="186">
        <v>26000</v>
      </c>
      <c r="J69" s="186">
        <v>28500</v>
      </c>
      <c r="K69" s="186">
        <f>AVERAGE(I69:J69)</f>
        <v>27250</v>
      </c>
      <c r="L69" s="600"/>
      <c r="M69" s="154" t="str">
        <f>IF(INDEX(MO_SNA_IsHistoricalPeriod,,MATCH(F69,MO_Common_ColumnHeader,0)),"Actual","Estimate")</f>
        <v>Actual</v>
      </c>
      <c r="N69" s="186">
        <f ca="1">IFERROR(INDEX(INDIRECT(E69),0,MATCH(F69,MO_Common_ColumnHeader,0)),"N/A")</f>
        <v>28645</v>
      </c>
      <c r="O69" s="600"/>
      <c r="P69" s="187">
        <f ca="1">IF(ISNUMBER(N69),N69-K69,"N/A")</f>
        <v>1395</v>
      </c>
      <c r="Q69" s="162">
        <f ca="1">IFERROR(IF(ISNUMBER(N69),(N69-K69)/ABS(K69),"N/A"),"N/A")</f>
        <v>5.1192660550458714E-2</v>
      </c>
      <c r="R69" s="126"/>
      <c r="S69" s="157">
        <v>44928</v>
      </c>
      <c r="T69" s="164" t="s">
        <v>404</v>
      </c>
      <c r="U69" s="126"/>
    </row>
    <row r="70" spans="1:21" x14ac:dyDescent="0.55000000000000004">
      <c r="A70" s="149">
        <v>91</v>
      </c>
      <c r="B70" s="126"/>
      <c r="C70" s="126"/>
      <c r="D70" s="142"/>
      <c r="E70" s="143"/>
      <c r="F70" s="126"/>
      <c r="G70" s="126"/>
      <c r="H70" s="126"/>
      <c r="I70" s="600"/>
      <c r="J70" s="600"/>
      <c r="K70" s="600"/>
      <c r="L70" s="126"/>
      <c r="M70" s="126"/>
      <c r="N70" s="600"/>
      <c r="O70" s="126"/>
      <c r="P70" s="188"/>
      <c r="Q70" s="215"/>
      <c r="R70" s="126"/>
      <c r="S70" s="145"/>
      <c r="T70" s="189"/>
      <c r="U70" s="126"/>
    </row>
    <row r="71" spans="1:21" x14ac:dyDescent="0.55000000000000004">
      <c r="A71" s="149">
        <v>90</v>
      </c>
      <c r="B71" s="154" t="str">
        <f>IF(INDEX(MO_SNA_IsHistoricalPeriod,,MATCH(F71,MO_Common_ColumnHeader,0)),"Historical","Forward")</f>
        <v>Historical</v>
      </c>
      <c r="C71" s="126"/>
      <c r="D71" s="161" t="s">
        <v>380</v>
      </c>
      <c r="E71" s="155" t="s">
        <v>730</v>
      </c>
      <c r="F71" s="154" t="s">
        <v>609</v>
      </c>
      <c r="G71" s="154"/>
      <c r="H71" s="126"/>
      <c r="I71" s="186">
        <v>96000</v>
      </c>
      <c r="J71" s="186">
        <v>101000</v>
      </c>
      <c r="K71" s="186">
        <f>AVERAGE(I71:J71)</f>
        <v>98500</v>
      </c>
      <c r="L71" s="126"/>
      <c r="M71" s="154" t="str">
        <f>IF(INDEX(MO_SNA_IsHistoricalPeriod,,MATCH(F71,MO_Common_ColumnHeader,0)),"Actual","Estimate")</f>
        <v>Actual</v>
      </c>
      <c r="N71" s="186">
        <f>INDEX(MO_RIS_COGS,0,MATCH(F71,MO_Common_ColumnHeader,0))+INDEX(MO_RIS_SM,0,MATCH(F71,MO_Common_ColumnHeader,0))+INDEX(MO_RIS_GA,0,MATCH(F71,MO_Common_ColumnHeader,0))+INDEX(MO_RIS_RD,0,MATCH(F71,MO_Common_ColumnHeader,0))</f>
        <v>88151</v>
      </c>
      <c r="O71" s="126"/>
      <c r="P71" s="187">
        <f>IF(ISNUMBER(N71),N71-K71,"N/A")</f>
        <v>-10349</v>
      </c>
      <c r="Q71" s="162">
        <f>IFERROR(IF(ISNUMBER(N71),(N71-K71)/ABS(K71),"N/A"),"N/A")</f>
        <v>-0.10506598984771573</v>
      </c>
      <c r="R71" s="126"/>
      <c r="S71" s="157">
        <v>44860</v>
      </c>
      <c r="T71" s="164" t="s">
        <v>404</v>
      </c>
      <c r="U71" s="126"/>
    </row>
    <row r="72" spans="1:21" x14ac:dyDescent="0.55000000000000004">
      <c r="A72" s="149">
        <v>89</v>
      </c>
      <c r="B72" s="154" t="str">
        <f>IF(INDEX(MO_SNA_IsHistoricalPeriod,,MATCH(F72,MO_Common_ColumnHeader,0)),"Historical","Forward")</f>
        <v>Historical</v>
      </c>
      <c r="C72" s="126"/>
      <c r="D72" s="161" t="str">
        <f ca="1">INDEX(INDIRECT(E72),0,COLUMN(MO_Common_Column_A))</f>
        <v>Capex</v>
      </c>
      <c r="E72" s="155" t="s">
        <v>375</v>
      </c>
      <c r="F72" s="154" t="s">
        <v>609</v>
      </c>
      <c r="G72" s="154"/>
      <c r="H72" s="126"/>
      <c r="I72" s="158">
        <v>-34000</v>
      </c>
      <c r="J72" s="158">
        <v>-39000</v>
      </c>
      <c r="K72" s="158">
        <f>AVERAGE(I72:J72)</f>
        <v>-36500</v>
      </c>
      <c r="L72" s="126"/>
      <c r="M72" s="154" t="str">
        <f>IF(INDEX(MO_SNA_IsHistoricalPeriod,,MATCH(F72,MO_Common_ColumnHeader,0)),"Actual","Estimate")</f>
        <v>Actual</v>
      </c>
      <c r="N72" s="158">
        <f ca="1">IFERROR(INDEX(INDIRECT(E72),0,MATCH(F72,MO_Common_ColumnHeader,0)),"N/A")</f>
        <v>-28324</v>
      </c>
      <c r="O72" s="126"/>
      <c r="P72" s="163">
        <f ca="1">IF(ISNUMBER(N72),N72-K72,"N/A")</f>
        <v>8176</v>
      </c>
      <c r="Q72" s="162">
        <f ca="1">IFERROR(IF(ISNUMBER(N72),(N72-K72)/ABS(K72),"N/A"),"N/A")</f>
        <v>0.224</v>
      </c>
      <c r="R72" s="126"/>
      <c r="S72" s="157">
        <v>44860</v>
      </c>
      <c r="T72" s="164" t="s">
        <v>404</v>
      </c>
      <c r="U72" s="126"/>
    </row>
    <row r="73" spans="1:21" x14ac:dyDescent="0.55000000000000004">
      <c r="A73" s="149">
        <v>88</v>
      </c>
      <c r="B73" s="126"/>
      <c r="C73" s="126"/>
      <c r="D73" s="142"/>
      <c r="E73" s="143"/>
      <c r="F73" s="126"/>
      <c r="G73" s="126"/>
      <c r="H73" s="126"/>
      <c r="I73" s="600"/>
      <c r="J73" s="600"/>
      <c r="K73" s="600"/>
      <c r="L73" s="126"/>
      <c r="M73" s="126"/>
      <c r="N73" s="600"/>
      <c r="O73" s="126"/>
      <c r="P73" s="188"/>
      <c r="Q73" s="215"/>
      <c r="R73" s="126"/>
      <c r="S73" s="145"/>
      <c r="T73" s="189"/>
      <c r="U73" s="126"/>
    </row>
    <row r="74" spans="1:21" x14ac:dyDescent="0.55000000000000004">
      <c r="A74" s="149">
        <v>87</v>
      </c>
      <c r="B74" s="154" t="str">
        <f>IF(INDEX(MO_SNA_IsHistoricalPeriod,,MATCH(F74,MO_Common_ColumnHeader,0)),"Historical","Forward")</f>
        <v>Historical</v>
      </c>
      <c r="C74" s="126"/>
      <c r="D74" s="161" t="s">
        <v>380</v>
      </c>
      <c r="E74" s="155" t="s">
        <v>730</v>
      </c>
      <c r="F74" s="154" t="s">
        <v>493</v>
      </c>
      <c r="G74" s="154"/>
      <c r="H74" s="126"/>
      <c r="I74" s="186">
        <v>85000</v>
      </c>
      <c r="J74" s="186">
        <v>87000</v>
      </c>
      <c r="K74" s="186">
        <f>AVERAGE(I74:J74)</f>
        <v>86000</v>
      </c>
      <c r="L74" s="126"/>
      <c r="M74" s="154" t="str">
        <f>IF(INDEX(MO_SNA_IsHistoricalPeriod,,MATCH(F74,MO_Common_ColumnHeader,0)),"Actual","Estimate")</f>
        <v>Actual</v>
      </c>
      <c r="N74" s="186">
        <f>INDEX(MO_RIS_COGS,0,MATCH(F74,MO_Common_ColumnHeader,0))+INDEX(MO_RIS_SM,0,MATCH(F74,MO_Common_ColumnHeader,0))+INDEX(MO_RIS_GA,0,MATCH(F74,MO_Common_ColumnHeader,0))+INDEX(MO_RIS_RD,0,MATCH(F74,MO_Common_ColumnHeader,0))</f>
        <v>87665</v>
      </c>
      <c r="O74" s="126"/>
      <c r="P74" s="187">
        <f>IF(ISNUMBER(N74),N74-K74,"N/A")</f>
        <v>1665</v>
      </c>
      <c r="Q74" s="162">
        <f>IFERROR(IF(ISNUMBER(N74),(N74-K74)/ABS(K74),"N/A"),"N/A")</f>
        <v>1.936046511627907E-2</v>
      </c>
      <c r="R74" s="126"/>
      <c r="S74" s="157">
        <v>44860</v>
      </c>
      <c r="T74" s="164" t="s">
        <v>404</v>
      </c>
      <c r="U74" s="126"/>
    </row>
    <row r="75" spans="1:21" x14ac:dyDescent="0.55000000000000004">
      <c r="A75" s="149">
        <v>86</v>
      </c>
      <c r="B75" s="154" t="str">
        <f>IF(INDEX(MO_SNA_IsHistoricalPeriod,,MATCH(F75,MO_Common_ColumnHeader,0)),"Historical","Forward")</f>
        <v>Historical</v>
      </c>
      <c r="C75" s="126"/>
      <c r="D75" s="161" t="str">
        <f ca="1">INDEX(INDIRECT(E75),0,COLUMN(MO_Common_Column_A))</f>
        <v>Capex</v>
      </c>
      <c r="E75" s="155" t="s">
        <v>375</v>
      </c>
      <c r="F75" s="154" t="s">
        <v>493</v>
      </c>
      <c r="G75" s="154"/>
      <c r="H75" s="126"/>
      <c r="I75" s="158">
        <v>-32000</v>
      </c>
      <c r="J75" s="158">
        <v>-33000</v>
      </c>
      <c r="K75" s="158">
        <f>AVERAGE(I75:J75)</f>
        <v>-32500</v>
      </c>
      <c r="L75" s="126"/>
      <c r="M75" s="154" t="str">
        <f>IF(INDEX(MO_SNA_IsHistoricalPeriod,,MATCH(F75,MO_Common_ColumnHeader,0)),"Actual","Estimate")</f>
        <v>Actual</v>
      </c>
      <c r="N75" s="158">
        <f ca="1">IFERROR(INDEX(INDIRECT(E75),0,MATCH(F75,MO_Common_ColumnHeader,0)),"N/A")</f>
        <v>-32281</v>
      </c>
      <c r="O75" s="126"/>
      <c r="P75" s="163">
        <f ca="1">IF(ISNUMBER(N75),N75-K75,"N/A")</f>
        <v>219</v>
      </c>
      <c r="Q75" s="162">
        <f ca="1">IFERROR(IF(ISNUMBER(N75),(N75-K75)/ABS(K75),"N/A"),"N/A")</f>
        <v>6.7384615384615387E-3</v>
      </c>
      <c r="R75" s="126"/>
      <c r="S75" s="157">
        <v>44860</v>
      </c>
      <c r="T75" s="164" t="s">
        <v>404</v>
      </c>
      <c r="U75" s="126"/>
    </row>
    <row r="76" spans="1:21" x14ac:dyDescent="0.55000000000000004">
      <c r="A76" s="149">
        <v>85</v>
      </c>
      <c r="B76" s="126"/>
      <c r="C76" s="126"/>
      <c r="D76" s="142"/>
      <c r="E76" s="143"/>
      <c r="F76" s="126"/>
      <c r="G76" s="126"/>
      <c r="H76" s="126"/>
      <c r="I76" s="600"/>
      <c r="J76" s="600"/>
      <c r="K76" s="600"/>
      <c r="L76" s="126"/>
      <c r="M76" s="126"/>
      <c r="N76" s="600"/>
      <c r="O76" s="126"/>
      <c r="P76" s="188"/>
      <c r="Q76" s="215"/>
      <c r="R76" s="126"/>
      <c r="S76" s="145"/>
      <c r="T76" s="189"/>
      <c r="U76" s="126"/>
    </row>
    <row r="77" spans="1:21" x14ac:dyDescent="0.55000000000000004">
      <c r="A77" s="149">
        <v>84</v>
      </c>
      <c r="B77" s="154" t="str">
        <f>IF(INDEX(MO_SNA_IsHistoricalPeriod,,MATCH(F77,MO_Common_ColumnHeader,0)),"Historical","Forward")</f>
        <v>Historical</v>
      </c>
      <c r="C77" s="126"/>
      <c r="D77" s="161" t="str">
        <f ca="1">INDEX(INDIRECT(E77),0,COLUMN(MO_Common_Column_A))</f>
        <v>Net Revenue</v>
      </c>
      <c r="E77" s="155" t="s">
        <v>494</v>
      </c>
      <c r="F77" s="154" t="s">
        <v>608</v>
      </c>
      <c r="G77" s="154"/>
      <c r="H77" s="126"/>
      <c r="I77" s="186">
        <v>30000</v>
      </c>
      <c r="J77" s="186">
        <v>32500</v>
      </c>
      <c r="K77" s="186">
        <f>AVERAGE(I77:J77)</f>
        <v>31250</v>
      </c>
      <c r="L77" s="600"/>
      <c r="M77" s="154" t="str">
        <f>IF(INDEX(MO_SNA_IsHistoricalPeriod,,MATCH(F77,MO_Common_ColumnHeader,0)),"Actual","Estimate")</f>
        <v>Actual</v>
      </c>
      <c r="N77" s="186">
        <f ca="1">IFERROR(INDEX(INDIRECT(E77),0,MATCH(F77,MO_Common_ColumnHeader,0)),"N/A")</f>
        <v>32165</v>
      </c>
      <c r="O77" s="600"/>
      <c r="P77" s="187">
        <f ca="1">IF(ISNUMBER(N77),N77-K77,"N/A")</f>
        <v>915</v>
      </c>
      <c r="Q77" s="162">
        <f ca="1">IFERROR(IF(ISNUMBER(N77),(N77-K77)/ABS(K77),"N/A"),"N/A")</f>
        <v>2.928E-2</v>
      </c>
      <c r="R77" s="126"/>
      <c r="S77" s="157">
        <v>44860</v>
      </c>
      <c r="T77" s="164" t="s">
        <v>404</v>
      </c>
      <c r="U77" s="126"/>
    </row>
    <row r="78" spans="1:21" x14ac:dyDescent="0.55000000000000004">
      <c r="A78" s="149">
        <v>83</v>
      </c>
      <c r="B78" s="126"/>
      <c r="C78" s="126"/>
      <c r="D78" s="142"/>
      <c r="E78" s="143"/>
      <c r="F78" s="126"/>
      <c r="G78" s="126"/>
      <c r="H78" s="126"/>
      <c r="I78" s="600"/>
      <c r="J78" s="600"/>
      <c r="K78" s="600"/>
      <c r="L78" s="126"/>
      <c r="M78" s="126"/>
      <c r="N78" s="600"/>
      <c r="O78" s="126"/>
      <c r="P78" s="188"/>
      <c r="Q78" s="215"/>
      <c r="R78" s="126"/>
      <c r="S78" s="145"/>
      <c r="T78" s="189"/>
      <c r="U78" s="126"/>
    </row>
    <row r="79" spans="1:21" x14ac:dyDescent="0.55000000000000004">
      <c r="A79" s="149">
        <v>82</v>
      </c>
      <c r="B79" s="154" t="str">
        <f>IF(INDEX(MO_SNA_IsHistoricalPeriod,,MATCH(F79,MO_Common_ColumnHeader,0)),"Historical","Forward")</f>
        <v>Historical</v>
      </c>
      <c r="C79" s="126"/>
      <c r="D79" s="161" t="s">
        <v>380</v>
      </c>
      <c r="E79" s="155" t="s">
        <v>730</v>
      </c>
      <c r="F79" s="154" t="s">
        <v>493</v>
      </c>
      <c r="G79" s="154"/>
      <c r="H79" s="126"/>
      <c r="I79" s="186">
        <v>85000</v>
      </c>
      <c r="J79" s="186">
        <v>88000</v>
      </c>
      <c r="K79" s="186">
        <f>AVERAGE(I79:J79)</f>
        <v>86500</v>
      </c>
      <c r="L79" s="126"/>
      <c r="M79" s="154" t="str">
        <f>IF(INDEX(MO_SNA_IsHistoricalPeriod,,MATCH(F79,MO_Common_ColumnHeader,0)),"Actual","Estimate")</f>
        <v>Actual</v>
      </c>
      <c r="N79" s="186">
        <f>INDEX(MO_RIS_COGS,0,MATCH(F79,MO_Common_ColumnHeader,0))+INDEX(MO_RIS_SM,0,MATCH(F79,MO_Common_ColumnHeader,0))+INDEX(MO_RIS_GA,0,MATCH(F79,MO_Common_ColumnHeader,0))+INDEX(MO_RIS_RD,0,MATCH(F79,MO_Common_ColumnHeader,0))</f>
        <v>87665</v>
      </c>
      <c r="O79" s="126"/>
      <c r="P79" s="187">
        <f>IF(ISNUMBER(N79),N79-K79,"N/A")</f>
        <v>1165</v>
      </c>
      <c r="Q79" s="162">
        <f>IFERROR(IF(ISNUMBER(N79),(N79-K79)/ABS(K79),"N/A"),"N/A")</f>
        <v>1.3468208092485549E-2</v>
      </c>
      <c r="R79" s="126"/>
      <c r="S79" s="157">
        <v>44769</v>
      </c>
      <c r="T79" s="164" t="s">
        <v>404</v>
      </c>
      <c r="U79" s="126"/>
    </row>
    <row r="80" spans="1:21" x14ac:dyDescent="0.55000000000000004">
      <c r="A80" s="149">
        <v>81</v>
      </c>
      <c r="B80" s="154" t="str">
        <f>IF(INDEX(MO_SNA_IsHistoricalPeriod,,MATCH(F80,MO_Common_ColumnHeader,0)),"Historical","Forward")</f>
        <v>Historical</v>
      </c>
      <c r="C80" s="126"/>
      <c r="D80" s="161" t="str">
        <f ca="1">INDEX(INDIRECT(E80),0,COLUMN(MO_Common_Column_A))</f>
        <v>Capex</v>
      </c>
      <c r="E80" s="155" t="s">
        <v>375</v>
      </c>
      <c r="F80" s="154" t="s">
        <v>493</v>
      </c>
      <c r="G80" s="154"/>
      <c r="H80" s="126"/>
      <c r="I80" s="158">
        <v>-30000</v>
      </c>
      <c r="J80" s="158">
        <v>-34000</v>
      </c>
      <c r="K80" s="158">
        <f>AVERAGE(I80:J80)</f>
        <v>-32000</v>
      </c>
      <c r="L80" s="126"/>
      <c r="M80" s="154" t="str">
        <f>IF(INDEX(MO_SNA_IsHistoricalPeriod,,MATCH(F80,MO_Common_ColumnHeader,0)),"Actual","Estimate")</f>
        <v>Actual</v>
      </c>
      <c r="N80" s="158">
        <f ca="1">IFERROR(INDEX(INDIRECT(E80),0,MATCH(F80,MO_Common_ColumnHeader,0)),"N/A")</f>
        <v>-32281</v>
      </c>
      <c r="O80" s="126"/>
      <c r="P80" s="163">
        <f ca="1">IF(ISNUMBER(N80),N80-K80,"N/A")</f>
        <v>-281</v>
      </c>
      <c r="Q80" s="162">
        <f ca="1">IFERROR(IF(ISNUMBER(N80),(N80-K80)/ABS(K80),"N/A"),"N/A")</f>
        <v>-8.7812500000000009E-3</v>
      </c>
      <c r="R80" s="126"/>
      <c r="S80" s="157">
        <v>44769</v>
      </c>
      <c r="T80" s="164" t="s">
        <v>404</v>
      </c>
      <c r="U80" s="126"/>
    </row>
    <row r="81" spans="1:21" x14ac:dyDescent="0.55000000000000004">
      <c r="A81" s="149">
        <v>80</v>
      </c>
      <c r="B81" s="154" t="str">
        <f>IF(INDEX(MO_SNA_IsHistoricalPeriod,,MATCH(F81,MO_Common_ColumnHeader,0)),"Historical","Forward")</f>
        <v>Historical</v>
      </c>
      <c r="C81" s="126"/>
      <c r="D81" s="161" t="s">
        <v>381</v>
      </c>
      <c r="E81" s="155"/>
      <c r="F81" s="154" t="s">
        <v>493</v>
      </c>
      <c r="G81" s="154"/>
      <c r="H81" s="126"/>
      <c r="I81" s="156">
        <v>0.19</v>
      </c>
      <c r="J81" s="156">
        <v>0.19</v>
      </c>
      <c r="K81" s="156">
        <f>AVERAGE(I81:J81)</f>
        <v>0.19</v>
      </c>
      <c r="L81" s="126"/>
      <c r="M81" s="154" t="str">
        <f>IF(INDEX(MO_SNA_IsHistoricalPeriod,,MATCH(F81,MO_Common_ColumnHeader,0)),"Actual","Estimate")</f>
        <v>Actual</v>
      </c>
      <c r="N81" s="156">
        <f>INDEX(MO_RIS_TaxRate_Current,0,MATCH(F81,MO_Common_ColumnHeader,0))+INDEX(MO_RIS_TaxRate_Deferred,0,MATCH(F81,MO_Common_ColumnHeader,0))</f>
        <v>0.19497553697213643</v>
      </c>
      <c r="O81" s="126"/>
      <c r="P81" s="162">
        <f>IF(ISNUMBER(N81),N81-K81,"N/A")</f>
        <v>4.9755369721364295E-3</v>
      </c>
      <c r="Q81" s="162">
        <f>IFERROR(IF(ISNUMBER(N81),(N81-K81)/ABS(K81),"N/A"),"N/A")</f>
        <v>2.6187036695454892E-2</v>
      </c>
      <c r="R81" s="126"/>
      <c r="S81" s="157">
        <v>44769</v>
      </c>
      <c r="T81" s="164" t="s">
        <v>404</v>
      </c>
      <c r="U81" s="126"/>
    </row>
    <row r="82" spans="1:21" x14ac:dyDescent="0.55000000000000004">
      <c r="A82" s="149">
        <v>79</v>
      </c>
      <c r="B82" s="126"/>
      <c r="C82" s="126"/>
      <c r="D82" s="142"/>
      <c r="E82" s="143"/>
      <c r="F82" s="126"/>
      <c r="G82" s="126"/>
      <c r="H82" s="126"/>
      <c r="I82" s="600"/>
      <c r="J82" s="600"/>
      <c r="K82" s="600"/>
      <c r="L82" s="126"/>
      <c r="M82" s="126"/>
      <c r="N82" s="600"/>
      <c r="O82" s="126"/>
      <c r="P82" s="188"/>
      <c r="Q82" s="215"/>
      <c r="R82" s="126"/>
      <c r="S82" s="145"/>
      <c r="T82" s="189"/>
      <c r="U82" s="126"/>
    </row>
    <row r="83" spans="1:21" x14ac:dyDescent="0.55000000000000004">
      <c r="A83" s="149">
        <v>78</v>
      </c>
      <c r="B83" s="154" t="str">
        <f>IF(INDEX(MO_SNA_IsHistoricalPeriod,,MATCH(F83,MO_Common_ColumnHeader,0)),"Historical","Forward")</f>
        <v>Historical</v>
      </c>
      <c r="C83" s="126"/>
      <c r="D83" s="161" t="str">
        <f ca="1">INDEX(INDIRECT(E83),0,COLUMN(MO_Common_Column_A))</f>
        <v>Net Revenue</v>
      </c>
      <c r="E83" s="155" t="s">
        <v>494</v>
      </c>
      <c r="F83" s="154" t="s">
        <v>600</v>
      </c>
      <c r="G83" s="154"/>
      <c r="H83" s="126"/>
      <c r="I83" s="186">
        <v>26000</v>
      </c>
      <c r="J83" s="186">
        <v>28500</v>
      </c>
      <c r="K83" s="186">
        <f>AVERAGE(I83:J83)</f>
        <v>27250</v>
      </c>
      <c r="L83" s="600"/>
      <c r="M83" s="154" t="str">
        <f>IF(INDEX(MO_SNA_IsHistoricalPeriod,,MATCH(F83,MO_Common_ColumnHeader,0)),"Actual","Estimate")</f>
        <v>Actual</v>
      </c>
      <c r="N83" s="186">
        <f ca="1">IFERROR(INDEX(INDIRECT(E83),0,MATCH(F83,MO_Common_ColumnHeader,0)),"N/A")</f>
        <v>27714</v>
      </c>
      <c r="O83" s="600"/>
      <c r="P83" s="187">
        <f ca="1">IF(ISNUMBER(N83),N83-K83,"N/A")</f>
        <v>464</v>
      </c>
      <c r="Q83" s="162">
        <f ca="1">IFERROR(IF(ISNUMBER(N83),(N83-K83)/ABS(K83),"N/A"),"N/A")</f>
        <v>1.7027522935779818E-2</v>
      </c>
      <c r="R83" s="126"/>
      <c r="S83" s="157">
        <v>44769</v>
      </c>
      <c r="T83" s="164" t="s">
        <v>404</v>
      </c>
      <c r="U83" s="126"/>
    </row>
    <row r="84" spans="1:21" x14ac:dyDescent="0.55000000000000004">
      <c r="A84" s="149">
        <v>77</v>
      </c>
      <c r="B84" s="154" t="str">
        <f>IF(INDEX(MO_SNA_IsHistoricalPeriod,,MATCH(F84,MO_Common_ColumnHeader,0)),"Historical","Forward")</f>
        <v>Historical</v>
      </c>
      <c r="C84" s="126"/>
      <c r="D84" s="161" t="str">
        <f ca="1">INDEX(INDIRECT(E84),0,COLUMN(MO_Common_Column_A))</f>
        <v>Reality Labs revenue, mm</v>
      </c>
      <c r="E84" s="155" t="s">
        <v>601</v>
      </c>
      <c r="F84" s="154" t="s">
        <v>600</v>
      </c>
      <c r="G84" s="154"/>
      <c r="H84" s="126"/>
      <c r="I84" s="186">
        <v>452</v>
      </c>
      <c r="J84" s="186">
        <v>452</v>
      </c>
      <c r="K84" s="186">
        <f>AVERAGE(I84:J84)</f>
        <v>452</v>
      </c>
      <c r="L84" s="600"/>
      <c r="M84" s="154" t="str">
        <f>IF(INDEX(MO_SNA_IsHistoricalPeriod,,MATCH(F84,MO_Common_ColumnHeader,0)),"Actual","Estimate")</f>
        <v>Actual</v>
      </c>
      <c r="N84" s="186">
        <f ca="1">IFERROR(INDEX(INDIRECT(E84),0,MATCH(F84,MO_Common_ColumnHeader,0)),"N/A")</f>
        <v>285</v>
      </c>
      <c r="O84" s="600"/>
      <c r="P84" s="187">
        <f ca="1">IF(ISNUMBER(N84),N84-K84,"N/A")</f>
        <v>-167</v>
      </c>
      <c r="Q84" s="162">
        <f ca="1">IFERROR(IF(ISNUMBER(N84),(N84-K84)/ABS(K84),"N/A"),"N/A")</f>
        <v>-0.36946902654867259</v>
      </c>
      <c r="R84" s="126"/>
      <c r="S84" s="157">
        <v>44769</v>
      </c>
      <c r="T84" s="164" t="s">
        <v>404</v>
      </c>
      <c r="U84" s="126"/>
    </row>
    <row r="85" spans="1:21" x14ac:dyDescent="0.55000000000000004">
      <c r="A85" s="149">
        <v>76</v>
      </c>
      <c r="B85" s="126"/>
      <c r="C85" s="126"/>
      <c r="D85" s="142"/>
      <c r="E85" s="143"/>
      <c r="F85" s="126"/>
      <c r="G85" s="126"/>
      <c r="H85" s="126"/>
      <c r="I85" s="600"/>
      <c r="J85" s="600"/>
      <c r="K85" s="600"/>
      <c r="L85" s="126"/>
      <c r="M85" s="126"/>
      <c r="N85" s="600"/>
      <c r="O85" s="126"/>
      <c r="P85" s="188"/>
      <c r="Q85" s="215"/>
      <c r="R85" s="126"/>
      <c r="S85" s="145"/>
      <c r="T85" s="189"/>
      <c r="U85" s="126"/>
    </row>
    <row r="86" spans="1:21" x14ac:dyDescent="0.55000000000000004">
      <c r="A86" s="149">
        <v>75</v>
      </c>
      <c r="B86" s="154" t="str">
        <f>IF(INDEX(MO_SNA_IsHistoricalPeriod,,MATCH(F86,MO_Common_ColumnHeader,0)),"Historical","Forward")</f>
        <v>Historical</v>
      </c>
      <c r="C86" s="126"/>
      <c r="D86" s="161" t="s">
        <v>380</v>
      </c>
      <c r="E86" s="155" t="s">
        <v>730</v>
      </c>
      <c r="F86" s="154" t="s">
        <v>493</v>
      </c>
      <c r="G86" s="154"/>
      <c r="H86" s="126"/>
      <c r="I86" s="186">
        <v>87000</v>
      </c>
      <c r="J86" s="186">
        <v>92000</v>
      </c>
      <c r="K86" s="186">
        <f>AVERAGE(I86:J86)</f>
        <v>89500</v>
      </c>
      <c r="L86" s="126"/>
      <c r="M86" s="154" t="str">
        <f>IF(INDEX(MO_SNA_IsHistoricalPeriod,,MATCH(F86,MO_Common_ColumnHeader,0)),"Actual","Estimate")</f>
        <v>Actual</v>
      </c>
      <c r="N86" s="186">
        <f>INDEX(MO_RIS_COGS,0,MATCH(F86,MO_Common_ColumnHeader,0))+INDEX(MO_RIS_SM,0,MATCH(F86,MO_Common_ColumnHeader,0))+INDEX(MO_RIS_GA,0,MATCH(F86,MO_Common_ColumnHeader,0))+INDEX(MO_RIS_RD,0,MATCH(F86,MO_Common_ColumnHeader,0))</f>
        <v>87665</v>
      </c>
      <c r="O86" s="126"/>
      <c r="P86" s="187">
        <f>IF(ISNUMBER(N86),N86-K86,"N/A")</f>
        <v>-1835</v>
      </c>
      <c r="Q86" s="162">
        <f>IFERROR(IF(ISNUMBER(N86),(N86-K86)/ABS(K86),"N/A"),"N/A")</f>
        <v>-2.0502793296089384E-2</v>
      </c>
      <c r="R86" s="126"/>
      <c r="S86" s="157">
        <v>44678</v>
      </c>
      <c r="T86" s="164" t="s">
        <v>404</v>
      </c>
      <c r="U86" s="126"/>
    </row>
    <row r="87" spans="1:21" x14ac:dyDescent="0.55000000000000004">
      <c r="A87" s="149">
        <v>74</v>
      </c>
      <c r="B87" s="154" t="str">
        <f>IF(INDEX(MO_SNA_IsHistoricalPeriod,,MATCH(F87,MO_Common_ColumnHeader,0)),"Historical","Forward")</f>
        <v>Historical</v>
      </c>
      <c r="C87" s="126"/>
      <c r="D87" s="161" t="str">
        <f ca="1">INDEX(INDIRECT(E87),0,COLUMN(MO_Common_Column_A))</f>
        <v>Capex</v>
      </c>
      <c r="E87" s="155" t="s">
        <v>375</v>
      </c>
      <c r="F87" s="154" t="s">
        <v>493</v>
      </c>
      <c r="G87" s="154"/>
      <c r="H87" s="126"/>
      <c r="I87" s="158">
        <v>-29000</v>
      </c>
      <c r="J87" s="158">
        <v>-34000</v>
      </c>
      <c r="K87" s="158">
        <f>AVERAGE(I87:J87)</f>
        <v>-31500</v>
      </c>
      <c r="L87" s="126"/>
      <c r="M87" s="154" t="str">
        <f>IF(INDEX(MO_SNA_IsHistoricalPeriod,,MATCH(F87,MO_Common_ColumnHeader,0)),"Actual","Estimate")</f>
        <v>Actual</v>
      </c>
      <c r="N87" s="158">
        <f ca="1">IFERROR(INDEX(INDIRECT(E87),0,MATCH(F87,MO_Common_ColumnHeader,0)),"N/A")</f>
        <v>-32281</v>
      </c>
      <c r="O87" s="126"/>
      <c r="P87" s="163">
        <f ca="1">IF(ISNUMBER(N87),N87-K87,"N/A")</f>
        <v>-781</v>
      </c>
      <c r="Q87" s="162">
        <f ca="1">IFERROR(IF(ISNUMBER(N87),(N87-K87)/ABS(K87),"N/A"),"N/A")</f>
        <v>-2.4793650793650795E-2</v>
      </c>
      <c r="R87" s="126"/>
      <c r="S87" s="157">
        <v>44678</v>
      </c>
      <c r="T87" s="164" t="s">
        <v>404</v>
      </c>
      <c r="U87" s="126"/>
    </row>
    <row r="88" spans="1:21" x14ac:dyDescent="0.55000000000000004">
      <c r="A88" s="149">
        <v>73</v>
      </c>
      <c r="B88" s="154" t="str">
        <f>IF(INDEX(MO_SNA_IsHistoricalPeriod,,MATCH(F88,MO_Common_ColumnHeader,0)),"Historical","Forward")</f>
        <v>Historical</v>
      </c>
      <c r="C88" s="126"/>
      <c r="D88" s="161" t="s">
        <v>381</v>
      </c>
      <c r="E88" s="155"/>
      <c r="F88" s="154" t="s">
        <v>493</v>
      </c>
      <c r="G88" s="154"/>
      <c r="H88" s="126"/>
      <c r="I88" s="156">
        <v>0.16</v>
      </c>
      <c r="J88" s="156">
        <v>0.19</v>
      </c>
      <c r="K88" s="156">
        <f>AVERAGE(I88:J88)</f>
        <v>0.17499999999999999</v>
      </c>
      <c r="L88" s="126"/>
      <c r="M88" s="154" t="str">
        <f>IF(INDEX(MO_SNA_IsHistoricalPeriod,,MATCH(F88,MO_Common_ColumnHeader,0)),"Actual","Estimate")</f>
        <v>Actual</v>
      </c>
      <c r="N88" s="156">
        <f>INDEX(MO_RIS_TaxRate_Current,0,MATCH(F88,MO_Common_ColumnHeader,0))+INDEX(MO_RIS_TaxRate_Deferred,0,MATCH(F88,MO_Common_ColumnHeader,0))</f>
        <v>0.19497553697213643</v>
      </c>
      <c r="O88" s="126"/>
      <c r="P88" s="162">
        <f>IF(ISNUMBER(N88),N88-K88,"N/A")</f>
        <v>1.9975536972136443E-2</v>
      </c>
      <c r="Q88" s="162">
        <f>IFERROR(IF(ISNUMBER(N88),(N88-K88)/ABS(K88),"N/A"),"N/A")</f>
        <v>0.11414592555506539</v>
      </c>
      <c r="R88" s="126"/>
      <c r="S88" s="157">
        <v>44678</v>
      </c>
      <c r="T88" s="164" t="s">
        <v>404</v>
      </c>
      <c r="U88" s="126"/>
    </row>
    <row r="89" spans="1:21" x14ac:dyDescent="0.55000000000000004">
      <c r="A89" s="149">
        <v>72</v>
      </c>
      <c r="B89" s="126"/>
      <c r="C89" s="126"/>
      <c r="D89" s="142"/>
      <c r="E89" s="143"/>
      <c r="F89" s="126"/>
      <c r="G89" s="126"/>
      <c r="H89" s="126"/>
      <c r="I89" s="600"/>
      <c r="J89" s="600"/>
      <c r="K89" s="600"/>
      <c r="L89" s="126"/>
      <c r="M89" s="126"/>
      <c r="N89" s="600"/>
      <c r="O89" s="126"/>
      <c r="P89" s="188"/>
      <c r="Q89" s="215"/>
      <c r="R89" s="126"/>
      <c r="S89" s="145"/>
      <c r="T89" s="189"/>
      <c r="U89" s="126"/>
    </row>
    <row r="90" spans="1:21" x14ac:dyDescent="0.55000000000000004">
      <c r="A90" s="149">
        <v>71</v>
      </c>
      <c r="B90" s="154" t="str">
        <f>IF(INDEX(MO_SNA_IsHistoricalPeriod,,MATCH(F90,MO_Common_ColumnHeader,0)),"Historical","Forward")</f>
        <v>Historical</v>
      </c>
      <c r="C90" s="126"/>
      <c r="D90" s="161" t="str">
        <f ca="1">INDEX(INDIRECT(E90),0,COLUMN(MO_Common_Column_A))</f>
        <v>Net Revenue</v>
      </c>
      <c r="E90" s="155" t="s">
        <v>494</v>
      </c>
      <c r="F90" s="154" t="s">
        <v>570</v>
      </c>
      <c r="G90" s="154"/>
      <c r="H90" s="126"/>
      <c r="I90" s="186">
        <v>28000</v>
      </c>
      <c r="J90" s="186">
        <v>30000</v>
      </c>
      <c r="K90" s="186">
        <f>AVERAGE(I90:J90)</f>
        <v>29000</v>
      </c>
      <c r="L90" s="600"/>
      <c r="M90" s="154" t="str">
        <f>IF(INDEX(MO_SNA_IsHistoricalPeriod,,MATCH(F90,MO_Common_ColumnHeader,0)),"Actual","Estimate")</f>
        <v>Actual</v>
      </c>
      <c r="N90" s="186">
        <f ca="1">IFERROR(INDEX(INDIRECT(E90),0,MATCH(F90,MO_Common_ColumnHeader,0)),"N/A")</f>
        <v>28822</v>
      </c>
      <c r="O90" s="600"/>
      <c r="P90" s="187">
        <f ca="1">IF(ISNUMBER(N90),N90-K90,"N/A")</f>
        <v>-178</v>
      </c>
      <c r="Q90" s="162">
        <f ca="1">IFERROR(IF(ISNUMBER(N90),(N90-K90)/ABS(K90),"N/A"),"N/A")</f>
        <v>-6.1379310344827588E-3</v>
      </c>
      <c r="R90" s="126"/>
      <c r="S90" s="157">
        <v>44678</v>
      </c>
      <c r="T90" s="164" t="s">
        <v>404</v>
      </c>
      <c r="U90" s="126"/>
    </row>
    <row r="91" spans="1:21" x14ac:dyDescent="0.55000000000000004">
      <c r="A91" s="149">
        <v>70</v>
      </c>
      <c r="B91" s="126"/>
      <c r="C91" s="126"/>
      <c r="D91" s="142"/>
      <c r="E91" s="143"/>
      <c r="F91" s="126"/>
      <c r="G91" s="126"/>
      <c r="H91" s="126"/>
      <c r="I91" s="600"/>
      <c r="J91" s="600"/>
      <c r="K91" s="600"/>
      <c r="L91" s="126"/>
      <c r="M91" s="126"/>
      <c r="N91" s="600"/>
      <c r="O91" s="126"/>
      <c r="P91" s="188"/>
      <c r="Q91" s="215"/>
      <c r="R91" s="126"/>
      <c r="S91" s="145"/>
      <c r="T91" s="189"/>
      <c r="U91" s="126"/>
    </row>
    <row r="92" spans="1:21" x14ac:dyDescent="0.55000000000000004">
      <c r="A92" s="149">
        <v>69</v>
      </c>
      <c r="B92" s="154" t="str">
        <f>IF(INDEX(MO_SNA_IsHistoricalPeriod,,MATCH(F92,MO_Common_ColumnHeader,0)),"Historical","Forward")</f>
        <v>Historical</v>
      </c>
      <c r="C92" s="126"/>
      <c r="D92" s="161" t="s">
        <v>380</v>
      </c>
      <c r="E92" s="155" t="s">
        <v>730</v>
      </c>
      <c r="F92" s="154" t="s">
        <v>493</v>
      </c>
      <c r="G92" s="154"/>
      <c r="H92" s="126"/>
      <c r="I92" s="186">
        <v>90000</v>
      </c>
      <c r="J92" s="186">
        <v>95000</v>
      </c>
      <c r="K92" s="186">
        <f>AVERAGE(I92:J92)</f>
        <v>92500</v>
      </c>
      <c r="L92" s="126"/>
      <c r="M92" s="154" t="str">
        <f>IF(INDEX(MO_SNA_IsHistoricalPeriod,,MATCH(F92,MO_Common_ColumnHeader,0)),"Actual","Estimate")</f>
        <v>Actual</v>
      </c>
      <c r="N92" s="186">
        <f>INDEX(MO_RIS_COGS,0,MATCH(F92,MO_Common_ColumnHeader,0))+INDEX(MO_RIS_SM,0,MATCH(F92,MO_Common_ColumnHeader,0))+INDEX(MO_RIS_GA,0,MATCH(F92,MO_Common_ColumnHeader,0))+INDEX(MO_RIS_RD,0,MATCH(F92,MO_Common_ColumnHeader,0))</f>
        <v>87665</v>
      </c>
      <c r="O92" s="126"/>
      <c r="P92" s="187">
        <f>IF(ISNUMBER(N92),N92-K92,"N/A")</f>
        <v>-4835</v>
      </c>
      <c r="Q92" s="162">
        <f>IFERROR(IF(ISNUMBER(N92),(N92-K92)/ABS(K92),"N/A"),"N/A")</f>
        <v>-5.2270270270270272E-2</v>
      </c>
      <c r="R92" s="126"/>
      <c r="S92" s="157">
        <v>44594</v>
      </c>
      <c r="T92" s="164" t="s">
        <v>404</v>
      </c>
      <c r="U92" s="126"/>
    </row>
    <row r="93" spans="1:21" x14ac:dyDescent="0.55000000000000004">
      <c r="A93" s="149">
        <v>68</v>
      </c>
      <c r="B93" s="154" t="str">
        <f>IF(INDEX(MO_SNA_IsHistoricalPeriod,,MATCH(F93,MO_Common_ColumnHeader,0)),"Historical","Forward")</f>
        <v>Historical</v>
      </c>
      <c r="C93" s="126"/>
      <c r="D93" s="161" t="str">
        <f ca="1">INDEX(INDIRECT(E93),0,COLUMN(MO_Common_Column_A))</f>
        <v>Capex</v>
      </c>
      <c r="E93" s="155" t="s">
        <v>375</v>
      </c>
      <c r="F93" s="154" t="s">
        <v>493</v>
      </c>
      <c r="G93" s="154"/>
      <c r="H93" s="126"/>
      <c r="I93" s="158">
        <v>-29000</v>
      </c>
      <c r="J93" s="158">
        <v>-34000</v>
      </c>
      <c r="K93" s="158">
        <f>AVERAGE(I93:J93)</f>
        <v>-31500</v>
      </c>
      <c r="L93" s="126"/>
      <c r="M93" s="154" t="str">
        <f>IF(INDEX(MO_SNA_IsHistoricalPeriod,,MATCH(F93,MO_Common_ColumnHeader,0)),"Actual","Estimate")</f>
        <v>Actual</v>
      </c>
      <c r="N93" s="158">
        <f ca="1">IFERROR(INDEX(INDIRECT(E93),0,MATCH(F93,MO_Common_ColumnHeader,0)),"N/A")</f>
        <v>-32281</v>
      </c>
      <c r="O93" s="126"/>
      <c r="P93" s="163">
        <f ca="1">IF(ISNUMBER(N93),N93-K93,"N/A")</f>
        <v>-781</v>
      </c>
      <c r="Q93" s="162">
        <f ca="1">IFERROR(IF(ISNUMBER(N93),(N93-K93)/ABS(K93),"N/A"),"N/A")</f>
        <v>-2.4793650793650795E-2</v>
      </c>
      <c r="R93" s="126"/>
      <c r="S93" s="157">
        <v>44594</v>
      </c>
      <c r="T93" s="164" t="s">
        <v>404</v>
      </c>
      <c r="U93" s="126"/>
    </row>
    <row r="94" spans="1:21" x14ac:dyDescent="0.55000000000000004">
      <c r="A94" s="149">
        <v>67</v>
      </c>
      <c r="B94" s="154" t="str">
        <f>IF(INDEX(MO_SNA_IsHistoricalPeriod,,MATCH(F94,MO_Common_ColumnHeader,0)),"Historical","Forward")</f>
        <v>Historical</v>
      </c>
      <c r="C94" s="126"/>
      <c r="D94" s="161" t="s">
        <v>381</v>
      </c>
      <c r="E94" s="155"/>
      <c r="F94" s="154" t="s">
        <v>493</v>
      </c>
      <c r="G94" s="154"/>
      <c r="H94" s="126"/>
      <c r="I94" s="156">
        <v>0.16700000000000001</v>
      </c>
      <c r="J94" s="156">
        <v>0.16700000000000001</v>
      </c>
      <c r="K94" s="156">
        <f>AVERAGE(I94:J94)</f>
        <v>0.16700000000000001</v>
      </c>
      <c r="L94" s="126"/>
      <c r="M94" s="154" t="str">
        <f>IF(INDEX(MO_SNA_IsHistoricalPeriod,,MATCH(F94,MO_Common_ColumnHeader,0)),"Actual","Estimate")</f>
        <v>Actual</v>
      </c>
      <c r="N94" s="156">
        <f>INDEX(MO_RIS_TaxRate_Current,0,MATCH(F94,MO_Common_ColumnHeader,0))+INDEX(MO_RIS_TaxRate_Deferred,0,MATCH(F94,MO_Common_ColumnHeader,0))</f>
        <v>0.19497553697213643</v>
      </c>
      <c r="O94" s="126"/>
      <c r="P94" s="162">
        <f>IF(ISNUMBER(N94),N94-K94,"N/A")</f>
        <v>2.7975536972136422E-2</v>
      </c>
      <c r="Q94" s="162">
        <f>IFERROR(IF(ISNUMBER(N94),(N94-K94)/ABS(K94),"N/A"),"N/A")</f>
        <v>0.16751818546189473</v>
      </c>
      <c r="R94" s="126"/>
      <c r="S94" s="157">
        <v>44594</v>
      </c>
      <c r="T94" s="164" t="s">
        <v>404</v>
      </c>
      <c r="U94" s="126"/>
    </row>
    <row r="95" spans="1:21" x14ac:dyDescent="0.55000000000000004">
      <c r="A95" s="149">
        <v>66</v>
      </c>
      <c r="B95" s="126"/>
      <c r="C95" s="126"/>
      <c r="D95" s="142"/>
      <c r="E95" s="143"/>
      <c r="F95" s="126"/>
      <c r="G95" s="126"/>
      <c r="H95" s="126"/>
      <c r="I95" s="600"/>
      <c r="J95" s="600"/>
      <c r="K95" s="600"/>
      <c r="L95" s="126"/>
      <c r="M95" s="126"/>
      <c r="N95" s="600"/>
      <c r="O95" s="126"/>
      <c r="P95" s="188"/>
      <c r="Q95" s="215"/>
      <c r="R95" s="126"/>
      <c r="S95" s="145"/>
      <c r="T95" s="189"/>
      <c r="U95" s="126"/>
    </row>
    <row r="96" spans="1:21" x14ac:dyDescent="0.55000000000000004">
      <c r="A96" s="149">
        <v>65</v>
      </c>
      <c r="B96" s="154" t="str">
        <f>IF(INDEX(MO_SNA_IsHistoricalPeriod,,MATCH(F96,MO_Common_ColumnHeader,0)),"Historical","Forward")</f>
        <v>Historical</v>
      </c>
      <c r="C96" s="126"/>
      <c r="D96" s="161" t="str">
        <f ca="1">INDEX(INDIRECT(E96),0,COLUMN(MO_Common_Column_A))</f>
        <v>Net Revenue</v>
      </c>
      <c r="E96" s="155" t="s">
        <v>494</v>
      </c>
      <c r="F96" s="154" t="s">
        <v>536</v>
      </c>
      <c r="G96" s="154"/>
      <c r="H96" s="126"/>
      <c r="I96" s="186">
        <v>27000</v>
      </c>
      <c r="J96" s="186">
        <v>29000</v>
      </c>
      <c r="K96" s="186">
        <f>AVERAGE(I96:J96)</f>
        <v>28000</v>
      </c>
      <c r="L96" s="600"/>
      <c r="M96" s="154" t="str">
        <f>IF(INDEX(MO_SNA_IsHistoricalPeriod,,MATCH(F96,MO_Common_ColumnHeader,0)),"Actual","Estimate")</f>
        <v>Actual</v>
      </c>
      <c r="N96" s="186">
        <f ca="1">IFERROR(INDEX(INDIRECT(E96),0,MATCH(F96,MO_Common_ColumnHeader,0)),"N/A")</f>
        <v>27908</v>
      </c>
      <c r="O96" s="600"/>
      <c r="P96" s="187">
        <f ca="1">IF(ISNUMBER(N96),N96-K96,"N/A")</f>
        <v>-92</v>
      </c>
      <c r="Q96" s="162">
        <f ca="1">IFERROR(IF(ISNUMBER(N96),(N96-K96)/ABS(K96),"N/A"),"N/A")</f>
        <v>-3.2857142857142859E-3</v>
      </c>
      <c r="R96" s="126"/>
      <c r="S96" s="157">
        <v>44594</v>
      </c>
      <c r="T96" s="164" t="s">
        <v>404</v>
      </c>
      <c r="U96" s="126"/>
    </row>
    <row r="97" spans="1:21" x14ac:dyDescent="0.55000000000000004">
      <c r="A97" s="149">
        <v>64</v>
      </c>
      <c r="B97" s="154" t="str">
        <f>IF(INDEX(MO_SNA_IsHistoricalPeriod,,MATCH(F97,MO_Common_ColumnHeader,0)),"Historical","Forward")</f>
        <v>Historical</v>
      </c>
      <c r="C97" s="126"/>
      <c r="D97" s="161" t="str">
        <f ca="1">INDEX(INDIRECT(E97),0,COLUMN(MO_Common_Column_A))</f>
        <v>Y/Y Total revenue growth, %</v>
      </c>
      <c r="E97" s="155" t="s">
        <v>370</v>
      </c>
      <c r="F97" s="154" t="s">
        <v>536</v>
      </c>
      <c r="G97" s="154"/>
      <c r="H97" s="126"/>
      <c r="I97" s="156">
        <v>0.03</v>
      </c>
      <c r="J97" s="156">
        <v>0.11</v>
      </c>
      <c r="K97" s="156">
        <f>AVERAGE(I97:J97)</f>
        <v>7.0000000000000007E-2</v>
      </c>
      <c r="L97" s="126"/>
      <c r="M97" s="154" t="str">
        <f>IF(INDEX(MO_SNA_IsHistoricalPeriod,,MATCH(F97,MO_Common_ColumnHeader,0)),"Actual","Estimate")</f>
        <v>Actual</v>
      </c>
      <c r="N97" s="156">
        <f ca="1">IFERROR(INDEX(INDIRECT(E97),0,MATCH(F97,MO_Common_ColumnHeader,0)),"N/A")</f>
        <v>6.6371174200450911E-2</v>
      </c>
      <c r="O97" s="126"/>
      <c r="P97" s="162">
        <f ca="1">IF(ISNUMBER(N97),N97-K97,"N/A")</f>
        <v>-3.6288257995490958E-3</v>
      </c>
      <c r="Q97" s="162">
        <f ca="1">IFERROR(IF(ISNUMBER(N97),(N97-K97)/ABS(K97),"N/A"),"N/A")</f>
        <v>-5.1840368564987076E-2</v>
      </c>
      <c r="R97" s="126"/>
      <c r="S97" s="157">
        <v>44594</v>
      </c>
      <c r="T97" s="164" t="s">
        <v>404</v>
      </c>
      <c r="U97" s="126"/>
    </row>
    <row r="98" spans="1:21" x14ac:dyDescent="0.55000000000000004">
      <c r="A98" s="149">
        <v>63</v>
      </c>
      <c r="B98" s="126"/>
      <c r="C98" s="126"/>
      <c r="D98" s="142"/>
      <c r="E98" s="143"/>
      <c r="F98" s="126"/>
      <c r="G98" s="126"/>
      <c r="H98" s="126"/>
      <c r="I98" s="600"/>
      <c r="J98" s="600"/>
      <c r="K98" s="600"/>
      <c r="L98" s="126"/>
      <c r="M98" s="126"/>
      <c r="N98" s="600"/>
      <c r="O98" s="126"/>
      <c r="P98" s="188"/>
      <c r="Q98" s="215"/>
      <c r="R98" s="126"/>
      <c r="S98" s="145"/>
      <c r="T98" s="189"/>
      <c r="U98" s="126"/>
    </row>
    <row r="99" spans="1:21" x14ac:dyDescent="0.55000000000000004">
      <c r="A99" s="149">
        <v>62</v>
      </c>
      <c r="B99" s="154" t="str">
        <f>IF(INDEX(MO_SNA_IsHistoricalPeriod,,MATCH(F99,MO_Common_ColumnHeader,0)),"Historical","Forward")</f>
        <v>Historical</v>
      </c>
      <c r="C99" s="126"/>
      <c r="D99" s="161" t="s">
        <v>380</v>
      </c>
      <c r="E99" s="155" t="s">
        <v>730</v>
      </c>
      <c r="F99" s="154" t="s">
        <v>493</v>
      </c>
      <c r="G99" s="154"/>
      <c r="H99" s="126"/>
      <c r="I99" s="186">
        <v>91000</v>
      </c>
      <c r="J99" s="186">
        <v>97000</v>
      </c>
      <c r="K99" s="186">
        <f>AVERAGE(I99:J99)</f>
        <v>94000</v>
      </c>
      <c r="L99" s="126"/>
      <c r="M99" s="154" t="str">
        <f>IF(INDEX(MO_SNA_IsHistoricalPeriod,,MATCH(F99,MO_Common_ColumnHeader,0)),"Actual","Estimate")</f>
        <v>Actual</v>
      </c>
      <c r="N99" s="186">
        <f>INDEX(MO_RIS_COGS,0,MATCH(F99,MO_Common_ColumnHeader,0))+INDEX(MO_RIS_SM,0,MATCH(F99,MO_Common_ColumnHeader,0))+INDEX(MO_RIS_GA,0,MATCH(F99,MO_Common_ColumnHeader,0))+INDEX(MO_RIS_RD,0,MATCH(F99,MO_Common_ColumnHeader,0))</f>
        <v>87665</v>
      </c>
      <c r="O99" s="126"/>
      <c r="P99" s="187">
        <f>IF(ISNUMBER(N99),N99-K99,"N/A")</f>
        <v>-6335</v>
      </c>
      <c r="Q99" s="162">
        <f>IFERROR(IF(ISNUMBER(N99),(N99-K99)/ABS(K99),"N/A"),"N/A")</f>
        <v>-6.7393617021276594E-2</v>
      </c>
      <c r="R99" s="126"/>
      <c r="S99" s="157">
        <v>44494</v>
      </c>
      <c r="T99" s="164" t="s">
        <v>404</v>
      </c>
      <c r="U99" s="126"/>
    </row>
    <row r="100" spans="1:21" x14ac:dyDescent="0.55000000000000004">
      <c r="A100" s="149">
        <v>61</v>
      </c>
      <c r="B100" s="154" t="str">
        <f>IF(INDEX(MO_SNA_IsHistoricalPeriod,,MATCH(F100,MO_Common_ColumnHeader,0)),"Historical","Forward")</f>
        <v>Historical</v>
      </c>
      <c r="C100" s="126"/>
      <c r="D100" s="161" t="str">
        <f ca="1">INDEX(INDIRECT(E100),0,COLUMN(MO_Common_Column_A))</f>
        <v>Capex</v>
      </c>
      <c r="E100" s="155" t="s">
        <v>375</v>
      </c>
      <c r="F100" s="154" t="s">
        <v>493</v>
      </c>
      <c r="G100" s="154"/>
      <c r="H100" s="126"/>
      <c r="I100" s="158">
        <v>-29000</v>
      </c>
      <c r="J100" s="158">
        <v>-34000</v>
      </c>
      <c r="K100" s="158">
        <f>AVERAGE(I100:J100)</f>
        <v>-31500</v>
      </c>
      <c r="L100" s="126"/>
      <c r="M100" s="154" t="str">
        <f>IF(INDEX(MO_SNA_IsHistoricalPeriod,,MATCH(F100,MO_Common_ColumnHeader,0)),"Actual","Estimate")</f>
        <v>Actual</v>
      </c>
      <c r="N100" s="158">
        <f ca="1">IFERROR(INDEX(INDIRECT(E100),0,MATCH(F100,MO_Common_ColumnHeader,0)),"N/A")</f>
        <v>-32281</v>
      </c>
      <c r="O100" s="126"/>
      <c r="P100" s="163">
        <f ca="1">IF(ISNUMBER(N100),N100-K100,"N/A")</f>
        <v>-781</v>
      </c>
      <c r="Q100" s="162">
        <f ca="1">IFERROR(IF(ISNUMBER(N100),(N100-K100)/ABS(K100),"N/A"),"N/A")</f>
        <v>-2.4793650793650795E-2</v>
      </c>
      <c r="R100" s="126"/>
      <c r="S100" s="157">
        <v>44494</v>
      </c>
      <c r="T100" s="164" t="s">
        <v>404</v>
      </c>
      <c r="U100" s="126"/>
    </row>
    <row r="101" spans="1:21" x14ac:dyDescent="0.55000000000000004">
      <c r="A101" s="149">
        <v>60</v>
      </c>
      <c r="B101" s="154" t="str">
        <f>IF(INDEX(MO_SNA_IsHistoricalPeriod,,MATCH(F101,MO_Common_ColumnHeader,0)),"Historical","Forward")</f>
        <v>Historical</v>
      </c>
      <c r="C101" s="126"/>
      <c r="D101" s="161" t="s">
        <v>381</v>
      </c>
      <c r="E101" s="155"/>
      <c r="F101" s="154" t="s">
        <v>493</v>
      </c>
      <c r="G101" s="154"/>
      <c r="H101" s="126"/>
      <c r="I101" s="156">
        <v>0.17</v>
      </c>
      <c r="J101" s="156">
        <v>0.19</v>
      </c>
      <c r="K101" s="156">
        <f>AVERAGE(I101:J101)</f>
        <v>0.18</v>
      </c>
      <c r="L101" s="126"/>
      <c r="M101" s="154" t="str">
        <f>IF(INDEX(MO_SNA_IsHistoricalPeriod,,MATCH(F101,MO_Common_ColumnHeader,0)),"Actual","Estimate")</f>
        <v>Actual</v>
      </c>
      <c r="N101" s="156">
        <f>INDEX(MO_RIS_TaxRate_Current,0,MATCH(F101,MO_Common_ColumnHeader,0))+INDEX(MO_RIS_TaxRate_Deferred,0,MATCH(F101,MO_Common_ColumnHeader,0))</f>
        <v>0.19497553697213643</v>
      </c>
      <c r="O101" s="126"/>
      <c r="P101" s="162">
        <f>IF(ISNUMBER(N101),N101-K101,"N/A")</f>
        <v>1.4975536972136438E-2</v>
      </c>
      <c r="Q101" s="162">
        <f>IFERROR(IF(ISNUMBER(N101),(N101-K101)/ABS(K101),"N/A"),"N/A")</f>
        <v>8.3197427622980213E-2</v>
      </c>
      <c r="R101" s="126"/>
      <c r="S101" s="157">
        <v>44494</v>
      </c>
      <c r="T101" s="164" t="s">
        <v>404</v>
      </c>
      <c r="U101" s="126"/>
    </row>
    <row r="102" spans="1:21" x14ac:dyDescent="0.55000000000000004">
      <c r="A102" s="149">
        <v>59</v>
      </c>
      <c r="B102" s="126"/>
      <c r="C102" s="126"/>
      <c r="D102" s="142"/>
      <c r="E102" s="143"/>
      <c r="F102" s="126"/>
      <c r="G102" s="126"/>
      <c r="H102" s="126"/>
      <c r="I102" s="600"/>
      <c r="J102" s="600"/>
      <c r="K102" s="600"/>
      <c r="L102" s="126"/>
      <c r="M102" s="126"/>
      <c r="N102" s="600"/>
      <c r="O102" s="126"/>
      <c r="P102" s="188"/>
      <c r="Q102" s="215"/>
      <c r="R102" s="126"/>
      <c r="S102" s="145"/>
      <c r="T102" s="189"/>
      <c r="U102" s="126"/>
    </row>
    <row r="103" spans="1:21" x14ac:dyDescent="0.55000000000000004">
      <c r="A103" s="149">
        <v>58</v>
      </c>
      <c r="B103" s="154" t="str">
        <f>IF(INDEX(MO_SNA_IsHistoricalPeriod,,MATCH(F103,MO_Common_ColumnHeader,0)),"Historical","Forward")</f>
        <v>Historical</v>
      </c>
      <c r="C103" s="126"/>
      <c r="D103" s="161" t="s">
        <v>380</v>
      </c>
      <c r="E103" s="155" t="s">
        <v>730</v>
      </c>
      <c r="F103" s="154" t="s">
        <v>445</v>
      </c>
      <c r="G103" s="154"/>
      <c r="H103" s="126"/>
      <c r="I103" s="186">
        <v>70000</v>
      </c>
      <c r="J103" s="186">
        <v>71000</v>
      </c>
      <c r="K103" s="186">
        <f>AVERAGE(I103:J103)</f>
        <v>70500</v>
      </c>
      <c r="L103" s="126"/>
      <c r="M103" s="154" t="str">
        <f>IF(INDEX(MO_SNA_IsHistoricalPeriod,,MATCH(F103,MO_Common_ColumnHeader,0)),"Actual","Estimate")</f>
        <v>Actual</v>
      </c>
      <c r="N103" s="186">
        <f>INDEX(MO_RIS_COGS,0,MATCH(F103,MO_Common_ColumnHeader,0))+INDEX(MO_RIS_SM,0,MATCH(F103,MO_Common_ColumnHeader,0))+INDEX(MO_RIS_GA,0,MATCH(F103,MO_Common_ColumnHeader,0))+INDEX(MO_RIS_RD,0,MATCH(F103,MO_Common_ColumnHeader,0))</f>
        <v>71176</v>
      </c>
      <c r="O103" s="126"/>
      <c r="P103" s="187">
        <f>IF(ISNUMBER(N103),N103-K103,"N/A")</f>
        <v>676</v>
      </c>
      <c r="Q103" s="162">
        <f>IFERROR(IF(ISNUMBER(N103),(N103-K103)/ABS(K103),"N/A"),"N/A")</f>
        <v>9.5886524822695034E-3</v>
      </c>
      <c r="R103" s="126"/>
      <c r="S103" s="157">
        <v>44494</v>
      </c>
      <c r="T103" s="164" t="s">
        <v>404</v>
      </c>
      <c r="U103" s="126"/>
    </row>
    <row r="104" spans="1:21" x14ac:dyDescent="0.55000000000000004">
      <c r="A104" s="149">
        <v>57</v>
      </c>
      <c r="B104" s="154" t="str">
        <f>IF(INDEX(MO_SNA_IsHistoricalPeriod,,MATCH(F104,MO_Common_ColumnHeader,0)),"Historical","Forward")</f>
        <v>Historical</v>
      </c>
      <c r="C104" s="126"/>
      <c r="D104" s="161" t="str">
        <f ca="1">INDEX(INDIRECT(E104),0,COLUMN(MO_Common_Column_A))</f>
        <v>Capex</v>
      </c>
      <c r="E104" s="155" t="s">
        <v>375</v>
      </c>
      <c r="F104" s="154" t="s">
        <v>445</v>
      </c>
      <c r="G104" s="154"/>
      <c r="H104" s="126"/>
      <c r="I104" s="158">
        <v>-19000</v>
      </c>
      <c r="J104" s="158">
        <v>-19000</v>
      </c>
      <c r="K104" s="158">
        <f>AVERAGE(I104:J104)</f>
        <v>-19000</v>
      </c>
      <c r="L104" s="126"/>
      <c r="M104" s="154" t="str">
        <f>IF(INDEX(MO_SNA_IsHistoricalPeriod,,MATCH(F104,MO_Common_ColumnHeader,0)),"Actual","Estimate")</f>
        <v>Actual</v>
      </c>
      <c r="N104" s="158">
        <f ca="1">IFERROR(INDEX(INDIRECT(E104),0,MATCH(F104,MO_Common_ColumnHeader,0)),"N/A")</f>
        <v>-19244</v>
      </c>
      <c r="O104" s="126"/>
      <c r="P104" s="163">
        <f ca="1">IF(ISNUMBER(N104),N104-K104,"N/A")</f>
        <v>-244</v>
      </c>
      <c r="Q104" s="162">
        <f ca="1">IFERROR(IF(ISNUMBER(N104),(N104-K104)/ABS(K104),"N/A"),"N/A")</f>
        <v>-1.2842105263157894E-2</v>
      </c>
      <c r="R104" s="126"/>
      <c r="S104" s="157">
        <v>44494</v>
      </c>
      <c r="T104" s="164" t="s">
        <v>404</v>
      </c>
      <c r="U104" s="126"/>
    </row>
    <row r="105" spans="1:21" x14ac:dyDescent="0.55000000000000004">
      <c r="A105" s="149">
        <v>56</v>
      </c>
      <c r="B105" s="126"/>
      <c r="C105" s="126"/>
      <c r="D105" s="142"/>
      <c r="E105" s="143"/>
      <c r="F105" s="126"/>
      <c r="G105" s="126"/>
      <c r="H105" s="126"/>
      <c r="I105" s="600"/>
      <c r="J105" s="600"/>
      <c r="K105" s="600"/>
      <c r="L105" s="126"/>
      <c r="M105" s="126"/>
      <c r="N105" s="600"/>
      <c r="O105" s="126"/>
      <c r="P105" s="188"/>
      <c r="Q105" s="215"/>
      <c r="R105" s="126"/>
      <c r="S105" s="145"/>
      <c r="T105" s="189"/>
      <c r="U105" s="126"/>
    </row>
    <row r="106" spans="1:21" x14ac:dyDescent="0.55000000000000004">
      <c r="A106" s="149">
        <v>55</v>
      </c>
      <c r="B106" s="154" t="str">
        <f>IF(INDEX(MO_SNA_IsHistoricalPeriod,,MATCH(F106,MO_Common_ColumnHeader,0)),"Historical","Forward")</f>
        <v>Historical</v>
      </c>
      <c r="C106" s="126"/>
      <c r="D106" s="161" t="str">
        <f ca="1">INDEX(INDIRECT(E106),0,COLUMN(MO_Common_Column_A))</f>
        <v>Net Revenue</v>
      </c>
      <c r="E106" s="155" t="s">
        <v>494</v>
      </c>
      <c r="F106" s="154" t="s">
        <v>495</v>
      </c>
      <c r="G106" s="154"/>
      <c r="H106" s="126"/>
      <c r="I106" s="186">
        <v>31500</v>
      </c>
      <c r="J106" s="186">
        <v>34000</v>
      </c>
      <c r="K106" s="186">
        <f>AVERAGE(I106:J106)</f>
        <v>32750</v>
      </c>
      <c r="L106" s="600"/>
      <c r="M106" s="154" t="str">
        <f>IF(INDEX(MO_SNA_IsHistoricalPeriod,,MATCH(F106,MO_Common_ColumnHeader,0)),"Actual","Estimate")</f>
        <v>Actual</v>
      </c>
      <c r="N106" s="186">
        <f ca="1">IFERROR(INDEX(INDIRECT(E106),0,MATCH(F106,MO_Common_ColumnHeader,0)),"N/A")</f>
        <v>33671</v>
      </c>
      <c r="O106" s="600"/>
      <c r="P106" s="187">
        <f ca="1">IF(ISNUMBER(N106),N106-K106,"N/A")</f>
        <v>921</v>
      </c>
      <c r="Q106" s="162">
        <f ca="1">IFERROR(IF(ISNUMBER(N106),(N106-K106)/ABS(K106),"N/A"),"N/A")</f>
        <v>2.8122137404580153E-2</v>
      </c>
      <c r="R106" s="126"/>
      <c r="S106" s="157">
        <v>44494</v>
      </c>
      <c r="T106" s="164" t="s">
        <v>404</v>
      </c>
      <c r="U106" s="126"/>
    </row>
    <row r="107" spans="1:21" x14ac:dyDescent="0.55000000000000004">
      <c r="A107" s="149">
        <v>54</v>
      </c>
      <c r="B107" s="154" t="str">
        <f>IF(INDEX(MO_SNA_IsHistoricalPeriod,,MATCH(F107,MO_Common_ColumnHeader,0)),"Historical","Forward")</f>
        <v>Historical</v>
      </c>
      <c r="C107" s="126"/>
      <c r="D107" s="161" t="s">
        <v>381</v>
      </c>
      <c r="E107" s="155"/>
      <c r="F107" s="154" t="s">
        <v>495</v>
      </c>
      <c r="G107" s="154"/>
      <c r="H107" s="126"/>
      <c r="I107" s="156">
        <v>0.17</v>
      </c>
      <c r="J107" s="156">
        <v>0.19</v>
      </c>
      <c r="K107" s="156">
        <f>AVERAGE(I107:J107)</f>
        <v>0.18</v>
      </c>
      <c r="L107" s="126"/>
      <c r="M107" s="154" t="str">
        <f>IF(INDEX(MO_SNA_IsHistoricalPeriod,,MATCH(F107,MO_Common_ColumnHeader,0)),"Actual","Estimate")</f>
        <v>Actual</v>
      </c>
      <c r="N107" s="156">
        <f>INDEX(MO_RIS_TaxRate_Current,0,MATCH(F107,MO_Common_ColumnHeader,0))+INDEX(MO_RIS_TaxRate_Deferred,0,MATCH(F107,MO_Common_ColumnHeader,0))</f>
        <v>0.19027001495709675</v>
      </c>
      <c r="O107" s="126"/>
      <c r="P107" s="162">
        <f>IF(ISNUMBER(N107),N107-K107,"N/A")</f>
        <v>1.0270014957096757E-2</v>
      </c>
      <c r="Q107" s="162">
        <f>IFERROR(IF(ISNUMBER(N107),(N107-K107)/ABS(K107),"N/A"),"N/A")</f>
        <v>5.7055638650537539E-2</v>
      </c>
      <c r="R107" s="126"/>
      <c r="S107" s="157">
        <v>44494</v>
      </c>
      <c r="T107" s="164" t="s">
        <v>404</v>
      </c>
      <c r="U107" s="126"/>
    </row>
    <row r="108" spans="1:21" x14ac:dyDescent="0.55000000000000004">
      <c r="A108" s="149">
        <v>53</v>
      </c>
      <c r="B108" s="126"/>
      <c r="C108" s="126"/>
      <c r="D108" s="142"/>
      <c r="E108" s="143"/>
      <c r="F108" s="126"/>
      <c r="G108" s="126"/>
      <c r="H108" s="126"/>
      <c r="I108" s="600"/>
      <c r="J108" s="600"/>
      <c r="K108" s="600"/>
      <c r="L108" s="126"/>
      <c r="M108" s="126"/>
      <c r="N108" s="600"/>
      <c r="O108" s="126"/>
      <c r="P108" s="188"/>
      <c r="Q108" s="215"/>
      <c r="R108" s="126"/>
      <c r="S108" s="145"/>
      <c r="T108" s="189"/>
      <c r="U108" s="126"/>
    </row>
    <row r="109" spans="1:21" x14ac:dyDescent="0.55000000000000004">
      <c r="A109" s="149">
        <v>52</v>
      </c>
      <c r="B109" s="154" t="str">
        <f>IF(INDEX(MO_SNA_IsHistoricalPeriod,,MATCH(F109,MO_Common_ColumnHeader,0)),"Historical","Forward")</f>
        <v>Historical</v>
      </c>
      <c r="C109" s="126"/>
      <c r="D109" s="161" t="s">
        <v>380</v>
      </c>
      <c r="E109" s="155" t="s">
        <v>730</v>
      </c>
      <c r="F109" s="154" t="s">
        <v>445</v>
      </c>
      <c r="G109" s="154"/>
      <c r="H109" s="126"/>
      <c r="I109" s="186">
        <v>70000</v>
      </c>
      <c r="J109" s="186">
        <v>73000</v>
      </c>
      <c r="K109" s="186">
        <f>AVERAGE(I109:J109)</f>
        <v>71500</v>
      </c>
      <c r="L109" s="126"/>
      <c r="M109" s="154" t="str">
        <f>IF(INDEX(MO_SNA_IsHistoricalPeriod,,MATCH(F109,MO_Common_ColumnHeader,0)),"Actual","Estimate")</f>
        <v>Actual</v>
      </c>
      <c r="N109" s="186">
        <f>INDEX(MO_RIS_COGS,0,MATCH(F109,MO_Common_ColumnHeader,0))+INDEX(MO_RIS_SM,0,MATCH(F109,MO_Common_ColumnHeader,0))+INDEX(MO_RIS_GA,0,MATCH(F109,MO_Common_ColumnHeader,0))+INDEX(MO_RIS_RD,0,MATCH(F109,MO_Common_ColumnHeader,0))</f>
        <v>71176</v>
      </c>
      <c r="O109" s="126"/>
      <c r="P109" s="187">
        <f>IF(ISNUMBER(N109),N109-K109,"N/A")</f>
        <v>-324</v>
      </c>
      <c r="Q109" s="162">
        <f>IFERROR(IF(ISNUMBER(N109),(N109-K109)/ABS(K109),"N/A"),"N/A")</f>
        <v>-4.5314685314685318E-3</v>
      </c>
      <c r="R109" s="126"/>
      <c r="S109" s="157">
        <v>44405</v>
      </c>
      <c r="T109" s="164" t="s">
        <v>404</v>
      </c>
      <c r="U109" s="126"/>
    </row>
    <row r="110" spans="1:21" x14ac:dyDescent="0.55000000000000004">
      <c r="A110" s="149">
        <v>51</v>
      </c>
      <c r="B110" s="154" t="str">
        <f>IF(INDEX(MO_SNA_IsHistoricalPeriod,,MATCH(F110,MO_Common_ColumnHeader,0)),"Historical","Forward")</f>
        <v>Historical</v>
      </c>
      <c r="C110" s="126"/>
      <c r="D110" s="161" t="str">
        <f ca="1">INDEX(INDIRECT(E110),0,COLUMN(MO_Common_Column_A))</f>
        <v>Capex</v>
      </c>
      <c r="E110" s="155" t="s">
        <v>375</v>
      </c>
      <c r="F110" s="154" t="s">
        <v>445</v>
      </c>
      <c r="G110" s="154"/>
      <c r="H110" s="126"/>
      <c r="I110" s="158">
        <v>-19000</v>
      </c>
      <c r="J110" s="158">
        <v>-21000</v>
      </c>
      <c r="K110" s="158">
        <f>AVERAGE(I110:J110)</f>
        <v>-20000</v>
      </c>
      <c r="L110" s="126"/>
      <c r="M110" s="154" t="str">
        <f>IF(INDEX(MO_SNA_IsHistoricalPeriod,,MATCH(F110,MO_Common_ColumnHeader,0)),"Actual","Estimate")</f>
        <v>Actual</v>
      </c>
      <c r="N110" s="158">
        <f ca="1">IFERROR(INDEX(INDIRECT(E110),0,MATCH(F110,MO_Common_ColumnHeader,0)),"N/A")</f>
        <v>-19244</v>
      </c>
      <c r="O110" s="126"/>
      <c r="P110" s="163">
        <f ca="1">IF(ISNUMBER(N110),N110-K110,"N/A")</f>
        <v>756</v>
      </c>
      <c r="Q110" s="162">
        <f ca="1">IFERROR(IF(ISNUMBER(N110),(N110-K110)/ABS(K110),"N/A"),"N/A")</f>
        <v>3.78E-2</v>
      </c>
      <c r="R110" s="126"/>
      <c r="S110" s="157">
        <v>44405</v>
      </c>
      <c r="T110" s="164" t="s">
        <v>404</v>
      </c>
      <c r="U110" s="126"/>
    </row>
    <row r="111" spans="1:21" x14ac:dyDescent="0.55000000000000004">
      <c r="A111" s="149">
        <v>50</v>
      </c>
      <c r="B111" s="154" t="str">
        <f>IF(INDEX(MO_SNA_IsHistoricalPeriod,,MATCH(F111,MO_Common_ColumnHeader,0)),"Historical","Forward")</f>
        <v>Historical</v>
      </c>
      <c r="C111" s="126"/>
      <c r="D111" s="161" t="s">
        <v>381</v>
      </c>
      <c r="E111" s="155"/>
      <c r="F111" s="154" t="s">
        <v>445</v>
      </c>
      <c r="G111" s="154"/>
      <c r="H111" s="126"/>
      <c r="I111" s="156">
        <v>0.17</v>
      </c>
      <c r="J111" s="156">
        <v>0.19</v>
      </c>
      <c r="K111" s="156">
        <f>AVERAGE(I111:J111)</f>
        <v>0.18</v>
      </c>
      <c r="L111" s="126"/>
      <c r="M111" s="154" t="str">
        <f>IF(INDEX(MO_SNA_IsHistoricalPeriod,,MATCH(F111,MO_Common_ColumnHeader,0)),"Actual","Estimate")</f>
        <v>Actual</v>
      </c>
      <c r="N111" s="156">
        <f>INDEX(MO_RIS_TaxRate_Current,0,MATCH(F111,MO_Common_ColumnHeader,0))+INDEX(MO_RIS_TaxRate_Deferred,0,MATCH(F111,MO_Common_ColumnHeader,0))</f>
        <v>0.16737162676592504</v>
      </c>
      <c r="O111" s="126"/>
      <c r="P111" s="162">
        <f>IF(ISNUMBER(N111),N111-K111,"N/A")</f>
        <v>-1.2628373234074952E-2</v>
      </c>
      <c r="Q111" s="162">
        <f>IFERROR(IF(ISNUMBER(N111),(N111-K111)/ABS(K111),"N/A"),"N/A")</f>
        <v>-7.0157629078194186E-2</v>
      </c>
      <c r="R111" s="126"/>
      <c r="S111" s="157">
        <v>44405</v>
      </c>
      <c r="T111" s="164" t="s">
        <v>404</v>
      </c>
      <c r="U111" s="126"/>
    </row>
    <row r="112" spans="1:21" x14ac:dyDescent="0.55000000000000004">
      <c r="A112" s="149">
        <v>49</v>
      </c>
      <c r="B112" s="126"/>
      <c r="C112" s="126"/>
      <c r="D112" s="142"/>
      <c r="E112" s="143"/>
      <c r="F112" s="126"/>
      <c r="G112" s="126"/>
      <c r="H112" s="126"/>
      <c r="I112" s="600"/>
      <c r="J112" s="600"/>
      <c r="K112" s="600"/>
      <c r="L112" s="126"/>
      <c r="M112" s="126"/>
      <c r="N112" s="600"/>
      <c r="O112" s="126"/>
      <c r="P112" s="188"/>
      <c r="Q112" s="215"/>
      <c r="R112" s="126"/>
      <c r="S112" s="145"/>
      <c r="T112" s="189"/>
      <c r="U112" s="126"/>
    </row>
    <row r="113" spans="1:21" x14ac:dyDescent="0.55000000000000004">
      <c r="A113" s="149">
        <v>48</v>
      </c>
      <c r="B113" s="154" t="str">
        <f>IF(INDEX(MO_SNA_IsHistoricalPeriod,,MATCH(F113,MO_Common_ColumnHeader,0)),"Historical","Forward")</f>
        <v>Historical</v>
      </c>
      <c r="C113" s="126"/>
      <c r="D113" s="161" t="s">
        <v>380</v>
      </c>
      <c r="E113" s="155" t="s">
        <v>730</v>
      </c>
      <c r="F113" s="154" t="s">
        <v>445</v>
      </c>
      <c r="G113" s="154"/>
      <c r="H113" s="126"/>
      <c r="I113" s="186">
        <v>70000</v>
      </c>
      <c r="J113" s="186">
        <v>73000</v>
      </c>
      <c r="K113" s="186">
        <f>AVERAGE(I113:J113)</f>
        <v>71500</v>
      </c>
      <c r="L113" s="126"/>
      <c r="M113" s="154" t="str">
        <f>IF(INDEX(MO_SNA_IsHistoricalPeriod,,MATCH(F113,MO_Common_ColumnHeader,0)),"Actual","Estimate")</f>
        <v>Actual</v>
      </c>
      <c r="N113" s="186">
        <f>INDEX(MO_RIS_COGS,0,MATCH(F113,MO_Common_ColumnHeader,0))+INDEX(MO_RIS_SM,0,MATCH(F113,MO_Common_ColumnHeader,0))+INDEX(MO_RIS_GA,0,MATCH(F113,MO_Common_ColumnHeader,0))+INDEX(MO_RIS_RD,0,MATCH(F113,MO_Common_ColumnHeader,0))</f>
        <v>71176</v>
      </c>
      <c r="O113" s="126"/>
      <c r="P113" s="187">
        <f>IF(ISNUMBER(N113),N113-K113,"N/A")</f>
        <v>-324</v>
      </c>
      <c r="Q113" s="162">
        <f>IFERROR(IF(ISNUMBER(N113),(N113-K113)/ABS(K113),"N/A"),"N/A")</f>
        <v>-4.5314685314685318E-3</v>
      </c>
      <c r="R113" s="126"/>
      <c r="S113" s="157">
        <v>44314</v>
      </c>
      <c r="T113" s="164" t="s">
        <v>404</v>
      </c>
      <c r="U113" s="126"/>
    </row>
    <row r="114" spans="1:21" x14ac:dyDescent="0.55000000000000004">
      <c r="A114" s="149">
        <v>47</v>
      </c>
      <c r="B114" s="154" t="str">
        <f>IF(INDEX(MO_SNA_IsHistoricalPeriod,,MATCH(F114,MO_Common_ColumnHeader,0)),"Historical","Forward")</f>
        <v>Historical</v>
      </c>
      <c r="C114" s="126"/>
      <c r="D114" s="161" t="str">
        <f ca="1">INDEX(INDIRECT(E114),0,COLUMN(MO_Common_Column_A))</f>
        <v>Capex</v>
      </c>
      <c r="E114" s="155" t="s">
        <v>375</v>
      </c>
      <c r="F114" s="154" t="s">
        <v>445</v>
      </c>
      <c r="G114" s="154"/>
      <c r="H114" s="126"/>
      <c r="I114" s="158">
        <v>-19000</v>
      </c>
      <c r="J114" s="158">
        <v>-21000</v>
      </c>
      <c r="K114" s="158">
        <f>AVERAGE(I114:J114)</f>
        <v>-20000</v>
      </c>
      <c r="L114" s="126"/>
      <c r="M114" s="154" t="str">
        <f>IF(INDEX(MO_SNA_IsHistoricalPeriod,,MATCH(F114,MO_Common_ColumnHeader,0)),"Actual","Estimate")</f>
        <v>Actual</v>
      </c>
      <c r="N114" s="158">
        <f ca="1">IFERROR(INDEX(INDIRECT(E114),0,MATCH(F114,MO_Common_ColumnHeader,0)),"N/A")</f>
        <v>-19244</v>
      </c>
      <c r="O114" s="126"/>
      <c r="P114" s="163">
        <f ca="1">IF(ISNUMBER(N114),N114-K114,"N/A")</f>
        <v>756</v>
      </c>
      <c r="Q114" s="162">
        <f ca="1">IFERROR(IF(ISNUMBER(N114),(N114-K114)/ABS(K114),"N/A"),"N/A")</f>
        <v>3.78E-2</v>
      </c>
      <c r="R114" s="126"/>
      <c r="S114" s="157">
        <v>44314</v>
      </c>
      <c r="T114" s="164" t="s">
        <v>404</v>
      </c>
      <c r="U114" s="126"/>
    </row>
    <row r="115" spans="1:21" x14ac:dyDescent="0.55000000000000004">
      <c r="A115" s="149">
        <v>46</v>
      </c>
      <c r="B115" s="154" t="str">
        <f>IF(INDEX(MO_SNA_IsHistoricalPeriod,,MATCH(F115,MO_Common_ColumnHeader,0)),"Historical","Forward")</f>
        <v>Historical</v>
      </c>
      <c r="C115" s="126"/>
      <c r="D115" s="161" t="s">
        <v>381</v>
      </c>
      <c r="E115" s="155"/>
      <c r="F115" s="154" t="s">
        <v>445</v>
      </c>
      <c r="G115" s="154"/>
      <c r="H115" s="126"/>
      <c r="I115" s="156">
        <v>0.17</v>
      </c>
      <c r="J115" s="156">
        <v>0.19</v>
      </c>
      <c r="K115" s="156">
        <f>AVERAGE(I115:J115)</f>
        <v>0.18</v>
      </c>
      <c r="L115" s="126"/>
      <c r="M115" s="154" t="str">
        <f>IF(INDEX(MO_SNA_IsHistoricalPeriod,,MATCH(F115,MO_Common_ColumnHeader,0)),"Actual","Estimate")</f>
        <v>Actual</v>
      </c>
      <c r="N115" s="156">
        <f>INDEX(MO_RIS_TaxRate_Current,0,MATCH(F115,MO_Common_ColumnHeader,0))+INDEX(MO_RIS_TaxRate_Deferred,0,MATCH(F115,MO_Common_ColumnHeader,0))</f>
        <v>0.16737162676592504</v>
      </c>
      <c r="O115" s="126"/>
      <c r="P115" s="162">
        <f>IF(ISNUMBER(N115),N115-K115,"N/A")</f>
        <v>-1.2628373234074952E-2</v>
      </c>
      <c r="Q115" s="162">
        <f>IFERROR(IF(ISNUMBER(N115),(N115-K115)/ABS(K115),"N/A"),"N/A")</f>
        <v>-7.0157629078194186E-2</v>
      </c>
      <c r="R115" s="126"/>
      <c r="S115" s="157">
        <v>44314</v>
      </c>
      <c r="T115" s="164" t="s">
        <v>404</v>
      </c>
      <c r="U115" s="126"/>
    </row>
    <row r="116" spans="1:21" x14ac:dyDescent="0.55000000000000004">
      <c r="A116" s="149">
        <v>45</v>
      </c>
      <c r="B116" s="126"/>
      <c r="C116" s="126"/>
      <c r="D116" s="142"/>
      <c r="E116" s="143"/>
      <c r="F116" s="126"/>
      <c r="G116" s="126"/>
      <c r="H116" s="126"/>
      <c r="I116" s="600"/>
      <c r="J116" s="600"/>
      <c r="K116" s="600"/>
      <c r="L116" s="126"/>
      <c r="M116" s="126"/>
      <c r="N116" s="600"/>
      <c r="O116" s="126"/>
      <c r="P116" s="188"/>
      <c r="Q116" s="215"/>
      <c r="R116" s="126"/>
      <c r="S116" s="145"/>
      <c r="T116" s="189"/>
      <c r="U116" s="126"/>
    </row>
    <row r="117" spans="1:21" x14ac:dyDescent="0.55000000000000004">
      <c r="A117" s="149">
        <v>44</v>
      </c>
      <c r="B117" s="154" t="str">
        <f>IF(INDEX(MO_SNA_IsHistoricalPeriod,,MATCH(F117,MO_Common_ColumnHeader,0)),"Historical","Forward")</f>
        <v>Historical</v>
      </c>
      <c r="C117" s="126"/>
      <c r="D117" s="161" t="s">
        <v>380</v>
      </c>
      <c r="E117" s="155" t="s">
        <v>730</v>
      </c>
      <c r="F117" s="154" t="s">
        <v>445</v>
      </c>
      <c r="G117" s="154"/>
      <c r="H117" s="126"/>
      <c r="I117" s="186">
        <v>68000</v>
      </c>
      <c r="J117" s="186">
        <v>73000</v>
      </c>
      <c r="K117" s="186">
        <f>AVERAGE(I117:J117)</f>
        <v>70500</v>
      </c>
      <c r="L117" s="126"/>
      <c r="M117" s="154" t="str">
        <f>IF(INDEX(MO_SNA_IsHistoricalPeriod,,MATCH(F117,MO_Common_ColumnHeader,0)),"Actual","Estimate")</f>
        <v>Actual</v>
      </c>
      <c r="N117" s="186">
        <f>INDEX(MO_RIS_COGS,0,MATCH(F117,MO_Common_ColumnHeader,0))+INDEX(MO_RIS_SM,0,MATCH(F117,MO_Common_ColumnHeader,0))+INDEX(MO_RIS_GA,0,MATCH(F117,MO_Common_ColumnHeader,0))+INDEX(MO_RIS_RD,0,MATCH(F117,MO_Common_ColumnHeader,0))</f>
        <v>71176</v>
      </c>
      <c r="O117" s="126"/>
      <c r="P117" s="187">
        <f>IF(ISNUMBER(N117),N117-K117,"N/A")</f>
        <v>676</v>
      </c>
      <c r="Q117" s="162">
        <f>IFERROR(IF(ISNUMBER(N117),(N117-K117)/ABS(K117),"N/A"),"N/A")</f>
        <v>9.5886524822695034E-3</v>
      </c>
      <c r="R117" s="126"/>
      <c r="S117" s="157">
        <v>44223</v>
      </c>
      <c r="T117" s="164" t="s">
        <v>404</v>
      </c>
      <c r="U117" s="126"/>
    </row>
    <row r="118" spans="1:21" x14ac:dyDescent="0.55000000000000004">
      <c r="A118" s="149">
        <v>43</v>
      </c>
      <c r="B118" s="154" t="str">
        <f>IF(INDEX(MO_SNA_IsHistoricalPeriod,,MATCH(F118,MO_Common_ColumnHeader,0)),"Historical","Forward")</f>
        <v>Historical</v>
      </c>
      <c r="C118" s="126"/>
      <c r="D118" s="161" t="str">
        <f ca="1">INDEX(INDIRECT(E118),0,COLUMN(MO_Common_Column_A))</f>
        <v>Capex</v>
      </c>
      <c r="E118" s="155" t="s">
        <v>375</v>
      </c>
      <c r="F118" s="154" t="s">
        <v>445</v>
      </c>
      <c r="G118" s="154"/>
      <c r="H118" s="126"/>
      <c r="I118" s="158">
        <v>-21000</v>
      </c>
      <c r="J118" s="158">
        <v>-23000</v>
      </c>
      <c r="K118" s="158">
        <f>AVERAGE(I118:J118)</f>
        <v>-22000</v>
      </c>
      <c r="L118" s="126"/>
      <c r="M118" s="154" t="str">
        <f>IF(INDEX(MO_SNA_IsHistoricalPeriod,,MATCH(F118,MO_Common_ColumnHeader,0)),"Actual","Estimate")</f>
        <v>Actual</v>
      </c>
      <c r="N118" s="158">
        <f ca="1">IFERROR(INDEX(INDIRECT(E118),0,MATCH(F118,MO_Common_ColumnHeader,0)),"N/A")</f>
        <v>-19244</v>
      </c>
      <c r="O118" s="126"/>
      <c r="P118" s="163">
        <f ca="1">IF(ISNUMBER(N118),N118-K118,"N/A")</f>
        <v>2756</v>
      </c>
      <c r="Q118" s="162">
        <f ca="1">IFERROR(IF(ISNUMBER(N118),(N118-K118)/ABS(K118),"N/A"),"N/A")</f>
        <v>0.12527272727272729</v>
      </c>
      <c r="R118" s="126"/>
      <c r="S118" s="157">
        <v>44223</v>
      </c>
      <c r="T118" s="164" t="s">
        <v>404</v>
      </c>
      <c r="U118" s="126"/>
    </row>
    <row r="119" spans="1:21" x14ac:dyDescent="0.55000000000000004">
      <c r="A119" s="149">
        <v>42</v>
      </c>
      <c r="B119" s="154" t="str">
        <f>IF(INDEX(MO_SNA_IsHistoricalPeriod,,MATCH(F119,MO_Common_ColumnHeader,0)),"Historical","Forward")</f>
        <v>Historical</v>
      </c>
      <c r="C119" s="126"/>
      <c r="D119" s="161" t="s">
        <v>381</v>
      </c>
      <c r="E119" s="155"/>
      <c r="F119" s="154" t="s">
        <v>445</v>
      </c>
      <c r="G119" s="154"/>
      <c r="H119" s="126"/>
      <c r="I119" s="156">
        <v>0.17</v>
      </c>
      <c r="J119" s="156">
        <v>0.19</v>
      </c>
      <c r="K119" s="156">
        <f>AVERAGE(I119:J119)</f>
        <v>0.18</v>
      </c>
      <c r="L119" s="126"/>
      <c r="M119" s="154" t="str">
        <f>IF(INDEX(MO_SNA_IsHistoricalPeriod,,MATCH(F119,MO_Common_ColumnHeader,0)),"Actual","Estimate")</f>
        <v>Actual</v>
      </c>
      <c r="N119" s="156">
        <f>INDEX(MO_RIS_TaxRate_Current,0,MATCH(F119,MO_Common_ColumnHeader,0))+INDEX(MO_RIS_TaxRate_Deferred,0,MATCH(F119,MO_Common_ColumnHeader,0))</f>
        <v>0.16737162676592504</v>
      </c>
      <c r="O119" s="126"/>
      <c r="P119" s="162">
        <f>IF(ISNUMBER(N119),N119-K119,"N/A")</f>
        <v>-1.2628373234074952E-2</v>
      </c>
      <c r="Q119" s="162">
        <f>IFERROR(IF(ISNUMBER(N119),(N119-K119)/ABS(K119),"N/A"),"N/A")</f>
        <v>-7.0157629078194186E-2</v>
      </c>
      <c r="R119" s="126"/>
      <c r="S119" s="157">
        <v>44223</v>
      </c>
      <c r="T119" s="164" t="s">
        <v>404</v>
      </c>
      <c r="U119" s="126"/>
    </row>
    <row r="120" spans="1:21" x14ac:dyDescent="0.55000000000000004">
      <c r="A120" s="149">
        <v>41</v>
      </c>
      <c r="B120" s="126"/>
      <c r="C120" s="126"/>
      <c r="D120" s="142"/>
      <c r="E120" s="143"/>
      <c r="F120" s="126"/>
      <c r="G120" s="126"/>
      <c r="H120" s="126"/>
      <c r="I120" s="600"/>
      <c r="J120" s="600"/>
      <c r="K120" s="600"/>
      <c r="L120" s="126"/>
      <c r="M120" s="126"/>
      <c r="N120" s="600"/>
      <c r="O120" s="126"/>
      <c r="P120" s="188"/>
      <c r="Q120" s="215"/>
      <c r="R120" s="126"/>
      <c r="S120" s="145"/>
      <c r="T120" s="189"/>
      <c r="U120" s="126"/>
    </row>
    <row r="121" spans="1:21" x14ac:dyDescent="0.55000000000000004">
      <c r="A121" s="149">
        <v>40</v>
      </c>
      <c r="B121" s="154" t="str">
        <f>IF(INDEX(MO_SNA_IsHistoricalPeriod,,MATCH(F121,MO_Common_ColumnHeader,0)),"Historical","Forward")</f>
        <v>Historical</v>
      </c>
      <c r="C121" s="126"/>
      <c r="D121" s="161" t="s">
        <v>380</v>
      </c>
      <c r="E121" s="155" t="s">
        <v>730</v>
      </c>
      <c r="F121" s="154" t="s">
        <v>445</v>
      </c>
      <c r="G121" s="154"/>
      <c r="H121" s="126"/>
      <c r="I121" s="186">
        <v>68000</v>
      </c>
      <c r="J121" s="186">
        <v>73000</v>
      </c>
      <c r="K121" s="186">
        <f>AVERAGE(I121:J121)</f>
        <v>70500</v>
      </c>
      <c r="L121" s="126"/>
      <c r="M121" s="154" t="str">
        <f>IF(INDEX(MO_SNA_IsHistoricalPeriod,,MATCH(F121,MO_Common_ColumnHeader,0)),"Actual","Estimate")</f>
        <v>Actual</v>
      </c>
      <c r="N121" s="186">
        <f>INDEX(MO_RIS_COGS,0,MATCH(F121,MO_Common_ColumnHeader,0))+INDEX(MO_RIS_SM,0,MATCH(F121,MO_Common_ColumnHeader,0))+INDEX(MO_RIS_GA,0,MATCH(F121,MO_Common_ColumnHeader,0))+INDEX(MO_RIS_RD,0,MATCH(F121,MO_Common_ColumnHeader,0))</f>
        <v>71176</v>
      </c>
      <c r="O121" s="126"/>
      <c r="P121" s="187">
        <f>IF(ISNUMBER(N121),N121-K121,"N/A")</f>
        <v>676</v>
      </c>
      <c r="Q121" s="162">
        <f>IFERROR(IF(ISNUMBER(N121),(N121-K121)/ABS(K121),"N/A"),"N/A")</f>
        <v>9.5886524822695034E-3</v>
      </c>
      <c r="R121" s="126"/>
      <c r="S121" s="157">
        <v>44133</v>
      </c>
      <c r="T121" s="164" t="s">
        <v>404</v>
      </c>
      <c r="U121" s="126"/>
    </row>
    <row r="122" spans="1:21" x14ac:dyDescent="0.55000000000000004">
      <c r="A122" s="149">
        <v>39</v>
      </c>
      <c r="B122" s="154" t="str">
        <f>IF(INDEX(MO_SNA_IsHistoricalPeriod,,MATCH(F122,MO_Common_ColumnHeader,0)),"Historical","Forward")</f>
        <v>Historical</v>
      </c>
      <c r="C122" s="126"/>
      <c r="D122" s="161" t="str">
        <f ca="1">INDEX(INDIRECT(E122),0,COLUMN(MO_Common_Column_A))</f>
        <v>Capex</v>
      </c>
      <c r="E122" s="155" t="s">
        <v>375</v>
      </c>
      <c r="F122" s="154" t="s">
        <v>445</v>
      </c>
      <c r="G122" s="154"/>
      <c r="H122" s="126"/>
      <c r="I122" s="158">
        <v>-21000</v>
      </c>
      <c r="J122" s="158">
        <v>-23000</v>
      </c>
      <c r="K122" s="158">
        <f>AVERAGE(I122:J122)</f>
        <v>-22000</v>
      </c>
      <c r="L122" s="126"/>
      <c r="M122" s="154" t="str">
        <f>IF(INDEX(MO_SNA_IsHistoricalPeriod,,MATCH(F122,MO_Common_ColumnHeader,0)),"Actual","Estimate")</f>
        <v>Actual</v>
      </c>
      <c r="N122" s="158">
        <f ca="1">IFERROR(INDEX(INDIRECT(E122),0,MATCH(F122,MO_Common_ColumnHeader,0)),"N/A")+Model!BS839</f>
        <v>-19244</v>
      </c>
      <c r="O122" s="126"/>
      <c r="P122" s="163">
        <f ca="1">IF(ISNUMBER(N122),N122-K122,"N/A")</f>
        <v>2756</v>
      </c>
      <c r="Q122" s="162">
        <f ca="1">IFERROR(IF(ISNUMBER(N122),(N122-K122)/ABS(K122),"N/A"),"N/A")</f>
        <v>0.12527272727272729</v>
      </c>
      <c r="R122" s="126"/>
      <c r="S122" s="157">
        <v>44133</v>
      </c>
      <c r="T122" s="164" t="s">
        <v>404</v>
      </c>
      <c r="U122" s="126"/>
    </row>
    <row r="123" spans="1:21" x14ac:dyDescent="0.55000000000000004">
      <c r="A123" s="149">
        <v>38</v>
      </c>
      <c r="B123" s="154" t="str">
        <f>IF(INDEX(MO_SNA_IsHistoricalPeriod,,MATCH(F123,MO_Common_ColumnHeader,0)),"Historical","Forward")</f>
        <v>Historical</v>
      </c>
      <c r="C123" s="126"/>
      <c r="D123" s="161" t="s">
        <v>381</v>
      </c>
      <c r="E123" s="155"/>
      <c r="F123" s="154" t="s">
        <v>445</v>
      </c>
      <c r="G123" s="154"/>
      <c r="H123" s="126"/>
      <c r="I123" s="156">
        <v>0.17</v>
      </c>
      <c r="J123" s="156">
        <v>0.19</v>
      </c>
      <c r="K123" s="156">
        <f>AVERAGE(I123:J123)</f>
        <v>0.18</v>
      </c>
      <c r="L123" s="126"/>
      <c r="M123" s="154" t="str">
        <f>IF(INDEX(MO_SNA_IsHistoricalPeriod,,MATCH(F123,MO_Common_ColumnHeader,0)),"Actual","Estimate")</f>
        <v>Actual</v>
      </c>
      <c r="N123" s="156">
        <f>INDEX(MO_RIS_TaxRate_Current,0,MATCH(F123,MO_Common_ColumnHeader,0))+INDEX(MO_RIS_TaxRate_Deferred,0,MATCH(F123,MO_Common_ColumnHeader,0))</f>
        <v>0.16737162676592504</v>
      </c>
      <c r="O123" s="126"/>
      <c r="P123" s="162">
        <f>IF(ISNUMBER(N123),N123-K123,"N/A")</f>
        <v>-1.2628373234074952E-2</v>
      </c>
      <c r="Q123" s="162">
        <f>IFERROR(IF(ISNUMBER(N123),(N123-K123)/ABS(K123),"N/A"),"N/A")</f>
        <v>-7.0157629078194186E-2</v>
      </c>
      <c r="R123" s="126"/>
      <c r="S123" s="157">
        <v>44133</v>
      </c>
      <c r="T123" s="164" t="s">
        <v>404</v>
      </c>
      <c r="U123" s="126"/>
    </row>
    <row r="124" spans="1:21" x14ac:dyDescent="0.55000000000000004">
      <c r="A124" s="149">
        <v>37</v>
      </c>
      <c r="B124" s="126"/>
      <c r="C124" s="126"/>
      <c r="D124" s="142"/>
      <c r="E124" s="143"/>
      <c r="F124" s="126"/>
      <c r="G124" s="126"/>
      <c r="H124" s="126"/>
      <c r="I124" s="600"/>
      <c r="J124" s="600"/>
      <c r="K124" s="600"/>
      <c r="L124" s="126"/>
      <c r="M124" s="126"/>
      <c r="N124" s="600"/>
      <c r="O124" s="126"/>
      <c r="P124" s="188"/>
      <c r="Q124" s="215"/>
      <c r="R124" s="126"/>
      <c r="S124" s="145"/>
      <c r="T124" s="189"/>
      <c r="U124" s="126"/>
    </row>
    <row r="125" spans="1:21" x14ac:dyDescent="0.55000000000000004">
      <c r="A125" s="149">
        <v>36</v>
      </c>
      <c r="B125" s="154" t="str">
        <f>IF(INDEX(MO_SNA_IsHistoricalPeriod,,MATCH(F125,MO_Common_ColumnHeader,0)),"Historical","Forward")</f>
        <v>Historical</v>
      </c>
      <c r="C125" s="126"/>
      <c r="D125" s="161" t="s">
        <v>380</v>
      </c>
      <c r="E125" s="155" t="s">
        <v>730</v>
      </c>
      <c r="F125" s="154" t="s">
        <v>382</v>
      </c>
      <c r="G125" s="154"/>
      <c r="H125" s="126"/>
      <c r="I125" s="186">
        <v>53000</v>
      </c>
      <c r="J125" s="186">
        <v>54000</v>
      </c>
      <c r="K125" s="186">
        <f>AVERAGE(I125:J125)</f>
        <v>53500</v>
      </c>
      <c r="L125" s="126"/>
      <c r="M125" s="154" t="str">
        <f>IF(INDEX(MO_SNA_IsHistoricalPeriod,,MATCH(F125,MO_Common_ColumnHeader,0)),"Actual","Estimate")</f>
        <v>Actual</v>
      </c>
      <c r="N125" s="186">
        <f>INDEX(MO_RIS_COGS,0,MATCH(F125,MO_Common_ColumnHeader,0))+INDEX(MO_RIS_SM,0,MATCH(F125,MO_Common_ColumnHeader,0))+INDEX(MO_RIS_GA,0,MATCH(F125,MO_Common_ColumnHeader,0))+INDEX(MO_RIS_RD,0,MATCH(F125,MO_Common_ColumnHeader,0))</f>
        <v>53294</v>
      </c>
      <c r="O125" s="126"/>
      <c r="P125" s="187">
        <f>IF(ISNUMBER(N125),N125-K125,"N/A")</f>
        <v>-206</v>
      </c>
      <c r="Q125" s="162">
        <f t="shared" ref="Q125:Q160" si="0">IFERROR(IF(ISNUMBER(N125),(N125-K125)/ABS(K125),"N/A"),"N/A")</f>
        <v>-3.8504672897196261E-3</v>
      </c>
      <c r="R125" s="126"/>
      <c r="S125" s="157">
        <v>44133</v>
      </c>
      <c r="T125" s="164" t="s">
        <v>404</v>
      </c>
      <c r="U125" s="126"/>
    </row>
    <row r="126" spans="1:21" x14ac:dyDescent="0.55000000000000004">
      <c r="A126" s="149">
        <v>35</v>
      </c>
      <c r="B126" s="154" t="str">
        <f>IF(INDEX(MO_SNA_IsHistoricalPeriod,,MATCH(F126,MO_Common_ColumnHeader,0)),"Historical","Forward")</f>
        <v>Historical</v>
      </c>
      <c r="C126" s="126"/>
      <c r="D126" s="161" t="str">
        <f ca="1">INDEX(INDIRECT(E126),0,COLUMN(MO_Common_Column_A))</f>
        <v>Capex</v>
      </c>
      <c r="E126" s="155" t="s">
        <v>375</v>
      </c>
      <c r="F126" s="154" t="s">
        <v>382</v>
      </c>
      <c r="G126" s="154"/>
      <c r="H126" s="126"/>
      <c r="I126" s="158">
        <v>-16000</v>
      </c>
      <c r="J126" s="158">
        <v>-16000</v>
      </c>
      <c r="K126" s="158">
        <f>AVERAGE(I126:J126)</f>
        <v>-16000</v>
      </c>
      <c r="L126" s="126"/>
      <c r="M126" s="154" t="str">
        <f>IF(INDEX(MO_SNA_IsHistoricalPeriod,,MATCH(F126,MO_Common_ColumnHeader,0)),"Actual","Estimate")</f>
        <v>Actual</v>
      </c>
      <c r="N126" s="158">
        <f ca="1">IFERROR(INDEX(INDIRECT(E126),0,MATCH(F126,MO_Common_ColumnHeader,0)),"N/A")+Model!BS843</f>
        <v>-15719</v>
      </c>
      <c r="O126" s="126"/>
      <c r="P126" s="163">
        <f ca="1">IF(ISNUMBER(N126),N126-K126,"N/A")</f>
        <v>281</v>
      </c>
      <c r="Q126" s="162">
        <f t="shared" ca="1" si="0"/>
        <v>1.7562500000000002E-2</v>
      </c>
      <c r="R126" s="126"/>
      <c r="S126" s="157">
        <v>44133</v>
      </c>
      <c r="T126" s="164" t="s">
        <v>404</v>
      </c>
      <c r="U126" s="126"/>
    </row>
    <row r="127" spans="1:21" x14ac:dyDescent="0.55000000000000004">
      <c r="A127" s="149">
        <v>34</v>
      </c>
      <c r="B127" s="126"/>
      <c r="C127" s="126"/>
      <c r="D127" s="142"/>
      <c r="E127" s="143"/>
      <c r="F127" s="126"/>
      <c r="G127" s="126"/>
      <c r="H127" s="126"/>
      <c r="I127" s="600"/>
      <c r="J127" s="600"/>
      <c r="K127" s="600"/>
      <c r="L127" s="126"/>
      <c r="M127" s="126"/>
      <c r="N127" s="600"/>
      <c r="O127" s="126"/>
      <c r="P127" s="188"/>
      <c r="Q127" s="215"/>
      <c r="R127" s="126"/>
      <c r="S127" s="145"/>
      <c r="T127" s="189"/>
      <c r="U127" s="126"/>
    </row>
    <row r="128" spans="1:21" x14ac:dyDescent="0.55000000000000004">
      <c r="A128" s="149">
        <v>33</v>
      </c>
      <c r="B128" s="154" t="str">
        <f>IF(INDEX(MO_SNA_IsHistoricalPeriod,,MATCH(F128,MO_Common_ColumnHeader,0)),"Historical","Forward")</f>
        <v>Historical</v>
      </c>
      <c r="C128" s="126"/>
      <c r="D128" s="161" t="s">
        <v>381</v>
      </c>
      <c r="E128" s="155"/>
      <c r="F128" s="154" t="s">
        <v>446</v>
      </c>
      <c r="G128" s="154"/>
      <c r="H128" s="126"/>
      <c r="I128" s="156">
        <v>0.13</v>
      </c>
      <c r="J128" s="156">
        <v>0.17</v>
      </c>
      <c r="K128" s="156">
        <f>AVERAGE(I128:J128)</f>
        <v>0.15000000000000002</v>
      </c>
      <c r="L128" s="126"/>
      <c r="M128" s="154" t="str">
        <f>IF(INDEX(MO_SNA_IsHistoricalPeriod,,MATCH(F128,MO_Common_ColumnHeader,0)),"Actual","Estimate")</f>
        <v>Actual</v>
      </c>
      <c r="N128" s="156">
        <f>INDEX(MO_RIS_TaxRate_Current,0,MATCH(F128,MO_Common_ColumnHeader,0))+INDEX(MO_RIS_TaxRate_Deferred,0,MATCH(F128,MO_Common_ColumnHeader,0))</f>
        <v>0.14063577173496744</v>
      </c>
      <c r="O128" s="126"/>
      <c r="P128" s="162">
        <f>IF(ISNUMBER(N128),N128-K128,"N/A")</f>
        <v>-9.3642282650325814E-3</v>
      </c>
      <c r="Q128" s="162">
        <f t="shared" si="0"/>
        <v>-6.2428188433550531E-2</v>
      </c>
      <c r="R128" s="126"/>
      <c r="S128" s="157">
        <v>44133</v>
      </c>
      <c r="T128" s="164" t="s">
        <v>404</v>
      </c>
      <c r="U128" s="126"/>
    </row>
    <row r="129" spans="1:21" x14ac:dyDescent="0.55000000000000004">
      <c r="A129" s="149">
        <v>32</v>
      </c>
      <c r="B129" s="126"/>
      <c r="C129" s="126"/>
      <c r="D129" s="142"/>
      <c r="E129" s="143"/>
      <c r="F129" s="126"/>
      <c r="G129" s="126"/>
      <c r="H129" s="126"/>
      <c r="I129" s="600"/>
      <c r="J129" s="600"/>
      <c r="K129" s="600"/>
      <c r="L129" s="126"/>
      <c r="M129" s="126"/>
      <c r="N129" s="600"/>
      <c r="O129" s="126"/>
      <c r="P129" s="188"/>
      <c r="Q129" s="215"/>
      <c r="R129" s="126"/>
      <c r="S129" s="145"/>
      <c r="T129" s="189"/>
      <c r="U129" s="126"/>
    </row>
    <row r="130" spans="1:21" x14ac:dyDescent="0.55000000000000004">
      <c r="A130" s="149">
        <v>31</v>
      </c>
      <c r="B130" s="154" t="str">
        <f>IF(INDEX(MO_SNA_IsHistoricalPeriod,,MATCH(F130,MO_Common_ColumnHeader,0)),"Historical","Forward")</f>
        <v>Historical</v>
      </c>
      <c r="C130" s="126"/>
      <c r="D130" s="161" t="s">
        <v>380</v>
      </c>
      <c r="E130" s="155" t="s">
        <v>730</v>
      </c>
      <c r="F130" s="154" t="s">
        <v>382</v>
      </c>
      <c r="G130" s="154"/>
      <c r="H130" s="126"/>
      <c r="I130" s="186">
        <v>52000</v>
      </c>
      <c r="J130" s="186">
        <v>55000</v>
      </c>
      <c r="K130" s="186">
        <f>AVERAGE(I130:J130)</f>
        <v>53500</v>
      </c>
      <c r="L130" s="126"/>
      <c r="M130" s="154" t="str">
        <f>IF(INDEX(MO_SNA_IsHistoricalPeriod,,MATCH(F130,MO_Common_ColumnHeader,0)),"Actual","Estimate")</f>
        <v>Actual</v>
      </c>
      <c r="N130" s="186">
        <f>INDEX(MO_RIS_COGS,0,MATCH(F130,MO_Common_ColumnHeader,0))+INDEX(MO_RIS_SM,0,MATCH(F130,MO_Common_ColumnHeader,0))+INDEX(MO_RIS_GA,0,MATCH(F130,MO_Common_ColumnHeader,0))+INDEX(MO_RIS_RD,0,MATCH(F130,MO_Common_ColumnHeader,0))</f>
        <v>53294</v>
      </c>
      <c r="O130" s="126"/>
      <c r="P130" s="187">
        <f>IF(ISNUMBER(N130),N130-K130,"N/A")</f>
        <v>-206</v>
      </c>
      <c r="Q130" s="162">
        <f t="shared" si="0"/>
        <v>-3.8504672897196261E-3</v>
      </c>
      <c r="R130" s="126"/>
      <c r="S130" s="157">
        <v>44042</v>
      </c>
      <c r="T130" s="164" t="s">
        <v>404</v>
      </c>
      <c r="U130" s="126"/>
    </row>
    <row r="131" spans="1:21" x14ac:dyDescent="0.55000000000000004">
      <c r="A131" s="149">
        <v>30</v>
      </c>
      <c r="B131" s="154" t="str">
        <f>IF(INDEX(MO_SNA_IsHistoricalPeriod,,MATCH(F131,MO_Common_ColumnHeader,0)),"Historical","Forward")</f>
        <v>Historical</v>
      </c>
      <c r="C131" s="126"/>
      <c r="D131" s="161" t="str">
        <f ca="1">INDEX(INDIRECT(E131),0,COLUMN(MO_Common_Column_A))</f>
        <v>Capex</v>
      </c>
      <c r="E131" s="155" t="s">
        <v>375</v>
      </c>
      <c r="F131" s="154" t="s">
        <v>382</v>
      </c>
      <c r="G131" s="154"/>
      <c r="H131" s="126"/>
      <c r="I131" s="158">
        <v>-16000</v>
      </c>
      <c r="J131" s="158">
        <v>-16000</v>
      </c>
      <c r="K131" s="158">
        <f>AVERAGE(I131:J131)</f>
        <v>-16000</v>
      </c>
      <c r="L131" s="126"/>
      <c r="M131" s="154" t="str">
        <f>IF(INDEX(MO_SNA_IsHistoricalPeriod,,MATCH(F131,MO_Common_ColumnHeader,0)),"Actual","Estimate")</f>
        <v>Actual</v>
      </c>
      <c r="N131" s="158">
        <f ca="1">IFERROR(INDEX(INDIRECT(E131),0,MATCH(F131,MO_Common_ColumnHeader,0)),"N/A")+Model!BS847</f>
        <v>-15719</v>
      </c>
      <c r="O131" s="126"/>
      <c r="P131" s="163">
        <f ca="1">IF(ISNUMBER(N131),N131-K131,"N/A")</f>
        <v>281</v>
      </c>
      <c r="Q131" s="162">
        <f t="shared" ca="1" si="0"/>
        <v>1.7562500000000002E-2</v>
      </c>
      <c r="R131" s="126"/>
      <c r="S131" s="157">
        <v>44042</v>
      </c>
      <c r="T131" s="164" t="s">
        <v>404</v>
      </c>
      <c r="U131" s="126"/>
    </row>
    <row r="132" spans="1:21" x14ac:dyDescent="0.55000000000000004">
      <c r="A132" s="149">
        <v>29</v>
      </c>
      <c r="B132" s="154" t="str">
        <f>IF(INDEX(MO_SNA_IsHistoricalPeriod,,MATCH(F132,MO_Common_ColumnHeader,0)),"Historical","Forward")</f>
        <v>Historical</v>
      </c>
      <c r="C132" s="126"/>
      <c r="D132" s="161" t="s">
        <v>381</v>
      </c>
      <c r="E132" s="155"/>
      <c r="F132" s="154" t="s">
        <v>382</v>
      </c>
      <c r="G132" s="154"/>
      <c r="H132" s="126"/>
      <c r="I132" s="156">
        <v>0.13</v>
      </c>
      <c r="J132" s="156">
        <v>0.17</v>
      </c>
      <c r="K132" s="156">
        <f>AVERAGE(I132:J132)</f>
        <v>0.15000000000000002</v>
      </c>
      <c r="L132" s="126"/>
      <c r="M132" s="154" t="str">
        <f>IF(INDEX(MO_SNA_IsHistoricalPeriod,,MATCH(F132,MO_Common_ColumnHeader,0)),"Actual","Estimate")</f>
        <v>Actual</v>
      </c>
      <c r="N132" s="156">
        <f>INDEX(MO_RIS_TaxRate_Current,0,MATCH(F132,MO_Common_ColumnHeader,0))+INDEX(MO_RIS_TaxRate_Deferred,0,MATCH(F132,MO_Common_ColumnHeader,0))</f>
        <v>0.12157926461723931</v>
      </c>
      <c r="O132" s="126"/>
      <c r="P132" s="162">
        <f>IF(ISNUMBER(N132),N132-K132,"N/A")</f>
        <v>-2.8420735382760715E-2</v>
      </c>
      <c r="Q132" s="162">
        <f t="shared" si="0"/>
        <v>-0.18947156921840475</v>
      </c>
      <c r="R132" s="126"/>
      <c r="S132" s="157">
        <v>44042</v>
      </c>
      <c r="T132" s="164" t="s">
        <v>404</v>
      </c>
      <c r="U132" s="126"/>
    </row>
    <row r="133" spans="1:21" x14ac:dyDescent="0.55000000000000004">
      <c r="A133" s="149">
        <v>28</v>
      </c>
      <c r="B133" s="126"/>
      <c r="C133" s="126"/>
      <c r="D133" s="142"/>
      <c r="E133" s="143"/>
      <c r="F133" s="126"/>
      <c r="G133" s="126"/>
      <c r="H133" s="126"/>
      <c r="I133" s="600"/>
      <c r="J133" s="600"/>
      <c r="K133" s="600"/>
      <c r="L133" s="126"/>
      <c r="M133" s="126"/>
      <c r="N133" s="600"/>
      <c r="O133" s="126"/>
      <c r="P133" s="188"/>
      <c r="Q133" s="215"/>
      <c r="R133" s="126"/>
      <c r="S133" s="145"/>
      <c r="T133" s="189"/>
      <c r="U133" s="126"/>
    </row>
    <row r="134" spans="1:21" x14ac:dyDescent="0.55000000000000004">
      <c r="A134" s="149">
        <v>27</v>
      </c>
      <c r="B134" s="154" t="str">
        <f>IF(INDEX(MO_SNA_IsHistoricalPeriod,,MATCH(F134,MO_Common_ColumnHeader,0)),"Historical","Forward")</f>
        <v>Historical</v>
      </c>
      <c r="C134" s="126"/>
      <c r="D134" s="161" t="str">
        <f ca="1">INDEX(INDIRECT(E134),0,COLUMN(MO_Common_Column_A))</f>
        <v>Y/Y Advertising revenue growth, %</v>
      </c>
      <c r="E134" s="155" t="s">
        <v>1046</v>
      </c>
      <c r="F134" s="154" t="s">
        <v>423</v>
      </c>
      <c r="G134" s="154"/>
      <c r="H134" s="126"/>
      <c r="I134" s="156">
        <v>0.1</v>
      </c>
      <c r="J134" s="156">
        <v>0.1</v>
      </c>
      <c r="K134" s="156">
        <f>AVERAGE(I134:J134)</f>
        <v>0.1</v>
      </c>
      <c r="L134" s="126"/>
      <c r="M134" s="154" t="str">
        <f>IF(INDEX(MO_SNA_IsHistoricalPeriod,,MATCH(F134,MO_Common_ColumnHeader,0)),"Actual","Estimate")</f>
        <v>Actual</v>
      </c>
      <c r="N134" s="156">
        <f ca="1">IFERROR(INDEX(INDIRECT(E134),0,MATCH(F134,MO_Common_ColumnHeader,0)),"N/A")</f>
        <v>0.22079042742909749</v>
      </c>
      <c r="O134" s="126"/>
      <c r="P134" s="162">
        <f ca="1">IF(ISNUMBER(N134),N134-K134,"N/A")</f>
        <v>0.12079042742909749</v>
      </c>
      <c r="Q134" s="162">
        <f t="shared" ca="1" si="0"/>
        <v>1.2079042742909747</v>
      </c>
      <c r="R134" s="126"/>
      <c r="S134" s="157">
        <v>44042</v>
      </c>
      <c r="T134" s="164" t="s">
        <v>404</v>
      </c>
      <c r="U134" s="126"/>
    </row>
    <row r="135" spans="1:21" x14ac:dyDescent="0.55000000000000004">
      <c r="A135" s="149">
        <v>26</v>
      </c>
      <c r="B135" s="126"/>
      <c r="C135" s="126"/>
      <c r="D135" s="142"/>
      <c r="E135" s="143"/>
      <c r="F135" s="126"/>
      <c r="G135" s="126"/>
      <c r="H135" s="126"/>
      <c r="I135" s="600"/>
      <c r="J135" s="600"/>
      <c r="K135" s="600"/>
      <c r="L135" s="126"/>
      <c r="M135" s="126"/>
      <c r="N135" s="600"/>
      <c r="O135" s="126"/>
      <c r="P135" s="188"/>
      <c r="Q135" s="215"/>
      <c r="R135" s="126"/>
      <c r="S135" s="145"/>
      <c r="T135" s="189"/>
      <c r="U135" s="126"/>
    </row>
    <row r="136" spans="1:21" x14ac:dyDescent="0.55000000000000004">
      <c r="A136" s="149">
        <v>25</v>
      </c>
      <c r="B136" s="154" t="str">
        <f>IF(INDEX(MO_SNA_IsHistoricalPeriod,,MATCH(F136,MO_Common_ColumnHeader,0)),"Historical","Forward")</f>
        <v>Historical</v>
      </c>
      <c r="C136" s="126"/>
      <c r="D136" s="161" t="s">
        <v>380</v>
      </c>
      <c r="E136" s="155" t="s">
        <v>730</v>
      </c>
      <c r="F136" s="154" t="s">
        <v>382</v>
      </c>
      <c r="G136" s="154"/>
      <c r="H136" s="126"/>
      <c r="I136" s="186">
        <v>52000</v>
      </c>
      <c r="J136" s="186">
        <v>56000</v>
      </c>
      <c r="K136" s="186">
        <f>AVERAGE(I136:J136)</f>
        <v>54000</v>
      </c>
      <c r="L136" s="126"/>
      <c r="M136" s="154" t="str">
        <f>IF(INDEX(MO_SNA_IsHistoricalPeriod,,MATCH(F136,MO_Common_ColumnHeader,0)),"Actual","Estimate")</f>
        <v>Actual</v>
      </c>
      <c r="N136" s="186">
        <f>INDEX(MO_RIS_COGS,0,MATCH(F136,MO_Common_ColumnHeader,0))+INDEX(MO_RIS_SM,0,MATCH(F136,MO_Common_ColumnHeader,0))+INDEX(MO_RIS_GA,0,MATCH(F136,MO_Common_ColumnHeader,0))+INDEX(MO_RIS_RD,0,MATCH(F136,MO_Common_ColumnHeader,0))</f>
        <v>53294</v>
      </c>
      <c r="O136" s="126"/>
      <c r="P136" s="187">
        <f>IF(ISNUMBER(N136),N136-K136,"N/A")</f>
        <v>-706</v>
      </c>
      <c r="Q136" s="162">
        <f t="shared" si="0"/>
        <v>-1.3074074074074075E-2</v>
      </c>
      <c r="R136" s="126"/>
      <c r="S136" s="157">
        <v>43950</v>
      </c>
      <c r="T136" s="164" t="s">
        <v>404</v>
      </c>
      <c r="U136" s="126"/>
    </row>
    <row r="137" spans="1:21" x14ac:dyDescent="0.55000000000000004">
      <c r="A137" s="149">
        <v>24</v>
      </c>
      <c r="B137" s="154" t="str">
        <f>IF(INDEX(MO_SNA_IsHistoricalPeriod,,MATCH(F137,MO_Common_ColumnHeader,0)),"Historical","Forward")</f>
        <v>Historical</v>
      </c>
      <c r="C137" s="126"/>
      <c r="D137" s="161" t="str">
        <f ca="1">INDEX(INDIRECT(E137),0,COLUMN(MO_Common_Column_A))</f>
        <v>Capex</v>
      </c>
      <c r="E137" s="155" t="s">
        <v>375</v>
      </c>
      <c r="F137" s="154" t="s">
        <v>382</v>
      </c>
      <c r="G137" s="154"/>
      <c r="H137" s="126"/>
      <c r="I137" s="158">
        <v>-14000</v>
      </c>
      <c r="J137" s="158">
        <v>-16000</v>
      </c>
      <c r="K137" s="158">
        <f>AVERAGE(I137:J137)</f>
        <v>-15000</v>
      </c>
      <c r="L137" s="126"/>
      <c r="M137" s="154" t="str">
        <f>IF(INDEX(MO_SNA_IsHistoricalPeriod,,MATCH(F137,MO_Common_ColumnHeader,0)),"Actual","Estimate")</f>
        <v>Actual</v>
      </c>
      <c r="N137" s="158">
        <f ca="1">IFERROR(INDEX(INDIRECT(E137),0,MATCH(F137,MO_Common_ColumnHeader,0)),"N/A")+Model!BS851</f>
        <v>-16323</v>
      </c>
      <c r="O137" s="126"/>
      <c r="P137" s="163">
        <f ca="1">IF(ISNUMBER(N137),N137-K137,"N/A")</f>
        <v>-1323</v>
      </c>
      <c r="Q137" s="162">
        <f t="shared" ca="1" si="0"/>
        <v>-8.8200000000000001E-2</v>
      </c>
      <c r="R137" s="126"/>
      <c r="S137" s="157">
        <v>43950</v>
      </c>
      <c r="T137" s="164" t="s">
        <v>404</v>
      </c>
      <c r="U137" s="126"/>
    </row>
    <row r="138" spans="1:21" x14ac:dyDescent="0.55000000000000004">
      <c r="A138" s="149">
        <v>23</v>
      </c>
      <c r="B138" s="154" t="str">
        <f>IF(INDEX(MO_SNA_IsHistoricalPeriod,,MATCH(F138,MO_Common_ColumnHeader,0)),"Historical","Forward")</f>
        <v>Historical</v>
      </c>
      <c r="C138" s="126"/>
      <c r="D138" s="161" t="s">
        <v>381</v>
      </c>
      <c r="E138" s="155"/>
      <c r="F138" s="154" t="s">
        <v>382</v>
      </c>
      <c r="G138" s="154"/>
      <c r="H138" s="126"/>
      <c r="I138" s="156">
        <v>0.18</v>
      </c>
      <c r="J138" s="156">
        <v>0.18</v>
      </c>
      <c r="K138" s="156">
        <f>AVERAGE(I138:J138)</f>
        <v>0.18</v>
      </c>
      <c r="L138" s="126"/>
      <c r="M138" s="154" t="str">
        <f>IF(INDEX(MO_SNA_IsHistoricalPeriod,,MATCH(F138,MO_Common_ColumnHeader,0)),"Actual","Estimate")</f>
        <v>Actual</v>
      </c>
      <c r="N138" s="156">
        <f>INDEX(MO_RIS_TaxRate_Current,0,MATCH(F138,MO_Common_ColumnHeader,0))+INDEX(MO_RIS_TaxRate_Deferred,0,MATCH(F138,MO_Common_ColumnHeader,0))</f>
        <v>0.12157926461723931</v>
      </c>
      <c r="O138" s="126"/>
      <c r="P138" s="162">
        <f>IF(ISNUMBER(N138),N138-K138,"N/A")</f>
        <v>-5.8420735382760686E-2</v>
      </c>
      <c r="Q138" s="162">
        <f t="shared" si="0"/>
        <v>-0.32455964101533713</v>
      </c>
      <c r="R138" s="126"/>
      <c r="S138" s="157">
        <v>43950</v>
      </c>
      <c r="T138" s="164" t="s">
        <v>404</v>
      </c>
      <c r="U138" s="126"/>
    </row>
    <row r="139" spans="1:21" x14ac:dyDescent="0.55000000000000004">
      <c r="A139" s="149">
        <v>22</v>
      </c>
      <c r="B139" s="126"/>
      <c r="C139" s="126"/>
      <c r="D139" s="142"/>
      <c r="E139" s="143"/>
      <c r="F139" s="126"/>
      <c r="G139" s="126"/>
      <c r="H139" s="126"/>
      <c r="I139" s="600"/>
      <c r="J139" s="600"/>
      <c r="K139" s="600"/>
      <c r="L139" s="126"/>
      <c r="M139" s="126"/>
      <c r="N139" s="600"/>
      <c r="O139" s="126"/>
      <c r="P139" s="188"/>
      <c r="Q139" s="215"/>
      <c r="R139" s="126"/>
      <c r="S139" s="145"/>
      <c r="T139" s="189"/>
      <c r="U139" s="126"/>
    </row>
    <row r="140" spans="1:21" x14ac:dyDescent="0.55000000000000004">
      <c r="A140" s="149">
        <v>21</v>
      </c>
      <c r="B140" s="154" t="str">
        <f>IF(INDEX(MO_SNA_IsHistoricalPeriod,,MATCH(F140,MO_Common_ColumnHeader,0)),"Historical","Forward")</f>
        <v>Historical</v>
      </c>
      <c r="C140" s="126"/>
      <c r="D140" s="161" t="s">
        <v>380</v>
      </c>
      <c r="E140" s="155" t="s">
        <v>730</v>
      </c>
      <c r="F140" s="154" t="s">
        <v>382</v>
      </c>
      <c r="G140" s="154"/>
      <c r="H140" s="126"/>
      <c r="I140" s="186">
        <v>54000</v>
      </c>
      <c r="J140" s="186">
        <v>59000</v>
      </c>
      <c r="K140" s="186">
        <f>AVERAGE(I140:J140)</f>
        <v>56500</v>
      </c>
      <c r="L140" s="126"/>
      <c r="M140" s="154" t="str">
        <f>IF(INDEX(MO_SNA_IsHistoricalPeriod,,MATCH(F140,MO_Common_ColumnHeader,0)),"Actual","Estimate")</f>
        <v>Actual</v>
      </c>
      <c r="N140" s="186">
        <f>INDEX(MO_RIS_COGS,0,MATCH(F140,MO_Common_ColumnHeader,0))+INDEX(MO_RIS_SM,0,MATCH(F140,MO_Common_ColumnHeader,0))+INDEX(MO_RIS_GA,0,MATCH(F140,MO_Common_ColumnHeader,0))+INDEX(MO_RIS_RD,0,MATCH(F140,MO_Common_ColumnHeader,0))</f>
        <v>53294</v>
      </c>
      <c r="O140" s="126"/>
      <c r="P140" s="187">
        <f>IF(ISNUMBER(N140),N140-K140,"N/A")</f>
        <v>-3206</v>
      </c>
      <c r="Q140" s="162">
        <f>IFERROR(IF(ISNUMBER(N140),(N140-K140)/ABS(K140),"N/A"),"N/A")</f>
        <v>-5.6743362831858407E-2</v>
      </c>
      <c r="R140" s="126"/>
      <c r="S140" s="157">
        <v>43859</v>
      </c>
      <c r="T140" s="164" t="s">
        <v>374</v>
      </c>
      <c r="U140" s="126"/>
    </row>
    <row r="141" spans="1:21" x14ac:dyDescent="0.55000000000000004">
      <c r="A141" s="149">
        <v>20</v>
      </c>
      <c r="B141" s="154" t="str">
        <f>IF(INDEX(MO_SNA_IsHistoricalPeriod,,MATCH(F141,MO_Common_ColumnHeader,0)),"Historical","Forward")</f>
        <v>Historical</v>
      </c>
      <c r="C141" s="126"/>
      <c r="D141" s="161" t="str">
        <f ca="1">INDEX(INDIRECT(E141),0,COLUMN(MO_Common_Column_A))</f>
        <v>Capex</v>
      </c>
      <c r="E141" s="155" t="s">
        <v>375</v>
      </c>
      <c r="F141" s="154" t="s">
        <v>382</v>
      </c>
      <c r="G141" s="154"/>
      <c r="H141" s="126"/>
      <c r="I141" s="158">
        <v>-19000</v>
      </c>
      <c r="J141" s="158">
        <v>-17000</v>
      </c>
      <c r="K141" s="158">
        <f>AVERAGE(I141:J141)</f>
        <v>-18000</v>
      </c>
      <c r="L141" s="126"/>
      <c r="M141" s="154" t="str">
        <f>IF(INDEX(MO_SNA_IsHistoricalPeriod,,MATCH(F141,MO_Common_ColumnHeader,0)),"Actual","Estimate")</f>
        <v>Actual</v>
      </c>
      <c r="N141" s="158">
        <f ca="1">IFERROR(INDEX(INDIRECT(E141),0,MATCH(F141,MO_Common_ColumnHeader,0)),"N/A")+Model!BR843</f>
        <v>-15719</v>
      </c>
      <c r="O141" s="126"/>
      <c r="P141" s="163">
        <f ca="1">IF(ISNUMBER(N141),N141-K141,"N/A")</f>
        <v>2281</v>
      </c>
      <c r="Q141" s="162">
        <f ca="1">IFERROR(IF(ISNUMBER(N141),(N141-K141)/ABS(K141),"N/A"),"N/A")</f>
        <v>0.12672222222222224</v>
      </c>
      <c r="R141" s="126"/>
      <c r="S141" s="157">
        <v>43859</v>
      </c>
      <c r="T141" s="164" t="s">
        <v>374</v>
      </c>
      <c r="U141" s="126"/>
    </row>
    <row r="142" spans="1:21" x14ac:dyDescent="0.55000000000000004">
      <c r="A142" s="149">
        <v>19</v>
      </c>
      <c r="B142" s="126"/>
      <c r="C142" s="126"/>
      <c r="D142" s="142"/>
      <c r="E142" s="143"/>
      <c r="F142" s="126"/>
      <c r="G142" s="126"/>
      <c r="H142" s="126"/>
      <c r="I142" s="600"/>
      <c r="J142" s="600"/>
      <c r="K142" s="600"/>
      <c r="L142" s="126"/>
      <c r="M142" s="126"/>
      <c r="N142" s="600"/>
      <c r="O142" s="126"/>
      <c r="P142" s="188"/>
      <c r="Q142" s="215"/>
      <c r="R142" s="126"/>
      <c r="S142" s="145"/>
      <c r="T142" s="189"/>
      <c r="U142" s="126"/>
    </row>
    <row r="143" spans="1:21" x14ac:dyDescent="0.55000000000000004">
      <c r="A143" s="149">
        <v>18</v>
      </c>
      <c r="B143" s="154" t="str">
        <f>IF(INDEX(MO_SNA_IsHistoricalPeriod,,MATCH(F143,MO_Common_ColumnHeader,0)),"Historical","Forward")</f>
        <v>Historical</v>
      </c>
      <c r="C143" s="126"/>
      <c r="D143" s="161" t="str">
        <f ca="1">INDEX(INDIRECT(E143),0,COLUMN(MO_Common_Column_A))</f>
        <v>Y/Y Total revenue growth, %</v>
      </c>
      <c r="E143" s="155" t="s">
        <v>370</v>
      </c>
      <c r="F143" s="154" t="s">
        <v>401</v>
      </c>
      <c r="G143" s="154"/>
      <c r="H143" s="126"/>
      <c r="I143" s="156">
        <v>0.19</v>
      </c>
      <c r="J143" s="156">
        <v>0.23</v>
      </c>
      <c r="K143" s="156">
        <f>AVERAGE(I143:J143)</f>
        <v>0.21000000000000002</v>
      </c>
      <c r="L143" s="126"/>
      <c r="M143" s="154" t="str">
        <f>IF(INDEX(MO_SNA_IsHistoricalPeriod,,MATCH(F143,MO_Common_ColumnHeader,0)),"Actual","Estimate")</f>
        <v>Actual</v>
      </c>
      <c r="N143" s="156">
        <f ca="1">IFERROR(INDEX(INDIRECT(E143),0,MATCH(F143,MO_Common_ColumnHeader,0)),"N/A")</f>
        <v>0.17642767128739134</v>
      </c>
      <c r="O143" s="126"/>
      <c r="P143" s="162">
        <f ca="1">IF(ISNUMBER(N143),N143-K143,"N/A")</f>
        <v>-3.3572328712608679E-2</v>
      </c>
      <c r="Q143" s="162">
        <f t="shared" ca="1" si="0"/>
        <v>-0.15986823196480321</v>
      </c>
      <c r="R143" s="126"/>
      <c r="S143" s="157">
        <v>43859</v>
      </c>
      <c r="T143" s="164" t="s">
        <v>374</v>
      </c>
      <c r="U143" s="126"/>
    </row>
    <row r="144" spans="1:21" x14ac:dyDescent="0.55000000000000004">
      <c r="A144" s="149">
        <v>17</v>
      </c>
      <c r="B144" s="154" t="str">
        <f>IF(INDEX(MO_SNA_IsHistoricalPeriod,,MATCH(F144,MO_Common_ColumnHeader,0)),"Historical","Forward")</f>
        <v>Historical</v>
      </c>
      <c r="C144" s="126"/>
      <c r="D144" s="161" t="s">
        <v>381</v>
      </c>
      <c r="E144" s="155"/>
      <c r="F144" s="154" t="s">
        <v>401</v>
      </c>
      <c r="G144" s="154"/>
      <c r="H144" s="126"/>
      <c r="I144" s="156">
        <v>0.18</v>
      </c>
      <c r="J144" s="156">
        <v>0.18</v>
      </c>
      <c r="K144" s="156">
        <f>AVERAGE(I144:J144)</f>
        <v>0.18</v>
      </c>
      <c r="L144" s="126"/>
      <c r="M144" s="154" t="str">
        <f>IF(INDEX(MO_SNA_IsHistoricalPeriod,,MATCH(F144,MO_Common_ColumnHeader,0)),"Actual","Estimate")</f>
        <v>Actual</v>
      </c>
      <c r="N144" s="156">
        <f>INDEX(MO_RIS_TaxRate_Current,0,MATCH(F144,MO_Common_ColumnHeader,0))+INDEX(MO_RIS_TaxRate_Deferred,0,MATCH(F144,MO_Common_ColumnHeader,0))</f>
        <v>0.16362395495649207</v>
      </c>
      <c r="O144" s="126"/>
      <c r="P144" s="162">
        <f>IF(ISNUMBER(N144),N144-K144,"N/A")</f>
        <v>-1.6376045043507925E-2</v>
      </c>
      <c r="Q144" s="162">
        <f t="shared" si="0"/>
        <v>-9.0978028019488483E-2</v>
      </c>
      <c r="R144" s="126"/>
      <c r="S144" s="157">
        <v>43859</v>
      </c>
      <c r="T144" s="164" t="s">
        <v>374</v>
      </c>
      <c r="U144" s="126"/>
    </row>
    <row r="145" spans="1:21" x14ac:dyDescent="0.55000000000000004">
      <c r="A145" s="149">
        <v>16</v>
      </c>
      <c r="B145" s="126"/>
      <c r="C145" s="126"/>
      <c r="D145" s="142"/>
      <c r="E145" s="143"/>
      <c r="F145" s="126"/>
      <c r="G145" s="126"/>
      <c r="H145" s="126"/>
      <c r="I145" s="600"/>
      <c r="J145" s="600"/>
      <c r="K145" s="600"/>
      <c r="L145" s="126"/>
      <c r="M145" s="126"/>
      <c r="N145" s="600"/>
      <c r="O145" s="126"/>
      <c r="P145" s="188"/>
      <c r="Q145" s="215"/>
      <c r="R145" s="126"/>
      <c r="S145" s="145"/>
      <c r="T145" s="189"/>
      <c r="U145" s="126"/>
    </row>
    <row r="146" spans="1:21" x14ac:dyDescent="0.55000000000000004">
      <c r="A146" s="149">
        <v>15</v>
      </c>
      <c r="B146" s="154" t="str">
        <f>IF(INDEX(MO_SNA_IsHistoricalPeriod,,MATCH(F146,MO_Common_ColumnHeader,0)),"Historical","Forward")</f>
        <v>Historical</v>
      </c>
      <c r="C146" s="126"/>
      <c r="D146" s="161" t="s">
        <v>380</v>
      </c>
      <c r="E146" s="155" t="s">
        <v>730</v>
      </c>
      <c r="F146" s="154" t="s">
        <v>382</v>
      </c>
      <c r="G146" s="154"/>
      <c r="H146" s="126"/>
      <c r="I146" s="186">
        <v>54000</v>
      </c>
      <c r="J146" s="186">
        <v>59000</v>
      </c>
      <c r="K146" s="186">
        <f>AVERAGE(I146:J146)</f>
        <v>56500</v>
      </c>
      <c r="L146" s="126"/>
      <c r="M146" s="154" t="str">
        <f>IF(INDEX(MO_SNA_IsHistoricalPeriod,,MATCH(F146,MO_Common_ColumnHeader,0)),"Actual","Estimate")</f>
        <v>Actual</v>
      </c>
      <c r="N146" s="186">
        <f>INDEX(MO_RIS_COGS,0,MATCH(F146,MO_Common_ColumnHeader,0))+INDEX(MO_RIS_SM,0,MATCH(F146,MO_Common_ColumnHeader,0))+INDEX(MO_RIS_GA,0,MATCH(F146,MO_Common_ColumnHeader,0))+INDEX(MO_RIS_RD,0,MATCH(F146,MO_Common_ColumnHeader,0))</f>
        <v>53294</v>
      </c>
      <c r="O146" s="126"/>
      <c r="P146" s="187">
        <f>IF(ISNUMBER(N146),N146-K146,"N/A")</f>
        <v>-3206</v>
      </c>
      <c r="Q146" s="162">
        <f>IFERROR(IF(ISNUMBER(N146),(N146-K146)/ABS(K146),"N/A"),"N/A")</f>
        <v>-5.6743362831858407E-2</v>
      </c>
      <c r="R146" s="126"/>
      <c r="S146" s="157">
        <v>43768</v>
      </c>
      <c r="T146" s="164" t="s">
        <v>374</v>
      </c>
      <c r="U146" s="126"/>
    </row>
    <row r="147" spans="1:21" x14ac:dyDescent="0.55000000000000004">
      <c r="A147" s="149">
        <v>14</v>
      </c>
      <c r="B147" s="154" t="str">
        <f>IF(INDEX(MO_SNA_IsHistoricalPeriod,,MATCH(F147,MO_Common_ColumnHeader,0)),"Historical","Forward")</f>
        <v>Historical</v>
      </c>
      <c r="C147" s="126"/>
      <c r="D147" s="161" t="str">
        <f ca="1">INDEX(INDIRECT(E147),0,COLUMN(MO_Common_Column_A))</f>
        <v>Capex</v>
      </c>
      <c r="E147" s="155" t="s">
        <v>375</v>
      </c>
      <c r="F147" s="154" t="s">
        <v>382</v>
      </c>
      <c r="G147" s="154"/>
      <c r="H147" s="126"/>
      <c r="I147" s="186">
        <v>-17000</v>
      </c>
      <c r="J147" s="186">
        <v>-19000</v>
      </c>
      <c r="K147" s="186">
        <f>AVERAGE(I147:J147)</f>
        <v>-18000</v>
      </c>
      <c r="L147" s="126"/>
      <c r="M147" s="186" t="str">
        <f>IF(INDEX(MO_SNA_IsHistoricalPeriod,,MATCH(F147,MO_Common_ColumnHeader,0)),"Actual","Estimate")</f>
        <v>Actual</v>
      </c>
      <c r="N147" s="186">
        <f ca="1">IFERROR(INDEX(INDIRECT(E147),0,MATCH(F147,MO_Common_ColumnHeader,0)),"N/A")+Model!BS851</f>
        <v>-16323</v>
      </c>
      <c r="O147" s="126"/>
      <c r="P147" s="187">
        <f ca="1">IF(ISNUMBER(N147),N147-K147,"N/A")</f>
        <v>1677</v>
      </c>
      <c r="Q147" s="162">
        <f ca="1">IFERROR(IF(ISNUMBER(N147),(N147-K147)/ABS(K147),"N/A"),"N/A")</f>
        <v>9.3166666666666662E-2</v>
      </c>
      <c r="R147" s="126"/>
      <c r="S147" s="157">
        <v>43768</v>
      </c>
      <c r="T147" s="164" t="s">
        <v>374</v>
      </c>
      <c r="U147" s="126"/>
    </row>
    <row r="148" spans="1:21" x14ac:dyDescent="0.55000000000000004">
      <c r="A148" s="149">
        <v>13</v>
      </c>
      <c r="B148" s="154" t="str">
        <f>IF(INDEX(MO_SNA_IsHistoricalPeriod,,MATCH(F148,MO_Common_ColumnHeader,0)),"Historical","Forward")</f>
        <v>Historical</v>
      </c>
      <c r="C148" s="126"/>
      <c r="D148" s="161" t="s">
        <v>381</v>
      </c>
      <c r="E148" s="155"/>
      <c r="F148" s="154" t="s">
        <v>382</v>
      </c>
      <c r="G148" s="154"/>
      <c r="H148" s="126"/>
      <c r="I148" s="156">
        <v>0.18</v>
      </c>
      <c r="J148" s="156">
        <v>0.2</v>
      </c>
      <c r="K148" s="156">
        <f>AVERAGE(I148:J148)</f>
        <v>0.19</v>
      </c>
      <c r="L148" s="126"/>
      <c r="M148" s="154" t="str">
        <f>IF(INDEX(MO_SNA_IsHistoricalPeriod,,MATCH(F148,MO_Common_ColumnHeader,0)),"Actual","Estimate")</f>
        <v>Actual</v>
      </c>
      <c r="N148" s="156">
        <f>INDEX(MO_RIS_TaxRate_Current,0,MATCH(F148,MO_Common_ColumnHeader,0))+INDEX(MO_RIS_TaxRate_Deferred,0,MATCH(F148,MO_Common_ColumnHeader,0))</f>
        <v>0.12157926461723931</v>
      </c>
      <c r="O148" s="126"/>
      <c r="P148" s="162">
        <f>IF(ISNUMBER(N148),N148-K148,"N/A")</f>
        <v>-6.8420735382760695E-2</v>
      </c>
      <c r="Q148" s="162">
        <f>IFERROR(IF(ISNUMBER(N148),(N148-K148)/ABS(K148),"N/A"),"N/A")</f>
        <v>-0.36010913359347735</v>
      </c>
      <c r="R148" s="126"/>
      <c r="S148" s="157">
        <v>43768</v>
      </c>
      <c r="T148" s="164" t="s">
        <v>374</v>
      </c>
      <c r="U148" s="126"/>
    </row>
    <row r="149" spans="1:21" x14ac:dyDescent="0.55000000000000004">
      <c r="A149" s="149">
        <v>12</v>
      </c>
      <c r="B149" s="126"/>
      <c r="C149" s="126"/>
      <c r="D149" s="142"/>
      <c r="E149" s="143"/>
      <c r="F149" s="126"/>
      <c r="G149" s="126"/>
      <c r="H149" s="126"/>
      <c r="I149" s="600"/>
      <c r="J149" s="600"/>
      <c r="K149" s="600"/>
      <c r="L149" s="126"/>
      <c r="M149" s="126"/>
      <c r="N149" s="600"/>
      <c r="O149" s="126"/>
      <c r="P149" s="188"/>
      <c r="Q149" s="215"/>
      <c r="R149" s="126"/>
      <c r="S149" s="145"/>
      <c r="T149" s="189"/>
      <c r="U149" s="126"/>
    </row>
    <row r="150" spans="1:21" x14ac:dyDescent="0.55000000000000004">
      <c r="A150" s="149">
        <v>11</v>
      </c>
      <c r="B150" s="154" t="str">
        <f>IF(INDEX(MO_SNA_IsHistoricalPeriod,,MATCH(F150,MO_Common_ColumnHeader,0)),"Historical","Forward")</f>
        <v>Historical</v>
      </c>
      <c r="C150" s="126"/>
      <c r="D150" s="161" t="s">
        <v>380</v>
      </c>
      <c r="E150" s="155" t="s">
        <v>730</v>
      </c>
      <c r="F150" s="154" t="s">
        <v>373</v>
      </c>
      <c r="G150" s="154"/>
      <c r="H150" s="126"/>
      <c r="I150" s="186">
        <v>46000</v>
      </c>
      <c r="J150" s="186">
        <v>48000</v>
      </c>
      <c r="K150" s="186">
        <f>AVERAGE(I150:J150)</f>
        <v>47000</v>
      </c>
      <c r="L150" s="126"/>
      <c r="M150" s="154" t="str">
        <f>IF(INDEX(MO_SNA_IsHistoricalPeriod,,MATCH(F150,MO_Common_ColumnHeader,0)),"Actual","Estimate")</f>
        <v>Actual</v>
      </c>
      <c r="N150" s="186">
        <f>INDEX(MO_RIS_COGS,0,MATCH(F150,MO_Common_ColumnHeader,0))+INDEX(MO_RIS_SM,0,MATCH(F150,MO_Common_ColumnHeader,0))+INDEX(MO_RIS_GA,0,MATCH(F150,MO_Common_ColumnHeader,0))+INDEX(MO_RIS_RD,0,MATCH(F150,MO_Common_ColumnHeader,0))</f>
        <v>46711</v>
      </c>
      <c r="O150" s="126"/>
      <c r="P150" s="187">
        <f>IF(ISNUMBER(N150),N150-K150,"N/A")</f>
        <v>-289</v>
      </c>
      <c r="Q150" s="162">
        <f>IFERROR(IF(ISNUMBER(N150),(N150-K150)/ABS(K150),"N/A"),"N/A")</f>
        <v>-6.1489361702127656E-3</v>
      </c>
      <c r="R150" s="126"/>
      <c r="S150" s="157">
        <v>43768</v>
      </c>
      <c r="T150" s="164" t="s">
        <v>374</v>
      </c>
      <c r="U150" s="126"/>
    </row>
    <row r="151" spans="1:21" x14ac:dyDescent="0.55000000000000004">
      <c r="A151" s="149">
        <v>10</v>
      </c>
      <c r="B151" s="154" t="str">
        <f>IF(INDEX(MO_SNA_IsHistoricalPeriod,,MATCH(F151,MO_Common_ColumnHeader,0)),"Historical","Forward")</f>
        <v>Historical</v>
      </c>
      <c r="C151" s="126"/>
      <c r="D151" s="161" t="str">
        <f ca="1">INDEX(INDIRECT(E151),0,COLUMN(MO_Common_Column_A))</f>
        <v>Capex</v>
      </c>
      <c r="E151" s="155" t="s">
        <v>375</v>
      </c>
      <c r="F151" s="154" t="s">
        <v>373</v>
      </c>
      <c r="G151" s="154"/>
      <c r="H151" s="126"/>
      <c r="I151" s="158">
        <v>-16000</v>
      </c>
      <c r="J151" s="158">
        <v>-16000</v>
      </c>
      <c r="K151" s="158">
        <f>AVERAGE(I151:J151)</f>
        <v>-16000</v>
      </c>
      <c r="L151" s="126"/>
      <c r="M151" s="154" t="str">
        <f>IF(INDEX(MO_SNA_IsHistoricalPeriod,,MATCH(F151,MO_Common_ColumnHeader,0)),"Actual","Estimate")</f>
        <v>Actual</v>
      </c>
      <c r="N151" s="158">
        <f ca="1">IFERROR(INDEX(INDIRECT(E151),0,MATCH(F151,MO_Common_ColumnHeader,0)),"N/A")+Model!BR851</f>
        <v>-16206</v>
      </c>
      <c r="O151" s="126"/>
      <c r="P151" s="163">
        <f ca="1">IF(ISNUMBER(N151),N151-K151,"N/A")</f>
        <v>-206</v>
      </c>
      <c r="Q151" s="162">
        <f ca="1">IFERROR(IF(ISNUMBER(N151),(N151-K151)/ABS(K151),"N/A"),"N/A")</f>
        <v>-1.2874999999999999E-2</v>
      </c>
      <c r="R151" s="126"/>
      <c r="S151" s="157">
        <v>43768</v>
      </c>
      <c r="T151" s="164" t="s">
        <v>374</v>
      </c>
      <c r="U151" s="126"/>
    </row>
    <row r="152" spans="1:21" x14ac:dyDescent="0.55000000000000004">
      <c r="A152" s="149">
        <v>9</v>
      </c>
      <c r="B152" s="126"/>
      <c r="C152" s="126"/>
      <c r="D152" s="142"/>
      <c r="E152" s="143"/>
      <c r="F152" s="126"/>
      <c r="G152" s="126"/>
      <c r="H152" s="126"/>
      <c r="I152" s="600"/>
      <c r="J152" s="600"/>
      <c r="K152" s="600"/>
      <c r="L152" s="126"/>
      <c r="M152" s="126"/>
      <c r="N152" s="600"/>
      <c r="O152" s="126"/>
      <c r="P152" s="188"/>
      <c r="Q152" s="215"/>
      <c r="R152" s="126"/>
      <c r="S152" s="145"/>
      <c r="T152" s="189"/>
      <c r="U152" s="126"/>
    </row>
    <row r="153" spans="1:21" x14ac:dyDescent="0.55000000000000004">
      <c r="A153" s="149">
        <v>8</v>
      </c>
      <c r="B153" s="154" t="str">
        <f t="shared" ref="B153:B154" si="1">IF(INDEX(MO_SNA_IsHistoricalPeriod,,MATCH(F153,MO_Common_ColumnHeader,0)),"Historical","Forward")</f>
        <v>Historical</v>
      </c>
      <c r="C153" s="126"/>
      <c r="D153" s="161" t="str">
        <f ca="1">INDEX(INDIRECT(E153),0,COLUMN(MO_Common_Column_A))</f>
        <v>Y/Y Total revenue growth, %</v>
      </c>
      <c r="E153" s="155" t="s">
        <v>370</v>
      </c>
      <c r="F153" s="154" t="s">
        <v>379</v>
      </c>
      <c r="G153" s="154"/>
      <c r="H153" s="126"/>
      <c r="I153" s="156">
        <v>0.25</v>
      </c>
      <c r="J153" s="156">
        <v>0.28000000000000003</v>
      </c>
      <c r="K153" s="156">
        <f t="shared" ref="K153:K154" si="2">AVERAGE(I153:J153)</f>
        <v>0.26500000000000001</v>
      </c>
      <c r="L153" s="126"/>
      <c r="M153" s="154" t="str">
        <f t="shared" ref="M153:M154" si="3">IF(INDEX(MO_SNA_IsHistoricalPeriod,,MATCH(F153,MO_Common_ColumnHeader,0)),"Actual","Estimate")</f>
        <v>Actual</v>
      </c>
      <c r="N153" s="156">
        <f ca="1">IFERROR(INDEX(INDIRECT(E153),0,MATCH(F153,MO_Common_ColumnHeader,0)),"N/A")</f>
        <v>0.2464230814709707</v>
      </c>
      <c r="O153" s="126"/>
      <c r="P153" s="162">
        <f t="shared" ref="P153:P154" ca="1" si="4">IF(ISNUMBER(N153),N153-K153,"N/A")</f>
        <v>-1.8576918529029318E-2</v>
      </c>
      <c r="Q153" s="162">
        <f t="shared" ca="1" si="0"/>
        <v>-7.0101579354827609E-2</v>
      </c>
      <c r="R153" s="126"/>
      <c r="S153" s="157">
        <v>43768</v>
      </c>
      <c r="T153" s="164" t="s">
        <v>374</v>
      </c>
      <c r="U153" s="126"/>
    </row>
    <row r="154" spans="1:21" x14ac:dyDescent="0.55000000000000004">
      <c r="A154" s="149">
        <v>7</v>
      </c>
      <c r="B154" s="154" t="str">
        <f t="shared" si="1"/>
        <v>Historical</v>
      </c>
      <c r="C154" s="126"/>
      <c r="D154" s="161" t="s">
        <v>381</v>
      </c>
      <c r="E154" s="155"/>
      <c r="F154" s="154" t="s">
        <v>379</v>
      </c>
      <c r="G154" s="154"/>
      <c r="H154" s="126"/>
      <c r="I154" s="156">
        <v>0.18</v>
      </c>
      <c r="J154" s="156">
        <v>0.2</v>
      </c>
      <c r="K154" s="156">
        <f t="shared" si="2"/>
        <v>0.19</v>
      </c>
      <c r="L154" s="126"/>
      <c r="M154" s="154" t="str">
        <f t="shared" si="3"/>
        <v>Actual</v>
      </c>
      <c r="N154" s="156">
        <f>INDEX(MO_RIS_TaxRate_Current,0,MATCH(F154,MO_Common_ColumnHeader,0))+INDEX(MO_RIS_TaxRate_Deferred,0,MATCH(F154,MO_Common_ColumnHeader,0))</f>
        <v>0.19849492856363835</v>
      </c>
      <c r="O154" s="126"/>
      <c r="P154" s="162">
        <f t="shared" si="4"/>
        <v>8.4949285636383431E-3</v>
      </c>
      <c r="Q154" s="162">
        <f t="shared" si="0"/>
        <v>4.471015033493865E-2</v>
      </c>
      <c r="R154" s="126"/>
      <c r="S154" s="157">
        <v>43768</v>
      </c>
      <c r="T154" s="164" t="s">
        <v>374</v>
      </c>
      <c r="U154" s="126"/>
    </row>
    <row r="155" spans="1:21" x14ac:dyDescent="0.55000000000000004">
      <c r="A155" s="149">
        <v>6</v>
      </c>
      <c r="B155" s="126"/>
      <c r="C155" s="126"/>
      <c r="D155" s="142"/>
      <c r="E155" s="143"/>
      <c r="F155" s="126"/>
      <c r="G155" s="126"/>
      <c r="H155" s="126"/>
      <c r="I155" s="600"/>
      <c r="J155" s="600"/>
      <c r="K155" s="600"/>
      <c r="L155" s="126"/>
      <c r="M155" s="126"/>
      <c r="N155" s="600"/>
      <c r="O155" s="126"/>
      <c r="P155" s="188"/>
      <c r="Q155" s="215"/>
      <c r="R155" s="126"/>
      <c r="S155" s="145"/>
      <c r="T155" s="189"/>
      <c r="U155" s="126"/>
    </row>
    <row r="156" spans="1:21" x14ac:dyDescent="0.55000000000000004">
      <c r="A156" s="149">
        <v>5</v>
      </c>
      <c r="B156" s="154" t="str">
        <f>IF(INDEX(MO_SNA_IsHistoricalPeriod,,MATCH(F156,MO_Common_ColumnHeader,0)),"Historical","Forward")</f>
        <v>Historical</v>
      </c>
      <c r="C156" s="126"/>
      <c r="D156" s="161" t="str">
        <f ca="1">INDEX(INDIRECT(E156),0,COLUMN(MO_Common_Column_A))</f>
        <v>Y/Y Total revenue growth, %</v>
      </c>
      <c r="E156" s="155" t="s">
        <v>370</v>
      </c>
      <c r="F156" s="154" t="s">
        <v>373</v>
      </c>
      <c r="G156" s="154"/>
      <c r="H156" s="126"/>
      <c r="I156" s="156">
        <v>0.2</v>
      </c>
      <c r="J156" s="156">
        <v>0.2</v>
      </c>
      <c r="K156" s="156">
        <f>AVERAGE(I156:J156)</f>
        <v>0.2</v>
      </c>
      <c r="L156" s="126"/>
      <c r="M156" s="154" t="str">
        <f>IF(INDEX(MO_SNA_IsHistoricalPeriod,,MATCH(F156,MO_Common_ColumnHeader,0)),"Actual","Estimate")</f>
        <v>Actual</v>
      </c>
      <c r="N156" s="156">
        <f ca="1">IFERROR(INDEX(INDIRECT(E156),0,MATCH(F156,MO_Common_ColumnHeader,0)),"N/A")</f>
        <v>0.26610910132884413</v>
      </c>
      <c r="O156" s="126"/>
      <c r="P156" s="162">
        <f ca="1">IF(ISNUMBER(N156),N156-K156,"N/A")</f>
        <v>6.6109101328844122E-2</v>
      </c>
      <c r="Q156" s="162">
        <f ca="1">IFERROR(IF(ISNUMBER(N156),(N156-K156)/ABS(K156),"N/A"),"N/A")</f>
        <v>0.33054550664422061</v>
      </c>
      <c r="R156" s="126"/>
      <c r="S156" s="157">
        <v>43699</v>
      </c>
      <c r="T156" s="164" t="s">
        <v>374</v>
      </c>
      <c r="U156" s="126"/>
    </row>
    <row r="157" spans="1:21" x14ac:dyDescent="0.55000000000000004">
      <c r="A157" s="149">
        <v>4</v>
      </c>
      <c r="B157" s="154" t="str">
        <f>IF(INDEX(MO_SNA_IsHistoricalPeriod,,MATCH(F157,MO_Common_ColumnHeader,0)),"Historical","Forward")</f>
        <v>Historical</v>
      </c>
      <c r="C157" s="126"/>
      <c r="D157" s="161" t="str">
        <f ca="1">INDEX(INDIRECT(E157),0,COLUMN(MO_Common_Column_A))</f>
        <v>Capex</v>
      </c>
      <c r="E157" s="155" t="s">
        <v>375</v>
      </c>
      <c r="F157" s="154" t="s">
        <v>373</v>
      </c>
      <c r="G157" s="154"/>
      <c r="H157" s="126"/>
      <c r="I157" s="158">
        <v>-16000</v>
      </c>
      <c r="J157" s="158">
        <v>-18000</v>
      </c>
      <c r="K157" s="158">
        <f>AVERAGE(I157:J157)</f>
        <v>-17000</v>
      </c>
      <c r="L157" s="126"/>
      <c r="M157" s="154" t="str">
        <f>IF(INDEX(MO_SNA_IsHistoricalPeriod,,MATCH(F157,MO_Common_ColumnHeader,0)),"Actual","Estimate")</f>
        <v>Actual</v>
      </c>
      <c r="N157" s="158">
        <f ca="1">IFERROR(INDEX(INDIRECT(E157),0,MATCH(F157,MO_Common_ColumnHeader,0)),"N/A")</f>
        <v>-15654</v>
      </c>
      <c r="O157" s="126"/>
      <c r="P157" s="163">
        <f ca="1">IF(ISNUMBER(N157),N157-K157,"N/A")</f>
        <v>1346</v>
      </c>
      <c r="Q157" s="162">
        <f ca="1">IFERROR(IF(ISNUMBER(N157),(N157-K157)/ABS(K157),"N/A"),"N/A")</f>
        <v>7.9176470588235293E-2</v>
      </c>
      <c r="R157" s="126"/>
      <c r="S157" s="157">
        <v>43699</v>
      </c>
      <c r="T157" s="164" t="s">
        <v>374</v>
      </c>
      <c r="U157" s="126"/>
    </row>
    <row r="158" spans="1:21" x14ac:dyDescent="0.55000000000000004">
      <c r="A158" s="149">
        <v>3</v>
      </c>
      <c r="B158" s="154" t="str">
        <f>IF(INDEX(MO_SNA_IsHistoricalPeriod,,MATCH(F158,MO_Common_ColumnHeader,0)),"Historical","Forward")</f>
        <v>Historical</v>
      </c>
      <c r="C158" s="126"/>
      <c r="D158" s="161" t="s">
        <v>372</v>
      </c>
      <c r="E158" s="155"/>
      <c r="F158" s="154" t="s">
        <v>373</v>
      </c>
      <c r="G158" s="154" t="s">
        <v>391</v>
      </c>
      <c r="H158" s="126"/>
      <c r="I158" s="156">
        <v>0.53</v>
      </c>
      <c r="J158" s="156">
        <v>0.61</v>
      </c>
      <c r="K158" s="156">
        <f>AVERAGE(I158:J158)</f>
        <v>0.57000000000000006</v>
      </c>
      <c r="L158" s="126"/>
      <c r="M158" s="154" t="str">
        <f>IF(INDEX(MO_SNA_IsHistoricalPeriod,,MATCH(F158,MO_Common_ColumnHeader,0)),"Actual","Estimate")</f>
        <v>Actual</v>
      </c>
      <c r="N158" s="156">
        <f>(-IFERROR(INDEX(MO_RIS_EBIT,0,MATCH(F158,MO_Common_ColumnHeader,0)),"N/A")+IFERROR(INDEX(MO_RIS_REV,0,MATCH(F158,MO_Common_ColumnHeader,0)),"N/A"))/(-IFERROR(INDEX(MO_RIS_EBIT,0,MATCH(G158,MO_Common_ColumnHeader,0)),"N/A")+IFERROR(INDEX(MO_RIS_REV,0,MATCH(G158,MO_Common_ColumnHeader,0)),"N/A"))-1</f>
        <v>0.51046079223928853</v>
      </c>
      <c r="O158" s="126"/>
      <c r="P158" s="162">
        <f>IF(ISNUMBER(N158),N158-K158,"N/A")</f>
        <v>-5.9539207760711532E-2</v>
      </c>
      <c r="Q158" s="162">
        <f>IFERROR(IF(ISNUMBER(N158),(N158-K158)/ABS(K158),"N/A"),"N/A")</f>
        <v>-0.10445475045738864</v>
      </c>
      <c r="R158" s="126"/>
      <c r="S158" s="157">
        <v>43699</v>
      </c>
      <c r="T158" s="164" t="s">
        <v>374</v>
      </c>
      <c r="U158" s="126"/>
    </row>
    <row r="159" spans="1:21" x14ac:dyDescent="0.55000000000000004">
      <c r="A159" s="149">
        <v>2</v>
      </c>
      <c r="B159" s="126"/>
      <c r="C159" s="126"/>
      <c r="D159" s="142"/>
      <c r="E159" s="143"/>
      <c r="F159" s="126"/>
      <c r="G159" s="126"/>
      <c r="H159" s="126"/>
      <c r="I159" s="600"/>
      <c r="J159" s="600"/>
      <c r="K159" s="600"/>
      <c r="L159" s="126"/>
      <c r="M159" s="126"/>
      <c r="N159" s="600"/>
      <c r="O159" s="126"/>
      <c r="P159" s="188"/>
      <c r="Q159" s="215"/>
      <c r="R159" s="126"/>
      <c r="S159" s="145"/>
      <c r="T159" s="189"/>
      <c r="U159" s="126"/>
    </row>
    <row r="160" spans="1:21" x14ac:dyDescent="0.55000000000000004">
      <c r="A160" s="149">
        <v>1</v>
      </c>
      <c r="B160" s="154" t="str">
        <f>IF(INDEX(MO_SNA_IsHistoricalPeriod,,MATCH(F160,MO_Common_ColumnHeader,0)),"Historical","Forward")</f>
        <v>Historical</v>
      </c>
      <c r="C160" s="126"/>
      <c r="D160" s="161" t="str">
        <f ca="1">INDEX(INDIRECT(E160),0,COLUMN(MO_Common_Column_A))</f>
        <v>Y/Y Total revenue growth, %</v>
      </c>
      <c r="E160" s="155" t="s">
        <v>370</v>
      </c>
      <c r="F160" s="154" t="s">
        <v>371</v>
      </c>
      <c r="G160" s="154"/>
      <c r="H160" s="126"/>
      <c r="I160" s="156">
        <v>0.2</v>
      </c>
      <c r="J160" s="156">
        <v>0.2</v>
      </c>
      <c r="K160" s="156">
        <f>AVERAGE(I160:J160)</f>
        <v>0.2</v>
      </c>
      <c r="L160" s="126"/>
      <c r="M160" s="154" t="str">
        <f>IF(INDEX(MO_SNA_IsHistoricalPeriod,,MATCH(F160,MO_Common_ColumnHeader,0)),"Actual","Estimate")</f>
        <v>Actual</v>
      </c>
      <c r="N160" s="156">
        <f ca="1">IFERROR(INDEX(INDIRECT(E160),0,MATCH(F160,MO_Common_ColumnHeader,0)),"N/A")</f>
        <v>0.2859328331026445</v>
      </c>
      <c r="O160" s="126"/>
      <c r="P160" s="162">
        <f ca="1">IF(ISNUMBER(N160),N160-K160,"N/A")</f>
        <v>8.593283310264449E-2</v>
      </c>
      <c r="Q160" s="162">
        <f t="shared" ca="1" si="0"/>
        <v>0.42966416551322245</v>
      </c>
      <c r="R160" s="126"/>
      <c r="S160" s="157">
        <v>43699</v>
      </c>
      <c r="T160" s="164" t="s">
        <v>374</v>
      </c>
      <c r="U160" s="126"/>
    </row>
    <row r="161" spans="1:21" x14ac:dyDescent="0.55000000000000004">
      <c r="A161" s="149">
        <v>0</v>
      </c>
      <c r="B161" s="126"/>
      <c r="C161" s="126"/>
      <c r="D161" s="126"/>
      <c r="E161" s="143"/>
      <c r="F161" s="126"/>
      <c r="G161" s="126"/>
      <c r="H161" s="126"/>
      <c r="I161" s="600"/>
      <c r="J161" s="600"/>
      <c r="K161" s="600"/>
      <c r="L161" s="126"/>
      <c r="M161" s="126"/>
      <c r="N161" s="600"/>
      <c r="O161" s="126"/>
      <c r="P161" s="148"/>
      <c r="Q161" s="216"/>
      <c r="R161" s="126"/>
      <c r="S161" s="145"/>
      <c r="T161" s="146"/>
      <c r="U161" s="126"/>
    </row>
  </sheetData>
  <autoFilter ref="A5:U5" xr:uid="{00000000-0009-0000-0000-000004000000}"/>
  <conditionalFormatting sqref="Q1:Q3 Q5 Q74:Q77 Q92:Q96 Q136:Q137 Q140:Q141 Q143:Q162">
    <cfRule type="colorScale" priority="216">
      <colorScale>
        <cfvo type="num" val="-0.1"/>
        <cfvo type="num" val="0"/>
        <cfvo type="num" val="0.1"/>
        <color rgb="FFF8696B"/>
        <color rgb="FFFFEB84"/>
        <color rgb="FF63BE7B"/>
      </colorScale>
    </cfRule>
  </conditionalFormatting>
  <conditionalFormatting sqref="Q6:Q7">
    <cfRule type="colorScale" priority="10">
      <colorScale>
        <cfvo type="num" val="-0.1"/>
        <cfvo type="num" val="0"/>
        <cfvo type="num" val="0.1"/>
        <color rgb="FFF8696B"/>
        <color rgb="FFFFEB84"/>
        <color rgb="FF63BE7B"/>
      </colorScale>
    </cfRule>
  </conditionalFormatting>
  <conditionalFormatting sqref="Q7">
    <cfRule type="colorScale" priority="9">
      <colorScale>
        <cfvo type="num" val="-0.1"/>
        <cfvo type="num" val="0"/>
        <cfvo type="num" val="0.1"/>
        <color rgb="FFF8696B"/>
        <color rgb="FFFFEB84"/>
        <color rgb="FF63BE7B"/>
      </colorScale>
    </cfRule>
  </conditionalFormatting>
  <conditionalFormatting sqref="Q8">
    <cfRule type="colorScale" priority="1">
      <colorScale>
        <cfvo type="num" val="-0.1"/>
        <cfvo type="num" val="0"/>
        <cfvo type="num" val="0.1"/>
        <color rgb="FFF8696B"/>
        <color rgb="FFFFEB84"/>
        <color rgb="FF63BE7B"/>
      </colorScale>
    </cfRule>
    <cfRule type="colorScale" priority="2">
      <colorScale>
        <cfvo type="num" val="-0.1"/>
        <cfvo type="num" val="0"/>
        <cfvo type="num" val="0.1"/>
        <color rgb="FFF8696B"/>
        <color rgb="FFFFEB84"/>
        <color rgb="FF63BE7B"/>
      </colorScale>
    </cfRule>
    <cfRule type="colorScale" priority="3">
      <colorScale>
        <cfvo type="num" val="-0.1"/>
        <cfvo type="num" val="0"/>
        <cfvo type="num" val="0.1"/>
        <color rgb="FFF8696B"/>
        <color rgb="FFFFEB84"/>
        <color rgb="FF63BE7B"/>
      </colorScale>
    </cfRule>
    <cfRule type="colorScale" priority="4">
      <colorScale>
        <cfvo type="num" val="-0.1"/>
        <cfvo type="num" val="0"/>
        <cfvo type="num" val="0.1"/>
        <color rgb="FFF8696B"/>
        <color rgb="FFFFEB84"/>
        <color rgb="FF63BE7B"/>
      </colorScale>
    </cfRule>
  </conditionalFormatting>
  <conditionalFormatting sqref="Q9">
    <cfRule type="colorScale" priority="5">
      <colorScale>
        <cfvo type="num" val="-0.1"/>
        <cfvo type="num" val="0"/>
        <cfvo type="num" val="0.1"/>
        <color rgb="FFF8696B"/>
        <color rgb="FFFFEB84"/>
        <color rgb="FF63BE7B"/>
      </colorScale>
    </cfRule>
    <cfRule type="colorScale" priority="6">
      <colorScale>
        <cfvo type="num" val="-0.1"/>
        <cfvo type="num" val="0"/>
        <cfvo type="num" val="0.1"/>
        <color rgb="FFF8696B"/>
        <color rgb="FFFFEB84"/>
        <color rgb="FF63BE7B"/>
      </colorScale>
    </cfRule>
  </conditionalFormatting>
  <conditionalFormatting sqref="Q10">
    <cfRule type="colorScale" priority="11">
      <colorScale>
        <cfvo type="num" val="-0.1"/>
        <cfvo type="num" val="0"/>
        <cfvo type="num" val="0.1"/>
        <color rgb="FFF8696B"/>
        <color rgb="FFFFEB84"/>
        <color rgb="FF63BE7B"/>
      </colorScale>
    </cfRule>
    <cfRule type="colorScale" priority="12">
      <colorScale>
        <cfvo type="num" val="-0.1"/>
        <cfvo type="num" val="0"/>
        <cfvo type="num" val="0.1"/>
        <color rgb="FFF8696B"/>
        <color rgb="FFFFEB84"/>
        <color rgb="FF63BE7B"/>
      </colorScale>
    </cfRule>
  </conditionalFormatting>
  <conditionalFormatting sqref="Q11">
    <cfRule type="colorScale" priority="7">
      <colorScale>
        <cfvo type="num" val="-0.1"/>
        <cfvo type="num" val="0"/>
        <cfvo type="num" val="0.1"/>
        <color rgb="FFF8696B"/>
        <color rgb="FFFFEB84"/>
        <color rgb="FF63BE7B"/>
      </colorScale>
    </cfRule>
    <cfRule type="colorScale" priority="8">
      <colorScale>
        <cfvo type="num" val="-0.1"/>
        <cfvo type="num" val="0"/>
        <cfvo type="num" val="0.1"/>
        <color rgb="FFF8696B"/>
        <color rgb="FFFFEB84"/>
        <color rgb="FF63BE7B"/>
      </colorScale>
    </cfRule>
  </conditionalFormatting>
  <conditionalFormatting sqref="Q12:Q13">
    <cfRule type="colorScale" priority="24">
      <colorScale>
        <cfvo type="num" val="-0.1"/>
        <cfvo type="num" val="0"/>
        <cfvo type="num" val="0.1"/>
        <color rgb="FFF8696B"/>
        <color rgb="FFFFEB84"/>
        <color rgb="FF63BE7B"/>
      </colorScale>
    </cfRule>
  </conditionalFormatting>
  <conditionalFormatting sqref="Q13">
    <cfRule type="colorScale" priority="23">
      <colorScale>
        <cfvo type="num" val="-0.1"/>
        <cfvo type="num" val="0"/>
        <cfvo type="num" val="0.1"/>
        <color rgb="FFF8696B"/>
        <color rgb="FFFFEB84"/>
        <color rgb="FF63BE7B"/>
      </colorScale>
    </cfRule>
  </conditionalFormatting>
  <conditionalFormatting sqref="Q14">
    <cfRule type="colorScale" priority="13">
      <colorScale>
        <cfvo type="num" val="-0.1"/>
        <cfvo type="num" val="0"/>
        <cfvo type="num" val="0.1"/>
        <color rgb="FFF8696B"/>
        <color rgb="FFFFEB84"/>
        <color rgb="FF63BE7B"/>
      </colorScale>
    </cfRule>
    <cfRule type="colorScale" priority="14">
      <colorScale>
        <cfvo type="num" val="-0.1"/>
        <cfvo type="num" val="0"/>
        <cfvo type="num" val="0.1"/>
        <color rgb="FFF8696B"/>
        <color rgb="FFFFEB84"/>
        <color rgb="FF63BE7B"/>
      </colorScale>
    </cfRule>
    <cfRule type="colorScale" priority="15">
      <colorScale>
        <cfvo type="num" val="-0.1"/>
        <cfvo type="num" val="0"/>
        <cfvo type="num" val="0.1"/>
        <color rgb="FFF8696B"/>
        <color rgb="FFFFEB84"/>
        <color rgb="FF63BE7B"/>
      </colorScale>
    </cfRule>
    <cfRule type="colorScale" priority="16">
      <colorScale>
        <cfvo type="num" val="-0.1"/>
        <cfvo type="num" val="0"/>
        <cfvo type="num" val="0.1"/>
        <color rgb="FFF8696B"/>
        <color rgb="FFFFEB84"/>
        <color rgb="FF63BE7B"/>
      </colorScale>
    </cfRule>
  </conditionalFormatting>
  <conditionalFormatting sqref="Q15">
    <cfRule type="colorScale" priority="19">
      <colorScale>
        <cfvo type="num" val="-0.1"/>
        <cfvo type="num" val="0"/>
        <cfvo type="num" val="0.1"/>
        <color rgb="FFF8696B"/>
        <color rgb="FFFFEB84"/>
        <color rgb="FF63BE7B"/>
      </colorScale>
    </cfRule>
    <cfRule type="colorScale" priority="20">
      <colorScale>
        <cfvo type="num" val="-0.1"/>
        <cfvo type="num" val="0"/>
        <cfvo type="num" val="0.1"/>
        <color rgb="FFF8696B"/>
        <color rgb="FFFFEB84"/>
        <color rgb="FF63BE7B"/>
      </colorScale>
    </cfRule>
  </conditionalFormatting>
  <conditionalFormatting sqref="Q16:Q17">
    <cfRule type="colorScale" priority="25">
      <colorScale>
        <cfvo type="num" val="-0.1"/>
        <cfvo type="num" val="0"/>
        <cfvo type="num" val="0.1"/>
        <color rgb="FFF8696B"/>
        <color rgb="FFFFEB84"/>
        <color rgb="FF63BE7B"/>
      </colorScale>
    </cfRule>
    <cfRule type="colorScale" priority="26">
      <colorScale>
        <cfvo type="num" val="-0.1"/>
        <cfvo type="num" val="0"/>
        <cfvo type="num" val="0.1"/>
        <color rgb="FFF8696B"/>
        <color rgb="FFFFEB84"/>
        <color rgb="FF63BE7B"/>
      </colorScale>
    </cfRule>
  </conditionalFormatting>
  <conditionalFormatting sqref="Q18">
    <cfRule type="colorScale" priority="21">
      <colorScale>
        <cfvo type="num" val="-0.1"/>
        <cfvo type="num" val="0"/>
        <cfvo type="num" val="0.1"/>
        <color rgb="FFF8696B"/>
        <color rgb="FFFFEB84"/>
        <color rgb="FF63BE7B"/>
      </colorScale>
    </cfRule>
    <cfRule type="colorScale" priority="22">
      <colorScale>
        <cfvo type="num" val="-0.1"/>
        <cfvo type="num" val="0"/>
        <cfvo type="num" val="0.1"/>
        <color rgb="FFF8696B"/>
        <color rgb="FFFFEB84"/>
        <color rgb="FF63BE7B"/>
      </colorScale>
    </cfRule>
  </conditionalFormatting>
  <conditionalFormatting sqref="Q19:Q20">
    <cfRule type="colorScale" priority="34">
      <colorScale>
        <cfvo type="num" val="-0.1"/>
        <cfvo type="num" val="0"/>
        <cfvo type="num" val="0.1"/>
        <color rgb="FFF8696B"/>
        <color rgb="FFFFEB84"/>
        <color rgb="FF63BE7B"/>
      </colorScale>
    </cfRule>
  </conditionalFormatting>
  <conditionalFormatting sqref="Q20">
    <cfRule type="colorScale" priority="33">
      <colorScale>
        <cfvo type="num" val="-0.1"/>
        <cfvo type="num" val="0"/>
        <cfvo type="num" val="0.1"/>
        <color rgb="FFF8696B"/>
        <color rgb="FFFFEB84"/>
        <color rgb="FF63BE7B"/>
      </colorScale>
    </cfRule>
  </conditionalFormatting>
  <conditionalFormatting sqref="Q21">
    <cfRule type="colorScale" priority="29">
      <colorScale>
        <cfvo type="num" val="-0.1"/>
        <cfvo type="num" val="0"/>
        <cfvo type="num" val="0.1"/>
        <color rgb="FFF8696B"/>
        <color rgb="FFFFEB84"/>
        <color rgb="FF63BE7B"/>
      </colorScale>
    </cfRule>
    <cfRule type="colorScale" priority="30">
      <colorScale>
        <cfvo type="num" val="-0.1"/>
        <cfvo type="num" val="0"/>
        <cfvo type="num" val="0.1"/>
        <color rgb="FFF8696B"/>
        <color rgb="FFFFEB84"/>
        <color rgb="FF63BE7B"/>
      </colorScale>
    </cfRule>
  </conditionalFormatting>
  <conditionalFormatting sqref="Q22:Q23">
    <cfRule type="colorScale" priority="35">
      <colorScale>
        <cfvo type="num" val="-0.1"/>
        <cfvo type="num" val="0"/>
        <cfvo type="num" val="0.1"/>
        <color rgb="FFF8696B"/>
        <color rgb="FFFFEB84"/>
        <color rgb="FF63BE7B"/>
      </colorScale>
    </cfRule>
    <cfRule type="colorScale" priority="36">
      <colorScale>
        <cfvo type="num" val="-0.1"/>
        <cfvo type="num" val="0"/>
        <cfvo type="num" val="0.1"/>
        <color rgb="FFF8696B"/>
        <color rgb="FFFFEB84"/>
        <color rgb="FF63BE7B"/>
      </colorScale>
    </cfRule>
  </conditionalFormatting>
  <conditionalFormatting sqref="Q23">
    <cfRule type="colorScale" priority="27">
      <colorScale>
        <cfvo type="num" val="-0.1"/>
        <cfvo type="num" val="0"/>
        <cfvo type="num" val="0.1"/>
        <color rgb="FFF8696B"/>
        <color rgb="FFFFEB84"/>
        <color rgb="FF63BE7B"/>
      </colorScale>
    </cfRule>
    <cfRule type="colorScale" priority="28">
      <colorScale>
        <cfvo type="num" val="-0.1"/>
        <cfvo type="num" val="0"/>
        <cfvo type="num" val="0.1"/>
        <color rgb="FFF8696B"/>
        <color rgb="FFFFEB84"/>
        <color rgb="FF63BE7B"/>
      </colorScale>
    </cfRule>
  </conditionalFormatting>
  <conditionalFormatting sqref="Q24">
    <cfRule type="colorScale" priority="31">
      <colorScale>
        <cfvo type="num" val="-0.1"/>
        <cfvo type="num" val="0"/>
        <cfvo type="num" val="0.1"/>
        <color rgb="FFF8696B"/>
        <color rgb="FFFFEB84"/>
        <color rgb="FF63BE7B"/>
      </colorScale>
    </cfRule>
    <cfRule type="colorScale" priority="32">
      <colorScale>
        <cfvo type="num" val="-0.1"/>
        <cfvo type="num" val="0"/>
        <cfvo type="num" val="0.1"/>
        <color rgb="FFF8696B"/>
        <color rgb="FFFFEB84"/>
        <color rgb="FF63BE7B"/>
      </colorScale>
    </cfRule>
  </conditionalFormatting>
  <conditionalFormatting sqref="Q25:Q26">
    <cfRule type="colorScale" priority="44">
      <colorScale>
        <cfvo type="num" val="-0.1"/>
        <cfvo type="num" val="0"/>
        <cfvo type="num" val="0.1"/>
        <color rgb="FFF8696B"/>
        <color rgb="FFFFEB84"/>
        <color rgb="FF63BE7B"/>
      </colorScale>
    </cfRule>
  </conditionalFormatting>
  <conditionalFormatting sqref="Q26">
    <cfRule type="colorScale" priority="43">
      <colorScale>
        <cfvo type="num" val="-0.1"/>
        <cfvo type="num" val="0"/>
        <cfvo type="num" val="0.1"/>
        <color rgb="FFF8696B"/>
        <color rgb="FFFFEB84"/>
        <color rgb="FF63BE7B"/>
      </colorScale>
    </cfRule>
  </conditionalFormatting>
  <conditionalFormatting sqref="Q27">
    <cfRule type="colorScale" priority="37">
      <colorScale>
        <cfvo type="num" val="-0.1"/>
        <cfvo type="num" val="0"/>
        <cfvo type="num" val="0.1"/>
        <color rgb="FFF8696B"/>
        <color rgb="FFFFEB84"/>
        <color rgb="FF63BE7B"/>
      </colorScale>
    </cfRule>
    <cfRule type="colorScale" priority="38">
      <colorScale>
        <cfvo type="num" val="-0.1"/>
        <cfvo type="num" val="0"/>
        <cfvo type="num" val="0.1"/>
        <color rgb="FFF8696B"/>
        <color rgb="FFFFEB84"/>
        <color rgb="FF63BE7B"/>
      </colorScale>
    </cfRule>
  </conditionalFormatting>
  <conditionalFormatting sqref="Q28">
    <cfRule type="colorScale" priority="39">
      <colorScale>
        <cfvo type="num" val="-0.1"/>
        <cfvo type="num" val="0"/>
        <cfvo type="num" val="0.1"/>
        <color rgb="FFF8696B"/>
        <color rgb="FFFFEB84"/>
        <color rgb="FF63BE7B"/>
      </colorScale>
    </cfRule>
    <cfRule type="colorScale" priority="40">
      <colorScale>
        <cfvo type="num" val="-0.1"/>
        <cfvo type="num" val="0"/>
        <cfvo type="num" val="0.1"/>
        <color rgb="FFF8696B"/>
        <color rgb="FFFFEB84"/>
        <color rgb="FF63BE7B"/>
      </colorScale>
    </cfRule>
  </conditionalFormatting>
  <conditionalFormatting sqref="Q29">
    <cfRule type="colorScale" priority="45">
      <colorScale>
        <cfvo type="num" val="-0.1"/>
        <cfvo type="num" val="0"/>
        <cfvo type="num" val="0.1"/>
        <color rgb="FFF8696B"/>
        <color rgb="FFFFEB84"/>
        <color rgb="FF63BE7B"/>
      </colorScale>
    </cfRule>
    <cfRule type="colorScale" priority="46">
      <colorScale>
        <cfvo type="num" val="-0.1"/>
        <cfvo type="num" val="0"/>
        <cfvo type="num" val="0.1"/>
        <color rgb="FFF8696B"/>
        <color rgb="FFFFEB84"/>
        <color rgb="FF63BE7B"/>
      </colorScale>
    </cfRule>
  </conditionalFormatting>
  <conditionalFormatting sqref="Q30">
    <cfRule type="colorScale" priority="41">
      <colorScale>
        <cfvo type="num" val="-0.1"/>
        <cfvo type="num" val="0"/>
        <cfvo type="num" val="0.1"/>
        <color rgb="FFF8696B"/>
        <color rgb="FFFFEB84"/>
        <color rgb="FF63BE7B"/>
      </colorScale>
    </cfRule>
    <cfRule type="colorScale" priority="42">
      <colorScale>
        <cfvo type="num" val="-0.1"/>
        <cfvo type="num" val="0"/>
        <cfvo type="num" val="0.1"/>
        <color rgb="FFF8696B"/>
        <color rgb="FFFFEB84"/>
        <color rgb="FF63BE7B"/>
      </colorScale>
    </cfRule>
  </conditionalFormatting>
  <conditionalFormatting sqref="Q31:Q32">
    <cfRule type="colorScale" priority="54">
      <colorScale>
        <cfvo type="num" val="-0.1"/>
        <cfvo type="num" val="0"/>
        <cfvo type="num" val="0.1"/>
        <color rgb="FFF8696B"/>
        <color rgb="FFFFEB84"/>
        <color rgb="FF63BE7B"/>
      </colorScale>
    </cfRule>
  </conditionalFormatting>
  <conditionalFormatting sqref="Q32">
    <cfRule type="colorScale" priority="53">
      <colorScale>
        <cfvo type="num" val="-0.1"/>
        <cfvo type="num" val="0"/>
        <cfvo type="num" val="0.1"/>
        <color rgb="FFF8696B"/>
        <color rgb="FFFFEB84"/>
        <color rgb="FF63BE7B"/>
      </colorScale>
    </cfRule>
  </conditionalFormatting>
  <conditionalFormatting sqref="Q33">
    <cfRule type="colorScale" priority="47">
      <colorScale>
        <cfvo type="num" val="-0.1"/>
        <cfvo type="num" val="0"/>
        <cfvo type="num" val="0.1"/>
        <color rgb="FFF8696B"/>
        <color rgb="FFFFEB84"/>
        <color rgb="FF63BE7B"/>
      </colorScale>
    </cfRule>
    <cfRule type="colorScale" priority="48">
      <colorScale>
        <cfvo type="num" val="-0.1"/>
        <cfvo type="num" val="0"/>
        <cfvo type="num" val="0.1"/>
        <color rgb="FFF8696B"/>
        <color rgb="FFFFEB84"/>
        <color rgb="FF63BE7B"/>
      </colorScale>
    </cfRule>
  </conditionalFormatting>
  <conditionalFormatting sqref="Q34">
    <cfRule type="colorScale" priority="49">
      <colorScale>
        <cfvo type="num" val="-0.1"/>
        <cfvo type="num" val="0"/>
        <cfvo type="num" val="0.1"/>
        <color rgb="FFF8696B"/>
        <color rgb="FFFFEB84"/>
        <color rgb="FF63BE7B"/>
      </colorScale>
    </cfRule>
    <cfRule type="colorScale" priority="50">
      <colorScale>
        <cfvo type="num" val="-0.1"/>
        <cfvo type="num" val="0"/>
        <cfvo type="num" val="0.1"/>
        <color rgb="FFF8696B"/>
        <color rgb="FFFFEB84"/>
        <color rgb="FF63BE7B"/>
      </colorScale>
    </cfRule>
  </conditionalFormatting>
  <conditionalFormatting sqref="Q35">
    <cfRule type="colorScale" priority="55">
      <colorScale>
        <cfvo type="num" val="-0.1"/>
        <cfvo type="num" val="0"/>
        <cfvo type="num" val="0.1"/>
        <color rgb="FFF8696B"/>
        <color rgb="FFFFEB84"/>
        <color rgb="FF63BE7B"/>
      </colorScale>
    </cfRule>
    <cfRule type="colorScale" priority="56">
      <colorScale>
        <cfvo type="num" val="-0.1"/>
        <cfvo type="num" val="0"/>
        <cfvo type="num" val="0.1"/>
        <color rgb="FFF8696B"/>
        <color rgb="FFFFEB84"/>
        <color rgb="FF63BE7B"/>
      </colorScale>
    </cfRule>
  </conditionalFormatting>
  <conditionalFormatting sqref="Q36">
    <cfRule type="colorScale" priority="51">
      <colorScale>
        <cfvo type="num" val="-0.1"/>
        <cfvo type="num" val="0"/>
        <cfvo type="num" val="0.1"/>
        <color rgb="FFF8696B"/>
        <color rgb="FFFFEB84"/>
        <color rgb="FF63BE7B"/>
      </colorScale>
    </cfRule>
    <cfRule type="colorScale" priority="52">
      <colorScale>
        <cfvo type="num" val="-0.1"/>
        <cfvo type="num" val="0"/>
        <cfvo type="num" val="0.1"/>
        <color rgb="FFF8696B"/>
        <color rgb="FFFFEB84"/>
        <color rgb="FF63BE7B"/>
      </colorScale>
    </cfRule>
  </conditionalFormatting>
  <conditionalFormatting sqref="Q37:Q38">
    <cfRule type="colorScale" priority="66">
      <colorScale>
        <cfvo type="num" val="-0.1"/>
        <cfvo type="num" val="0"/>
        <cfvo type="num" val="0.1"/>
        <color rgb="FFF8696B"/>
        <color rgb="FFFFEB84"/>
        <color rgb="FF63BE7B"/>
      </colorScale>
    </cfRule>
  </conditionalFormatting>
  <conditionalFormatting sqref="Q38">
    <cfRule type="colorScale" priority="65">
      <colorScale>
        <cfvo type="num" val="-0.1"/>
        <cfvo type="num" val="0"/>
        <cfvo type="num" val="0.1"/>
        <color rgb="FFF8696B"/>
        <color rgb="FFFFEB84"/>
        <color rgb="FF63BE7B"/>
      </colorScale>
    </cfRule>
  </conditionalFormatting>
  <conditionalFormatting sqref="Q39">
    <cfRule type="colorScale" priority="57">
      <colorScale>
        <cfvo type="num" val="-0.1"/>
        <cfvo type="num" val="0"/>
        <cfvo type="num" val="0.1"/>
        <color rgb="FFF8696B"/>
        <color rgb="FFFFEB84"/>
        <color rgb="FF63BE7B"/>
      </colorScale>
    </cfRule>
    <cfRule type="colorScale" priority="58">
      <colorScale>
        <cfvo type="num" val="-0.1"/>
        <cfvo type="num" val="0"/>
        <cfvo type="num" val="0.1"/>
        <color rgb="FFF8696B"/>
        <color rgb="FFFFEB84"/>
        <color rgb="FF63BE7B"/>
      </colorScale>
    </cfRule>
  </conditionalFormatting>
  <conditionalFormatting sqref="Q40">
    <cfRule type="colorScale" priority="61">
      <colorScale>
        <cfvo type="num" val="-0.1"/>
        <cfvo type="num" val="0"/>
        <cfvo type="num" val="0.1"/>
        <color rgb="FFF8696B"/>
        <color rgb="FFFFEB84"/>
        <color rgb="FF63BE7B"/>
      </colorScale>
    </cfRule>
    <cfRule type="colorScale" priority="62">
      <colorScale>
        <cfvo type="num" val="-0.1"/>
        <cfvo type="num" val="0"/>
        <cfvo type="num" val="0.1"/>
        <color rgb="FFF8696B"/>
        <color rgb="FFFFEB84"/>
        <color rgb="FF63BE7B"/>
      </colorScale>
    </cfRule>
  </conditionalFormatting>
  <conditionalFormatting sqref="Q41">
    <cfRule type="colorScale" priority="67">
      <colorScale>
        <cfvo type="num" val="-0.1"/>
        <cfvo type="num" val="0"/>
        <cfvo type="num" val="0.1"/>
        <color rgb="FFF8696B"/>
        <color rgb="FFFFEB84"/>
        <color rgb="FF63BE7B"/>
      </colorScale>
    </cfRule>
    <cfRule type="colorScale" priority="68">
      <colorScale>
        <cfvo type="num" val="-0.1"/>
        <cfvo type="num" val="0"/>
        <cfvo type="num" val="0.1"/>
        <color rgb="FFF8696B"/>
        <color rgb="FFFFEB84"/>
        <color rgb="FF63BE7B"/>
      </colorScale>
    </cfRule>
  </conditionalFormatting>
  <conditionalFormatting sqref="Q42">
    <cfRule type="colorScale" priority="63">
      <colorScale>
        <cfvo type="num" val="-0.1"/>
        <cfvo type="num" val="0"/>
        <cfvo type="num" val="0.1"/>
        <color rgb="FFF8696B"/>
        <color rgb="FFFFEB84"/>
        <color rgb="FF63BE7B"/>
      </colorScale>
    </cfRule>
    <cfRule type="colorScale" priority="64">
      <colorScale>
        <cfvo type="num" val="-0.1"/>
        <cfvo type="num" val="0"/>
        <cfvo type="num" val="0.1"/>
        <color rgb="FFF8696B"/>
        <color rgb="FFFFEB84"/>
        <color rgb="FF63BE7B"/>
      </colorScale>
    </cfRule>
  </conditionalFormatting>
  <conditionalFormatting sqref="Q43">
    <cfRule type="colorScale" priority="77">
      <colorScale>
        <cfvo type="num" val="-0.1"/>
        <cfvo type="num" val="0"/>
        <cfvo type="num" val="0.1"/>
        <color rgb="FFF8696B"/>
        <color rgb="FFFFEB84"/>
        <color rgb="FF63BE7B"/>
      </colorScale>
    </cfRule>
  </conditionalFormatting>
  <conditionalFormatting sqref="Q44">
    <cfRule type="colorScale" priority="73">
      <colorScale>
        <cfvo type="num" val="-0.1"/>
        <cfvo type="num" val="0"/>
        <cfvo type="num" val="0.1"/>
        <color rgb="FFF8696B"/>
        <color rgb="FFFFEB84"/>
        <color rgb="FF63BE7B"/>
      </colorScale>
    </cfRule>
    <cfRule type="colorScale" priority="74">
      <colorScale>
        <cfvo type="num" val="-0.1"/>
        <cfvo type="num" val="0"/>
        <cfvo type="num" val="0.1"/>
        <color rgb="FFF8696B"/>
        <color rgb="FFFFEB84"/>
        <color rgb="FF63BE7B"/>
      </colorScale>
    </cfRule>
  </conditionalFormatting>
  <conditionalFormatting sqref="Q45">
    <cfRule type="colorScale" priority="71">
      <colorScale>
        <cfvo type="num" val="-0.1"/>
        <cfvo type="num" val="0"/>
        <cfvo type="num" val="0.1"/>
        <color rgb="FFF8696B"/>
        <color rgb="FFFFEB84"/>
        <color rgb="FF63BE7B"/>
      </colorScale>
    </cfRule>
    <cfRule type="colorScale" priority="72">
      <colorScale>
        <cfvo type="num" val="-0.1"/>
        <cfvo type="num" val="0"/>
        <cfvo type="num" val="0.1"/>
        <color rgb="FFF8696B"/>
        <color rgb="FFFFEB84"/>
        <color rgb="FF63BE7B"/>
      </colorScale>
    </cfRule>
  </conditionalFormatting>
  <conditionalFormatting sqref="Q46">
    <cfRule type="colorScale" priority="75">
      <colorScale>
        <cfvo type="num" val="-0.1"/>
        <cfvo type="num" val="0"/>
        <cfvo type="num" val="0.1"/>
        <color rgb="FFF8696B"/>
        <color rgb="FFFFEB84"/>
        <color rgb="FF63BE7B"/>
      </colorScale>
    </cfRule>
    <cfRule type="colorScale" priority="76">
      <colorScale>
        <cfvo type="num" val="-0.1"/>
        <cfvo type="num" val="0"/>
        <cfvo type="num" val="0.1"/>
        <color rgb="FFF8696B"/>
        <color rgb="FFFFEB84"/>
        <color rgb="FF63BE7B"/>
      </colorScale>
    </cfRule>
  </conditionalFormatting>
  <conditionalFormatting sqref="Q47:Q48">
    <cfRule type="colorScale" priority="85">
      <colorScale>
        <cfvo type="num" val="-0.1"/>
        <cfvo type="num" val="0"/>
        <cfvo type="num" val="0.1"/>
        <color rgb="FFF8696B"/>
        <color rgb="FFFFEB84"/>
        <color rgb="FF63BE7B"/>
      </colorScale>
    </cfRule>
  </conditionalFormatting>
  <conditionalFormatting sqref="Q48">
    <cfRule type="colorScale" priority="84">
      <colorScale>
        <cfvo type="num" val="-0.1"/>
        <cfvo type="num" val="0"/>
        <cfvo type="num" val="0.1"/>
        <color rgb="FFF8696B"/>
        <color rgb="FFFFEB84"/>
        <color rgb="FF63BE7B"/>
      </colorScale>
    </cfRule>
  </conditionalFormatting>
  <conditionalFormatting sqref="Q49">
    <cfRule type="colorScale" priority="78">
      <colorScale>
        <cfvo type="num" val="-0.1"/>
        <cfvo type="num" val="0"/>
        <cfvo type="num" val="0.1"/>
        <color rgb="FFF8696B"/>
        <color rgb="FFFFEB84"/>
        <color rgb="FF63BE7B"/>
      </colorScale>
    </cfRule>
    <cfRule type="colorScale" priority="79">
      <colorScale>
        <cfvo type="num" val="-0.1"/>
        <cfvo type="num" val="0"/>
        <cfvo type="num" val="0.1"/>
        <color rgb="FFF8696B"/>
        <color rgb="FFFFEB84"/>
        <color rgb="FF63BE7B"/>
      </colorScale>
    </cfRule>
  </conditionalFormatting>
  <conditionalFormatting sqref="Q50">
    <cfRule type="colorScale" priority="86">
      <colorScale>
        <cfvo type="num" val="-0.1"/>
        <cfvo type="num" val="0"/>
        <cfvo type="num" val="0.1"/>
        <color rgb="FFF8696B"/>
        <color rgb="FFFFEB84"/>
        <color rgb="FF63BE7B"/>
      </colorScale>
    </cfRule>
    <cfRule type="colorScale" priority="87">
      <colorScale>
        <cfvo type="num" val="-0.1"/>
        <cfvo type="num" val="0"/>
        <cfvo type="num" val="0.1"/>
        <color rgb="FFF8696B"/>
        <color rgb="FFFFEB84"/>
        <color rgb="FF63BE7B"/>
      </colorScale>
    </cfRule>
  </conditionalFormatting>
  <conditionalFormatting sqref="Q51">
    <cfRule type="colorScale" priority="69">
      <colorScale>
        <cfvo type="num" val="-0.1"/>
        <cfvo type="num" val="0"/>
        <cfvo type="num" val="0.1"/>
        <color rgb="FFF8696B"/>
        <color rgb="FFFFEB84"/>
        <color rgb="FF63BE7B"/>
      </colorScale>
    </cfRule>
    <cfRule type="colorScale" priority="70">
      <colorScale>
        <cfvo type="num" val="-0.1"/>
        <cfvo type="num" val="0"/>
        <cfvo type="num" val="0.1"/>
        <color rgb="FFF8696B"/>
        <color rgb="FFFFEB84"/>
        <color rgb="FF63BE7B"/>
      </colorScale>
    </cfRule>
  </conditionalFormatting>
  <conditionalFormatting sqref="Q52">
    <cfRule type="colorScale" priority="80">
      <colorScale>
        <cfvo type="num" val="-0.1"/>
        <cfvo type="num" val="0"/>
        <cfvo type="num" val="0.1"/>
        <color rgb="FFF8696B"/>
        <color rgb="FFFFEB84"/>
        <color rgb="FF63BE7B"/>
      </colorScale>
    </cfRule>
    <cfRule type="colorScale" priority="81">
      <colorScale>
        <cfvo type="num" val="-0.1"/>
        <cfvo type="num" val="0"/>
        <cfvo type="num" val="0.1"/>
        <color rgb="FFF8696B"/>
        <color rgb="FFFFEB84"/>
        <color rgb="FF63BE7B"/>
      </colorScale>
    </cfRule>
  </conditionalFormatting>
  <conditionalFormatting sqref="Q53:Q54">
    <cfRule type="colorScale" priority="95">
      <colorScale>
        <cfvo type="num" val="-0.1"/>
        <cfvo type="num" val="0"/>
        <cfvo type="num" val="0.1"/>
        <color rgb="FFF8696B"/>
        <color rgb="FFFFEB84"/>
        <color rgb="FF63BE7B"/>
      </colorScale>
    </cfRule>
  </conditionalFormatting>
  <conditionalFormatting sqref="Q54">
    <cfRule type="colorScale" priority="94">
      <colorScale>
        <cfvo type="num" val="-0.1"/>
        <cfvo type="num" val="0"/>
        <cfvo type="num" val="0.1"/>
        <color rgb="FFF8696B"/>
        <color rgb="FFFFEB84"/>
        <color rgb="FF63BE7B"/>
      </colorScale>
    </cfRule>
  </conditionalFormatting>
  <conditionalFormatting sqref="Q55">
    <cfRule type="colorScale" priority="92">
      <colorScale>
        <cfvo type="num" val="-0.1"/>
        <cfvo type="num" val="0"/>
        <cfvo type="num" val="0.1"/>
        <color rgb="FFF8696B"/>
        <color rgb="FFFFEB84"/>
        <color rgb="FF63BE7B"/>
      </colorScale>
    </cfRule>
    <cfRule type="colorScale" priority="93">
      <colorScale>
        <cfvo type="num" val="-0.1"/>
        <cfvo type="num" val="0"/>
        <cfvo type="num" val="0.1"/>
        <color rgb="FFF8696B"/>
        <color rgb="FFFFEB84"/>
        <color rgb="FF63BE7B"/>
      </colorScale>
    </cfRule>
  </conditionalFormatting>
  <conditionalFormatting sqref="Q56">
    <cfRule type="colorScale" priority="88">
      <colorScale>
        <cfvo type="num" val="-0.1"/>
        <cfvo type="num" val="0"/>
        <cfvo type="num" val="0.1"/>
        <color rgb="FFF8696B"/>
        <color rgb="FFFFEB84"/>
        <color rgb="FF63BE7B"/>
      </colorScale>
    </cfRule>
    <cfRule type="colorScale" priority="89">
      <colorScale>
        <cfvo type="num" val="-0.1"/>
        <cfvo type="num" val="0"/>
        <cfvo type="num" val="0.1"/>
        <color rgb="FFF8696B"/>
        <color rgb="FFFFEB84"/>
        <color rgb="FF63BE7B"/>
      </colorScale>
    </cfRule>
  </conditionalFormatting>
  <conditionalFormatting sqref="Q57">
    <cfRule type="colorScale" priority="96">
      <colorScale>
        <cfvo type="num" val="-0.1"/>
        <cfvo type="num" val="0"/>
        <cfvo type="num" val="0.1"/>
        <color rgb="FFF8696B"/>
        <color rgb="FFFFEB84"/>
        <color rgb="FF63BE7B"/>
      </colorScale>
    </cfRule>
    <cfRule type="colorScale" priority="97">
      <colorScale>
        <cfvo type="num" val="-0.1"/>
        <cfvo type="num" val="0"/>
        <cfvo type="num" val="0.1"/>
        <color rgb="FFF8696B"/>
        <color rgb="FFFFEB84"/>
        <color rgb="FF63BE7B"/>
      </colorScale>
    </cfRule>
  </conditionalFormatting>
  <conditionalFormatting sqref="Q58">
    <cfRule type="colorScale" priority="90">
      <colorScale>
        <cfvo type="num" val="-0.1"/>
        <cfvo type="num" val="0"/>
        <cfvo type="num" val="0.1"/>
        <color rgb="FFF8696B"/>
        <color rgb="FFFFEB84"/>
        <color rgb="FF63BE7B"/>
      </colorScale>
    </cfRule>
    <cfRule type="colorScale" priority="91">
      <colorScale>
        <cfvo type="num" val="-0.1"/>
        <cfvo type="num" val="0"/>
        <cfvo type="num" val="0.1"/>
        <color rgb="FFF8696B"/>
        <color rgb="FFFFEB84"/>
        <color rgb="FF63BE7B"/>
      </colorScale>
    </cfRule>
  </conditionalFormatting>
  <conditionalFormatting sqref="Q59:Q60">
    <cfRule type="colorScale" priority="105">
      <colorScale>
        <cfvo type="num" val="-0.1"/>
        <cfvo type="num" val="0"/>
        <cfvo type="num" val="0.1"/>
        <color rgb="FFF8696B"/>
        <color rgb="FFFFEB84"/>
        <color rgb="FF63BE7B"/>
      </colorScale>
    </cfRule>
  </conditionalFormatting>
  <conditionalFormatting sqref="Q60">
    <cfRule type="colorScale" priority="104">
      <colorScale>
        <cfvo type="num" val="-0.1"/>
        <cfvo type="num" val="0"/>
        <cfvo type="num" val="0.1"/>
        <color rgb="FFF8696B"/>
        <color rgb="FFFFEB84"/>
        <color rgb="FF63BE7B"/>
      </colorScale>
    </cfRule>
  </conditionalFormatting>
  <conditionalFormatting sqref="Q61">
    <cfRule type="colorScale" priority="102">
      <colorScale>
        <cfvo type="num" val="-0.1"/>
        <cfvo type="num" val="0"/>
        <cfvo type="num" val="0.1"/>
        <color rgb="FFF8696B"/>
        <color rgb="FFFFEB84"/>
        <color rgb="FF63BE7B"/>
      </colorScale>
    </cfRule>
    <cfRule type="colorScale" priority="103">
      <colorScale>
        <cfvo type="num" val="-0.1"/>
        <cfvo type="num" val="0"/>
        <cfvo type="num" val="0.1"/>
        <color rgb="FFF8696B"/>
        <color rgb="FFFFEB84"/>
        <color rgb="FF63BE7B"/>
      </colorScale>
    </cfRule>
  </conditionalFormatting>
  <conditionalFormatting sqref="Q62">
    <cfRule type="colorScale" priority="98">
      <colorScale>
        <cfvo type="num" val="-0.1"/>
        <cfvo type="num" val="0"/>
        <cfvo type="num" val="0.1"/>
        <color rgb="FFF8696B"/>
        <color rgb="FFFFEB84"/>
        <color rgb="FF63BE7B"/>
      </colorScale>
    </cfRule>
    <cfRule type="colorScale" priority="99">
      <colorScale>
        <cfvo type="num" val="-0.1"/>
        <cfvo type="num" val="0"/>
        <cfvo type="num" val="0.1"/>
        <color rgb="FFF8696B"/>
        <color rgb="FFFFEB84"/>
        <color rgb="FF63BE7B"/>
      </colorScale>
    </cfRule>
  </conditionalFormatting>
  <conditionalFormatting sqref="Q63">
    <cfRule type="colorScale" priority="106">
      <colorScale>
        <cfvo type="num" val="-0.1"/>
        <cfvo type="num" val="0"/>
        <cfvo type="num" val="0.1"/>
        <color rgb="FFF8696B"/>
        <color rgb="FFFFEB84"/>
        <color rgb="FF63BE7B"/>
      </colorScale>
    </cfRule>
    <cfRule type="colorScale" priority="107">
      <colorScale>
        <cfvo type="num" val="-0.1"/>
        <cfvo type="num" val="0"/>
        <cfvo type="num" val="0.1"/>
        <color rgb="FFF8696B"/>
        <color rgb="FFFFEB84"/>
        <color rgb="FF63BE7B"/>
      </colorScale>
    </cfRule>
  </conditionalFormatting>
  <conditionalFormatting sqref="Q64">
    <cfRule type="colorScale" priority="100">
      <colorScale>
        <cfvo type="num" val="-0.1"/>
        <cfvo type="num" val="0"/>
        <cfvo type="num" val="0.1"/>
        <color rgb="FFF8696B"/>
        <color rgb="FFFFEB84"/>
        <color rgb="FF63BE7B"/>
      </colorScale>
    </cfRule>
    <cfRule type="colorScale" priority="101">
      <colorScale>
        <cfvo type="num" val="-0.1"/>
        <cfvo type="num" val="0"/>
        <cfvo type="num" val="0.1"/>
        <color rgb="FFF8696B"/>
        <color rgb="FFFFEB84"/>
        <color rgb="FF63BE7B"/>
      </colorScale>
    </cfRule>
  </conditionalFormatting>
  <conditionalFormatting sqref="Q65:Q66">
    <cfRule type="colorScale" priority="115">
      <colorScale>
        <cfvo type="num" val="-0.1"/>
        <cfvo type="num" val="0"/>
        <cfvo type="num" val="0.1"/>
        <color rgb="FFF8696B"/>
        <color rgb="FFFFEB84"/>
        <color rgb="FF63BE7B"/>
      </colorScale>
    </cfRule>
  </conditionalFormatting>
  <conditionalFormatting sqref="Q66">
    <cfRule type="colorScale" priority="114">
      <colorScale>
        <cfvo type="num" val="-0.1"/>
        <cfvo type="num" val="0"/>
        <cfvo type="num" val="0.1"/>
        <color rgb="FFF8696B"/>
        <color rgb="FFFFEB84"/>
        <color rgb="FF63BE7B"/>
      </colorScale>
    </cfRule>
  </conditionalFormatting>
  <conditionalFormatting sqref="Q67">
    <cfRule type="colorScale" priority="112">
      <colorScale>
        <cfvo type="num" val="-0.1"/>
        <cfvo type="num" val="0"/>
        <cfvo type="num" val="0.1"/>
        <color rgb="FFF8696B"/>
        <color rgb="FFFFEB84"/>
        <color rgb="FF63BE7B"/>
      </colorScale>
    </cfRule>
    <cfRule type="colorScale" priority="113">
      <colorScale>
        <cfvo type="num" val="-0.1"/>
        <cfvo type="num" val="0"/>
        <cfvo type="num" val="0.1"/>
        <color rgb="FFF8696B"/>
        <color rgb="FFFFEB84"/>
        <color rgb="FF63BE7B"/>
      </colorScale>
    </cfRule>
  </conditionalFormatting>
  <conditionalFormatting sqref="Q68">
    <cfRule type="colorScale" priority="108">
      <colorScale>
        <cfvo type="num" val="-0.1"/>
        <cfvo type="num" val="0"/>
        <cfvo type="num" val="0.1"/>
        <color rgb="FFF8696B"/>
        <color rgb="FFFFEB84"/>
        <color rgb="FF63BE7B"/>
      </colorScale>
    </cfRule>
    <cfRule type="colorScale" priority="109">
      <colorScale>
        <cfvo type="num" val="-0.1"/>
        <cfvo type="num" val="0"/>
        <cfvo type="num" val="0.1"/>
        <color rgb="FFF8696B"/>
        <color rgb="FFFFEB84"/>
        <color rgb="FF63BE7B"/>
      </colorScale>
    </cfRule>
  </conditionalFormatting>
  <conditionalFormatting sqref="Q69">
    <cfRule type="colorScale" priority="116">
      <colorScale>
        <cfvo type="num" val="-0.1"/>
        <cfvo type="num" val="0"/>
        <cfvo type="num" val="0.1"/>
        <color rgb="FFF8696B"/>
        <color rgb="FFFFEB84"/>
        <color rgb="FF63BE7B"/>
      </colorScale>
    </cfRule>
    <cfRule type="colorScale" priority="117">
      <colorScale>
        <cfvo type="num" val="-0.1"/>
        <cfvo type="num" val="0"/>
        <cfvo type="num" val="0.1"/>
        <color rgb="FFF8696B"/>
        <color rgb="FFFFEB84"/>
        <color rgb="FF63BE7B"/>
      </colorScale>
    </cfRule>
  </conditionalFormatting>
  <conditionalFormatting sqref="Q70">
    <cfRule type="colorScale" priority="110">
      <colorScale>
        <cfvo type="num" val="-0.1"/>
        <cfvo type="num" val="0"/>
        <cfvo type="num" val="0.1"/>
        <color rgb="FFF8696B"/>
        <color rgb="FFFFEB84"/>
        <color rgb="FF63BE7B"/>
      </colorScale>
    </cfRule>
    <cfRule type="colorScale" priority="111">
      <colorScale>
        <cfvo type="num" val="-0.1"/>
        <cfvo type="num" val="0"/>
        <cfvo type="num" val="0.1"/>
        <color rgb="FFF8696B"/>
        <color rgb="FFFFEB84"/>
        <color rgb="FF63BE7B"/>
      </colorScale>
    </cfRule>
  </conditionalFormatting>
  <conditionalFormatting sqref="Q71:Q73">
    <cfRule type="colorScale" priority="120">
      <colorScale>
        <cfvo type="num" val="-0.1"/>
        <cfvo type="num" val="0"/>
        <cfvo type="num" val="0.1"/>
        <color rgb="FFF8696B"/>
        <color rgb="FFFFEB84"/>
        <color rgb="FF63BE7B"/>
      </colorScale>
    </cfRule>
  </conditionalFormatting>
  <conditionalFormatting sqref="Q72">
    <cfRule type="colorScale" priority="119">
      <colorScale>
        <cfvo type="num" val="-0.1"/>
        <cfvo type="num" val="0"/>
        <cfvo type="num" val="0.1"/>
        <color rgb="FFF8696B"/>
        <color rgb="FFFFEB84"/>
        <color rgb="FF63BE7B"/>
      </colorScale>
    </cfRule>
  </conditionalFormatting>
  <conditionalFormatting sqref="Q73">
    <cfRule type="colorScale" priority="118">
      <colorScale>
        <cfvo type="num" val="-0.1"/>
        <cfvo type="num" val="0"/>
        <cfvo type="num" val="0.1"/>
        <color rgb="FFF8696B"/>
        <color rgb="FFFFEB84"/>
        <color rgb="FF63BE7B"/>
      </colorScale>
    </cfRule>
  </conditionalFormatting>
  <conditionalFormatting sqref="Q75">
    <cfRule type="colorScale" priority="128">
      <colorScale>
        <cfvo type="num" val="-0.1"/>
        <cfvo type="num" val="0"/>
        <cfvo type="num" val="0.1"/>
        <color rgb="FFF8696B"/>
        <color rgb="FFFFEB84"/>
        <color rgb="FF63BE7B"/>
      </colorScale>
    </cfRule>
  </conditionalFormatting>
  <conditionalFormatting sqref="Q76">
    <cfRule type="colorScale" priority="127">
      <colorScale>
        <cfvo type="num" val="-0.1"/>
        <cfvo type="num" val="0"/>
        <cfvo type="num" val="0.1"/>
        <color rgb="FFF8696B"/>
        <color rgb="FFFFEB84"/>
        <color rgb="FF63BE7B"/>
      </colorScale>
    </cfRule>
  </conditionalFormatting>
  <conditionalFormatting sqref="Q77">
    <cfRule type="colorScale" priority="125">
      <colorScale>
        <cfvo type="num" val="-0.1"/>
        <cfvo type="num" val="0"/>
        <cfvo type="num" val="0.1"/>
        <color rgb="FFF8696B"/>
        <color rgb="FFFFEB84"/>
        <color rgb="FF63BE7B"/>
      </colorScale>
    </cfRule>
  </conditionalFormatting>
  <conditionalFormatting sqref="Q78">
    <cfRule type="colorScale" priority="123">
      <colorScale>
        <cfvo type="num" val="-0.1"/>
        <cfvo type="num" val="0"/>
        <cfvo type="num" val="0.1"/>
        <color rgb="FFF8696B"/>
        <color rgb="FFFFEB84"/>
        <color rgb="FF63BE7B"/>
      </colorScale>
    </cfRule>
    <cfRule type="colorScale" priority="124">
      <colorScale>
        <cfvo type="num" val="-0.1"/>
        <cfvo type="num" val="0"/>
        <cfvo type="num" val="0.1"/>
        <color rgb="FFF8696B"/>
        <color rgb="FFFFEB84"/>
        <color rgb="FF63BE7B"/>
      </colorScale>
    </cfRule>
  </conditionalFormatting>
  <conditionalFormatting sqref="Q79:Q83">
    <cfRule type="colorScale" priority="138">
      <colorScale>
        <cfvo type="num" val="-0.1"/>
        <cfvo type="num" val="0"/>
        <cfvo type="num" val="0.1"/>
        <color rgb="FFF8696B"/>
        <color rgb="FFFFEB84"/>
        <color rgb="FF63BE7B"/>
      </colorScale>
    </cfRule>
  </conditionalFormatting>
  <conditionalFormatting sqref="Q80">
    <cfRule type="colorScale" priority="137">
      <colorScale>
        <cfvo type="num" val="-0.1"/>
        <cfvo type="num" val="0"/>
        <cfvo type="num" val="0.1"/>
        <color rgb="FFF8696B"/>
        <color rgb="FFFFEB84"/>
        <color rgb="FF63BE7B"/>
      </colorScale>
    </cfRule>
  </conditionalFormatting>
  <conditionalFormatting sqref="Q81">
    <cfRule type="colorScale" priority="135">
      <colorScale>
        <cfvo type="num" val="-0.1"/>
        <cfvo type="num" val="0"/>
        <cfvo type="num" val="0.1"/>
        <color rgb="FFF8696B"/>
        <color rgb="FFFFEB84"/>
        <color rgb="FF63BE7B"/>
      </colorScale>
    </cfRule>
  </conditionalFormatting>
  <conditionalFormatting sqref="Q82">
    <cfRule type="colorScale" priority="136">
      <colorScale>
        <cfvo type="num" val="-0.1"/>
        <cfvo type="num" val="0"/>
        <cfvo type="num" val="0.1"/>
        <color rgb="FFF8696B"/>
        <color rgb="FFFFEB84"/>
        <color rgb="FF63BE7B"/>
      </colorScale>
    </cfRule>
  </conditionalFormatting>
  <conditionalFormatting sqref="Q83">
    <cfRule type="colorScale" priority="134">
      <colorScale>
        <cfvo type="num" val="-0.1"/>
        <cfvo type="num" val="0"/>
        <cfvo type="num" val="0.1"/>
        <color rgb="FFF8696B"/>
        <color rgb="FFFFEB84"/>
        <color rgb="FF63BE7B"/>
      </colorScale>
    </cfRule>
  </conditionalFormatting>
  <conditionalFormatting sqref="Q84">
    <cfRule type="colorScale" priority="130">
      <colorScale>
        <cfvo type="num" val="-0.1"/>
        <cfvo type="num" val="0"/>
        <cfvo type="num" val="0.1"/>
        <color rgb="FFF8696B"/>
        <color rgb="FFFFEB84"/>
        <color rgb="FF63BE7B"/>
      </colorScale>
    </cfRule>
    <cfRule type="colorScale" priority="131">
      <colorScale>
        <cfvo type="num" val="-0.1"/>
        <cfvo type="num" val="0"/>
        <cfvo type="num" val="0.1"/>
        <color rgb="FFF8696B"/>
        <color rgb="FFFFEB84"/>
        <color rgb="FF63BE7B"/>
      </colorScale>
    </cfRule>
  </conditionalFormatting>
  <conditionalFormatting sqref="Q85">
    <cfRule type="colorScale" priority="132">
      <colorScale>
        <cfvo type="num" val="-0.1"/>
        <cfvo type="num" val="0"/>
        <cfvo type="num" val="0.1"/>
        <color rgb="FFF8696B"/>
        <color rgb="FFFFEB84"/>
        <color rgb="FF63BE7B"/>
      </colorScale>
    </cfRule>
    <cfRule type="colorScale" priority="133">
      <colorScale>
        <cfvo type="num" val="-0.1"/>
        <cfvo type="num" val="0"/>
        <cfvo type="num" val="0.1"/>
        <color rgb="FFF8696B"/>
        <color rgb="FFFFEB84"/>
        <color rgb="FF63BE7B"/>
      </colorScale>
    </cfRule>
  </conditionalFormatting>
  <conditionalFormatting sqref="Q86:Q90">
    <cfRule type="colorScale" priority="146">
      <colorScale>
        <cfvo type="num" val="-0.1"/>
        <cfvo type="num" val="0"/>
        <cfvo type="num" val="0.1"/>
        <color rgb="FFF8696B"/>
        <color rgb="FFFFEB84"/>
        <color rgb="FF63BE7B"/>
      </colorScale>
    </cfRule>
  </conditionalFormatting>
  <conditionalFormatting sqref="Q87">
    <cfRule type="colorScale" priority="145">
      <colorScale>
        <cfvo type="num" val="-0.1"/>
        <cfvo type="num" val="0"/>
        <cfvo type="num" val="0.1"/>
        <color rgb="FFF8696B"/>
        <color rgb="FFFFEB84"/>
        <color rgb="FF63BE7B"/>
      </colorScale>
    </cfRule>
  </conditionalFormatting>
  <conditionalFormatting sqref="Q88">
    <cfRule type="colorScale" priority="143">
      <colorScale>
        <cfvo type="num" val="-0.1"/>
        <cfvo type="num" val="0"/>
        <cfvo type="num" val="0.1"/>
        <color rgb="FFF8696B"/>
        <color rgb="FFFFEB84"/>
        <color rgb="FF63BE7B"/>
      </colorScale>
    </cfRule>
  </conditionalFormatting>
  <conditionalFormatting sqref="Q89">
    <cfRule type="colorScale" priority="144">
      <colorScale>
        <cfvo type="num" val="-0.1"/>
        <cfvo type="num" val="0"/>
        <cfvo type="num" val="0.1"/>
        <color rgb="FFF8696B"/>
        <color rgb="FFFFEB84"/>
        <color rgb="FF63BE7B"/>
      </colorScale>
    </cfRule>
  </conditionalFormatting>
  <conditionalFormatting sqref="Q90">
    <cfRule type="colorScale" priority="142">
      <colorScale>
        <cfvo type="num" val="-0.1"/>
        <cfvo type="num" val="0"/>
        <cfvo type="num" val="0.1"/>
        <color rgb="FFF8696B"/>
        <color rgb="FFFFEB84"/>
        <color rgb="FF63BE7B"/>
      </colorScale>
    </cfRule>
  </conditionalFormatting>
  <conditionalFormatting sqref="Q91">
    <cfRule type="colorScale" priority="139">
      <colorScale>
        <cfvo type="num" val="-0.1"/>
        <cfvo type="num" val="0"/>
        <cfvo type="num" val="0.1"/>
        <color rgb="FFF8696B"/>
        <color rgb="FFFFEB84"/>
        <color rgb="FF63BE7B"/>
      </colorScale>
    </cfRule>
    <cfRule type="colorScale" priority="140">
      <colorScale>
        <cfvo type="num" val="-0.1"/>
        <cfvo type="num" val="0"/>
        <cfvo type="num" val="0.1"/>
        <color rgb="FFF8696B"/>
        <color rgb="FFFFEB84"/>
        <color rgb="FF63BE7B"/>
      </colorScale>
    </cfRule>
  </conditionalFormatting>
  <conditionalFormatting sqref="Q93">
    <cfRule type="colorScale" priority="155">
      <colorScale>
        <cfvo type="num" val="-0.1"/>
        <cfvo type="num" val="0"/>
        <cfvo type="num" val="0.1"/>
        <color rgb="FFF8696B"/>
        <color rgb="FFFFEB84"/>
        <color rgb="FF63BE7B"/>
      </colorScale>
    </cfRule>
  </conditionalFormatting>
  <conditionalFormatting sqref="Q94">
    <cfRule type="colorScale" priority="153">
      <colorScale>
        <cfvo type="num" val="-0.1"/>
        <cfvo type="num" val="0"/>
        <cfvo type="num" val="0.1"/>
        <color rgb="FFF8696B"/>
        <color rgb="FFFFEB84"/>
        <color rgb="FF63BE7B"/>
      </colorScale>
    </cfRule>
  </conditionalFormatting>
  <conditionalFormatting sqref="Q95">
    <cfRule type="colorScale" priority="154">
      <colorScale>
        <cfvo type="num" val="-0.1"/>
        <cfvo type="num" val="0"/>
        <cfvo type="num" val="0.1"/>
        <color rgb="FFF8696B"/>
        <color rgb="FFFFEB84"/>
        <color rgb="FF63BE7B"/>
      </colorScale>
    </cfRule>
  </conditionalFormatting>
  <conditionalFormatting sqref="Q96">
    <cfRule type="colorScale" priority="152">
      <colorScale>
        <cfvo type="num" val="-0.1"/>
        <cfvo type="num" val="0"/>
        <cfvo type="num" val="0.1"/>
        <color rgb="FFF8696B"/>
        <color rgb="FFFFEB84"/>
        <color rgb="FF63BE7B"/>
      </colorScale>
    </cfRule>
  </conditionalFormatting>
  <conditionalFormatting sqref="Q97">
    <cfRule type="colorScale" priority="149">
      <colorScale>
        <cfvo type="num" val="-0.1"/>
        <cfvo type="num" val="0"/>
        <cfvo type="num" val="0.1"/>
        <color rgb="FFF8696B"/>
        <color rgb="FFFFEB84"/>
        <color rgb="FF63BE7B"/>
      </colorScale>
    </cfRule>
  </conditionalFormatting>
  <conditionalFormatting sqref="Q98">
    <cfRule type="colorScale" priority="147">
      <colorScale>
        <cfvo type="num" val="-0.1"/>
        <cfvo type="num" val="0"/>
        <cfvo type="num" val="0.1"/>
        <color rgb="FFF8696B"/>
        <color rgb="FFFFEB84"/>
        <color rgb="FF63BE7B"/>
      </colorScale>
    </cfRule>
    <cfRule type="colorScale" priority="148">
      <colorScale>
        <cfvo type="num" val="-0.1"/>
        <cfvo type="num" val="0"/>
        <cfvo type="num" val="0.1"/>
        <color rgb="FFF8696B"/>
        <color rgb="FFFFEB84"/>
        <color rgb="FF63BE7B"/>
      </colorScale>
    </cfRule>
  </conditionalFormatting>
  <conditionalFormatting sqref="Q99">
    <cfRule type="colorScale" priority="163">
      <colorScale>
        <cfvo type="num" val="-0.1"/>
        <cfvo type="num" val="0"/>
        <cfvo type="num" val="0.1"/>
        <color rgb="FFF8696B"/>
        <color rgb="FFFFEB84"/>
        <color rgb="FF63BE7B"/>
      </colorScale>
    </cfRule>
  </conditionalFormatting>
  <conditionalFormatting sqref="Q100">
    <cfRule type="colorScale" priority="162">
      <colorScale>
        <cfvo type="num" val="-0.1"/>
        <cfvo type="num" val="0"/>
        <cfvo type="num" val="0.1"/>
        <color rgb="FFF8696B"/>
        <color rgb="FFFFEB84"/>
        <color rgb="FF63BE7B"/>
      </colorScale>
    </cfRule>
  </conditionalFormatting>
  <conditionalFormatting sqref="Q101">
    <cfRule type="colorScale" priority="160">
      <colorScale>
        <cfvo type="num" val="-0.1"/>
        <cfvo type="num" val="0"/>
        <cfvo type="num" val="0.1"/>
        <color rgb="FFF8696B"/>
        <color rgb="FFFFEB84"/>
        <color rgb="FF63BE7B"/>
      </colorScale>
    </cfRule>
  </conditionalFormatting>
  <conditionalFormatting sqref="Q102">
    <cfRule type="colorScale" priority="161">
      <colorScale>
        <cfvo type="num" val="-0.1"/>
        <cfvo type="num" val="0"/>
        <cfvo type="num" val="0.1"/>
        <color rgb="FFF8696B"/>
        <color rgb="FFFFEB84"/>
        <color rgb="FF63BE7B"/>
      </colorScale>
    </cfRule>
  </conditionalFormatting>
  <conditionalFormatting sqref="Q103">
    <cfRule type="colorScale" priority="168">
      <colorScale>
        <cfvo type="num" val="-0.1"/>
        <cfvo type="num" val="0"/>
        <cfvo type="num" val="0.1"/>
        <color rgb="FFF8696B"/>
        <color rgb="FFFFEB84"/>
        <color rgb="FF63BE7B"/>
      </colorScale>
    </cfRule>
  </conditionalFormatting>
  <conditionalFormatting sqref="Q104">
    <cfRule type="colorScale" priority="166">
      <colorScale>
        <cfvo type="num" val="-0.1"/>
        <cfvo type="num" val="0"/>
        <cfvo type="num" val="0.1"/>
        <color rgb="FFF8696B"/>
        <color rgb="FFFFEB84"/>
        <color rgb="FF63BE7B"/>
      </colorScale>
    </cfRule>
  </conditionalFormatting>
  <conditionalFormatting sqref="Q105">
    <cfRule type="colorScale" priority="167">
      <colorScale>
        <cfvo type="num" val="-0.1"/>
        <cfvo type="num" val="0"/>
        <cfvo type="num" val="0.1"/>
        <color rgb="FFF8696B"/>
        <color rgb="FFFFEB84"/>
        <color rgb="FF63BE7B"/>
      </colorScale>
    </cfRule>
  </conditionalFormatting>
  <conditionalFormatting sqref="Q106">
    <cfRule type="colorScale" priority="159">
      <colorScale>
        <cfvo type="num" val="-0.1"/>
        <cfvo type="num" val="0"/>
        <cfvo type="num" val="0.1"/>
        <color rgb="FFF8696B"/>
        <color rgb="FFFFEB84"/>
        <color rgb="FF63BE7B"/>
      </colorScale>
    </cfRule>
  </conditionalFormatting>
  <conditionalFormatting sqref="Q107">
    <cfRule type="colorScale" priority="158">
      <colorScale>
        <cfvo type="num" val="-0.1"/>
        <cfvo type="num" val="0"/>
        <cfvo type="num" val="0.1"/>
        <color rgb="FFF8696B"/>
        <color rgb="FFFFEB84"/>
        <color rgb="FF63BE7B"/>
      </colorScale>
    </cfRule>
  </conditionalFormatting>
  <conditionalFormatting sqref="Q108">
    <cfRule type="colorScale" priority="157">
      <colorScale>
        <cfvo type="num" val="-0.1"/>
        <cfvo type="num" val="0"/>
        <cfvo type="num" val="0.1"/>
        <color rgb="FFF8696B"/>
        <color rgb="FFFFEB84"/>
        <color rgb="FF63BE7B"/>
      </colorScale>
    </cfRule>
  </conditionalFormatting>
  <conditionalFormatting sqref="Q109">
    <cfRule type="colorScale" priority="173">
      <colorScale>
        <cfvo type="num" val="-0.1"/>
        <cfvo type="num" val="0"/>
        <cfvo type="num" val="0.1"/>
        <color rgb="FFF8696B"/>
        <color rgb="FFFFEB84"/>
        <color rgb="FF63BE7B"/>
      </colorScale>
    </cfRule>
  </conditionalFormatting>
  <conditionalFormatting sqref="Q110">
    <cfRule type="colorScale" priority="171">
      <colorScale>
        <cfvo type="num" val="-0.1"/>
        <cfvo type="num" val="0"/>
        <cfvo type="num" val="0.1"/>
        <color rgb="FFF8696B"/>
        <color rgb="FFFFEB84"/>
        <color rgb="FF63BE7B"/>
      </colorScale>
    </cfRule>
  </conditionalFormatting>
  <conditionalFormatting sqref="Q111">
    <cfRule type="colorScale" priority="170">
      <colorScale>
        <cfvo type="num" val="-0.1"/>
        <cfvo type="num" val="0"/>
        <cfvo type="num" val="0.1"/>
        <color rgb="FFF8696B"/>
        <color rgb="FFFFEB84"/>
        <color rgb="FF63BE7B"/>
      </colorScale>
    </cfRule>
  </conditionalFormatting>
  <conditionalFormatting sqref="Q112">
    <cfRule type="colorScale" priority="172">
      <colorScale>
        <cfvo type="num" val="-0.1"/>
        <cfvo type="num" val="0"/>
        <cfvo type="num" val="0.1"/>
        <color rgb="FFF8696B"/>
        <color rgb="FFFFEB84"/>
        <color rgb="FF63BE7B"/>
      </colorScale>
    </cfRule>
  </conditionalFormatting>
  <conditionalFormatting sqref="Q113">
    <cfRule type="colorScale" priority="177">
      <colorScale>
        <cfvo type="num" val="-0.1"/>
        <cfvo type="num" val="0"/>
        <cfvo type="num" val="0.1"/>
        <color rgb="FFF8696B"/>
        <color rgb="FFFFEB84"/>
        <color rgb="FF63BE7B"/>
      </colorScale>
    </cfRule>
  </conditionalFormatting>
  <conditionalFormatting sqref="Q114">
    <cfRule type="colorScale" priority="175">
      <colorScale>
        <cfvo type="num" val="-0.1"/>
        <cfvo type="num" val="0"/>
        <cfvo type="num" val="0.1"/>
        <color rgb="FFF8696B"/>
        <color rgb="FFFFEB84"/>
        <color rgb="FF63BE7B"/>
      </colorScale>
    </cfRule>
  </conditionalFormatting>
  <conditionalFormatting sqref="Q115">
    <cfRule type="colorScale" priority="174">
      <colorScale>
        <cfvo type="num" val="-0.1"/>
        <cfvo type="num" val="0"/>
        <cfvo type="num" val="0.1"/>
        <color rgb="FFF8696B"/>
        <color rgb="FFFFEB84"/>
        <color rgb="FF63BE7B"/>
      </colorScale>
    </cfRule>
  </conditionalFormatting>
  <conditionalFormatting sqref="Q116">
    <cfRule type="colorScale" priority="176">
      <colorScale>
        <cfvo type="num" val="-0.1"/>
        <cfvo type="num" val="0"/>
        <cfvo type="num" val="0.1"/>
        <color rgb="FFF8696B"/>
        <color rgb="FFFFEB84"/>
        <color rgb="FF63BE7B"/>
      </colorScale>
    </cfRule>
  </conditionalFormatting>
  <conditionalFormatting sqref="Q117">
    <cfRule type="colorScale" priority="186">
      <colorScale>
        <cfvo type="num" val="-0.1"/>
        <cfvo type="num" val="0"/>
        <cfvo type="num" val="0.1"/>
        <color rgb="FFF8696B"/>
        <color rgb="FFFFEB84"/>
        <color rgb="FF63BE7B"/>
      </colorScale>
    </cfRule>
  </conditionalFormatting>
  <conditionalFormatting sqref="Q118">
    <cfRule type="colorScale" priority="182">
      <colorScale>
        <cfvo type="num" val="-0.1"/>
        <cfvo type="num" val="0"/>
        <cfvo type="num" val="0.1"/>
        <color rgb="FFF8696B"/>
        <color rgb="FFFFEB84"/>
        <color rgb="FF63BE7B"/>
      </colorScale>
    </cfRule>
  </conditionalFormatting>
  <conditionalFormatting sqref="Q119">
    <cfRule type="colorScale" priority="181">
      <colorScale>
        <cfvo type="num" val="-0.1"/>
        <cfvo type="num" val="0"/>
        <cfvo type="num" val="0.1"/>
        <color rgb="FFF8696B"/>
        <color rgb="FFFFEB84"/>
        <color rgb="FF63BE7B"/>
      </colorScale>
    </cfRule>
  </conditionalFormatting>
  <conditionalFormatting sqref="Q120">
    <cfRule type="colorScale" priority="183">
      <colorScale>
        <cfvo type="num" val="-0.1"/>
        <cfvo type="num" val="0"/>
        <cfvo type="num" val="0.1"/>
        <color rgb="FFF8696B"/>
        <color rgb="FFFFEB84"/>
        <color rgb="FF63BE7B"/>
      </colorScale>
    </cfRule>
  </conditionalFormatting>
  <conditionalFormatting sqref="Q121">
    <cfRule type="colorScale" priority="180">
      <colorScale>
        <cfvo type="num" val="-0.1"/>
        <cfvo type="num" val="0"/>
        <cfvo type="num" val="0.1"/>
        <color rgb="FFF8696B"/>
        <color rgb="FFFFEB84"/>
        <color rgb="FF63BE7B"/>
      </colorScale>
    </cfRule>
  </conditionalFormatting>
  <conditionalFormatting sqref="Q122">
    <cfRule type="colorScale" priority="179">
      <colorScale>
        <cfvo type="num" val="-0.1"/>
        <cfvo type="num" val="0"/>
        <cfvo type="num" val="0.1"/>
        <color rgb="FFF8696B"/>
        <color rgb="FFFFEB84"/>
        <color rgb="FF63BE7B"/>
      </colorScale>
    </cfRule>
  </conditionalFormatting>
  <conditionalFormatting sqref="Q123">
    <cfRule type="colorScale" priority="178">
      <colorScale>
        <cfvo type="num" val="-0.1"/>
        <cfvo type="num" val="0"/>
        <cfvo type="num" val="0.1"/>
        <color rgb="FFF8696B"/>
        <color rgb="FFFFEB84"/>
        <color rgb="FF63BE7B"/>
      </colorScale>
    </cfRule>
  </conditionalFormatting>
  <conditionalFormatting sqref="Q124">
    <cfRule type="colorScale" priority="188">
      <colorScale>
        <cfvo type="num" val="-0.1"/>
        <cfvo type="num" val="0"/>
        <cfvo type="num" val="0.1"/>
        <color rgb="FFF8696B"/>
        <color rgb="FFFFEB84"/>
        <color rgb="FF63BE7B"/>
      </colorScale>
    </cfRule>
  </conditionalFormatting>
  <conditionalFormatting sqref="Q125:Q126">
    <cfRule type="colorScale" priority="193">
      <colorScale>
        <cfvo type="num" val="-0.1"/>
        <cfvo type="num" val="0"/>
        <cfvo type="num" val="0.1"/>
        <color rgb="FFF8696B"/>
        <color rgb="FFFFEB84"/>
        <color rgb="FF63BE7B"/>
      </colorScale>
    </cfRule>
  </conditionalFormatting>
  <conditionalFormatting sqref="Q127">
    <cfRule type="colorScale" priority="187">
      <colorScale>
        <cfvo type="num" val="-0.1"/>
        <cfvo type="num" val="0"/>
        <cfvo type="num" val="0.1"/>
        <color rgb="FFF8696B"/>
        <color rgb="FFFFEB84"/>
        <color rgb="FF63BE7B"/>
      </colorScale>
    </cfRule>
  </conditionalFormatting>
  <conditionalFormatting sqref="Q128">
    <cfRule type="colorScale" priority="192">
      <colorScale>
        <cfvo type="num" val="-0.1"/>
        <cfvo type="num" val="0"/>
        <cfvo type="num" val="0.1"/>
        <color rgb="FFF8696B"/>
        <color rgb="FFFFEB84"/>
        <color rgb="FF63BE7B"/>
      </colorScale>
    </cfRule>
  </conditionalFormatting>
  <conditionalFormatting sqref="Q129">
    <cfRule type="colorScale" priority="191">
      <colorScale>
        <cfvo type="num" val="-0.1"/>
        <cfvo type="num" val="0"/>
        <cfvo type="num" val="0.1"/>
        <color rgb="FFF8696B"/>
        <color rgb="FFFFEB84"/>
        <color rgb="FF63BE7B"/>
      </colorScale>
    </cfRule>
  </conditionalFormatting>
  <conditionalFormatting sqref="Q130:Q131">
    <cfRule type="colorScale" priority="198">
      <colorScale>
        <cfvo type="num" val="-0.1"/>
        <cfvo type="num" val="0"/>
        <cfvo type="num" val="0.1"/>
        <color rgb="FFF8696B"/>
        <color rgb="FFFFEB84"/>
        <color rgb="FF63BE7B"/>
      </colorScale>
    </cfRule>
  </conditionalFormatting>
  <conditionalFormatting sqref="Q132">
    <cfRule type="colorScale" priority="197">
      <colorScale>
        <cfvo type="num" val="-0.1"/>
        <cfvo type="num" val="0"/>
        <cfvo type="num" val="0.1"/>
        <color rgb="FFF8696B"/>
        <color rgb="FFFFEB84"/>
        <color rgb="FF63BE7B"/>
      </colorScale>
    </cfRule>
  </conditionalFormatting>
  <conditionalFormatting sqref="Q133">
    <cfRule type="colorScale" priority="196">
      <colorScale>
        <cfvo type="num" val="-0.1"/>
        <cfvo type="num" val="0"/>
        <cfvo type="num" val="0.1"/>
        <color rgb="FFF8696B"/>
        <color rgb="FFFFEB84"/>
        <color rgb="FF63BE7B"/>
      </colorScale>
    </cfRule>
  </conditionalFormatting>
  <conditionalFormatting sqref="Q134">
    <cfRule type="colorScale" priority="195">
      <colorScale>
        <cfvo type="num" val="-0.1"/>
        <cfvo type="num" val="0"/>
        <cfvo type="num" val="0.1"/>
        <color rgb="FFF8696B"/>
        <color rgb="FFFFEB84"/>
        <color rgb="FF63BE7B"/>
      </colorScale>
    </cfRule>
  </conditionalFormatting>
  <conditionalFormatting sqref="Q135">
    <cfRule type="colorScale" priority="194">
      <colorScale>
        <cfvo type="num" val="-0.1"/>
        <cfvo type="num" val="0"/>
        <cfvo type="num" val="0.1"/>
        <color rgb="FFF8696B"/>
        <color rgb="FFFFEB84"/>
        <color rgb="FF63BE7B"/>
      </colorScale>
    </cfRule>
  </conditionalFormatting>
  <conditionalFormatting sqref="Q138">
    <cfRule type="colorScale" priority="200">
      <colorScale>
        <cfvo type="num" val="-0.1"/>
        <cfvo type="num" val="0"/>
        <cfvo type="num" val="0.1"/>
        <color rgb="FFF8696B"/>
        <color rgb="FFFFEB84"/>
        <color rgb="FF63BE7B"/>
      </colorScale>
    </cfRule>
  </conditionalFormatting>
  <conditionalFormatting sqref="Q139:Q142">
    <cfRule type="colorScale" priority="199">
      <colorScale>
        <cfvo type="num" val="-0.1"/>
        <cfvo type="num" val="0"/>
        <cfvo type="num" val="0.1"/>
        <color rgb="FFF8696B"/>
        <color rgb="FFFFEB84"/>
        <color rgb="FF63BE7B"/>
      </colorScale>
    </cfRule>
  </conditionalFormatting>
  <conditionalFormatting sqref="Q146">
    <cfRule type="colorScale" priority="212">
      <colorScale>
        <cfvo type="num" val="-0.1"/>
        <cfvo type="num" val="0"/>
        <cfvo type="num" val="0.1"/>
        <color rgb="FFF8696B"/>
        <color rgb="FFFFEB84"/>
        <color rgb="FF63BE7B"/>
      </colorScale>
    </cfRule>
  </conditionalFormatting>
  <conditionalFormatting sqref="Q147">
    <cfRule type="colorScale" priority="211">
      <colorScale>
        <cfvo type="num" val="-0.1"/>
        <cfvo type="num" val="0"/>
        <cfvo type="num" val="0.1"/>
        <color rgb="FFF8696B"/>
        <color rgb="FFFFEB84"/>
        <color rgb="FF63BE7B"/>
      </colorScale>
    </cfRule>
  </conditionalFormatting>
  <conditionalFormatting sqref="Q148">
    <cfRule type="colorScale" priority="213">
      <colorScale>
        <cfvo type="num" val="-0.1"/>
        <cfvo type="num" val="0"/>
        <cfvo type="num" val="0.1"/>
        <color rgb="FFF8696B"/>
        <color rgb="FFFFEB84"/>
        <color rgb="FF63BE7B"/>
      </colorScale>
    </cfRule>
  </conditionalFormatting>
  <hyperlinks>
    <hyperlink ref="T160" r:id="rId1" xr:uid="{00000000-0004-0000-0400-000000000000}"/>
    <hyperlink ref="T156" r:id="rId2" xr:uid="{00000000-0004-0000-0400-000001000000}"/>
    <hyperlink ref="T158" r:id="rId3" xr:uid="{00000000-0004-0000-0400-000002000000}"/>
    <hyperlink ref="T157" r:id="rId4" xr:uid="{00000000-0004-0000-0400-000003000000}"/>
    <hyperlink ref="T153" r:id="rId5" xr:uid="{00000000-0004-0000-0400-000004000000}"/>
    <hyperlink ref="T154" r:id="rId6" xr:uid="{00000000-0004-0000-0400-000005000000}"/>
    <hyperlink ref="T150" r:id="rId7" xr:uid="{00000000-0004-0000-0400-000006000000}"/>
    <hyperlink ref="T151" r:id="rId8" xr:uid="{00000000-0004-0000-0400-000007000000}"/>
    <hyperlink ref="T146" r:id="rId9" xr:uid="{00000000-0004-0000-0400-000008000000}"/>
    <hyperlink ref="T147" r:id="rId10" xr:uid="{00000000-0004-0000-0400-000009000000}"/>
    <hyperlink ref="T148" r:id="rId11" xr:uid="{00000000-0004-0000-0400-00000A000000}"/>
    <hyperlink ref="T143" r:id="rId12" xr:uid="{00000000-0004-0000-0400-00000B000000}"/>
    <hyperlink ref="T144" r:id="rId13" xr:uid="{00000000-0004-0000-0400-00000C000000}"/>
    <hyperlink ref="T140" r:id="rId14" xr:uid="{00000000-0004-0000-0400-00000D000000}"/>
    <hyperlink ref="T141" r:id="rId15" xr:uid="{00000000-0004-0000-0400-00000E000000}"/>
    <hyperlink ref="T136" r:id="rId16" xr:uid="{00000000-0004-0000-0400-00000F000000}"/>
    <hyperlink ref="T137" r:id="rId17" xr:uid="{00000000-0004-0000-0400-000010000000}"/>
    <hyperlink ref="T138" r:id="rId18" xr:uid="{00000000-0004-0000-0400-000011000000}"/>
    <hyperlink ref="T130" r:id="rId19" xr:uid="{00000000-0004-0000-0400-000012000000}"/>
    <hyperlink ref="T131" r:id="rId20" xr:uid="{00000000-0004-0000-0400-000013000000}"/>
    <hyperlink ref="T132" r:id="rId21" xr:uid="{00000000-0004-0000-0400-000014000000}"/>
    <hyperlink ref="T134" r:id="rId22" xr:uid="{00000000-0004-0000-0400-000015000000}"/>
    <hyperlink ref="T121" r:id="rId23" xr:uid="{00000000-0004-0000-0400-000016000000}"/>
    <hyperlink ref="T122" r:id="rId24" xr:uid="{00000000-0004-0000-0400-000017000000}"/>
    <hyperlink ref="T123" r:id="rId25" xr:uid="{00000000-0004-0000-0400-000018000000}"/>
    <hyperlink ref="T125" r:id="rId26" xr:uid="{00000000-0004-0000-0400-000019000000}"/>
    <hyperlink ref="T126" r:id="rId27" xr:uid="{00000000-0004-0000-0400-00001A000000}"/>
    <hyperlink ref="T128" r:id="rId28" xr:uid="{00000000-0004-0000-0400-00001B000000}"/>
    <hyperlink ref="T117" r:id="rId29" xr:uid="{00000000-0004-0000-0400-00001C000000}"/>
    <hyperlink ref="T118" r:id="rId30" xr:uid="{00000000-0004-0000-0400-00001D000000}"/>
    <hyperlink ref="T119" r:id="rId31" xr:uid="{00000000-0004-0000-0400-00001E000000}"/>
    <hyperlink ref="T113" r:id="rId32" xr:uid="{00000000-0004-0000-0400-00001F000000}"/>
    <hyperlink ref="T114" r:id="rId33" xr:uid="{00000000-0004-0000-0400-000020000000}"/>
    <hyperlink ref="T115" r:id="rId34" xr:uid="{00000000-0004-0000-0400-000021000000}"/>
    <hyperlink ref="T113:T115" r:id="rId35" display="Press Release" xr:uid="{00000000-0004-0000-0400-000022000000}"/>
    <hyperlink ref="T109" r:id="rId36" xr:uid="{00000000-0004-0000-0400-000023000000}"/>
    <hyperlink ref="T110" r:id="rId37" xr:uid="{00000000-0004-0000-0400-000024000000}"/>
    <hyperlink ref="T111" r:id="rId38" xr:uid="{00000000-0004-0000-0400-000025000000}"/>
    <hyperlink ref="T103" r:id="rId39" xr:uid="{00000000-0004-0000-0400-000026000000}"/>
    <hyperlink ref="T104" r:id="rId40" xr:uid="{00000000-0004-0000-0400-000027000000}"/>
    <hyperlink ref="T99" r:id="rId41" xr:uid="{00000000-0004-0000-0400-000028000000}"/>
    <hyperlink ref="T100" r:id="rId42" xr:uid="{00000000-0004-0000-0400-000029000000}"/>
    <hyperlink ref="T101" r:id="rId43" xr:uid="{00000000-0004-0000-0400-00002A000000}"/>
    <hyperlink ref="T106" r:id="rId44" xr:uid="{00000000-0004-0000-0400-00002B000000}"/>
    <hyperlink ref="T107" r:id="rId45" xr:uid="{00000000-0004-0000-0400-00002C000000}"/>
    <hyperlink ref="T96" r:id="rId46" xr:uid="{00000000-0004-0000-0400-00002D000000}"/>
    <hyperlink ref="T92" r:id="rId47" xr:uid="{00000000-0004-0000-0400-00002E000000}"/>
    <hyperlink ref="T93" r:id="rId48" xr:uid="{00000000-0004-0000-0400-00002F000000}"/>
    <hyperlink ref="T94" r:id="rId49" xr:uid="{00000000-0004-0000-0400-000030000000}"/>
    <hyperlink ref="T97" r:id="rId50" xr:uid="{00000000-0004-0000-0400-000031000000}"/>
    <hyperlink ref="T90" r:id="rId51" xr:uid="{00000000-0004-0000-0400-000032000000}"/>
    <hyperlink ref="T86:T88" r:id="rId52" display="Press Release" xr:uid="{00000000-0004-0000-0400-000033000000}"/>
    <hyperlink ref="T83" r:id="rId53" xr:uid="{00000000-0004-0000-0400-000034000000}"/>
    <hyperlink ref="T79:T81" r:id="rId54" display="Press Release" xr:uid="{00000000-0004-0000-0400-000035000000}"/>
    <hyperlink ref="T84" r:id="rId55" xr:uid="{00000000-0004-0000-0400-000036000000}"/>
    <hyperlink ref="T77" r:id="rId56" xr:uid="{00000000-0004-0000-0400-000037000000}"/>
    <hyperlink ref="T74:T75" r:id="rId57" display="Press Release" xr:uid="{00000000-0004-0000-0400-000038000000}"/>
    <hyperlink ref="T77" r:id="rId58" xr:uid="{00000000-0004-0000-0400-000039000000}"/>
    <hyperlink ref="T71:T72" r:id="rId59" display="Press Release" xr:uid="{00000000-0004-0000-0400-00003A000000}"/>
    <hyperlink ref="T69" r:id="rId60" xr:uid="{00000000-0004-0000-0400-00003B000000}"/>
    <hyperlink ref="T65" r:id="rId61" xr:uid="{00000000-0004-0000-0400-00003C000000}"/>
    <hyperlink ref="T66" r:id="rId62" xr:uid="{00000000-0004-0000-0400-00003D000000}"/>
    <hyperlink ref="T67" r:id="rId63" xr:uid="{00000000-0004-0000-0400-00003E000000}"/>
    <hyperlink ref="T63" r:id="rId64" xr:uid="{00000000-0004-0000-0400-00003F000000}"/>
    <hyperlink ref="T59" r:id="rId65" xr:uid="{00000000-0004-0000-0400-000040000000}"/>
    <hyperlink ref="T60" r:id="rId66" xr:uid="{00000000-0004-0000-0400-000041000000}"/>
    <hyperlink ref="T61" r:id="rId67" xr:uid="{00000000-0004-0000-0400-000042000000}"/>
    <hyperlink ref="T59:T61" r:id="rId68" display="Press Release" xr:uid="{00000000-0004-0000-0400-000043000000}"/>
    <hyperlink ref="T53" r:id="rId69" xr:uid="{00000000-0004-0000-0400-000044000000}"/>
    <hyperlink ref="T53:T55" r:id="rId70" display="Press Release" xr:uid="{00000000-0004-0000-0400-000045000000}"/>
    <hyperlink ref="T54" r:id="rId71" xr:uid="{00000000-0004-0000-0400-000046000000}"/>
    <hyperlink ref="T55" r:id="rId72" xr:uid="{00000000-0004-0000-0400-000047000000}"/>
    <hyperlink ref="T57" r:id="rId73" xr:uid="{00000000-0004-0000-0400-000048000000}"/>
    <hyperlink ref="T47" r:id="rId74" xr:uid="{00000000-0004-0000-0400-000049000000}"/>
    <hyperlink ref="T48" r:id="rId75" xr:uid="{00000000-0004-0000-0400-00004A000000}"/>
    <hyperlink ref="T50" r:id="rId76" xr:uid="{00000000-0004-0000-0400-00004B000000}"/>
    <hyperlink ref="T43" r:id="rId77" xr:uid="{00000000-0004-0000-0400-00004C000000}"/>
    <hyperlink ref="T44:T45" r:id="rId78" display="Press Release" xr:uid="{00000000-0004-0000-0400-00004D000000}"/>
    <hyperlink ref="T51" r:id="rId79" xr:uid="{00000000-0004-0000-0400-00004E000000}"/>
    <hyperlink ref="T37" r:id="rId80" xr:uid="{00000000-0004-0000-0400-00004F000000}"/>
    <hyperlink ref="T38" r:id="rId81" xr:uid="{00000000-0004-0000-0400-000050000000}"/>
    <hyperlink ref="T41" r:id="rId82" xr:uid="{00000000-0004-0000-0400-000051000000}"/>
    <hyperlink ref="T39" r:id="rId83" xr:uid="{00000000-0004-0000-0400-000052000000}"/>
    <hyperlink ref="T31" r:id="rId84" xr:uid="{00000000-0004-0000-0400-000053000000}"/>
    <hyperlink ref="T32" r:id="rId85" xr:uid="{00000000-0004-0000-0400-000054000000}"/>
    <hyperlink ref="T33" r:id="rId86" xr:uid="{00000000-0004-0000-0400-000055000000}"/>
    <hyperlink ref="T35" r:id="rId87" xr:uid="{00000000-0004-0000-0400-000056000000}"/>
    <hyperlink ref="T25" r:id="rId88" xr:uid="{00000000-0004-0000-0400-000057000000}"/>
    <hyperlink ref="T26:T27" r:id="rId89" display="Press Release" xr:uid="{00000000-0004-0000-0400-000058000000}"/>
    <hyperlink ref="T29" r:id="rId90" xr:uid="{00000000-0004-0000-0400-000059000000}"/>
    <hyperlink ref="T19" r:id="rId91" xr:uid="{00000000-0004-0000-0400-00005A000000}"/>
    <hyperlink ref="T20" r:id="rId92" xr:uid="{00000000-0004-0000-0400-00005B000000}"/>
    <hyperlink ref="T23" r:id="rId93" xr:uid="{00000000-0004-0000-0400-00005C000000}"/>
    <hyperlink ref="T22" r:id="rId94" xr:uid="{00000000-0004-0000-0400-00005D000000}"/>
    <hyperlink ref="T12" r:id="rId95" xr:uid="{00000000-0004-0000-0400-00005E000000}"/>
    <hyperlink ref="T13" r:id="rId96" xr:uid="{00000000-0004-0000-0400-00005F000000}"/>
    <hyperlink ref="T16" r:id="rId97" xr:uid="{00000000-0004-0000-0400-000060000000}"/>
    <hyperlink ref="T16:T17" r:id="rId98" display="Press Release" xr:uid="{00000000-0004-0000-0400-000061000000}"/>
    <hyperlink ref="T12:T13" r:id="rId99" display="Press Release" xr:uid="{00000000-0004-0000-0400-000062000000}"/>
    <hyperlink ref="T17" r:id="rId100" xr:uid="{00000000-0004-0000-0400-000063000000}"/>
    <hyperlink ref="T14" r:id="rId101" xr:uid="{00000000-0004-0000-0400-000064000000}"/>
    <hyperlink ref="T6" r:id="rId102" xr:uid="{00000000-0004-0000-0400-000065000000}"/>
    <hyperlink ref="T7" r:id="rId103" xr:uid="{00000000-0004-0000-0400-000066000000}"/>
    <hyperlink ref="T8" r:id="rId104" xr:uid="{00000000-0004-0000-0400-000067000000}"/>
    <hyperlink ref="T10" r:id="rId105" xr:uid="{00000000-0004-0000-0400-000068000000}"/>
  </hyperlinks>
  <pageMargins left="0.7" right="0.7" top="0.75" bottom="0.75" header="0.3" footer="0.3"/>
  <pageSetup orientation="portrait" r:id="rId106"/>
  <legacyDrawing r:id="rId10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403BF-E235-40A6-9C55-CA26131A039A}">
  <sheetPr codeName="Sheet1">
    <pageSetUpPr fitToPage="1"/>
  </sheetPr>
  <dimension ref="A1:CC135"/>
  <sheetViews>
    <sheetView workbookViewId="0">
      <pane xSplit="2" ySplit="2" topLeftCell="C3" activePane="bottomRight" state="frozenSplit"/>
      <selection pane="topRight" activeCell="C1" sqref="C1"/>
      <selection pane="bottomLeft" activeCell="A3" sqref="A3"/>
      <selection pane="bottomRight"/>
    </sheetView>
  </sheetViews>
  <sheetFormatPr defaultColWidth="9.26171875" defaultRowHeight="14.4" outlineLevelRow="1" outlineLevelCol="2" x14ac:dyDescent="0.55000000000000004"/>
  <cols>
    <col min="1" max="1" width="41.26171875" style="727" customWidth="1"/>
    <col min="2" max="2" width="9.734375" style="727" customWidth="1"/>
    <col min="3" max="46" width="10.5234375" style="727" hidden="1" customWidth="1" outlineLevel="1"/>
    <col min="47" max="47" width="10.5234375" style="727" customWidth="1" collapsed="1"/>
    <col min="48" max="51" width="10.5234375" style="727" customWidth="1"/>
    <col min="52" max="54" width="10.5234375" style="727" customWidth="1" collapsed="1"/>
    <col min="55" max="56" width="10.5234375" style="727" customWidth="1"/>
    <col min="57" max="58" width="10.5234375" style="727" customWidth="1" collapsed="1"/>
    <col min="59" max="59" width="10.5234375" style="727" customWidth="1" outlineLevel="1" collapsed="1"/>
    <col min="60" max="60" width="10.5234375" style="727" hidden="1" customWidth="1" outlineLevel="2" collapsed="1"/>
    <col min="61" max="62" width="10.5234375" style="727" hidden="1" customWidth="1" outlineLevel="2"/>
    <col min="63" max="65" width="10.5234375" style="727" hidden="1" customWidth="1" outlineLevel="2" collapsed="1"/>
    <col min="66" max="67" width="10.5234375" style="727" hidden="1" customWidth="1" outlineLevel="2"/>
    <col min="68" max="70" width="10.5234375" style="727" hidden="1" customWidth="1" outlineLevel="2" collapsed="1"/>
    <col min="71" max="72" width="10.5234375" style="727" hidden="1" customWidth="1" outlineLevel="2"/>
    <col min="73" max="73" width="10.5234375" style="727" customWidth="1"/>
    <col min="74" max="75" width="10.5234375" style="727" customWidth="1" collapsed="1"/>
    <col min="76" max="80" width="10.5234375" style="727" customWidth="1"/>
    <col min="81" max="81" width="8.734375" style="727" customWidth="1"/>
    <col min="82" max="16384" width="9.26171875" style="727"/>
  </cols>
  <sheetData>
    <row r="1" spans="1:81" ht="28.2" x14ac:dyDescent="1.05">
      <c r="A1" s="88" t="str">
        <f>MO.CompanyName</f>
        <v>Meta Platforms, Inc.</v>
      </c>
      <c r="B1" s="610"/>
      <c r="C1" s="84">
        <f t="shared" ref="C1:AH1" si="0">INDEX(MO_Common_QEndDate,0,COLUMN())</f>
        <v>41364</v>
      </c>
      <c r="D1" s="84">
        <f t="shared" si="0"/>
        <v>41455</v>
      </c>
      <c r="E1" s="84">
        <f t="shared" si="0"/>
        <v>41547</v>
      </c>
      <c r="F1" s="84">
        <f t="shared" si="0"/>
        <v>41639</v>
      </c>
      <c r="G1" s="84">
        <f t="shared" si="0"/>
        <v>41729</v>
      </c>
      <c r="H1" s="84">
        <f t="shared" si="0"/>
        <v>41820</v>
      </c>
      <c r="I1" s="84">
        <f t="shared" si="0"/>
        <v>41912</v>
      </c>
      <c r="J1" s="84">
        <f t="shared" si="0"/>
        <v>42004</v>
      </c>
      <c r="K1" s="84">
        <f t="shared" si="0"/>
        <v>42094</v>
      </c>
      <c r="L1" s="84">
        <f t="shared" si="0"/>
        <v>42185</v>
      </c>
      <c r="M1" s="84">
        <f t="shared" si="0"/>
        <v>42277</v>
      </c>
      <c r="N1" s="84">
        <f t="shared" si="0"/>
        <v>42369</v>
      </c>
      <c r="O1" s="84">
        <f t="shared" si="0"/>
        <v>42460</v>
      </c>
      <c r="P1" s="84">
        <f t="shared" si="0"/>
        <v>42551</v>
      </c>
      <c r="Q1" s="84">
        <f t="shared" si="0"/>
        <v>42643</v>
      </c>
      <c r="R1" s="84">
        <f t="shared" si="0"/>
        <v>42735</v>
      </c>
      <c r="S1" s="84">
        <f t="shared" si="0"/>
        <v>42825</v>
      </c>
      <c r="T1" s="84">
        <f t="shared" si="0"/>
        <v>42916</v>
      </c>
      <c r="U1" s="84">
        <f t="shared" si="0"/>
        <v>43008</v>
      </c>
      <c r="V1" s="84">
        <f t="shared" si="0"/>
        <v>43100</v>
      </c>
      <c r="W1" s="84">
        <f t="shared" si="0"/>
        <v>43190</v>
      </c>
      <c r="X1" s="84">
        <f t="shared" si="0"/>
        <v>43281</v>
      </c>
      <c r="Y1" s="84">
        <f t="shared" si="0"/>
        <v>43373</v>
      </c>
      <c r="Z1" s="84">
        <f t="shared" si="0"/>
        <v>43465</v>
      </c>
      <c r="AA1" s="84">
        <f t="shared" si="0"/>
        <v>43555</v>
      </c>
      <c r="AB1" s="84">
        <f t="shared" si="0"/>
        <v>43646</v>
      </c>
      <c r="AC1" s="84">
        <f t="shared" si="0"/>
        <v>43738</v>
      </c>
      <c r="AD1" s="84">
        <f t="shared" si="0"/>
        <v>43830</v>
      </c>
      <c r="AE1" s="84">
        <f t="shared" si="0"/>
        <v>43921</v>
      </c>
      <c r="AF1" s="84">
        <f t="shared" si="0"/>
        <v>44012</v>
      </c>
      <c r="AG1" s="84">
        <f t="shared" si="0"/>
        <v>44104</v>
      </c>
      <c r="AH1" s="84">
        <f t="shared" si="0"/>
        <v>44196</v>
      </c>
      <c r="AI1" s="84">
        <f t="shared" ref="AI1:BF1" si="1">INDEX(MO_Common_QEndDate,0,COLUMN())</f>
        <v>44286</v>
      </c>
      <c r="AJ1" s="84">
        <f t="shared" si="1"/>
        <v>44377</v>
      </c>
      <c r="AK1" s="84">
        <f t="shared" si="1"/>
        <v>44469</v>
      </c>
      <c r="AL1" s="84">
        <f t="shared" si="1"/>
        <v>44561</v>
      </c>
      <c r="AM1" s="84">
        <f t="shared" si="1"/>
        <v>44651</v>
      </c>
      <c r="AN1" s="84">
        <f t="shared" si="1"/>
        <v>44742</v>
      </c>
      <c r="AO1" s="84">
        <f t="shared" si="1"/>
        <v>44834</v>
      </c>
      <c r="AP1" s="84">
        <f t="shared" si="1"/>
        <v>44926</v>
      </c>
      <c r="AQ1" s="84">
        <f t="shared" si="1"/>
        <v>45016</v>
      </c>
      <c r="AR1" s="84">
        <f t="shared" si="1"/>
        <v>45107</v>
      </c>
      <c r="AS1" s="84">
        <f t="shared" si="1"/>
        <v>45199</v>
      </c>
      <c r="AT1" s="84">
        <f t="shared" si="1"/>
        <v>45291</v>
      </c>
      <c r="AU1" s="84">
        <f t="shared" si="1"/>
        <v>45382</v>
      </c>
      <c r="AV1" s="84">
        <f t="shared" si="1"/>
        <v>45473</v>
      </c>
      <c r="AW1" s="84">
        <f t="shared" si="1"/>
        <v>45565</v>
      </c>
      <c r="AX1" s="84">
        <f t="shared" si="1"/>
        <v>45657</v>
      </c>
      <c r="AY1" s="682">
        <f t="shared" si="1"/>
        <v>45747</v>
      </c>
      <c r="AZ1" s="84">
        <f t="shared" si="1"/>
        <v>45838</v>
      </c>
      <c r="BA1" s="84">
        <f t="shared" si="1"/>
        <v>45930</v>
      </c>
      <c r="BB1" s="84">
        <f t="shared" si="1"/>
        <v>46022</v>
      </c>
      <c r="BC1" s="84">
        <f t="shared" si="1"/>
        <v>46112</v>
      </c>
      <c r="BD1" s="84">
        <f t="shared" si="1"/>
        <v>46203</v>
      </c>
      <c r="BE1" s="84">
        <f t="shared" si="1"/>
        <v>46295</v>
      </c>
      <c r="BF1" s="84">
        <f t="shared" si="1"/>
        <v>46387</v>
      </c>
      <c r="BG1" s="84"/>
      <c r="BH1" s="1040">
        <f t="shared" ref="BH1:CB1" si="2">INDEX(MO_Common_QEndDate,0,COLUMN())</f>
        <v>40178</v>
      </c>
      <c r="BI1" s="1041">
        <f t="shared" si="2"/>
        <v>40543</v>
      </c>
      <c r="BJ1" s="1041">
        <f t="shared" si="2"/>
        <v>40908</v>
      </c>
      <c r="BK1" s="1041">
        <f t="shared" si="2"/>
        <v>41274</v>
      </c>
      <c r="BL1" s="1041">
        <f t="shared" si="2"/>
        <v>41639</v>
      </c>
      <c r="BM1" s="1041">
        <f t="shared" si="2"/>
        <v>42004</v>
      </c>
      <c r="BN1" s="1041">
        <f t="shared" si="2"/>
        <v>42369</v>
      </c>
      <c r="BO1" s="1041">
        <f t="shared" si="2"/>
        <v>42735</v>
      </c>
      <c r="BP1" s="1041">
        <f t="shared" si="2"/>
        <v>43100</v>
      </c>
      <c r="BQ1" s="1041">
        <f t="shared" si="2"/>
        <v>43465</v>
      </c>
      <c r="BR1" s="1041">
        <f t="shared" si="2"/>
        <v>43830</v>
      </c>
      <c r="BS1" s="1041">
        <f t="shared" si="2"/>
        <v>44196</v>
      </c>
      <c r="BT1" s="1041">
        <f t="shared" si="2"/>
        <v>44561</v>
      </c>
      <c r="BU1" s="1041">
        <f t="shared" si="2"/>
        <v>44926</v>
      </c>
      <c r="BV1" s="1041">
        <f t="shared" si="2"/>
        <v>45291</v>
      </c>
      <c r="BW1" s="1042">
        <f t="shared" si="2"/>
        <v>45657</v>
      </c>
      <c r="BX1" s="1041">
        <f t="shared" si="2"/>
        <v>46022</v>
      </c>
      <c r="BY1" s="1041">
        <f t="shared" si="2"/>
        <v>46387</v>
      </c>
      <c r="BZ1" s="1041">
        <f t="shared" si="2"/>
        <v>46752</v>
      </c>
      <c r="CA1" s="1041">
        <f t="shared" si="2"/>
        <v>47118</v>
      </c>
      <c r="CB1" s="1041">
        <f t="shared" si="2"/>
        <v>47483</v>
      </c>
      <c r="CC1" s="610"/>
    </row>
    <row r="2" spans="1:81" s="728" customFormat="1" x14ac:dyDescent="0.55000000000000004">
      <c r="A2" s="89" t="s">
        <v>260</v>
      </c>
      <c r="B2" s="58" t="str">
        <f>MO.ReportFX</f>
        <v>USD</v>
      </c>
      <c r="C2" s="58" t="s">
        <v>1096</v>
      </c>
      <c r="D2" s="58" t="s">
        <v>1097</v>
      </c>
      <c r="E2" s="58" t="s">
        <v>1098</v>
      </c>
      <c r="F2" s="58" t="s">
        <v>1099</v>
      </c>
      <c r="G2" s="58" t="s">
        <v>1100</v>
      </c>
      <c r="H2" s="58" t="s">
        <v>1101</v>
      </c>
      <c r="I2" s="58" t="s">
        <v>1102</v>
      </c>
      <c r="J2" s="58" t="s">
        <v>1103</v>
      </c>
      <c r="K2" s="58" t="s">
        <v>1104</v>
      </c>
      <c r="L2" s="58" t="s">
        <v>1105</v>
      </c>
      <c r="M2" s="58" t="s">
        <v>1106</v>
      </c>
      <c r="N2" s="58" t="s">
        <v>1107</v>
      </c>
      <c r="O2" s="58" t="s">
        <v>392</v>
      </c>
      <c r="P2" s="58" t="s">
        <v>341</v>
      </c>
      <c r="Q2" s="58" t="s">
        <v>339</v>
      </c>
      <c r="R2" s="58" t="s">
        <v>1108</v>
      </c>
      <c r="S2" s="58" t="s">
        <v>335</v>
      </c>
      <c r="T2" s="58" t="s">
        <v>333</v>
      </c>
      <c r="U2" s="58" t="s">
        <v>331</v>
      </c>
      <c r="V2" s="58" t="s">
        <v>1109</v>
      </c>
      <c r="W2" s="58" t="s">
        <v>327</v>
      </c>
      <c r="X2" s="58" t="s">
        <v>325</v>
      </c>
      <c r="Y2" s="58" t="s">
        <v>323</v>
      </c>
      <c r="Z2" s="58" t="s">
        <v>1110</v>
      </c>
      <c r="AA2" s="58" t="s">
        <v>349</v>
      </c>
      <c r="AB2" s="58" t="s">
        <v>354</v>
      </c>
      <c r="AC2" s="58" t="s">
        <v>371</v>
      </c>
      <c r="AD2" s="58" t="s">
        <v>379</v>
      </c>
      <c r="AE2" s="58" t="s">
        <v>401</v>
      </c>
      <c r="AF2" s="58" t="s">
        <v>421</v>
      </c>
      <c r="AG2" s="58" t="s">
        <v>423</v>
      </c>
      <c r="AH2" s="58" t="s">
        <v>446</v>
      </c>
      <c r="AI2" s="58" t="s">
        <v>449</v>
      </c>
      <c r="AJ2" s="58" t="s">
        <v>451</v>
      </c>
      <c r="AK2" s="58" t="s">
        <v>491</v>
      </c>
      <c r="AL2" s="58" t="s">
        <v>495</v>
      </c>
      <c r="AM2" s="58" t="s">
        <v>536</v>
      </c>
      <c r="AN2" s="58" t="s">
        <v>570</v>
      </c>
      <c r="AO2" s="58" t="s">
        <v>600</v>
      </c>
      <c r="AP2" s="58" t="s">
        <v>608</v>
      </c>
      <c r="AQ2" s="58" t="s">
        <v>617</v>
      </c>
      <c r="AR2" s="58" t="s">
        <v>697</v>
      </c>
      <c r="AS2" s="58" t="s">
        <v>841</v>
      </c>
      <c r="AT2" s="58" t="s">
        <v>868</v>
      </c>
      <c r="AU2" s="58" t="s">
        <v>875</v>
      </c>
      <c r="AV2" s="58" t="s">
        <v>1010</v>
      </c>
      <c r="AW2" s="58" t="s">
        <v>1053</v>
      </c>
      <c r="AX2" s="58" t="s">
        <v>1058</v>
      </c>
      <c r="AY2" s="683" t="s">
        <v>1082</v>
      </c>
      <c r="AZ2" s="58" t="s">
        <v>1095</v>
      </c>
      <c r="BA2" s="58" t="s">
        <v>1111</v>
      </c>
      <c r="BB2" s="58" t="s">
        <v>1112</v>
      </c>
      <c r="BC2" s="58" t="s">
        <v>1113</v>
      </c>
      <c r="BD2" s="58" t="s">
        <v>1114</v>
      </c>
      <c r="BE2" s="58" t="s">
        <v>1115</v>
      </c>
      <c r="BF2" s="58" t="s">
        <v>1116</v>
      </c>
      <c r="BG2" s="58"/>
      <c r="BH2" s="1043" t="s">
        <v>11</v>
      </c>
      <c r="BI2" s="1044" t="s">
        <v>1117</v>
      </c>
      <c r="BJ2" s="1044" t="s">
        <v>1118</v>
      </c>
      <c r="BK2" s="1044" t="s">
        <v>1119</v>
      </c>
      <c r="BL2" s="1044" t="s">
        <v>1120</v>
      </c>
      <c r="BM2" s="1044" t="s">
        <v>1121</v>
      </c>
      <c r="BN2" s="1044" t="s">
        <v>1122</v>
      </c>
      <c r="BO2" s="1044" t="s">
        <v>337</v>
      </c>
      <c r="BP2" s="1044" t="s">
        <v>329</v>
      </c>
      <c r="BQ2" s="1044" t="s">
        <v>391</v>
      </c>
      <c r="BR2" s="1044" t="s">
        <v>373</v>
      </c>
      <c r="BS2" s="1044" t="s">
        <v>382</v>
      </c>
      <c r="BT2" s="1044" t="s">
        <v>445</v>
      </c>
      <c r="BU2" s="1044" t="s">
        <v>493</v>
      </c>
      <c r="BV2" s="1044" t="s">
        <v>609</v>
      </c>
      <c r="BW2" s="1045" t="s">
        <v>869</v>
      </c>
      <c r="BX2" s="1044" t="s">
        <v>1084</v>
      </c>
      <c r="BY2" s="1044" t="s">
        <v>1123</v>
      </c>
      <c r="BZ2" s="1044" t="s">
        <v>1124</v>
      </c>
      <c r="CA2" s="1044" t="s">
        <v>1125</v>
      </c>
      <c r="CB2" s="1044" t="s">
        <v>1126</v>
      </c>
      <c r="CC2" s="607"/>
    </row>
    <row r="3" spans="1:81" s="729" customFormat="1" x14ac:dyDescent="0.55000000000000004">
      <c r="A3" s="56" t="s">
        <v>261</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280"/>
      <c r="AZ3" s="56"/>
      <c r="BA3" s="56"/>
      <c r="BB3" s="56"/>
      <c r="BC3" s="56"/>
      <c r="BD3" s="56"/>
      <c r="BE3" s="56"/>
      <c r="BF3" s="56"/>
      <c r="BG3" s="56"/>
      <c r="BH3" s="56"/>
      <c r="BI3" s="56"/>
      <c r="BJ3" s="56"/>
      <c r="BK3" s="56"/>
      <c r="BL3" s="56"/>
      <c r="BM3" s="56"/>
      <c r="BN3" s="56"/>
      <c r="BO3" s="56"/>
      <c r="BP3" s="56"/>
      <c r="BQ3" s="56"/>
      <c r="BR3" s="56"/>
      <c r="BS3" s="56"/>
      <c r="BT3" s="56"/>
      <c r="BU3" s="56"/>
      <c r="BV3" s="56"/>
      <c r="BW3" s="280"/>
      <c r="BX3" s="56"/>
      <c r="BY3" s="56"/>
      <c r="BZ3" s="56"/>
      <c r="CA3" s="56"/>
      <c r="CB3" s="56"/>
      <c r="CC3" s="123"/>
    </row>
    <row r="4" spans="1:81" s="730" customFormat="1" x14ac:dyDescent="0.55000000000000004">
      <c r="A4" s="205" t="str">
        <f>"Stock Price - "&amp;SP.ValuationToggle</f>
        <v>Stock Price - EoP</v>
      </c>
      <c r="B4" s="748" t="s">
        <v>642</v>
      </c>
      <c r="C4" s="206">
        <f t="shared" ref="C4:AH4" si="3">IF(INDEX(MO_SNA_IsHistoricalPeriod,1,COLUMN())=FALSE,MO.LastPrice/HP.MRFX,CHOOSE(VLOOKUP(SP.ValuationToggle,tb_ValuationToggle,COLUMNS(tb_ValuationToggle),FALSE),INDEX(MO_SPT_StockHigh,1,COLUMN()),INDEX(MO_SPT_StockLow,1,COLUMN()),INDEX(MO_SPT_StockAverage,1,COLUMN()),INDEX(MO_SPT_StockEoP,1,COLUMN()))/IF(SP.ValuationToggle="EoP",IF(INDEX(MO_SPT_FXEoP,1,COLUMN())=0,1,INDEX(MO_SPT_FXEoP,1,COLUMN())),IF(INDEX(MO_SPT_FXAverage,1,COLUMN())=0,1,INDEX(MO_SPT_FXAverage,1,COLUMN()))))</f>
        <v>25.58</v>
      </c>
      <c r="D4" s="206">
        <f t="shared" si="3"/>
        <v>24.88</v>
      </c>
      <c r="E4" s="206">
        <f t="shared" si="3"/>
        <v>51.24</v>
      </c>
      <c r="F4" s="206">
        <f t="shared" si="3"/>
        <v>53.71</v>
      </c>
      <c r="G4" s="206">
        <f t="shared" si="3"/>
        <v>60.01</v>
      </c>
      <c r="H4" s="206">
        <f t="shared" si="3"/>
        <v>67.599999999999994</v>
      </c>
      <c r="I4" s="206">
        <f t="shared" si="3"/>
        <v>79</v>
      </c>
      <c r="J4" s="206">
        <f t="shared" si="3"/>
        <v>79.22</v>
      </c>
      <c r="K4" s="206">
        <f t="shared" si="3"/>
        <v>83.194999999999993</v>
      </c>
      <c r="L4" s="206">
        <f t="shared" si="3"/>
        <v>85.8</v>
      </c>
      <c r="M4" s="206">
        <f t="shared" si="3"/>
        <v>86.67</v>
      </c>
      <c r="N4" s="206">
        <f t="shared" si="3"/>
        <v>106.22</v>
      </c>
      <c r="O4" s="206">
        <f t="shared" si="3"/>
        <v>114.7</v>
      </c>
      <c r="P4" s="206">
        <f t="shared" si="3"/>
        <v>114.16</v>
      </c>
      <c r="Q4" s="206">
        <f t="shared" si="3"/>
        <v>128.09</v>
      </c>
      <c r="R4" s="206">
        <f t="shared" si="3"/>
        <v>115.05</v>
      </c>
      <c r="S4" s="206">
        <f t="shared" si="3"/>
        <v>142.41</v>
      </c>
      <c r="T4" s="206">
        <f t="shared" si="3"/>
        <v>151.04</v>
      </c>
      <c r="U4" s="206">
        <f t="shared" si="3"/>
        <v>170.87</v>
      </c>
      <c r="V4" s="206">
        <f t="shared" si="3"/>
        <v>176.46</v>
      </c>
      <c r="W4" s="206">
        <f t="shared" si="3"/>
        <v>159.79</v>
      </c>
      <c r="X4" s="206">
        <f t="shared" si="3"/>
        <v>194.32</v>
      </c>
      <c r="Y4" s="206">
        <f t="shared" si="3"/>
        <v>164.46</v>
      </c>
      <c r="Z4" s="206">
        <f t="shared" si="3"/>
        <v>133.19999999999999</v>
      </c>
      <c r="AA4" s="206">
        <f t="shared" si="3"/>
        <v>166.69</v>
      </c>
      <c r="AB4" s="206">
        <f t="shared" si="3"/>
        <v>193</v>
      </c>
      <c r="AC4" s="206">
        <f t="shared" si="3"/>
        <v>177.1</v>
      </c>
      <c r="AD4" s="206">
        <f t="shared" si="3"/>
        <v>204.41</v>
      </c>
      <c r="AE4" s="206">
        <f t="shared" si="3"/>
        <v>165.95</v>
      </c>
      <c r="AF4" s="206">
        <f t="shared" si="3"/>
        <v>220.64</v>
      </c>
      <c r="AG4" s="206">
        <f t="shared" si="3"/>
        <v>261.79000000000002</v>
      </c>
      <c r="AH4" s="206">
        <f t="shared" si="3"/>
        <v>271.87</v>
      </c>
      <c r="AI4" s="206">
        <f t="shared" ref="AI4:BF4" si="4">IF(INDEX(MO_SNA_IsHistoricalPeriod,1,COLUMN())=FALSE,MO.LastPrice/HP.MRFX,CHOOSE(VLOOKUP(SP.ValuationToggle,tb_ValuationToggle,COLUMNS(tb_ValuationToggle),FALSE),INDEX(MO_SPT_StockHigh,1,COLUMN()),INDEX(MO_SPT_StockLow,1,COLUMN()),INDEX(MO_SPT_StockAverage,1,COLUMN()),INDEX(MO_SPT_StockEoP,1,COLUMN()))/IF(SP.ValuationToggle="EoP",IF(INDEX(MO_SPT_FXEoP,1,COLUMN())=0,1,INDEX(MO_SPT_FXEoP,1,COLUMN())),IF(INDEX(MO_SPT_FXAverage,1,COLUMN())=0,1,INDEX(MO_SPT_FXAverage,1,COLUMN()))))</f>
        <v>288</v>
      </c>
      <c r="AJ4" s="206">
        <f t="shared" si="4"/>
        <v>351.89</v>
      </c>
      <c r="AK4" s="206">
        <f t="shared" si="4"/>
        <v>339.61</v>
      </c>
      <c r="AL4" s="206">
        <f t="shared" si="4"/>
        <v>344.36</v>
      </c>
      <c r="AM4" s="206">
        <f t="shared" si="4"/>
        <v>227.85</v>
      </c>
      <c r="AN4" s="206">
        <f t="shared" si="4"/>
        <v>163.94</v>
      </c>
      <c r="AO4" s="206">
        <f t="shared" si="4"/>
        <v>136.41</v>
      </c>
      <c r="AP4" s="206">
        <f t="shared" si="4"/>
        <v>120.34</v>
      </c>
      <c r="AQ4" s="206">
        <f t="shared" si="4"/>
        <v>207.84</v>
      </c>
      <c r="AR4" s="206">
        <f t="shared" si="4"/>
        <v>281.52999999999997</v>
      </c>
      <c r="AS4" s="206">
        <f t="shared" si="4"/>
        <v>300.20999999999998</v>
      </c>
      <c r="AT4" s="206">
        <f t="shared" si="4"/>
        <v>353.96</v>
      </c>
      <c r="AU4" s="206">
        <f t="shared" si="4"/>
        <v>485.58</v>
      </c>
      <c r="AV4" s="206">
        <f t="shared" si="4"/>
        <v>504.22</v>
      </c>
      <c r="AW4" s="206">
        <f t="shared" si="4"/>
        <v>567.36</v>
      </c>
      <c r="AX4" s="206">
        <f t="shared" si="4"/>
        <v>591.24</v>
      </c>
      <c r="AY4" s="684">
        <f t="shared" si="4"/>
        <v>576.74</v>
      </c>
      <c r="AZ4" s="206">
        <f t="shared" ca="1" si="4"/>
        <v>554.44000000000005</v>
      </c>
      <c r="BA4" s="206">
        <f t="shared" ca="1" si="4"/>
        <v>554.44000000000005</v>
      </c>
      <c r="BB4" s="206">
        <f t="shared" ca="1" si="4"/>
        <v>554.44000000000005</v>
      </c>
      <c r="BC4" s="206">
        <f t="shared" ca="1" si="4"/>
        <v>554.44000000000005</v>
      </c>
      <c r="BD4" s="206">
        <f t="shared" ca="1" si="4"/>
        <v>554.44000000000005</v>
      </c>
      <c r="BE4" s="206">
        <f t="shared" ca="1" si="4"/>
        <v>554.44000000000005</v>
      </c>
      <c r="BF4" s="206">
        <f t="shared" ca="1" si="4"/>
        <v>554.44000000000005</v>
      </c>
      <c r="BG4" s="206"/>
      <c r="BH4" s="1046"/>
      <c r="BI4" s="1046"/>
      <c r="BJ4" s="1046"/>
      <c r="BK4" s="1046">
        <f t="shared" ref="BK4:CB4" si="5">IF(INDEX(MO_SNA_IsHistoricalPeriod,1,COLUMN())=FALSE,MO.LastPrice/HP.MRFX,CHOOSE(VLOOKUP(SP.ValuationToggle,tb_ValuationToggle,COLUMNS(tb_ValuationToggle),FALSE),INDEX(MO_SPT_StockHigh,1,COLUMN()),INDEX(MO_SPT_StockLow,1,COLUMN()),INDEX(MO_SPT_StockAverage,1,COLUMN()),INDEX(MO_SPT_StockEoP,1,COLUMN()))/IF(SP.ValuationToggle="EoP",IF(INDEX(MO_SPT_FXEoP,1,COLUMN())=0,1,INDEX(MO_SPT_FXEoP,1,COLUMN())),IF(INDEX(MO_SPT_FXAverage,1,COLUMN())=0,1,INDEX(MO_SPT_FXAverage,1,COLUMN()))))</f>
        <v>25.911200000000001</v>
      </c>
      <c r="BL4" s="1046">
        <f t="shared" si="5"/>
        <v>53.71</v>
      </c>
      <c r="BM4" s="1046">
        <f t="shared" si="5"/>
        <v>79.22</v>
      </c>
      <c r="BN4" s="1046">
        <f t="shared" si="5"/>
        <v>106.22</v>
      </c>
      <c r="BO4" s="1047">
        <f t="shared" si="5"/>
        <v>115.05</v>
      </c>
      <c r="BP4" s="1047">
        <f t="shared" si="5"/>
        <v>176.46</v>
      </c>
      <c r="BQ4" s="1047">
        <f t="shared" si="5"/>
        <v>133.19999999999999</v>
      </c>
      <c r="BR4" s="1047">
        <f t="shared" si="5"/>
        <v>204.41</v>
      </c>
      <c r="BS4" s="1047">
        <f t="shared" si="5"/>
        <v>271.87</v>
      </c>
      <c r="BT4" s="1047">
        <f t="shared" si="5"/>
        <v>344.36</v>
      </c>
      <c r="BU4" s="1047">
        <f t="shared" si="5"/>
        <v>120.34</v>
      </c>
      <c r="BV4" s="1047">
        <f t="shared" si="5"/>
        <v>353.96</v>
      </c>
      <c r="BW4" s="1048">
        <f t="shared" si="5"/>
        <v>591.24</v>
      </c>
      <c r="BX4" s="1047">
        <f t="shared" ca="1" si="5"/>
        <v>554.44000000000005</v>
      </c>
      <c r="BY4" s="1047">
        <f t="shared" ca="1" si="5"/>
        <v>554.44000000000005</v>
      </c>
      <c r="BZ4" s="1047">
        <f t="shared" ca="1" si="5"/>
        <v>554.44000000000005</v>
      </c>
      <c r="CA4" s="1047">
        <f t="shared" ca="1" si="5"/>
        <v>554.44000000000005</v>
      </c>
      <c r="CB4" s="1047">
        <f t="shared" ca="1" si="5"/>
        <v>554.44000000000005</v>
      </c>
      <c r="CC4" s="63"/>
    </row>
    <row r="5" spans="1:81" s="730" customFormat="1" x14ac:dyDescent="0.55000000000000004">
      <c r="A5" s="379" t="str">
        <f>INDEX(MO_SCA_ShareCount_EoP_Diluted,0,COLUMN())</f>
        <v>EoP Total Diluted Common Stock Outstanding, mm shares</v>
      </c>
      <c r="B5" s="405"/>
      <c r="C5" s="618">
        <f t="shared" ref="C5:AH5" si="6">INDEX(MO_SCA_ShareCount_EoP_Diluted,0,COLUMN())</f>
        <v>2507.04835</v>
      </c>
      <c r="D5" s="618">
        <f t="shared" si="6"/>
        <v>2510.8771740000002</v>
      </c>
      <c r="E5" s="618">
        <f t="shared" si="6"/>
        <v>2538</v>
      </c>
      <c r="F5" s="618">
        <f t="shared" si="6"/>
        <v>2634.5840920000001</v>
      </c>
      <c r="G5" s="618">
        <f t="shared" si="6"/>
        <v>2617</v>
      </c>
      <c r="H5" s="618">
        <f t="shared" si="6"/>
        <v>2620</v>
      </c>
      <c r="I5" s="618">
        <f t="shared" si="6"/>
        <v>2653</v>
      </c>
      <c r="J5" s="618">
        <f t="shared" si="6"/>
        <v>2832.9052080000001</v>
      </c>
      <c r="K5" s="618">
        <f t="shared" si="6"/>
        <v>2841</v>
      </c>
      <c r="L5" s="618">
        <f t="shared" si="6"/>
        <v>2854</v>
      </c>
      <c r="M5" s="618">
        <f t="shared" si="6"/>
        <v>2869</v>
      </c>
      <c r="N5" s="618">
        <f t="shared" si="6"/>
        <v>2887</v>
      </c>
      <c r="O5" s="618">
        <f t="shared" si="6"/>
        <v>2912</v>
      </c>
      <c r="P5" s="618">
        <f t="shared" si="6"/>
        <v>2927</v>
      </c>
      <c r="Q5" s="618">
        <f t="shared" si="6"/>
        <v>2919</v>
      </c>
      <c r="R5" s="618">
        <f t="shared" si="6"/>
        <v>2942</v>
      </c>
      <c r="S5" s="618">
        <f t="shared" si="6"/>
        <v>2946</v>
      </c>
      <c r="T5" s="618">
        <f t="shared" si="6"/>
        <v>2951</v>
      </c>
      <c r="U5" s="618">
        <f t="shared" si="6"/>
        <v>2956</v>
      </c>
      <c r="V5" s="618">
        <f t="shared" si="6"/>
        <v>2953</v>
      </c>
      <c r="W5" s="618">
        <f t="shared" si="6"/>
        <v>2941</v>
      </c>
      <c r="X5" s="618">
        <f t="shared" si="6"/>
        <v>2926</v>
      </c>
      <c r="Y5" s="618">
        <f t="shared" si="6"/>
        <v>2901</v>
      </c>
      <c r="Z5" s="618">
        <f t="shared" si="6"/>
        <v>2868</v>
      </c>
      <c r="AA5" s="618">
        <f t="shared" si="6"/>
        <v>2869</v>
      </c>
      <c r="AB5" s="618">
        <f t="shared" si="6"/>
        <v>2874</v>
      </c>
      <c r="AC5" s="618">
        <f t="shared" si="6"/>
        <v>2874</v>
      </c>
      <c r="AD5" s="618">
        <f t="shared" si="6"/>
        <v>2870</v>
      </c>
      <c r="AE5" s="618">
        <f t="shared" si="6"/>
        <v>2868</v>
      </c>
      <c r="AF5" s="618">
        <f t="shared" si="6"/>
        <v>2879</v>
      </c>
      <c r="AG5" s="618">
        <f t="shared" si="6"/>
        <v>2891</v>
      </c>
      <c r="AH5" s="618">
        <f t="shared" si="6"/>
        <v>2889</v>
      </c>
      <c r="AI5" s="618">
        <f t="shared" ref="AI5:BF5" si="7">INDEX(MO_SCA_ShareCount_EoP_Diluted,0,COLUMN())</f>
        <v>2876</v>
      </c>
      <c r="AJ5" s="618">
        <f t="shared" si="7"/>
        <v>2869</v>
      </c>
      <c r="AK5" s="618">
        <f t="shared" si="7"/>
        <v>2838</v>
      </c>
      <c r="AL5" s="618">
        <f t="shared" si="7"/>
        <v>2775</v>
      </c>
      <c r="AM5" s="618">
        <f t="shared" si="7"/>
        <v>2731</v>
      </c>
      <c r="AN5" s="618">
        <f t="shared" si="7"/>
        <v>2706</v>
      </c>
      <c r="AO5" s="618">
        <f t="shared" si="7"/>
        <v>2670</v>
      </c>
      <c r="AP5" s="618">
        <f t="shared" si="7"/>
        <v>2616</v>
      </c>
      <c r="AQ5" s="618">
        <f t="shared" si="7"/>
        <v>2575</v>
      </c>
      <c r="AR5" s="618">
        <f t="shared" si="7"/>
        <v>2617</v>
      </c>
      <c r="AS5" s="618">
        <f t="shared" si="7"/>
        <v>2636</v>
      </c>
      <c r="AT5" s="618">
        <f t="shared" si="7"/>
        <v>2625</v>
      </c>
      <c r="AU5" s="618">
        <f t="shared" si="7"/>
        <v>2617</v>
      </c>
      <c r="AV5" s="618">
        <f t="shared" si="7"/>
        <v>2609</v>
      </c>
      <c r="AW5" s="618">
        <f t="shared" si="7"/>
        <v>2595</v>
      </c>
      <c r="AX5" s="618">
        <f t="shared" si="7"/>
        <v>2604</v>
      </c>
      <c r="AY5" s="685">
        <f t="shared" si="7"/>
        <v>2583</v>
      </c>
      <c r="AZ5" s="618">
        <f t="shared" ca="1" si="7"/>
        <v>2592.8221607140767</v>
      </c>
      <c r="BA5" s="618">
        <f t="shared" ca="1" si="7"/>
        <v>2590.0340939718999</v>
      </c>
      <c r="BB5" s="618">
        <f t="shared" ca="1" si="7"/>
        <v>2587.2457484230486</v>
      </c>
      <c r="BC5" s="618">
        <f t="shared" ca="1" si="7"/>
        <v>2587.5044729978908</v>
      </c>
      <c r="BD5" s="618">
        <f t="shared" ca="1" si="7"/>
        <v>2587.7632234451908</v>
      </c>
      <c r="BE5" s="618">
        <f t="shared" ca="1" si="7"/>
        <v>2588.0219997675354</v>
      </c>
      <c r="BF5" s="618">
        <f t="shared" ca="1" si="7"/>
        <v>2588.2808019675122</v>
      </c>
      <c r="BG5" s="618"/>
      <c r="BH5" s="1049"/>
      <c r="BI5" s="1049"/>
      <c r="BJ5" s="1049"/>
      <c r="BK5" s="1049">
        <f t="shared" ref="BK5:CB5" si="8">INDEX(MO_SCA_ShareCount_EoP_Diluted,0,COLUMN())</f>
        <v>2519.705195</v>
      </c>
      <c r="BL5" s="1049">
        <f t="shared" si="8"/>
        <v>2634.5840920000001</v>
      </c>
      <c r="BM5" s="1049">
        <f t="shared" si="8"/>
        <v>2832.9052080000001</v>
      </c>
      <c r="BN5" s="1049">
        <f t="shared" si="8"/>
        <v>2887</v>
      </c>
      <c r="BO5" s="1050">
        <f t="shared" si="8"/>
        <v>2942</v>
      </c>
      <c r="BP5" s="1050">
        <f t="shared" si="8"/>
        <v>2953</v>
      </c>
      <c r="BQ5" s="1050">
        <f t="shared" si="8"/>
        <v>2868</v>
      </c>
      <c r="BR5" s="1050">
        <f t="shared" si="8"/>
        <v>2870</v>
      </c>
      <c r="BS5" s="1050">
        <f t="shared" si="8"/>
        <v>2889</v>
      </c>
      <c r="BT5" s="1050">
        <f t="shared" si="8"/>
        <v>2775</v>
      </c>
      <c r="BU5" s="1050">
        <f t="shared" si="8"/>
        <v>2616</v>
      </c>
      <c r="BV5" s="1050">
        <f t="shared" si="8"/>
        <v>2625</v>
      </c>
      <c r="BW5" s="1051">
        <f t="shared" si="8"/>
        <v>2604</v>
      </c>
      <c r="BX5" s="1050">
        <f t="shared" ca="1" si="8"/>
        <v>2587.2457484230486</v>
      </c>
      <c r="BY5" s="1050">
        <f t="shared" ca="1" si="8"/>
        <v>2588.2808019675122</v>
      </c>
      <c r="BZ5" s="1050">
        <f t="shared" ca="1" si="8"/>
        <v>2576.7243789840459</v>
      </c>
      <c r="CA5" s="1050">
        <f t="shared" ca="1" si="8"/>
        <v>2566.3105804257739</v>
      </c>
      <c r="CB5" s="1050">
        <f t="shared" ca="1" si="8"/>
        <v>2556.9330243762483</v>
      </c>
      <c r="CC5" s="63"/>
    </row>
    <row r="6" spans="1:81" s="728" customFormat="1" x14ac:dyDescent="0.55000000000000004">
      <c r="A6" s="90" t="str">
        <f>"Market Cap - "&amp;SP.ValuationToggle</f>
        <v>Market Cap - EoP</v>
      </c>
      <c r="B6" s="95"/>
      <c r="C6" s="62">
        <f t="shared" ref="C6:AH6" si="9">INDEX(SP_CS_StockPrice,0,COLUMN())*INDEX(SP_CS_ShareCount_EoP_Diluted,0,COLUMN())</f>
        <v>64130.296792999994</v>
      </c>
      <c r="D6" s="62">
        <f t="shared" si="9"/>
        <v>62470.62408912</v>
      </c>
      <c r="E6" s="62">
        <f t="shared" si="9"/>
        <v>130047.12000000001</v>
      </c>
      <c r="F6" s="62">
        <f t="shared" si="9"/>
        <v>141503.51158132</v>
      </c>
      <c r="G6" s="62">
        <f t="shared" si="9"/>
        <v>157046.16999999998</v>
      </c>
      <c r="H6" s="62">
        <f t="shared" si="9"/>
        <v>177111.99999999997</v>
      </c>
      <c r="I6" s="62">
        <f t="shared" si="9"/>
        <v>209587</v>
      </c>
      <c r="J6" s="62">
        <f t="shared" si="9"/>
        <v>224422.75057776002</v>
      </c>
      <c r="K6" s="62">
        <f t="shared" si="9"/>
        <v>236356.99499999997</v>
      </c>
      <c r="L6" s="62">
        <f t="shared" si="9"/>
        <v>244873.19999999998</v>
      </c>
      <c r="M6" s="62">
        <f t="shared" si="9"/>
        <v>248656.23</v>
      </c>
      <c r="N6" s="62">
        <f t="shared" si="9"/>
        <v>306657.14</v>
      </c>
      <c r="O6" s="62">
        <f t="shared" si="9"/>
        <v>334006.40000000002</v>
      </c>
      <c r="P6" s="62">
        <f t="shared" si="9"/>
        <v>334146.32</v>
      </c>
      <c r="Q6" s="62">
        <f t="shared" si="9"/>
        <v>373894.71</v>
      </c>
      <c r="R6" s="62">
        <f t="shared" si="9"/>
        <v>338477.1</v>
      </c>
      <c r="S6" s="62">
        <f t="shared" si="9"/>
        <v>419539.86</v>
      </c>
      <c r="T6" s="62">
        <f t="shared" si="9"/>
        <v>445719.03999999998</v>
      </c>
      <c r="U6" s="62">
        <f t="shared" si="9"/>
        <v>505091.72000000003</v>
      </c>
      <c r="V6" s="62">
        <f t="shared" si="9"/>
        <v>521086.38</v>
      </c>
      <c r="W6" s="62">
        <f t="shared" si="9"/>
        <v>469942.38999999996</v>
      </c>
      <c r="X6" s="62">
        <f t="shared" si="9"/>
        <v>568580.31999999995</v>
      </c>
      <c r="Y6" s="62">
        <f t="shared" si="9"/>
        <v>477098.46</v>
      </c>
      <c r="Z6" s="62">
        <f t="shared" si="9"/>
        <v>382017.6</v>
      </c>
      <c r="AA6" s="62">
        <f t="shared" si="9"/>
        <v>478233.61</v>
      </c>
      <c r="AB6" s="62">
        <f t="shared" si="9"/>
        <v>554682</v>
      </c>
      <c r="AC6" s="62">
        <f t="shared" si="9"/>
        <v>508985.39999999997</v>
      </c>
      <c r="AD6" s="62">
        <f t="shared" si="9"/>
        <v>586656.69999999995</v>
      </c>
      <c r="AE6" s="62">
        <f t="shared" si="9"/>
        <v>475944.6</v>
      </c>
      <c r="AF6" s="62">
        <f t="shared" si="9"/>
        <v>635222.55999999994</v>
      </c>
      <c r="AG6" s="62">
        <f t="shared" si="9"/>
        <v>756834.89</v>
      </c>
      <c r="AH6" s="62">
        <f t="shared" si="9"/>
        <v>785432.43</v>
      </c>
      <c r="AI6" s="62">
        <f t="shared" ref="AI6:BF6" si="10">INDEX(SP_CS_StockPrice,0,COLUMN())*INDEX(SP_CS_ShareCount_EoP_Diluted,0,COLUMN())</f>
        <v>828288</v>
      </c>
      <c r="AJ6" s="62">
        <f t="shared" si="10"/>
        <v>1009572.4099999999</v>
      </c>
      <c r="AK6" s="62">
        <f t="shared" si="10"/>
        <v>963813.18</v>
      </c>
      <c r="AL6" s="62">
        <f t="shared" si="10"/>
        <v>955599</v>
      </c>
      <c r="AM6" s="62">
        <f t="shared" si="10"/>
        <v>622258.35</v>
      </c>
      <c r="AN6" s="62">
        <f t="shared" si="10"/>
        <v>443621.64</v>
      </c>
      <c r="AO6" s="62">
        <f t="shared" si="10"/>
        <v>364214.7</v>
      </c>
      <c r="AP6" s="62">
        <f t="shared" si="10"/>
        <v>314809.44</v>
      </c>
      <c r="AQ6" s="62">
        <f t="shared" si="10"/>
        <v>535188</v>
      </c>
      <c r="AR6" s="62">
        <f t="shared" si="10"/>
        <v>736764.00999999989</v>
      </c>
      <c r="AS6" s="62">
        <f t="shared" si="10"/>
        <v>791353.55999999994</v>
      </c>
      <c r="AT6" s="62">
        <f t="shared" si="10"/>
        <v>929145</v>
      </c>
      <c r="AU6" s="62">
        <f t="shared" si="10"/>
        <v>1270762.8599999999</v>
      </c>
      <c r="AV6" s="62">
        <f t="shared" si="10"/>
        <v>1315509.98</v>
      </c>
      <c r="AW6" s="62">
        <f t="shared" si="10"/>
        <v>1472299.2</v>
      </c>
      <c r="AX6" s="62">
        <f t="shared" si="10"/>
        <v>1539588.96</v>
      </c>
      <c r="AY6" s="676">
        <f t="shared" si="10"/>
        <v>1489719.42</v>
      </c>
      <c r="AZ6" s="62">
        <f t="shared" ca="1" si="10"/>
        <v>1437564.3187863128</v>
      </c>
      <c r="BA6" s="62">
        <f t="shared" ca="1" si="10"/>
        <v>1436018.5030617802</v>
      </c>
      <c r="BB6" s="62">
        <f t="shared" ca="1" si="10"/>
        <v>1434472.5327556753</v>
      </c>
      <c r="BC6" s="62">
        <f t="shared" ca="1" si="10"/>
        <v>1434615.9800089507</v>
      </c>
      <c r="BD6" s="62">
        <f t="shared" ca="1" si="10"/>
        <v>1434759.4416069516</v>
      </c>
      <c r="BE6" s="62">
        <f t="shared" ca="1" si="10"/>
        <v>1434902.9175511124</v>
      </c>
      <c r="BF6" s="62">
        <f t="shared" ca="1" si="10"/>
        <v>1435046.4078428675</v>
      </c>
      <c r="BG6" s="62"/>
      <c r="BH6" s="1052"/>
      <c r="BI6" s="1052"/>
      <c r="BJ6" s="1052"/>
      <c r="BK6" s="1052">
        <f t="shared" ref="BK6:CB6" si="11">INDEX(SP_CS_StockPrice,0,COLUMN())*INDEX(SP_CS_ShareCount_EoP_Diluted,0,COLUMN())</f>
        <v>65288.585248684001</v>
      </c>
      <c r="BL6" s="1052">
        <f t="shared" si="11"/>
        <v>141503.51158132</v>
      </c>
      <c r="BM6" s="1052">
        <f t="shared" si="11"/>
        <v>224422.75057776002</v>
      </c>
      <c r="BN6" s="1052">
        <f t="shared" si="11"/>
        <v>306657.14</v>
      </c>
      <c r="BO6" s="1052">
        <f t="shared" si="11"/>
        <v>338477.1</v>
      </c>
      <c r="BP6" s="1052">
        <f t="shared" si="11"/>
        <v>521086.38</v>
      </c>
      <c r="BQ6" s="1052">
        <f t="shared" si="11"/>
        <v>382017.6</v>
      </c>
      <c r="BR6" s="1052">
        <f t="shared" si="11"/>
        <v>586656.69999999995</v>
      </c>
      <c r="BS6" s="1052">
        <f t="shared" si="11"/>
        <v>785432.43</v>
      </c>
      <c r="BT6" s="1052">
        <f t="shared" si="11"/>
        <v>955599</v>
      </c>
      <c r="BU6" s="1052">
        <f t="shared" si="11"/>
        <v>314809.44</v>
      </c>
      <c r="BV6" s="1052">
        <f t="shared" si="11"/>
        <v>929145</v>
      </c>
      <c r="BW6" s="1053">
        <f t="shared" si="11"/>
        <v>1539588.96</v>
      </c>
      <c r="BX6" s="1052">
        <f t="shared" ca="1" si="11"/>
        <v>1434472.5327556753</v>
      </c>
      <c r="BY6" s="1052">
        <f t="shared" ca="1" si="11"/>
        <v>1435046.4078428675</v>
      </c>
      <c r="BZ6" s="1052">
        <f t="shared" ca="1" si="11"/>
        <v>1428639.0646839144</v>
      </c>
      <c r="CA6" s="1052">
        <f t="shared" ca="1" si="11"/>
        <v>1422865.2382112662</v>
      </c>
      <c r="CB6" s="1052">
        <f t="shared" ca="1" si="11"/>
        <v>1417665.9460351672</v>
      </c>
      <c r="CC6" s="607"/>
    </row>
    <row r="7" spans="1:81" s="731" customFormat="1" x14ac:dyDescent="0.55000000000000004">
      <c r="A7" s="91" t="str">
        <f>INDEX(MO_BSS_Cash,0,COLUMN())</f>
        <v>Cash</v>
      </c>
      <c r="B7" s="92"/>
      <c r="C7" s="59">
        <f t="shared" ref="C7:AH7" si="12">INDEX(MO_BSS_Cash,0,COLUMN())</f>
        <v>9472</v>
      </c>
      <c r="D7" s="59">
        <f t="shared" si="12"/>
        <v>10252</v>
      </c>
      <c r="E7" s="59">
        <f t="shared" si="12"/>
        <v>9328</v>
      </c>
      <c r="F7" s="59">
        <f t="shared" si="12"/>
        <v>11449</v>
      </c>
      <c r="G7" s="59">
        <f t="shared" si="12"/>
        <v>12629</v>
      </c>
      <c r="H7" s="59">
        <f t="shared" si="12"/>
        <v>13956</v>
      </c>
      <c r="I7" s="59">
        <f t="shared" si="12"/>
        <v>14250</v>
      </c>
      <c r="J7" s="59">
        <f t="shared" si="12"/>
        <v>11199</v>
      </c>
      <c r="K7" s="59">
        <f t="shared" si="12"/>
        <v>12413</v>
      </c>
      <c r="L7" s="59">
        <f t="shared" si="12"/>
        <v>14125</v>
      </c>
      <c r="M7" s="59">
        <f t="shared" si="12"/>
        <v>15834</v>
      </c>
      <c r="N7" s="59">
        <f t="shared" si="12"/>
        <v>18434</v>
      </c>
      <c r="O7" s="59">
        <f t="shared" si="12"/>
        <v>20621</v>
      </c>
      <c r="P7" s="59">
        <f t="shared" si="12"/>
        <v>23293</v>
      </c>
      <c r="Q7" s="59">
        <f t="shared" si="12"/>
        <v>26140</v>
      </c>
      <c r="R7" s="59">
        <f t="shared" si="12"/>
        <v>29449</v>
      </c>
      <c r="S7" s="59">
        <f t="shared" si="12"/>
        <v>32306</v>
      </c>
      <c r="T7" s="59">
        <f t="shared" si="12"/>
        <v>35452</v>
      </c>
      <c r="U7" s="59">
        <f t="shared" si="12"/>
        <v>38289</v>
      </c>
      <c r="V7" s="59">
        <f t="shared" si="12"/>
        <v>41711</v>
      </c>
      <c r="W7" s="59">
        <f t="shared" si="12"/>
        <v>44084</v>
      </c>
      <c r="X7" s="59">
        <f t="shared" si="12"/>
        <v>42425</v>
      </c>
      <c r="Y7" s="59">
        <f t="shared" si="12"/>
        <v>41313</v>
      </c>
      <c r="Z7" s="59">
        <f t="shared" si="12"/>
        <v>41219</v>
      </c>
      <c r="AA7" s="59">
        <f t="shared" si="12"/>
        <v>45364</v>
      </c>
      <c r="AB7" s="59">
        <f t="shared" si="12"/>
        <v>48717</v>
      </c>
      <c r="AC7" s="59">
        <f t="shared" si="12"/>
        <v>52370</v>
      </c>
      <c r="AD7" s="59">
        <f t="shared" si="12"/>
        <v>55055</v>
      </c>
      <c r="AE7" s="59">
        <f t="shared" si="12"/>
        <v>60598</v>
      </c>
      <c r="AF7" s="59">
        <f t="shared" si="12"/>
        <v>58764</v>
      </c>
      <c r="AG7" s="59">
        <f t="shared" si="12"/>
        <v>55982</v>
      </c>
      <c r="AH7" s="59">
        <f t="shared" si="12"/>
        <v>62332</v>
      </c>
      <c r="AI7" s="59">
        <f t="shared" ref="AI7:BF7" si="13">INDEX(MO_BSS_Cash,0,COLUMN())</f>
        <v>64597</v>
      </c>
      <c r="AJ7" s="59">
        <f t="shared" si="13"/>
        <v>64405</v>
      </c>
      <c r="AK7" s="59">
        <f t="shared" si="13"/>
        <v>58383</v>
      </c>
      <c r="AL7" s="59">
        <f t="shared" si="13"/>
        <v>48262</v>
      </c>
      <c r="AM7" s="59">
        <f t="shared" si="13"/>
        <v>44357</v>
      </c>
      <c r="AN7" s="59">
        <f t="shared" si="13"/>
        <v>41286</v>
      </c>
      <c r="AO7" s="59">
        <f t="shared" si="13"/>
        <v>42719</v>
      </c>
      <c r="AP7" s="59">
        <f t="shared" si="13"/>
        <v>41653</v>
      </c>
      <c r="AQ7" s="59">
        <f t="shared" si="13"/>
        <v>38308</v>
      </c>
      <c r="AR7" s="59">
        <f t="shared" si="13"/>
        <v>54465</v>
      </c>
      <c r="AS7" s="59">
        <f t="shared" si="13"/>
        <v>62133</v>
      </c>
      <c r="AT7" s="59">
        <f t="shared" si="13"/>
        <v>66368</v>
      </c>
      <c r="AU7" s="59">
        <f t="shared" si="13"/>
        <v>59097</v>
      </c>
      <c r="AV7" s="59">
        <f t="shared" si="13"/>
        <v>59061</v>
      </c>
      <c r="AW7" s="59">
        <f t="shared" si="13"/>
        <v>72175</v>
      </c>
      <c r="AX7" s="59">
        <f t="shared" si="13"/>
        <v>79364</v>
      </c>
      <c r="AY7" s="675">
        <f t="shared" si="13"/>
        <v>71551</v>
      </c>
      <c r="AZ7" s="59">
        <f t="shared" ca="1" si="13"/>
        <v>77944.893264760816</v>
      </c>
      <c r="BA7" s="59">
        <f t="shared" ca="1" si="13"/>
        <v>88766.839832400001</v>
      </c>
      <c r="BB7" s="59">
        <f t="shared" ca="1" si="13"/>
        <v>99200.780051152105</v>
      </c>
      <c r="BC7" s="59">
        <f t="shared" ca="1" si="13"/>
        <v>124503.25026314353</v>
      </c>
      <c r="BD7" s="59">
        <f t="shared" ca="1" si="13"/>
        <v>144732.30351625878</v>
      </c>
      <c r="BE7" s="59">
        <f t="shared" ca="1" si="13"/>
        <v>169302.62754391355</v>
      </c>
      <c r="BF7" s="59">
        <f t="shared" ca="1" si="13"/>
        <v>192733.8982943928</v>
      </c>
      <c r="BG7" s="59"/>
      <c r="BH7" s="1054"/>
      <c r="BI7" s="1054"/>
      <c r="BJ7" s="1054"/>
      <c r="BK7" s="1054">
        <f t="shared" ref="BK7:CB7" si="14">INDEX(MO_BSS_Cash,0,COLUMN())</f>
        <v>9626</v>
      </c>
      <c r="BL7" s="1054">
        <f t="shared" si="14"/>
        <v>11449</v>
      </c>
      <c r="BM7" s="1054">
        <f t="shared" si="14"/>
        <v>11199</v>
      </c>
      <c r="BN7" s="1054">
        <f t="shared" si="14"/>
        <v>18434</v>
      </c>
      <c r="BO7" s="1054">
        <f t="shared" si="14"/>
        <v>29449</v>
      </c>
      <c r="BP7" s="1054">
        <f t="shared" si="14"/>
        <v>41711</v>
      </c>
      <c r="BQ7" s="1054">
        <f t="shared" si="14"/>
        <v>41219</v>
      </c>
      <c r="BR7" s="1054">
        <f t="shared" si="14"/>
        <v>55055</v>
      </c>
      <c r="BS7" s="1054">
        <f t="shared" si="14"/>
        <v>62332</v>
      </c>
      <c r="BT7" s="1054">
        <f t="shared" si="14"/>
        <v>48262</v>
      </c>
      <c r="BU7" s="1054">
        <f t="shared" si="14"/>
        <v>41653</v>
      </c>
      <c r="BV7" s="1054">
        <f t="shared" si="14"/>
        <v>66368</v>
      </c>
      <c r="BW7" s="1055">
        <f t="shared" si="14"/>
        <v>79364</v>
      </c>
      <c r="BX7" s="1054">
        <f t="shared" ca="1" si="14"/>
        <v>99200.780051152105</v>
      </c>
      <c r="BY7" s="1054">
        <f t="shared" ca="1" si="14"/>
        <v>192733.8982943928</v>
      </c>
      <c r="BZ7" s="1054">
        <f t="shared" ca="1" si="14"/>
        <v>296919.12562872766</v>
      </c>
      <c r="CA7" s="1054">
        <f t="shared" ca="1" si="14"/>
        <v>408552.466227539</v>
      </c>
      <c r="CB7" s="1054">
        <f t="shared" ca="1" si="14"/>
        <v>539055.7783712236</v>
      </c>
      <c r="CC7" s="610"/>
    </row>
    <row r="8" spans="1:81" s="731" customFormat="1" x14ac:dyDescent="0.55000000000000004">
      <c r="A8" s="91" t="str">
        <f>INDEX(MO_BSS_Debt,0,COLUMN())</f>
        <v>Debt</v>
      </c>
      <c r="B8" s="92"/>
      <c r="C8" s="59">
        <f t="shared" ref="C8:AH8" si="15">INDEX(MO_BSS_Debt,0,COLUMN())</f>
        <v>2258</v>
      </c>
      <c r="D8" s="59">
        <f t="shared" si="15"/>
        <v>2167</v>
      </c>
      <c r="E8" s="59">
        <f t="shared" si="15"/>
        <v>575</v>
      </c>
      <c r="F8" s="59">
        <f t="shared" si="15"/>
        <v>476</v>
      </c>
      <c r="G8" s="59">
        <f t="shared" si="15"/>
        <v>392</v>
      </c>
      <c r="H8" s="59">
        <f t="shared" si="15"/>
        <v>326</v>
      </c>
      <c r="I8" s="59">
        <f t="shared" si="15"/>
        <v>278</v>
      </c>
      <c r="J8" s="59">
        <f t="shared" si="15"/>
        <v>233</v>
      </c>
      <c r="K8" s="59">
        <f t="shared" si="15"/>
        <v>186</v>
      </c>
      <c r="L8" s="59">
        <f t="shared" si="15"/>
        <v>149</v>
      </c>
      <c r="M8" s="59">
        <f t="shared" si="15"/>
        <v>126</v>
      </c>
      <c r="N8" s="59">
        <f t="shared" si="15"/>
        <v>114</v>
      </c>
      <c r="O8" s="59">
        <f t="shared" si="15"/>
        <v>0</v>
      </c>
      <c r="P8" s="59">
        <f t="shared" si="15"/>
        <v>0</v>
      </c>
      <c r="Q8" s="59">
        <f t="shared" si="15"/>
        <v>0</v>
      </c>
      <c r="R8" s="59">
        <f t="shared" si="15"/>
        <v>0</v>
      </c>
      <c r="S8" s="59">
        <f t="shared" si="15"/>
        <v>0</v>
      </c>
      <c r="T8" s="59">
        <f t="shared" si="15"/>
        <v>0</v>
      </c>
      <c r="U8" s="59">
        <f t="shared" si="15"/>
        <v>0</v>
      </c>
      <c r="V8" s="59">
        <f t="shared" si="15"/>
        <v>0</v>
      </c>
      <c r="W8" s="59">
        <f t="shared" si="15"/>
        <v>0</v>
      </c>
      <c r="X8" s="59">
        <f t="shared" si="15"/>
        <v>0</v>
      </c>
      <c r="Y8" s="59">
        <f t="shared" si="15"/>
        <v>0</v>
      </c>
      <c r="Z8" s="59">
        <f t="shared" si="15"/>
        <v>0</v>
      </c>
      <c r="AA8" s="59">
        <f t="shared" si="15"/>
        <v>0</v>
      </c>
      <c r="AB8" s="59">
        <f t="shared" si="15"/>
        <v>0</v>
      </c>
      <c r="AC8" s="59">
        <f t="shared" si="15"/>
        <v>0</v>
      </c>
      <c r="AD8" s="59">
        <f t="shared" si="15"/>
        <v>0</v>
      </c>
      <c r="AE8" s="59">
        <f t="shared" si="15"/>
        <v>0</v>
      </c>
      <c r="AF8" s="59">
        <f t="shared" si="15"/>
        <v>0</v>
      </c>
      <c r="AG8" s="59">
        <f t="shared" si="15"/>
        <v>0</v>
      </c>
      <c r="AH8" s="59">
        <f t="shared" si="15"/>
        <v>0</v>
      </c>
      <c r="AI8" s="59">
        <f t="shared" ref="AI8:BF8" si="16">INDEX(MO_BSS_Debt,0,COLUMN())</f>
        <v>0</v>
      </c>
      <c r="AJ8" s="59">
        <f t="shared" si="16"/>
        <v>0</v>
      </c>
      <c r="AK8" s="59">
        <f t="shared" si="16"/>
        <v>0</v>
      </c>
      <c r="AL8" s="59">
        <f t="shared" si="16"/>
        <v>0</v>
      </c>
      <c r="AM8" s="59">
        <f t="shared" si="16"/>
        <v>0</v>
      </c>
      <c r="AN8" s="59">
        <f t="shared" si="16"/>
        <v>0</v>
      </c>
      <c r="AO8" s="59">
        <f t="shared" si="16"/>
        <v>9922</v>
      </c>
      <c r="AP8" s="59">
        <f t="shared" si="16"/>
        <v>9923</v>
      </c>
      <c r="AQ8" s="59">
        <f t="shared" si="16"/>
        <v>9925</v>
      </c>
      <c r="AR8" s="59">
        <f t="shared" si="16"/>
        <v>18382</v>
      </c>
      <c r="AS8" s="59">
        <f t="shared" si="16"/>
        <v>18383</v>
      </c>
      <c r="AT8" s="59">
        <f t="shared" si="16"/>
        <v>18385</v>
      </c>
      <c r="AU8" s="59">
        <f t="shared" si="16"/>
        <v>18387</v>
      </c>
      <c r="AV8" s="59">
        <f t="shared" si="16"/>
        <v>18389</v>
      </c>
      <c r="AW8" s="59">
        <f t="shared" si="16"/>
        <v>28823</v>
      </c>
      <c r="AX8" s="59">
        <f t="shared" si="16"/>
        <v>28826</v>
      </c>
      <c r="AY8" s="675">
        <f t="shared" si="16"/>
        <v>28829</v>
      </c>
      <c r="AZ8" s="59">
        <f t="shared" si="16"/>
        <v>28829</v>
      </c>
      <c r="BA8" s="59">
        <f t="shared" si="16"/>
        <v>28829</v>
      </c>
      <c r="BB8" s="59">
        <f t="shared" si="16"/>
        <v>28829</v>
      </c>
      <c r="BC8" s="59">
        <f t="shared" si="16"/>
        <v>28829</v>
      </c>
      <c r="BD8" s="59">
        <f t="shared" si="16"/>
        <v>28829</v>
      </c>
      <c r="BE8" s="59">
        <f t="shared" si="16"/>
        <v>28829</v>
      </c>
      <c r="BF8" s="59">
        <f t="shared" si="16"/>
        <v>28829</v>
      </c>
      <c r="BG8" s="59"/>
      <c r="BH8" s="1054"/>
      <c r="BI8" s="1054"/>
      <c r="BJ8" s="1054"/>
      <c r="BK8" s="1054">
        <f t="shared" ref="BK8:CB8" si="17">INDEX(MO_BSS_Debt,0,COLUMN())</f>
        <v>2356</v>
      </c>
      <c r="BL8" s="1054">
        <f t="shared" si="17"/>
        <v>476</v>
      </c>
      <c r="BM8" s="1054">
        <f t="shared" si="17"/>
        <v>233</v>
      </c>
      <c r="BN8" s="1054">
        <f t="shared" si="17"/>
        <v>114</v>
      </c>
      <c r="BO8" s="1054">
        <f t="shared" si="17"/>
        <v>0</v>
      </c>
      <c r="BP8" s="1054">
        <f t="shared" si="17"/>
        <v>0</v>
      </c>
      <c r="BQ8" s="1054">
        <f t="shared" si="17"/>
        <v>0</v>
      </c>
      <c r="BR8" s="1054">
        <f t="shared" si="17"/>
        <v>0</v>
      </c>
      <c r="BS8" s="1054">
        <f t="shared" si="17"/>
        <v>0</v>
      </c>
      <c r="BT8" s="1054">
        <f t="shared" si="17"/>
        <v>0</v>
      </c>
      <c r="BU8" s="1054">
        <f t="shared" si="17"/>
        <v>9923</v>
      </c>
      <c r="BV8" s="1054">
        <f t="shared" si="17"/>
        <v>18385</v>
      </c>
      <c r="BW8" s="1055">
        <f t="shared" si="17"/>
        <v>28826</v>
      </c>
      <c r="BX8" s="1054">
        <f t="shared" si="17"/>
        <v>28829</v>
      </c>
      <c r="BY8" s="1054">
        <f t="shared" si="17"/>
        <v>28829</v>
      </c>
      <c r="BZ8" s="1054">
        <f t="shared" si="17"/>
        <v>28829</v>
      </c>
      <c r="CA8" s="1054">
        <f t="shared" si="17"/>
        <v>28829</v>
      </c>
      <c r="CB8" s="1054">
        <f t="shared" si="17"/>
        <v>28829</v>
      </c>
      <c r="CC8" s="610"/>
    </row>
    <row r="9" spans="1:81" s="731" customFormat="1" x14ac:dyDescent="0.55000000000000004">
      <c r="A9" s="91" t="s">
        <v>384</v>
      </c>
      <c r="B9" s="92"/>
      <c r="C9" s="59">
        <f t="shared" ref="C9:AH9" si="18">INDEX(MO_BSS_OL,0,COLUMN())</f>
        <v>0</v>
      </c>
      <c r="D9" s="59">
        <f t="shared" si="18"/>
        <v>0</v>
      </c>
      <c r="E9" s="59">
        <f t="shared" si="18"/>
        <v>0</v>
      </c>
      <c r="F9" s="59">
        <f t="shared" si="18"/>
        <v>0</v>
      </c>
      <c r="G9" s="59">
        <f t="shared" si="18"/>
        <v>0</v>
      </c>
      <c r="H9" s="59">
        <f t="shared" si="18"/>
        <v>0</v>
      </c>
      <c r="I9" s="59">
        <f t="shared" si="18"/>
        <v>0</v>
      </c>
      <c r="J9" s="59">
        <f t="shared" si="18"/>
        <v>0</v>
      </c>
      <c r="K9" s="59">
        <f t="shared" si="18"/>
        <v>0</v>
      </c>
      <c r="L9" s="59">
        <f t="shared" si="18"/>
        <v>0</v>
      </c>
      <c r="M9" s="59">
        <f t="shared" si="18"/>
        <v>0</v>
      </c>
      <c r="N9" s="59">
        <f t="shared" si="18"/>
        <v>0</v>
      </c>
      <c r="O9" s="59">
        <f t="shared" si="18"/>
        <v>0</v>
      </c>
      <c r="P9" s="59">
        <f t="shared" si="18"/>
        <v>0</v>
      </c>
      <c r="Q9" s="59">
        <f t="shared" si="18"/>
        <v>0</v>
      </c>
      <c r="R9" s="59">
        <f t="shared" si="18"/>
        <v>0</v>
      </c>
      <c r="S9" s="59">
        <f t="shared" si="18"/>
        <v>0</v>
      </c>
      <c r="T9" s="59">
        <f t="shared" si="18"/>
        <v>0</v>
      </c>
      <c r="U9" s="59">
        <f t="shared" si="18"/>
        <v>0</v>
      </c>
      <c r="V9" s="59">
        <f t="shared" si="18"/>
        <v>0</v>
      </c>
      <c r="W9" s="59">
        <f t="shared" si="18"/>
        <v>0</v>
      </c>
      <c r="X9" s="59">
        <f t="shared" si="18"/>
        <v>0</v>
      </c>
      <c r="Y9" s="59">
        <f t="shared" si="18"/>
        <v>0</v>
      </c>
      <c r="Z9" s="59">
        <f t="shared" si="18"/>
        <v>0</v>
      </c>
      <c r="AA9" s="59">
        <f t="shared" si="18"/>
        <v>7210</v>
      </c>
      <c r="AB9" s="59">
        <f t="shared" si="18"/>
        <v>7810</v>
      </c>
      <c r="AC9" s="59">
        <f t="shared" si="18"/>
        <v>9132</v>
      </c>
      <c r="AD9" s="59">
        <f t="shared" si="18"/>
        <v>10324</v>
      </c>
      <c r="AE9" s="59">
        <f t="shared" si="18"/>
        <v>10344</v>
      </c>
      <c r="AF9" s="59">
        <f t="shared" si="18"/>
        <v>10532</v>
      </c>
      <c r="AG9" s="59">
        <f t="shared" si="18"/>
        <v>10616</v>
      </c>
      <c r="AH9" s="59">
        <f t="shared" si="18"/>
        <v>10654</v>
      </c>
      <c r="AI9" s="59">
        <f t="shared" ref="AI9:BF9" si="19">INDEX(MO_BSS_OL,0,COLUMN())</f>
        <v>11614</v>
      </c>
      <c r="AJ9" s="59">
        <f t="shared" si="19"/>
        <v>12007</v>
      </c>
      <c r="AK9" s="59">
        <f t="shared" si="19"/>
        <v>12640</v>
      </c>
      <c r="AL9" s="59">
        <f t="shared" si="19"/>
        <v>13873</v>
      </c>
      <c r="AM9" s="59">
        <f t="shared" si="19"/>
        <v>14053</v>
      </c>
      <c r="AN9" s="59">
        <f t="shared" si="19"/>
        <v>16067</v>
      </c>
      <c r="AO9" s="59">
        <f t="shared" si="19"/>
        <v>15978</v>
      </c>
      <c r="AP9" s="59">
        <f t="shared" si="19"/>
        <v>16668</v>
      </c>
      <c r="AQ9" s="59">
        <f t="shared" si="19"/>
        <v>17650</v>
      </c>
      <c r="AR9" s="59">
        <f t="shared" si="19"/>
        <v>17836</v>
      </c>
      <c r="AS9" s="59">
        <f t="shared" si="19"/>
        <v>17834</v>
      </c>
      <c r="AT9" s="59">
        <f t="shared" si="19"/>
        <v>18849</v>
      </c>
      <c r="AU9" s="59">
        <f t="shared" si="19"/>
        <v>19246</v>
      </c>
      <c r="AV9" s="59">
        <f t="shared" si="19"/>
        <v>19602</v>
      </c>
      <c r="AW9" s="59">
        <f t="shared" si="19"/>
        <v>20224</v>
      </c>
      <c r="AX9" s="59">
        <f t="shared" si="19"/>
        <v>20234</v>
      </c>
      <c r="AY9" s="675">
        <f t="shared" si="19"/>
        <v>20690</v>
      </c>
      <c r="AZ9" s="59">
        <f t="shared" si="19"/>
        <v>20690</v>
      </c>
      <c r="BA9" s="59">
        <f t="shared" si="19"/>
        <v>20690</v>
      </c>
      <c r="BB9" s="59">
        <f t="shared" si="19"/>
        <v>20690</v>
      </c>
      <c r="BC9" s="59">
        <f t="shared" si="19"/>
        <v>20690</v>
      </c>
      <c r="BD9" s="59">
        <f t="shared" si="19"/>
        <v>20690</v>
      </c>
      <c r="BE9" s="59">
        <f t="shared" si="19"/>
        <v>20690</v>
      </c>
      <c r="BF9" s="59">
        <f t="shared" si="19"/>
        <v>20690</v>
      </c>
      <c r="BG9" s="59"/>
      <c r="BH9" s="1054"/>
      <c r="BI9" s="1054"/>
      <c r="BJ9" s="1054"/>
      <c r="BK9" s="1054">
        <f t="shared" ref="BK9:CB9" si="20">INDEX(MO_BSS_OL,0,COLUMN())</f>
        <v>0</v>
      </c>
      <c r="BL9" s="1054">
        <f t="shared" si="20"/>
        <v>0</v>
      </c>
      <c r="BM9" s="1054">
        <f t="shared" si="20"/>
        <v>0</v>
      </c>
      <c r="BN9" s="1054">
        <f t="shared" si="20"/>
        <v>0</v>
      </c>
      <c r="BO9" s="1054">
        <f t="shared" si="20"/>
        <v>0</v>
      </c>
      <c r="BP9" s="1054">
        <f t="shared" si="20"/>
        <v>0</v>
      </c>
      <c r="BQ9" s="1054">
        <f t="shared" si="20"/>
        <v>0</v>
      </c>
      <c r="BR9" s="1054">
        <f t="shared" si="20"/>
        <v>10324</v>
      </c>
      <c r="BS9" s="1054">
        <f t="shared" si="20"/>
        <v>10654</v>
      </c>
      <c r="BT9" s="1054">
        <f t="shared" si="20"/>
        <v>13873</v>
      </c>
      <c r="BU9" s="1054">
        <f t="shared" si="20"/>
        <v>16668</v>
      </c>
      <c r="BV9" s="1054">
        <f t="shared" si="20"/>
        <v>18849</v>
      </c>
      <c r="BW9" s="1055">
        <f t="shared" si="20"/>
        <v>20234</v>
      </c>
      <c r="BX9" s="1054">
        <f t="shared" si="20"/>
        <v>20690</v>
      </c>
      <c r="BY9" s="1054">
        <f t="shared" si="20"/>
        <v>20690</v>
      </c>
      <c r="BZ9" s="1054">
        <f t="shared" si="20"/>
        <v>20690</v>
      </c>
      <c r="CA9" s="1054">
        <f t="shared" si="20"/>
        <v>20690</v>
      </c>
      <c r="CB9" s="1054">
        <f t="shared" si="20"/>
        <v>20690</v>
      </c>
      <c r="CC9" s="610"/>
    </row>
    <row r="10" spans="1:81" s="731" customFormat="1" x14ac:dyDescent="0.55000000000000004">
      <c r="A10" s="183" t="s">
        <v>124</v>
      </c>
      <c r="B10" s="184"/>
      <c r="C10" s="168">
        <f t="shared" ref="C10:AH10" si="21">INDEX(MO_VA_EVCalc_NCI,0,COLUMN())+INDEX(MO_VA_EVCalc_Prefs,0,COLUMN())+INDEX(MO_VA_EVCalc_Other,0,COLUMN())</f>
        <v>0</v>
      </c>
      <c r="D10" s="168">
        <f t="shared" si="21"/>
        <v>0</v>
      </c>
      <c r="E10" s="168">
        <f t="shared" si="21"/>
        <v>0</v>
      </c>
      <c r="F10" s="168">
        <f t="shared" si="21"/>
        <v>0</v>
      </c>
      <c r="G10" s="168">
        <f t="shared" si="21"/>
        <v>0</v>
      </c>
      <c r="H10" s="168">
        <f t="shared" si="21"/>
        <v>0</v>
      </c>
      <c r="I10" s="168">
        <f t="shared" si="21"/>
        <v>0</v>
      </c>
      <c r="J10" s="168">
        <f t="shared" si="21"/>
        <v>0</v>
      </c>
      <c r="K10" s="168">
        <f t="shared" si="21"/>
        <v>0</v>
      </c>
      <c r="L10" s="168">
        <f t="shared" si="21"/>
        <v>0</v>
      </c>
      <c r="M10" s="168">
        <f t="shared" si="21"/>
        <v>0</v>
      </c>
      <c r="N10" s="168">
        <f t="shared" si="21"/>
        <v>0</v>
      </c>
      <c r="O10" s="168">
        <f t="shared" si="21"/>
        <v>0</v>
      </c>
      <c r="P10" s="168">
        <f t="shared" si="21"/>
        <v>0</v>
      </c>
      <c r="Q10" s="168">
        <f t="shared" si="21"/>
        <v>0</v>
      </c>
      <c r="R10" s="168">
        <f t="shared" si="21"/>
        <v>0</v>
      </c>
      <c r="S10" s="168">
        <f t="shared" si="21"/>
        <v>0</v>
      </c>
      <c r="T10" s="168">
        <f t="shared" si="21"/>
        <v>0</v>
      </c>
      <c r="U10" s="168">
        <f t="shared" si="21"/>
        <v>0</v>
      </c>
      <c r="V10" s="168">
        <f t="shared" si="21"/>
        <v>0</v>
      </c>
      <c r="W10" s="168">
        <f t="shared" si="21"/>
        <v>0</v>
      </c>
      <c r="X10" s="168">
        <f t="shared" si="21"/>
        <v>0</v>
      </c>
      <c r="Y10" s="168">
        <f t="shared" si="21"/>
        <v>0</v>
      </c>
      <c r="Z10" s="168">
        <f t="shared" si="21"/>
        <v>0</v>
      </c>
      <c r="AA10" s="168">
        <f t="shared" si="21"/>
        <v>0</v>
      </c>
      <c r="AB10" s="168">
        <f t="shared" si="21"/>
        <v>0</v>
      </c>
      <c r="AC10" s="168">
        <f t="shared" si="21"/>
        <v>0</v>
      </c>
      <c r="AD10" s="168">
        <f t="shared" si="21"/>
        <v>0</v>
      </c>
      <c r="AE10" s="168">
        <f t="shared" si="21"/>
        <v>0</v>
      </c>
      <c r="AF10" s="168">
        <f t="shared" si="21"/>
        <v>0</v>
      </c>
      <c r="AG10" s="168">
        <f t="shared" si="21"/>
        <v>0</v>
      </c>
      <c r="AH10" s="168">
        <f t="shared" si="21"/>
        <v>0</v>
      </c>
      <c r="AI10" s="168">
        <f t="shared" ref="AI10:BF10" si="22">INDEX(MO_VA_EVCalc_NCI,0,COLUMN())+INDEX(MO_VA_EVCalc_Prefs,0,COLUMN())+INDEX(MO_VA_EVCalc_Other,0,COLUMN())</f>
        <v>0</v>
      </c>
      <c r="AJ10" s="168">
        <f t="shared" si="22"/>
        <v>0</v>
      </c>
      <c r="AK10" s="168">
        <f t="shared" si="22"/>
        <v>0</v>
      </c>
      <c r="AL10" s="168">
        <f t="shared" si="22"/>
        <v>0</v>
      </c>
      <c r="AM10" s="168">
        <f t="shared" si="22"/>
        <v>0</v>
      </c>
      <c r="AN10" s="168">
        <f t="shared" si="22"/>
        <v>0</v>
      </c>
      <c r="AO10" s="168">
        <f t="shared" si="22"/>
        <v>0</v>
      </c>
      <c r="AP10" s="168">
        <f t="shared" si="22"/>
        <v>0</v>
      </c>
      <c r="AQ10" s="168">
        <f t="shared" si="22"/>
        <v>0</v>
      </c>
      <c r="AR10" s="168">
        <f t="shared" si="22"/>
        <v>0</v>
      </c>
      <c r="AS10" s="168">
        <f t="shared" si="22"/>
        <v>0</v>
      </c>
      <c r="AT10" s="168">
        <f t="shared" si="22"/>
        <v>0</v>
      </c>
      <c r="AU10" s="168">
        <f t="shared" si="22"/>
        <v>0</v>
      </c>
      <c r="AV10" s="168">
        <f t="shared" si="22"/>
        <v>0</v>
      </c>
      <c r="AW10" s="168">
        <f t="shared" si="22"/>
        <v>0</v>
      </c>
      <c r="AX10" s="168">
        <f t="shared" si="22"/>
        <v>0</v>
      </c>
      <c r="AY10" s="686">
        <f t="shared" si="22"/>
        <v>0</v>
      </c>
      <c r="AZ10" s="168">
        <f t="shared" si="22"/>
        <v>0</v>
      </c>
      <c r="BA10" s="168">
        <f t="shared" si="22"/>
        <v>0</v>
      </c>
      <c r="BB10" s="168">
        <f t="shared" si="22"/>
        <v>0</v>
      </c>
      <c r="BC10" s="168">
        <f t="shared" si="22"/>
        <v>0</v>
      </c>
      <c r="BD10" s="168">
        <f t="shared" si="22"/>
        <v>0</v>
      </c>
      <c r="BE10" s="168">
        <f t="shared" si="22"/>
        <v>0</v>
      </c>
      <c r="BF10" s="168">
        <f t="shared" si="22"/>
        <v>0</v>
      </c>
      <c r="BG10" s="168"/>
      <c r="BH10" s="1056"/>
      <c r="BI10" s="1056"/>
      <c r="BJ10" s="1056"/>
      <c r="BK10" s="1056">
        <f t="shared" ref="BK10:CB10" si="23">INDEX(MO_VA_EVCalc_NCI,0,COLUMN())+INDEX(MO_VA_EVCalc_Prefs,0,COLUMN())+INDEX(MO_VA_EVCalc_Other,0,COLUMN())</f>
        <v>0</v>
      </c>
      <c r="BL10" s="1056">
        <f t="shared" si="23"/>
        <v>0</v>
      </c>
      <c r="BM10" s="1056">
        <f t="shared" si="23"/>
        <v>0</v>
      </c>
      <c r="BN10" s="1056">
        <f t="shared" si="23"/>
        <v>0</v>
      </c>
      <c r="BO10" s="1056">
        <f t="shared" si="23"/>
        <v>0</v>
      </c>
      <c r="BP10" s="1056">
        <f t="shared" si="23"/>
        <v>0</v>
      </c>
      <c r="BQ10" s="1056">
        <f t="shared" si="23"/>
        <v>0</v>
      </c>
      <c r="BR10" s="1056">
        <f t="shared" si="23"/>
        <v>0</v>
      </c>
      <c r="BS10" s="1056">
        <f t="shared" si="23"/>
        <v>0</v>
      </c>
      <c r="BT10" s="1056">
        <f t="shared" si="23"/>
        <v>0</v>
      </c>
      <c r="BU10" s="1056">
        <f t="shared" si="23"/>
        <v>0</v>
      </c>
      <c r="BV10" s="1056">
        <f t="shared" si="23"/>
        <v>0</v>
      </c>
      <c r="BW10" s="1057">
        <f t="shared" si="23"/>
        <v>0</v>
      </c>
      <c r="BX10" s="1056">
        <f t="shared" si="23"/>
        <v>0</v>
      </c>
      <c r="BY10" s="1056">
        <f t="shared" si="23"/>
        <v>0</v>
      </c>
      <c r="BZ10" s="1056">
        <f t="shared" si="23"/>
        <v>0</v>
      </c>
      <c r="CA10" s="1056">
        <f t="shared" si="23"/>
        <v>0</v>
      </c>
      <c r="CB10" s="1056">
        <f t="shared" si="23"/>
        <v>0</v>
      </c>
      <c r="CC10" s="610"/>
    </row>
    <row r="11" spans="1:81" s="728" customFormat="1" x14ac:dyDescent="0.55000000000000004">
      <c r="A11" s="93" t="str">
        <f>"Enterprise Value - "&amp;SP.ValuationToggle</f>
        <v>Enterprise Value - EoP</v>
      </c>
      <c r="B11" s="94"/>
      <c r="C11" s="60">
        <f t="shared" ref="C11:AH11" si="24">INDEX(SP_CS_MarketCap,0,COLUMN())-INDEX(SP_CS_Cash,0,COLUMN())+INDEX(SP_CS_Debt,0,COLUMN())+INDEX(SP_CS_OL,0,COLUMN())+INDEX(SP_CS_EVCalc_Other,0,COLUMN())</f>
        <v>56916.296792999994</v>
      </c>
      <c r="D11" s="60">
        <f t="shared" si="24"/>
        <v>54385.62408912</v>
      </c>
      <c r="E11" s="60">
        <f t="shared" si="24"/>
        <v>121294.12000000001</v>
      </c>
      <c r="F11" s="60">
        <f t="shared" si="24"/>
        <v>130530.51158132</v>
      </c>
      <c r="G11" s="60">
        <f t="shared" si="24"/>
        <v>144809.16999999998</v>
      </c>
      <c r="H11" s="60">
        <f t="shared" si="24"/>
        <v>163481.99999999997</v>
      </c>
      <c r="I11" s="60">
        <f t="shared" si="24"/>
        <v>195615</v>
      </c>
      <c r="J11" s="60">
        <f t="shared" si="24"/>
        <v>213456.75057776002</v>
      </c>
      <c r="K11" s="60">
        <f t="shared" si="24"/>
        <v>224129.99499999997</v>
      </c>
      <c r="L11" s="60">
        <f t="shared" si="24"/>
        <v>230897.19999999998</v>
      </c>
      <c r="M11" s="60">
        <f t="shared" si="24"/>
        <v>232948.23</v>
      </c>
      <c r="N11" s="60">
        <f t="shared" si="24"/>
        <v>288337.14</v>
      </c>
      <c r="O11" s="60">
        <f t="shared" si="24"/>
        <v>313385.40000000002</v>
      </c>
      <c r="P11" s="60">
        <f t="shared" si="24"/>
        <v>310853.32</v>
      </c>
      <c r="Q11" s="60">
        <f t="shared" si="24"/>
        <v>347754.71</v>
      </c>
      <c r="R11" s="60">
        <f t="shared" si="24"/>
        <v>309028.09999999998</v>
      </c>
      <c r="S11" s="60">
        <f t="shared" si="24"/>
        <v>387233.86</v>
      </c>
      <c r="T11" s="60">
        <f t="shared" si="24"/>
        <v>410267.04</v>
      </c>
      <c r="U11" s="60">
        <f t="shared" si="24"/>
        <v>466802.72000000003</v>
      </c>
      <c r="V11" s="60">
        <f t="shared" si="24"/>
        <v>479375.38</v>
      </c>
      <c r="W11" s="60">
        <f t="shared" si="24"/>
        <v>425858.38999999996</v>
      </c>
      <c r="X11" s="60">
        <f t="shared" si="24"/>
        <v>526155.31999999995</v>
      </c>
      <c r="Y11" s="60">
        <f t="shared" si="24"/>
        <v>435785.46</v>
      </c>
      <c r="Z11" s="60">
        <f t="shared" si="24"/>
        <v>340798.6</v>
      </c>
      <c r="AA11" s="60">
        <f t="shared" si="24"/>
        <v>440079.61</v>
      </c>
      <c r="AB11" s="60">
        <f t="shared" si="24"/>
        <v>513775</v>
      </c>
      <c r="AC11" s="60">
        <f t="shared" si="24"/>
        <v>465747.39999999997</v>
      </c>
      <c r="AD11" s="60">
        <f t="shared" si="24"/>
        <v>541925.69999999995</v>
      </c>
      <c r="AE11" s="60">
        <f t="shared" si="24"/>
        <v>425690.6</v>
      </c>
      <c r="AF11" s="60">
        <f t="shared" si="24"/>
        <v>586990.55999999994</v>
      </c>
      <c r="AG11" s="60">
        <f t="shared" si="24"/>
        <v>711468.89</v>
      </c>
      <c r="AH11" s="60">
        <f t="shared" si="24"/>
        <v>733754.43</v>
      </c>
      <c r="AI11" s="60">
        <f t="shared" ref="AI11:BF11" si="25">INDEX(SP_CS_MarketCap,0,COLUMN())-INDEX(SP_CS_Cash,0,COLUMN())+INDEX(SP_CS_Debt,0,COLUMN())+INDEX(SP_CS_OL,0,COLUMN())+INDEX(SP_CS_EVCalc_Other,0,COLUMN())</f>
        <v>775305</v>
      </c>
      <c r="AJ11" s="60">
        <f t="shared" si="25"/>
        <v>957174.40999999992</v>
      </c>
      <c r="AK11" s="60">
        <f t="shared" si="25"/>
        <v>918070.18</v>
      </c>
      <c r="AL11" s="60">
        <f t="shared" si="25"/>
        <v>921210</v>
      </c>
      <c r="AM11" s="60">
        <f t="shared" si="25"/>
        <v>591954.35</v>
      </c>
      <c r="AN11" s="60">
        <f t="shared" si="25"/>
        <v>418402.64</v>
      </c>
      <c r="AO11" s="60">
        <f t="shared" si="25"/>
        <v>347395.7</v>
      </c>
      <c r="AP11" s="60">
        <f t="shared" si="25"/>
        <v>299747.44</v>
      </c>
      <c r="AQ11" s="60">
        <f t="shared" si="25"/>
        <v>524455</v>
      </c>
      <c r="AR11" s="60">
        <f t="shared" si="25"/>
        <v>718517.00999999989</v>
      </c>
      <c r="AS11" s="60">
        <f t="shared" si="25"/>
        <v>765437.55999999994</v>
      </c>
      <c r="AT11" s="60">
        <f t="shared" si="25"/>
        <v>900011</v>
      </c>
      <c r="AU11" s="60">
        <f t="shared" si="25"/>
        <v>1249298.8599999999</v>
      </c>
      <c r="AV11" s="60">
        <f t="shared" si="25"/>
        <v>1294439.98</v>
      </c>
      <c r="AW11" s="60">
        <f t="shared" si="25"/>
        <v>1449171.2</v>
      </c>
      <c r="AX11" s="60">
        <f t="shared" si="25"/>
        <v>1509284.96</v>
      </c>
      <c r="AY11" s="687">
        <f t="shared" si="25"/>
        <v>1467687.42</v>
      </c>
      <c r="AZ11" s="60">
        <f t="shared" ca="1" si="25"/>
        <v>1409138.4255215521</v>
      </c>
      <c r="BA11" s="60">
        <f t="shared" ca="1" si="25"/>
        <v>1396770.6632293803</v>
      </c>
      <c r="BB11" s="60">
        <f t="shared" ca="1" si="25"/>
        <v>1384790.752704523</v>
      </c>
      <c r="BC11" s="60">
        <f t="shared" ca="1" si="25"/>
        <v>1359631.7297458071</v>
      </c>
      <c r="BD11" s="60">
        <f t="shared" ca="1" si="25"/>
        <v>1339546.1380906929</v>
      </c>
      <c r="BE11" s="60">
        <f t="shared" ca="1" si="25"/>
        <v>1315119.2900071987</v>
      </c>
      <c r="BF11" s="60">
        <f t="shared" ca="1" si="25"/>
        <v>1291831.5095484748</v>
      </c>
      <c r="BG11" s="60"/>
      <c r="BH11" s="1058"/>
      <c r="BI11" s="1058"/>
      <c r="BJ11" s="1058"/>
      <c r="BK11" s="1058">
        <f t="shared" ref="BK11:CB11" si="26">INDEX(SP_CS_MarketCap,0,COLUMN())-INDEX(SP_CS_Cash,0,COLUMN())+INDEX(SP_CS_Debt,0,COLUMN())+INDEX(SP_CS_OL,0,COLUMN())+INDEX(SP_CS_EVCalc_Other,0,COLUMN())</f>
        <v>58018.585248684001</v>
      </c>
      <c r="BL11" s="1058">
        <f t="shared" si="26"/>
        <v>130530.51158132</v>
      </c>
      <c r="BM11" s="1058">
        <f t="shared" si="26"/>
        <v>213456.75057776002</v>
      </c>
      <c r="BN11" s="1058">
        <f t="shared" si="26"/>
        <v>288337.14</v>
      </c>
      <c r="BO11" s="1058">
        <f t="shared" si="26"/>
        <v>309028.09999999998</v>
      </c>
      <c r="BP11" s="1058">
        <f t="shared" si="26"/>
        <v>479375.38</v>
      </c>
      <c r="BQ11" s="1058">
        <f t="shared" si="26"/>
        <v>340798.6</v>
      </c>
      <c r="BR11" s="1058">
        <f t="shared" si="26"/>
        <v>541925.69999999995</v>
      </c>
      <c r="BS11" s="1058">
        <f t="shared" si="26"/>
        <v>733754.43</v>
      </c>
      <c r="BT11" s="1058">
        <f t="shared" si="26"/>
        <v>921210</v>
      </c>
      <c r="BU11" s="1058">
        <f t="shared" si="26"/>
        <v>299747.44</v>
      </c>
      <c r="BV11" s="1058">
        <f t="shared" si="26"/>
        <v>900011</v>
      </c>
      <c r="BW11" s="1059">
        <f t="shared" si="26"/>
        <v>1509284.96</v>
      </c>
      <c r="BX11" s="1058">
        <f t="shared" ca="1" si="26"/>
        <v>1384790.752704523</v>
      </c>
      <c r="BY11" s="1058">
        <f t="shared" ca="1" si="26"/>
        <v>1291831.5095484748</v>
      </c>
      <c r="BZ11" s="1058">
        <f t="shared" ca="1" si="26"/>
        <v>1181238.9390551867</v>
      </c>
      <c r="CA11" s="1058">
        <f t="shared" ca="1" si="26"/>
        <v>1063831.7719837273</v>
      </c>
      <c r="CB11" s="1058">
        <f t="shared" ca="1" si="26"/>
        <v>928129.1676639436</v>
      </c>
      <c r="CC11" s="607"/>
    </row>
    <row r="12" spans="1:81" s="728" customFormat="1" x14ac:dyDescent="0.55000000000000004">
      <c r="A12" s="90"/>
      <c r="B12" s="95"/>
      <c r="C12" s="607"/>
      <c r="D12" s="607"/>
      <c r="E12" s="607"/>
      <c r="F12" s="607"/>
      <c r="G12" s="607"/>
      <c r="H12" s="607"/>
      <c r="I12" s="607"/>
      <c r="J12" s="607"/>
      <c r="K12" s="607"/>
      <c r="L12" s="607"/>
      <c r="M12" s="607"/>
      <c r="N12" s="607"/>
      <c r="O12" s="607"/>
      <c r="P12" s="607"/>
      <c r="Q12" s="607"/>
      <c r="R12" s="607"/>
      <c r="S12" s="607"/>
      <c r="T12" s="607"/>
      <c r="U12" s="607"/>
      <c r="V12" s="607"/>
      <c r="W12" s="607"/>
      <c r="X12" s="607"/>
      <c r="Y12" s="607"/>
      <c r="Z12" s="607"/>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79"/>
      <c r="AZ12" s="607"/>
      <c r="BA12" s="607"/>
      <c r="BB12" s="607"/>
      <c r="BC12" s="607"/>
      <c r="BD12" s="607"/>
      <c r="BE12" s="607"/>
      <c r="BF12" s="607"/>
      <c r="BG12" s="607"/>
      <c r="BH12" s="1060"/>
      <c r="BI12" s="1060"/>
      <c r="BJ12" s="1060"/>
      <c r="BK12" s="1060"/>
      <c r="BL12" s="1060"/>
      <c r="BM12" s="1060"/>
      <c r="BN12" s="1060"/>
      <c r="BO12" s="1060"/>
      <c r="BP12" s="1060"/>
      <c r="BQ12" s="1060"/>
      <c r="BR12" s="1060"/>
      <c r="BS12" s="1060"/>
      <c r="BT12" s="1060"/>
      <c r="BU12" s="1060"/>
      <c r="BV12" s="1060"/>
      <c r="BW12" s="1061"/>
      <c r="BX12" s="1060"/>
      <c r="BY12" s="1060"/>
      <c r="BZ12" s="1060"/>
      <c r="CA12" s="1060"/>
      <c r="CB12" s="1060"/>
      <c r="CC12" s="607"/>
    </row>
    <row r="13" spans="1:81" s="729" customFormat="1" x14ac:dyDescent="0.55000000000000004">
      <c r="A13" s="56" t="s">
        <v>262</v>
      </c>
      <c r="B13" s="608"/>
      <c r="C13" s="608"/>
      <c r="D13" s="608"/>
      <c r="E13" s="608"/>
      <c r="F13" s="608"/>
      <c r="G13" s="608"/>
      <c r="H13" s="608"/>
      <c r="I13" s="608"/>
      <c r="J13" s="608"/>
      <c r="K13" s="608"/>
      <c r="L13" s="608"/>
      <c r="M13" s="608"/>
      <c r="N13" s="608"/>
      <c r="O13" s="608"/>
      <c r="P13" s="608"/>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8"/>
      <c r="AP13" s="608"/>
      <c r="AQ13" s="608"/>
      <c r="AR13" s="608"/>
      <c r="AS13" s="608"/>
      <c r="AT13" s="608"/>
      <c r="AU13" s="608"/>
      <c r="AV13" s="608"/>
      <c r="AW13" s="608"/>
      <c r="AX13" s="608"/>
      <c r="AY13" s="609"/>
      <c r="AZ13" s="608"/>
      <c r="BA13" s="608"/>
      <c r="BB13" s="608"/>
      <c r="BC13" s="608"/>
      <c r="BD13" s="608"/>
      <c r="BE13" s="608"/>
      <c r="BF13" s="608"/>
      <c r="BG13" s="608"/>
      <c r="BH13" s="608"/>
      <c r="BI13" s="608"/>
      <c r="BJ13" s="608"/>
      <c r="BK13" s="608"/>
      <c r="BL13" s="608"/>
      <c r="BM13" s="608"/>
      <c r="BN13" s="608"/>
      <c r="BO13" s="608"/>
      <c r="BP13" s="608"/>
      <c r="BQ13" s="608"/>
      <c r="BR13" s="608"/>
      <c r="BS13" s="608"/>
      <c r="BT13" s="608"/>
      <c r="BU13" s="608"/>
      <c r="BV13" s="608"/>
      <c r="BW13" s="609"/>
      <c r="BX13" s="608"/>
      <c r="BY13" s="608"/>
      <c r="BZ13" s="608"/>
      <c r="CA13" s="608"/>
      <c r="CB13" s="608"/>
      <c r="CC13" s="607"/>
    </row>
    <row r="14" spans="1:81" s="732" customFormat="1" x14ac:dyDescent="0.55000000000000004">
      <c r="A14" s="533" t="str">
        <f>Model!A41</f>
        <v>Y/Y Advertising constant currency revenue growth, %</v>
      </c>
      <c r="B14" s="534"/>
      <c r="C14" s="535">
        <f>Model!C41</f>
        <v>0.4311926605504588</v>
      </c>
      <c r="D14" s="535">
        <f>Model!D41</f>
        <v>0.625</v>
      </c>
      <c r="E14" s="535">
        <f>Model!E41</f>
        <v>0.65837937384898715</v>
      </c>
      <c r="F14" s="535">
        <f>Model!F41</f>
        <v>0.76523702031602703</v>
      </c>
      <c r="G14" s="535">
        <f>Model!G41</f>
        <v>0.82650602409638552</v>
      </c>
      <c r="H14" s="535">
        <f>Model!H41</f>
        <v>0.65478424015009384</v>
      </c>
      <c r="I14" s="535">
        <f>Model!I41</f>
        <v>0.63292547274749711</v>
      </c>
      <c r="J14" s="535">
        <f>Model!J41</f>
        <v>0.57721843003412965</v>
      </c>
      <c r="K14" s="535">
        <f>Model!K41</f>
        <v>0.54746136865342154</v>
      </c>
      <c r="L14" s="535">
        <f>Model!L41</f>
        <v>0.55418535127055302</v>
      </c>
      <c r="M14" s="535">
        <f>Model!M41</f>
        <v>0.56949611092323305</v>
      </c>
      <c r="N14" s="535">
        <f>Model!N41</f>
        <v>0.65804117974401777</v>
      </c>
      <c r="O14" s="535">
        <f>Model!O41</f>
        <v>0.62888151944528192</v>
      </c>
      <c r="P14" s="535">
        <f>Model!P41</f>
        <v>0.63051998954794874</v>
      </c>
      <c r="Q14" s="535">
        <f>Model!Q41</f>
        <v>0.59269597580832745</v>
      </c>
      <c r="R14" s="535">
        <f>Model!R41</f>
        <v>0.536987759446514</v>
      </c>
      <c r="S14" s="535">
        <f>Model!S41</f>
        <v>0.51490098058065747</v>
      </c>
      <c r="T14" s="535">
        <f>Model!T41</f>
        <v>0.49142490783779458</v>
      </c>
      <c r="U14" s="535">
        <f>Model!U41</f>
        <v>0.46919014084507049</v>
      </c>
      <c r="V14" s="535">
        <f>Model!V41</f>
        <v>0.44304090856414424</v>
      </c>
      <c r="W14" s="535">
        <f>Model!W41</f>
        <v>0.43311696576301384</v>
      </c>
      <c r="X14" s="535">
        <f>Model!X41</f>
        <v>0.38225665648188567</v>
      </c>
      <c r="Y14" s="535">
        <f>Model!Y41</f>
        <v>0.3506211792545848</v>
      </c>
      <c r="Z14" s="535">
        <f>Model!Z41</f>
        <v>0.32936849518741695</v>
      </c>
      <c r="AA14" s="535">
        <f>Model!AA41</f>
        <v>0.30690970750317925</v>
      </c>
      <c r="AB14" s="535">
        <f>Model!AB41</f>
        <v>0.31891394385641969</v>
      </c>
      <c r="AC14" s="535">
        <f>Model!AC41</f>
        <v>0.3057094320112268</v>
      </c>
      <c r="AD14" s="535">
        <f>Model!AD41</f>
        <v>0.26382211538461542</v>
      </c>
      <c r="AE14" s="535">
        <f>Model!AE41</f>
        <v>0.1879023605150214</v>
      </c>
      <c r="AF14" s="535">
        <f>Model!AF41</f>
        <v>0.11982675649663133</v>
      </c>
      <c r="AG14" s="535">
        <f>Model!AG41</f>
        <v>0.21451993326813557</v>
      </c>
      <c r="AH14" s="535">
        <f>Model!AH41</f>
        <v>0.29509066358024683</v>
      </c>
      <c r="AI14" s="535">
        <f>Model!AI41</f>
        <v>0.41880733944954129</v>
      </c>
      <c r="AJ14" s="535">
        <f>Model!AJ41</f>
        <v>0.50674089842257519</v>
      </c>
      <c r="AK14" s="535">
        <f>Model!AK41</f>
        <v>0.32039017953913573</v>
      </c>
      <c r="AL14" s="535">
        <f>Model!AL41</f>
        <v>0.21179240077978445</v>
      </c>
      <c r="AM14" s="535">
        <f>Model!AM41</f>
        <v>9.6190888006604025E-2</v>
      </c>
      <c r="AN14" s="535">
        <f>Model!AN41</f>
        <v>2.8936319104268637E-2</v>
      </c>
      <c r="AO14" s="535">
        <f>Model!AO41</f>
        <v>2.6064507002404813E-2</v>
      </c>
      <c r="AP14" s="535">
        <f>Model!AP41</f>
        <v>1.8137810594687442E-2</v>
      </c>
      <c r="AQ14" s="535">
        <f>Model!AQ41</f>
        <v>7.0708941403066827E-2</v>
      </c>
      <c r="AR14" s="535">
        <f>Model!AR41</f>
        <v>0.12841005967604424</v>
      </c>
      <c r="AS14" s="535">
        <f>Model!AS41</f>
        <v>0.21151374967874581</v>
      </c>
      <c r="AT14" s="535">
        <f>Model!AT41</f>
        <v>0.2125487937543995</v>
      </c>
      <c r="AU14" s="535">
        <f>Model!AU41</f>
        <v>0.26436781609195403</v>
      </c>
      <c r="AV14" s="535">
        <f>Model!AV41</f>
        <v>0.22852244586957893</v>
      </c>
      <c r="AW14" s="535">
        <f>Model!AW41</f>
        <v>0.20152780667598025</v>
      </c>
      <c r="AX14" s="535">
        <f>Model!AX41</f>
        <v>0.21076835632718449</v>
      </c>
      <c r="AY14" s="688">
        <f>Model!AY41</f>
        <v>0.19590290444787417</v>
      </c>
      <c r="AZ14" s="535"/>
      <c r="BA14" s="535"/>
      <c r="BB14" s="535"/>
      <c r="BC14" s="535"/>
      <c r="BD14" s="535"/>
      <c r="BE14" s="535"/>
      <c r="BF14" s="535"/>
      <c r="BG14" s="535"/>
      <c r="BH14" s="1062"/>
      <c r="BI14" s="1062"/>
      <c r="BJ14" s="1062"/>
      <c r="BK14" s="1062">
        <f>Model!BK41</f>
        <v>4400</v>
      </c>
      <c r="BL14" s="1062">
        <f>Model!BL41</f>
        <v>0.63814866760168298</v>
      </c>
      <c r="BM14" s="1062">
        <f>Model!BM41</f>
        <v>0.65373604351560255</v>
      </c>
      <c r="BN14" s="1062">
        <f>Model!BN41</f>
        <v>0.58936651583710398</v>
      </c>
      <c r="BO14" s="1062">
        <f>Model!BO41</f>
        <v>0.58981264637002351</v>
      </c>
      <c r="BP14" s="1062">
        <f>Model!BP41</f>
        <v>0.4748000743909242</v>
      </c>
      <c r="BQ14" s="1062">
        <f>Model!BQ41</f>
        <v>0.36728255971158186</v>
      </c>
      <c r="BR14" s="1062">
        <f>Model!BR41</f>
        <v>0.29640266846018215</v>
      </c>
      <c r="BS14" s="1062">
        <f>Model!BS41</f>
        <v>0.21022180747972152</v>
      </c>
      <c r="BT14" s="1062">
        <f>Model!BT41</f>
        <v>0.34626762822416812</v>
      </c>
      <c r="BU14" s="1062">
        <f>Model!BU41</f>
        <v>4.0057772286703708E-2</v>
      </c>
      <c r="BV14" s="1062">
        <f>Model!BV41</f>
        <v>0.15774977561112968</v>
      </c>
      <c r="BW14" s="1063">
        <f>Model!BW41</f>
        <v>0.22406554097068532</v>
      </c>
      <c r="BX14" s="1062"/>
      <c r="BY14" s="1062"/>
      <c r="BZ14" s="1062"/>
      <c r="CA14" s="1062"/>
      <c r="CB14" s="1062"/>
      <c r="CC14" s="536"/>
    </row>
    <row r="15" spans="1:81" s="732" customFormat="1" x14ac:dyDescent="0.55000000000000004">
      <c r="A15" s="533" t="str">
        <f>Model!A40</f>
        <v>Y/Y Advertising revenue growth, %</v>
      </c>
      <c r="B15" s="534"/>
      <c r="C15" s="535"/>
      <c r="D15" s="535"/>
      <c r="E15" s="535"/>
      <c r="F15" s="535"/>
      <c r="G15" s="535">
        <f>Model!G40</f>
        <v>0.81927710843373491</v>
      </c>
      <c r="H15" s="535">
        <f>Model!H40</f>
        <v>0.67354596622889296</v>
      </c>
      <c r="I15" s="535">
        <f>Model!I40</f>
        <v>0.64460511679644039</v>
      </c>
      <c r="J15" s="535">
        <f>Model!J40</f>
        <v>0.53327645051194539</v>
      </c>
      <c r="K15" s="535">
        <f>Model!K40</f>
        <v>0.46445916114790298</v>
      </c>
      <c r="L15" s="535">
        <f>Model!L40</f>
        <v>0.43011958146487284</v>
      </c>
      <c r="M15" s="535">
        <f>Model!M40</f>
        <v>0.45383834967872838</v>
      </c>
      <c r="N15" s="535">
        <f>Model!N40</f>
        <v>0.56844741235392315</v>
      </c>
      <c r="O15" s="535">
        <f>Model!O40</f>
        <v>0.56798311727464568</v>
      </c>
      <c r="P15" s="535">
        <f>Model!P40</f>
        <v>0.63025868826757248</v>
      </c>
      <c r="Q15" s="535">
        <f>Model!Q40</f>
        <v>0.58548499651081642</v>
      </c>
      <c r="R15" s="535">
        <f>Model!R40</f>
        <v>0.53077878304062454</v>
      </c>
      <c r="S15" s="535">
        <f>Model!S40</f>
        <v>0.51067102480292248</v>
      </c>
      <c r="T15" s="535">
        <f>Model!T40</f>
        <v>0.4688251322327297</v>
      </c>
      <c r="U15" s="535">
        <f>Model!U40</f>
        <v>0.48796948356807501</v>
      </c>
      <c r="V15" s="535">
        <f>Model!V40</f>
        <v>0.4809363773322517</v>
      </c>
      <c r="W15" s="535">
        <f>Model!W40</f>
        <v>0.50120911289296166</v>
      </c>
      <c r="X15" s="535">
        <f>Model!X40</f>
        <v>0.42274116106503712</v>
      </c>
      <c r="Y15" s="535">
        <f>Model!Y40</f>
        <v>0.33494379806744234</v>
      </c>
      <c r="Z15" s="535">
        <f>Model!Z40</f>
        <v>0.30213631739572744</v>
      </c>
      <c r="AA15" s="535">
        <f>Model!AA40</f>
        <v>0.26426451886392543</v>
      </c>
      <c r="AB15" s="535">
        <f>Model!AB40</f>
        <v>0.27504218438410799</v>
      </c>
      <c r="AC15" s="535">
        <f>Model!AC40</f>
        <v>0.28392052588817496</v>
      </c>
      <c r="AD15" s="535">
        <f>Model!AD40</f>
        <v>0.24615384615384617</v>
      </c>
      <c r="AE15" s="535">
        <f>Model!AE40</f>
        <v>0.16952789699570814</v>
      </c>
      <c r="AF15" s="535">
        <f>Model!AF40</f>
        <v>0.10208132820019244</v>
      </c>
      <c r="AG15" s="535">
        <f>Model!AG40</f>
        <v>0.22079042742909749</v>
      </c>
      <c r="AH15" s="535">
        <f>Model!AH40</f>
        <v>0.31110146604938271</v>
      </c>
      <c r="AI15" s="535">
        <f>Model!AI40</f>
        <v>0.45865825688073403</v>
      </c>
      <c r="AJ15" s="535">
        <f>Model!AJ40</f>
        <v>0.55995851754816872</v>
      </c>
      <c r="AK15" s="535">
        <f>Model!AK40</f>
        <v>0.33245370152207721</v>
      </c>
      <c r="AL15" s="535">
        <f>Model!AL40</f>
        <v>0.200537021370508</v>
      </c>
      <c r="AM15" s="535">
        <f>Model!AM40</f>
        <v>6.1283855497464623E-2</v>
      </c>
      <c r="AN15" s="535">
        <f>Model!AN40</f>
        <v>-1.4975507347795625E-2</v>
      </c>
      <c r="AO15" s="535">
        <f>Model!AO40</f>
        <v>-3.674494270759654E-2</v>
      </c>
      <c r="AP15" s="535">
        <f>Model!AP40</f>
        <v>-4.2433898097368195E-2</v>
      </c>
      <c r="AQ15" s="535">
        <f>Model!AQ40</f>
        <v>4.0854878139121364E-2</v>
      </c>
      <c r="AR15" s="535">
        <f>Model!AR40</f>
        <v>0.11885478829212848</v>
      </c>
      <c r="AS15" s="535">
        <f>Model!AS40</f>
        <v>0.23519477181774784</v>
      </c>
      <c r="AT15" s="535">
        <f>Model!AT40</f>
        <v>0.23843348051449409</v>
      </c>
      <c r="AU15" s="535">
        <f>Model!AU40</f>
        <v>0.26810433792391719</v>
      </c>
      <c r="AV15" s="535">
        <f>Model!AV40</f>
        <v>0.21687091243888501</v>
      </c>
      <c r="AW15" s="535">
        <f>Model!AW40</f>
        <v>0.18553636714918409</v>
      </c>
      <c r="AX15" s="535">
        <f>Model!AX40</f>
        <v>0.20867565752079775</v>
      </c>
      <c r="AY15" s="688">
        <f>Model!AY40</f>
        <v>0.1615546513259436</v>
      </c>
      <c r="AZ15" s="535"/>
      <c r="BA15" s="535"/>
      <c r="BB15" s="535"/>
      <c r="BC15" s="535"/>
      <c r="BD15" s="535"/>
      <c r="BE15" s="535"/>
      <c r="BF15" s="535"/>
      <c r="BG15" s="535"/>
      <c r="BH15" s="1062"/>
      <c r="BI15" s="1062"/>
      <c r="BJ15" s="1062"/>
      <c r="BK15" s="1062">
        <f>Model!BK40</f>
        <v>0.3568030447193149</v>
      </c>
      <c r="BL15" s="1062">
        <f>Model!BL40</f>
        <v>0.63300607760635819</v>
      </c>
      <c r="BM15" s="1062">
        <f>Model!BM40</f>
        <v>0.64500429430289152</v>
      </c>
      <c r="BN15" s="1062">
        <f>Model!BN40</f>
        <v>0.48625130525583016</v>
      </c>
      <c r="BO15" s="1062">
        <f>Model!BO40</f>
        <v>0.57406323185011709</v>
      </c>
      <c r="BP15" s="1062">
        <f>Model!BP40</f>
        <v>0.48566114933978044</v>
      </c>
      <c r="BQ15" s="1062">
        <f>Model!BQ40</f>
        <v>0.37729708076711233</v>
      </c>
      <c r="BR15" s="1062">
        <f>Model!BR40</f>
        <v>0.26617828837344581</v>
      </c>
      <c r="BS15" s="1062">
        <f>Model!BS40</f>
        <v>0.20836982269758098</v>
      </c>
      <c r="BT15" s="1062">
        <f>Model!BT40</f>
        <v>0.36551461939669005</v>
      </c>
      <c r="BU15" s="1062">
        <f>Model!BU40</f>
        <v>-1.124123409957023E-2</v>
      </c>
      <c r="BV15" s="1062">
        <f>Model!BV40</f>
        <v>0.16108481019341436</v>
      </c>
      <c r="BW15" s="1063">
        <f>Model!BW40</f>
        <v>0.21739624700639637</v>
      </c>
      <c r="BX15" s="1062"/>
      <c r="BY15" s="1062"/>
      <c r="BZ15" s="1062"/>
      <c r="CA15" s="1062"/>
      <c r="CB15" s="1062"/>
      <c r="CC15" s="536"/>
    </row>
    <row r="16" spans="1:81" s="732" customFormat="1" x14ac:dyDescent="0.55000000000000004">
      <c r="A16" s="533" t="str">
        <f>Model!A45</f>
        <v>Y/Y Other revenue growth, %</v>
      </c>
      <c r="B16" s="534"/>
      <c r="C16" s="535"/>
      <c r="D16" s="535"/>
      <c r="E16" s="535"/>
      <c r="F16" s="535"/>
      <c r="G16" s="535"/>
      <c r="H16" s="535"/>
      <c r="I16" s="535"/>
      <c r="J16" s="535"/>
      <c r="K16" s="535"/>
      <c r="L16" s="535"/>
      <c r="M16" s="535"/>
      <c r="N16" s="535"/>
      <c r="O16" s="535"/>
      <c r="P16" s="535"/>
      <c r="Q16" s="535"/>
      <c r="R16" s="535"/>
      <c r="S16" s="535"/>
      <c r="T16" s="535"/>
      <c r="U16" s="535"/>
      <c r="V16" s="535"/>
      <c r="W16" s="535"/>
      <c r="X16" s="535"/>
      <c r="Y16" s="535"/>
      <c r="Z16" s="535"/>
      <c r="AA16" s="535"/>
      <c r="AB16" s="535"/>
      <c r="AC16" s="535"/>
      <c r="AD16" s="535"/>
      <c r="AE16" s="535"/>
      <c r="AF16" s="535"/>
      <c r="AG16" s="535"/>
      <c r="AH16" s="535"/>
      <c r="AI16" s="535"/>
      <c r="AJ16" s="535"/>
      <c r="AK16" s="535"/>
      <c r="AL16" s="535">
        <f>Model!AL45</f>
        <v>-7.7380952380952328E-2</v>
      </c>
      <c r="AM16" s="535">
        <f>Model!AM45</f>
        <v>8.5858585858585856E-2</v>
      </c>
      <c r="AN16" s="535">
        <f>Model!AN45</f>
        <v>0.13541666666666674</v>
      </c>
      <c r="AO16" s="535">
        <f>Model!AO45</f>
        <v>9.0909090909090828E-2</v>
      </c>
      <c r="AP16" s="535">
        <f>Model!AP45</f>
        <v>0.18709677419354831</v>
      </c>
      <c r="AQ16" s="535">
        <f>Model!AQ45</f>
        <v>-4.6511627906976716E-2</v>
      </c>
      <c r="AR16" s="535">
        <f>Model!AR45</f>
        <v>3.2110091743119185E-2</v>
      </c>
      <c r="AS16" s="535">
        <f>Model!AS45</f>
        <v>0.52604166666666674</v>
      </c>
      <c r="AT16" s="535">
        <f>Model!AT45</f>
        <v>0.81521739130434789</v>
      </c>
      <c r="AU16" s="535">
        <f>Model!AU45</f>
        <v>0.85365853658536595</v>
      </c>
      <c r="AV16" s="535">
        <f>Model!AV45</f>
        <v>0.72888888888888892</v>
      </c>
      <c r="AW16" s="535">
        <f>Model!AW45</f>
        <v>0.48122866894197958</v>
      </c>
      <c r="AX16" s="535">
        <f>Model!AX45</f>
        <v>0.55389221556886237</v>
      </c>
      <c r="AY16" s="688">
        <f>Model!AY45</f>
        <v>0.34210526315789469</v>
      </c>
      <c r="AZ16" s="535"/>
      <c r="BA16" s="535"/>
      <c r="BB16" s="535"/>
      <c r="BC16" s="535"/>
      <c r="BD16" s="535"/>
      <c r="BE16" s="535"/>
      <c r="BF16" s="535"/>
      <c r="BG16" s="535"/>
      <c r="BH16" s="1062"/>
      <c r="BI16" s="1062"/>
      <c r="BJ16" s="1062"/>
      <c r="BK16" s="1062"/>
      <c r="BL16" s="1062"/>
      <c r="BM16" s="1062"/>
      <c r="BN16" s="1062"/>
      <c r="BO16" s="1062"/>
      <c r="BP16" s="1062"/>
      <c r="BQ16" s="1062"/>
      <c r="BR16" s="1062"/>
      <c r="BS16" s="1062">
        <f>Model!BS45</f>
        <v>0.21441774491682075</v>
      </c>
      <c r="BT16" s="1062">
        <f>Model!BT45</f>
        <v>9.7412480974124804E-2</v>
      </c>
      <c r="BU16" s="1062">
        <f>Model!BU45</f>
        <v>0.12066574202496527</v>
      </c>
      <c r="BV16" s="1062">
        <f>Model!BV45</f>
        <v>0.30940594059405946</v>
      </c>
      <c r="BW16" s="1063">
        <f>Model!BW45</f>
        <v>0.6275992438563327</v>
      </c>
      <c r="BX16" s="1062"/>
      <c r="BY16" s="1062"/>
      <c r="BZ16" s="1062"/>
      <c r="CA16" s="1062"/>
      <c r="CB16" s="1062"/>
      <c r="CC16" s="536"/>
    </row>
    <row r="17" spans="1:81" s="732" customFormat="1" x14ac:dyDescent="0.55000000000000004">
      <c r="A17" s="544" t="str">
        <f>Model!A19</f>
        <v>Y/Y Family of Apps revenue growth, %</v>
      </c>
      <c r="B17" s="545"/>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f>Model!AL19</f>
        <v>0.19883019557667692</v>
      </c>
      <c r="AM17" s="546">
        <f>Model!AM19</f>
        <v>6.1473651363264104E-2</v>
      </c>
      <c r="AN17" s="546">
        <f>Model!AN19</f>
        <v>-1.3971917141665458E-2</v>
      </c>
      <c r="AO17" s="546">
        <f>Model!AO19</f>
        <v>-3.5955293125263577E-2</v>
      </c>
      <c r="AP17" s="546">
        <f>Model!AP19</f>
        <v>-4.1349027261084359E-2</v>
      </c>
      <c r="AQ17" s="546">
        <f>Model!AQ19</f>
        <v>4.016462720023517E-2</v>
      </c>
      <c r="AR17" s="546">
        <f>Model!AR19</f>
        <v>0.11818822700035247</v>
      </c>
      <c r="AS17" s="546">
        <f>Model!AS19</f>
        <v>0.2372306682708083</v>
      </c>
      <c r="AT17" s="546">
        <f>Model!AT19</f>
        <v>0.2418092753991985</v>
      </c>
      <c r="AU17" s="546">
        <f>Model!AU19</f>
        <v>0.27234508584752359</v>
      </c>
      <c r="AV17" s="546">
        <f>Model!AV19</f>
        <v>0.2205024745452826</v>
      </c>
      <c r="AW17" s="546">
        <f>Model!AW19</f>
        <v>0.1880893446487506</v>
      </c>
      <c r="AX17" s="546">
        <f>Model!AX19</f>
        <v>0.21162909836065569</v>
      </c>
      <c r="AY17" s="689">
        <f>Model!AY19</f>
        <v>0.16345966958211866</v>
      </c>
      <c r="AZ17" s="546">
        <f>Model!AZ19</f>
        <v>0.11244188749418882</v>
      </c>
      <c r="BA17" s="546">
        <f>Model!BA19</f>
        <v>0.12926320097224631</v>
      </c>
      <c r="BB17" s="546">
        <f>Model!BB19</f>
        <v>0.16357025072935616</v>
      </c>
      <c r="BC17" s="546">
        <f>Model!BC19</f>
        <v>0.13623979762302518</v>
      </c>
      <c r="BD17" s="546">
        <f>Model!BD19</f>
        <v>0.10782608695652174</v>
      </c>
      <c r="BE17" s="546">
        <f>Model!BE19</f>
        <v>0.1176251788268956</v>
      </c>
      <c r="BF17" s="546">
        <f>Model!BF19</f>
        <v>0.14623098591549311</v>
      </c>
      <c r="BG17" s="546"/>
      <c r="BH17" s="1064"/>
      <c r="BI17" s="1064"/>
      <c r="BJ17" s="1064"/>
      <c r="BK17" s="1064"/>
      <c r="BL17" s="1064"/>
      <c r="BM17" s="1064"/>
      <c r="BN17" s="1064"/>
      <c r="BO17" s="1064"/>
      <c r="BP17" s="1064"/>
      <c r="BQ17" s="1064"/>
      <c r="BR17" s="1064"/>
      <c r="BS17" s="1064"/>
      <c r="BT17" s="1064">
        <f>Model!BT19</f>
        <v>0.36343809680994044</v>
      </c>
      <c r="BU17" s="1064">
        <f>Model!BU19</f>
        <v>-1.0418918334702321E-2</v>
      </c>
      <c r="BV17" s="1064">
        <f>Model!BV19</f>
        <v>0.16213193534294446</v>
      </c>
      <c r="BW17" s="1065">
        <f>Model!BW19</f>
        <v>0.22065921838112557</v>
      </c>
      <c r="BX17" s="1064">
        <f>Model!BX19</f>
        <v>0.14282583228111245</v>
      </c>
      <c r="BY17" s="1064">
        <f>Model!BY19</f>
        <v>0.1280398189991987</v>
      </c>
      <c r="BZ17" s="1064">
        <f>Model!BZ19</f>
        <v>0.11241088435374147</v>
      </c>
      <c r="CA17" s="1064">
        <f>Model!CA19</f>
        <v>5.1916558018253012E-2</v>
      </c>
      <c r="CB17" s="1064">
        <f>Model!CB19</f>
        <v>4.8369152970922924E-2</v>
      </c>
      <c r="CC17" s="535"/>
    </row>
    <row r="18" spans="1:81" s="732" customFormat="1" x14ac:dyDescent="0.55000000000000004">
      <c r="A18" s="537" t="str">
        <f>Model!A23</f>
        <v>Y/Y Reality Labs revenue growth, %</v>
      </c>
      <c r="B18" s="534"/>
      <c r="C18" s="535"/>
      <c r="D18" s="535"/>
      <c r="E18" s="535"/>
      <c r="F18" s="535"/>
      <c r="G18" s="535"/>
      <c r="H18" s="535"/>
      <c r="I18" s="535"/>
      <c r="J18" s="535"/>
      <c r="K18" s="535"/>
      <c r="L18" s="535"/>
      <c r="M18" s="535"/>
      <c r="N18" s="535"/>
      <c r="O18" s="535"/>
      <c r="P18" s="535"/>
      <c r="Q18" s="535"/>
      <c r="R18" s="535"/>
      <c r="S18" s="535"/>
      <c r="T18" s="535"/>
      <c r="U18" s="535"/>
      <c r="V18" s="535"/>
      <c r="W18" s="535"/>
      <c r="X18" s="535"/>
      <c r="Y18" s="535"/>
      <c r="Z18" s="535"/>
      <c r="AA18" s="535"/>
      <c r="AB18" s="535"/>
      <c r="AC18" s="535"/>
      <c r="AD18" s="535"/>
      <c r="AE18" s="535"/>
      <c r="AF18" s="535"/>
      <c r="AG18" s="535"/>
      <c r="AH18" s="535"/>
      <c r="AI18" s="535"/>
      <c r="AJ18" s="535"/>
      <c r="AK18" s="535"/>
      <c r="AL18" s="535">
        <f>Model!AL23</f>
        <v>0.22315202231520215</v>
      </c>
      <c r="AM18" s="535">
        <f>Model!AM23</f>
        <v>0.30149812734082393</v>
      </c>
      <c r="AN18" s="535">
        <f>Model!AN23</f>
        <v>0.4819672131147541</v>
      </c>
      <c r="AO18" s="535">
        <f>Model!AO23</f>
        <v>-0.489247311827957</v>
      </c>
      <c r="AP18" s="535">
        <f>Model!AP23</f>
        <v>-0.17103762827822122</v>
      </c>
      <c r="AQ18" s="535">
        <f>Model!AQ23</f>
        <v>-0.51223021582733819</v>
      </c>
      <c r="AR18" s="535">
        <f>Model!AR23</f>
        <v>-0.38938053097345138</v>
      </c>
      <c r="AS18" s="535">
        <f>Model!AS23</f>
        <v>-0.26315789473684215</v>
      </c>
      <c r="AT18" s="535">
        <f>Model!AT23</f>
        <v>0.47317744154057761</v>
      </c>
      <c r="AU18" s="535">
        <f>Model!AU23</f>
        <v>0.29793510324483785</v>
      </c>
      <c r="AV18" s="535">
        <f>Model!AV23</f>
        <v>0.27898550724637672</v>
      </c>
      <c r="AW18" s="535">
        <f>Model!AW23</f>
        <v>0.28571428571428581</v>
      </c>
      <c r="AX18" s="535">
        <f>Model!AX23</f>
        <v>1.1204481792717047E-2</v>
      </c>
      <c r="AY18" s="688">
        <f>Model!AY23</f>
        <v>-6.3636363636363602E-2</v>
      </c>
      <c r="AZ18" s="535">
        <f>Model!AZ23</f>
        <v>0.14999999999999991</v>
      </c>
      <c r="BA18" s="535">
        <f>Model!BA23</f>
        <v>0.19999999999999996</v>
      </c>
      <c r="BB18" s="535">
        <f>Model!BB23</f>
        <v>0.14999999999999991</v>
      </c>
      <c r="BC18" s="535">
        <f>Model!BC23</f>
        <v>-0.30000000000000004</v>
      </c>
      <c r="BD18" s="535">
        <f>Model!BD23</f>
        <v>0.14999999999999991</v>
      </c>
      <c r="BE18" s="535">
        <f>Model!BE23</f>
        <v>0.19999999999999996</v>
      </c>
      <c r="BF18" s="535">
        <f>Model!BF23</f>
        <v>0.14999999999999991</v>
      </c>
      <c r="BG18" s="535"/>
      <c r="BH18" s="1062"/>
      <c r="BI18" s="1062"/>
      <c r="BJ18" s="1062"/>
      <c r="BK18" s="1062"/>
      <c r="BL18" s="1062"/>
      <c r="BM18" s="1062"/>
      <c r="BN18" s="1062"/>
      <c r="BO18" s="1062"/>
      <c r="BP18" s="1062"/>
      <c r="BQ18" s="1062"/>
      <c r="BR18" s="1062"/>
      <c r="BS18" s="1062"/>
      <c r="BT18" s="1062">
        <f>Model!BT23</f>
        <v>0.99648814749780512</v>
      </c>
      <c r="BU18" s="1062">
        <f>Model!BU23</f>
        <v>-5.0571679859278795E-2</v>
      </c>
      <c r="BV18" s="1062">
        <f>Model!BV23</f>
        <v>-0.12181565539601669</v>
      </c>
      <c r="BW18" s="1063">
        <f>Model!BW23</f>
        <v>0.1318565400843883</v>
      </c>
      <c r="BX18" s="1062">
        <f>Model!BX23</f>
        <v>0.11248835041938476</v>
      </c>
      <c r="BY18" s="1062">
        <f>Model!BY23</f>
        <v>7.9127921588338701E-2</v>
      </c>
      <c r="BZ18" s="1062">
        <f>Model!BZ23</f>
        <v>0.14999999999999991</v>
      </c>
      <c r="CA18" s="1062">
        <f>Model!CA23</f>
        <v>0.14999999999999991</v>
      </c>
      <c r="CB18" s="1062">
        <f>Model!CB23</f>
        <v>0.14999999999999991</v>
      </c>
      <c r="CC18" s="535"/>
    </row>
    <row r="19" spans="1:81" s="733" customFormat="1" x14ac:dyDescent="0.55000000000000004">
      <c r="A19" s="538" t="str">
        <f>Model!A28</f>
        <v>Y/Y Total revenue growth, %</v>
      </c>
      <c r="B19" s="539"/>
      <c r="C19" s="540"/>
      <c r="D19" s="540"/>
      <c r="E19" s="540"/>
      <c r="F19" s="540"/>
      <c r="G19" s="540">
        <f>Model!G28</f>
        <v>0.71604938271604945</v>
      </c>
      <c r="H19" s="540">
        <f>Model!H28</f>
        <v>0.60507446221731942</v>
      </c>
      <c r="I19" s="540">
        <f>Model!I28</f>
        <v>0.58878968253968256</v>
      </c>
      <c r="J19" s="540">
        <f>Model!J28</f>
        <v>0.48974854932301737</v>
      </c>
      <c r="K19" s="540">
        <f>Model!K28</f>
        <v>0.4160671462829737</v>
      </c>
      <c r="L19" s="540">
        <f>Model!L28</f>
        <v>0.38900343642611679</v>
      </c>
      <c r="M19" s="540">
        <f>Model!M28</f>
        <v>0.40524508273493609</v>
      </c>
      <c r="N19" s="540">
        <f>Model!N28</f>
        <v>0.516748896390548</v>
      </c>
      <c r="O19" s="540">
        <f>Model!O28</f>
        <v>0.51905165114309915</v>
      </c>
      <c r="P19" s="540">
        <f>Model!P28</f>
        <v>0.5922810489856507</v>
      </c>
      <c r="Q19" s="540">
        <f>Model!Q28</f>
        <v>0.55765385469895579</v>
      </c>
      <c r="R19" s="540">
        <f>Model!R28</f>
        <v>0.5081321691491183</v>
      </c>
      <c r="S19" s="540">
        <f>Model!S28</f>
        <v>0.49238201412114457</v>
      </c>
      <c r="T19" s="540">
        <f>Model!T28</f>
        <v>0.44825978868862637</v>
      </c>
      <c r="U19" s="540">
        <f>Model!U28</f>
        <v>0.47311367850520614</v>
      </c>
      <c r="V19" s="540">
        <f>Model!V28</f>
        <v>0.47258485639686687</v>
      </c>
      <c r="W19" s="540">
        <f>Model!W28</f>
        <v>0.48979083665338652</v>
      </c>
      <c r="X19" s="540">
        <f>Model!X28</f>
        <v>0.41948288810213485</v>
      </c>
      <c r="Y19" s="540">
        <f>Model!Y28</f>
        <v>0.32910534469403574</v>
      </c>
      <c r="Z19" s="540">
        <f>Model!Z28</f>
        <v>0.30388529139685483</v>
      </c>
      <c r="AA19" s="540">
        <f>Model!AA28</f>
        <v>0.25998662878154777</v>
      </c>
      <c r="AB19" s="540">
        <f>Model!AB28</f>
        <v>0.2762451817700855</v>
      </c>
      <c r="AC19" s="540">
        <f>Model!AC28</f>
        <v>0.2859328331026445</v>
      </c>
      <c r="AD19" s="540">
        <f>Model!AD28</f>
        <v>0.2464230814709707</v>
      </c>
      <c r="AE19" s="540">
        <f>Model!AE28</f>
        <v>0.17642767128739134</v>
      </c>
      <c r="AF19" s="540">
        <f>Model!AF28</f>
        <v>0.10665640175293145</v>
      </c>
      <c r="AG19" s="540">
        <f>Model!AG28</f>
        <v>0.21629277135735325</v>
      </c>
      <c r="AH19" s="540">
        <f>Model!AH28</f>
        <v>0.33156247035385644</v>
      </c>
      <c r="AI19" s="540">
        <f>Model!AI28</f>
        <v>0.47550318543158365</v>
      </c>
      <c r="AJ19" s="540">
        <f>Model!AJ28</f>
        <v>0.5560014983678494</v>
      </c>
      <c r="AK19" s="540">
        <f>Model!AK28</f>
        <v>0.35118770377270603</v>
      </c>
      <c r="AL19" s="540">
        <f>Model!AL28</f>
        <v>0.19945141065830718</v>
      </c>
      <c r="AM19" s="540">
        <f>Model!AM28</f>
        <v>6.6371174200450911E-2</v>
      </c>
      <c r="AN19" s="540">
        <f>Model!AN28</f>
        <v>-8.7698180692643568E-3</v>
      </c>
      <c r="AO19" s="540">
        <f>Model!AO28</f>
        <v>-4.4674250258531556E-2</v>
      </c>
      <c r="AP19" s="540">
        <f>Model!AP28</f>
        <v>-4.4726916337501144E-2</v>
      </c>
      <c r="AQ19" s="540">
        <f>Model!AQ28</f>
        <v>2.6408198366060009E-2</v>
      </c>
      <c r="AR19" s="540">
        <f>Model!AR28</f>
        <v>0.11022829782804799</v>
      </c>
      <c r="AS19" s="540">
        <f>Model!AS28</f>
        <v>0.23208486685429741</v>
      </c>
      <c r="AT19" s="540">
        <f>Model!AT28</f>
        <v>0.24703870666873939</v>
      </c>
      <c r="AU19" s="540">
        <f>Model!AU28</f>
        <v>0.27264793157619138</v>
      </c>
      <c r="AV19" s="540">
        <f>Model!AV28</f>
        <v>0.2210069064658271</v>
      </c>
      <c r="AW19" s="540">
        <f>Model!AW28</f>
        <v>0.18868974404029748</v>
      </c>
      <c r="AX19" s="540">
        <f>Model!AX28</f>
        <v>0.20627757971628724</v>
      </c>
      <c r="AY19" s="690">
        <f>Model!AY28</f>
        <v>0.16071869428062002</v>
      </c>
      <c r="AZ19" s="540">
        <f>Model!AZ28</f>
        <v>0.1127812188067876</v>
      </c>
      <c r="BA19" s="540">
        <f>Model!BA28</f>
        <v>0.12973374559609741</v>
      </c>
      <c r="BB19" s="540">
        <f>Model!BB28</f>
        <v>0.16326650821535593</v>
      </c>
      <c r="BC19" s="540">
        <f>Model!BC28</f>
        <v>0.13199224842841617</v>
      </c>
      <c r="BD19" s="540">
        <f>Model!BD28</f>
        <v>0.10821986557407048</v>
      </c>
      <c r="BE19" s="540">
        <f>Model!BE28</f>
        <v>0.11820722178849796</v>
      </c>
      <c r="BF19" s="540">
        <f>Model!BF28</f>
        <v>0.14631438553850851</v>
      </c>
      <c r="BG19" s="540"/>
      <c r="BH19" s="1066"/>
      <c r="BI19" s="1066">
        <f>Model!BI28</f>
        <v>1.5405405405405403</v>
      </c>
      <c r="BJ19" s="1066">
        <f>Model!BJ28</f>
        <v>0.87892603850050666</v>
      </c>
      <c r="BK19" s="1066">
        <f>Model!BK28</f>
        <v>0.37206794284173639</v>
      </c>
      <c r="BL19" s="1066">
        <f>Model!BL28</f>
        <v>0.5468657889565729</v>
      </c>
      <c r="BM19" s="1066">
        <f>Model!BM28</f>
        <v>0.58358739837398366</v>
      </c>
      <c r="BN19" s="1066">
        <f>Model!BN28</f>
        <v>0.43815177282207607</v>
      </c>
      <c r="BO19" s="1066">
        <f>Model!BO28</f>
        <v>0.54161088799643009</v>
      </c>
      <c r="BP19" s="1066">
        <f>Model!BP28</f>
        <v>0.47090961719371882</v>
      </c>
      <c r="BQ19" s="1066">
        <f>Model!BQ28</f>
        <v>0.37352716896661997</v>
      </c>
      <c r="BR19" s="1066">
        <f>Model!BR28</f>
        <v>0.26610910132884413</v>
      </c>
      <c r="BS19" s="1066">
        <f>Model!BS28</f>
        <v>0.21596390228722573</v>
      </c>
      <c r="BT19" s="1066">
        <f>Model!BT28</f>
        <v>0.37182574303495608</v>
      </c>
      <c r="BU19" s="1066">
        <f>Model!BU28</f>
        <v>-1.1193175554782941E-2</v>
      </c>
      <c r="BV19" s="1066">
        <f>Model!BV28</f>
        <v>0.15687468377226454</v>
      </c>
      <c r="BW19" s="1067">
        <f>Model!BW28</f>
        <v>0.21941112807816054</v>
      </c>
      <c r="BX19" s="1066">
        <f>Model!BX28</f>
        <v>0.14243006425492855</v>
      </c>
      <c r="BY19" s="1066">
        <f>Model!BY28</f>
        <v>0.12741846151442648</v>
      </c>
      <c r="BZ19" s="1066">
        <f>Model!BZ28</f>
        <v>0.11286794825213087</v>
      </c>
      <c r="CA19" s="1066">
        <f>Model!CA28</f>
        <v>5.3148994980957154E-2</v>
      </c>
      <c r="CB19" s="1066">
        <f>Model!CB28</f>
        <v>4.9763601809823532E-2</v>
      </c>
      <c r="CC19" s="541"/>
    </row>
    <row r="20" spans="1:81" s="733" customFormat="1" x14ac:dyDescent="0.55000000000000004">
      <c r="A20" s="542" t="str">
        <f>Model!A29</f>
        <v>Y/Y Total constant currency revenue growth, %</v>
      </c>
      <c r="B20" s="543"/>
      <c r="C20" s="541">
        <f>Model!C29</f>
        <v>0.38185255198487722</v>
      </c>
      <c r="D20" s="541">
        <f>Model!D29</f>
        <v>0.54222972972972983</v>
      </c>
      <c r="E20" s="541">
        <f>Model!E29</f>
        <v>0.59904912836767044</v>
      </c>
      <c r="F20" s="541">
        <f>Model!F29</f>
        <v>0.63217665615141949</v>
      </c>
      <c r="G20" s="541">
        <f>Model!G29</f>
        <v>0.72222222222222232</v>
      </c>
      <c r="H20" s="541">
        <f>Model!H29</f>
        <v>0.58852730281301713</v>
      </c>
      <c r="I20" s="541">
        <f>Model!I29</f>
        <v>0.57837301587301582</v>
      </c>
      <c r="J20" s="541">
        <f>Model!J29</f>
        <v>0.5295938104448743</v>
      </c>
      <c r="K20" s="541">
        <f>Model!K29</f>
        <v>0.49120703437250191</v>
      </c>
      <c r="L20" s="541">
        <f>Model!L29</f>
        <v>0.50309278350515463</v>
      </c>
      <c r="M20" s="541">
        <f>Model!M29</f>
        <v>0.51201998126756165</v>
      </c>
      <c r="N20" s="541">
        <f>Model!N29</f>
        <v>0.60062321474941571</v>
      </c>
      <c r="O20" s="541">
        <f>Model!O29</f>
        <v>0.57606548123059564</v>
      </c>
      <c r="P20" s="541">
        <f>Model!P29</f>
        <v>0.59252845126175169</v>
      </c>
      <c r="Q20" s="541">
        <f>Model!Q29</f>
        <v>0.5645412130637637</v>
      </c>
      <c r="R20" s="541">
        <f>Model!R29</f>
        <v>0.51403628894214304</v>
      </c>
      <c r="S20" s="541">
        <f>Model!S29</f>
        <v>0.49646971386101812</v>
      </c>
      <c r="T20" s="541">
        <f>Model!T29</f>
        <v>0.47016780609073949</v>
      </c>
      <c r="U20" s="541">
        <f>Model!U29</f>
        <v>0.45485665382969609</v>
      </c>
      <c r="V20" s="541">
        <f>Model!V29</f>
        <v>0.43523668974912022</v>
      </c>
      <c r="W20" s="541">
        <f>Model!W29</f>
        <v>0.42305776892430269</v>
      </c>
      <c r="X20" s="541">
        <f>Model!X29</f>
        <v>0.37946572256195688</v>
      </c>
      <c r="Y20" s="541">
        <f>Model!Y29</f>
        <v>0.34450038729666921</v>
      </c>
      <c r="Z20" s="541">
        <f>Model!Z29</f>
        <v>0.33078939253777362</v>
      </c>
      <c r="AA20" s="541">
        <f>Model!AA29</f>
        <v>0.30202239679090748</v>
      </c>
      <c r="AB20" s="541">
        <f>Model!AB29</f>
        <v>0.31962814602070888</v>
      </c>
      <c r="AC20" s="541">
        <f>Model!AC29</f>
        <v>0.30756902455015656</v>
      </c>
      <c r="AD20" s="541">
        <f>Model!AD29</f>
        <v>0.26386425446375794</v>
      </c>
      <c r="AE20" s="541">
        <f>Model!AE29</f>
        <v>0.19466737414605029</v>
      </c>
      <c r="AF20" s="541">
        <f>Model!AF29</f>
        <v>0.1242449366338978</v>
      </c>
      <c r="AG20" s="541">
        <f>Model!AG29</f>
        <v>0.20983457965103103</v>
      </c>
      <c r="AH20" s="541">
        <f>Model!AH29</f>
        <v>0.31548240204914135</v>
      </c>
      <c r="AI20" s="541">
        <f>Model!AI29</f>
        <v>0.4356993854654112</v>
      </c>
      <c r="AJ20" s="541">
        <f>Model!AJ29</f>
        <v>0.50345159736715361</v>
      </c>
      <c r="AK20" s="541">
        <f>Model!AK29</f>
        <v>0.339124359571495</v>
      </c>
      <c r="AL20" s="541">
        <f>Model!AL29</f>
        <v>0.21038757480763759</v>
      </c>
      <c r="AM20" s="541">
        <f>Model!AM29</f>
        <v>0.10049291200183408</v>
      </c>
      <c r="AN20" s="541">
        <f>Model!AN29</f>
        <v>3.4666574956150997E-2</v>
      </c>
      <c r="AO20" s="541">
        <f>Model!AO29</f>
        <v>1.6994139951740816E-2</v>
      </c>
      <c r="AP20" s="541">
        <f>Model!AP29</f>
        <v>1.5027768703038236E-2</v>
      </c>
      <c r="AQ20" s="541">
        <f>Model!AQ29</f>
        <v>5.5647126272036607E-2</v>
      </c>
      <c r="AR20" s="541">
        <f>Model!AR29</f>
        <v>0.11973492471029079</v>
      </c>
      <c r="AS20" s="541">
        <f>Model!AS29</f>
        <v>0.20873926535325116</v>
      </c>
      <c r="AT20" s="541">
        <f>Model!AT29</f>
        <v>0.22166951655526201</v>
      </c>
      <c r="AU20" s="541">
        <f>Model!AU29</f>
        <v>0.26894746028975391</v>
      </c>
      <c r="AV20" s="541">
        <f>Model!AV29</f>
        <v>0.23260101878183703</v>
      </c>
      <c r="AW20" s="541">
        <f>Model!AW29</f>
        <v>0.2046213319276049</v>
      </c>
      <c r="AX20" s="541">
        <f>Model!AX29</f>
        <v>0.20789808282017397</v>
      </c>
      <c r="AY20" s="691">
        <f>Model!AY29</f>
        <v>0.19465093951446999</v>
      </c>
      <c r="AZ20" s="541"/>
      <c r="BA20" s="541"/>
      <c r="BB20" s="541"/>
      <c r="BC20" s="541"/>
      <c r="BD20" s="541"/>
      <c r="BE20" s="541"/>
      <c r="BF20" s="541"/>
      <c r="BG20" s="541"/>
      <c r="BH20" s="1068"/>
      <c r="BI20" s="1068"/>
      <c r="BJ20" s="1068"/>
      <c r="BK20" s="1068">
        <f>Model!BK29</f>
        <v>0.40447318781999453</v>
      </c>
      <c r="BL20" s="1068">
        <f>Model!BL29</f>
        <v>0.55118883867164481</v>
      </c>
      <c r="BM20" s="1068">
        <f>Model!BM29</f>
        <v>0.59133638211382111</v>
      </c>
      <c r="BN20" s="1068">
        <f>Model!BN29</f>
        <v>0.53321033210332103</v>
      </c>
      <c r="BO20" s="1068">
        <f>Model!BO29</f>
        <v>0.55667112896028548</v>
      </c>
      <c r="BP20" s="1068">
        <f>Model!BP29</f>
        <v>0.46030827122078288</v>
      </c>
      <c r="BQ20" s="1068">
        <f>Model!BQ29</f>
        <v>0.36366319828794924</v>
      </c>
      <c r="BR20" s="1068">
        <f>Model!BR29</f>
        <v>0.29599914037035702</v>
      </c>
      <c r="BS20" s="1068">
        <f>Model!BS29</f>
        <v>0.21766128690043418</v>
      </c>
      <c r="BT20" s="1068">
        <f>Model!BT29</f>
        <v>0.35274821148141688</v>
      </c>
      <c r="BU20" s="1068">
        <f>Model!BU29</f>
        <v>3.9311789296949895E-2</v>
      </c>
      <c r="BV20" s="1068">
        <f>Model!BV29</f>
        <v>0.15366738416417247</v>
      </c>
      <c r="BW20" s="1069">
        <f>Model!BW29</f>
        <v>0.22588990526456243</v>
      </c>
      <c r="BX20" s="1068"/>
      <c r="BY20" s="1068"/>
      <c r="BZ20" s="1068"/>
      <c r="CA20" s="1068"/>
      <c r="CB20" s="1068"/>
      <c r="CC20" s="541"/>
    </row>
    <row r="21" spans="1:81" s="734" customFormat="1" x14ac:dyDescent="0.55000000000000004">
      <c r="A21" s="100"/>
      <c r="B21" s="131"/>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674"/>
      <c r="AZ21" s="85"/>
      <c r="BA21" s="85"/>
      <c r="BB21" s="85"/>
      <c r="BC21" s="85"/>
      <c r="BD21" s="85"/>
      <c r="BE21" s="85"/>
      <c r="BF21" s="85"/>
      <c r="BG21" s="85"/>
      <c r="BH21" s="1070"/>
      <c r="BI21" s="1070"/>
      <c r="BJ21" s="1070"/>
      <c r="BK21" s="1070"/>
      <c r="BL21" s="1070"/>
      <c r="BM21" s="1070"/>
      <c r="BN21" s="1070"/>
      <c r="BO21" s="1070"/>
      <c r="BP21" s="1070"/>
      <c r="BQ21" s="1070"/>
      <c r="BR21" s="1070"/>
      <c r="BS21" s="1070"/>
      <c r="BT21" s="1070"/>
      <c r="BU21" s="1070"/>
      <c r="BV21" s="1070"/>
      <c r="BW21" s="1071"/>
      <c r="BX21" s="1070"/>
      <c r="BY21" s="1070"/>
      <c r="BZ21" s="1070"/>
      <c r="CA21" s="1070"/>
      <c r="CB21" s="1070"/>
      <c r="CC21" s="610"/>
    </row>
    <row r="22" spans="1:81" s="735" customFormat="1" x14ac:dyDescent="0.55000000000000004">
      <c r="A22" s="448" t="str">
        <f>Model!A53</f>
        <v>Family daily active people - EoP, mm DAP</v>
      </c>
      <c r="B22" s="495"/>
      <c r="C22" s="62"/>
      <c r="D22" s="62"/>
      <c r="E22" s="62"/>
      <c r="F22" s="62"/>
      <c r="G22" s="62"/>
      <c r="H22" s="62"/>
      <c r="I22" s="62"/>
      <c r="J22" s="62"/>
      <c r="K22" s="62"/>
      <c r="L22" s="62"/>
      <c r="M22" s="62"/>
      <c r="N22" s="62"/>
      <c r="O22" s="62"/>
      <c r="P22" s="62"/>
      <c r="Q22" s="62"/>
      <c r="R22" s="62"/>
      <c r="S22" s="62"/>
      <c r="T22" s="62"/>
      <c r="U22" s="62"/>
      <c r="V22" s="62"/>
      <c r="W22" s="62"/>
      <c r="X22" s="62"/>
      <c r="Y22" s="62"/>
      <c r="Z22" s="62"/>
      <c r="AA22" s="62">
        <f>Model!AA53</f>
        <v>2100</v>
      </c>
      <c r="AB22" s="62">
        <f>Model!AB53</f>
        <v>2140</v>
      </c>
      <c r="AC22" s="62">
        <f>Model!AC53</f>
        <v>2200</v>
      </c>
      <c r="AD22" s="62">
        <f>Model!AD53</f>
        <v>2260</v>
      </c>
      <c r="AE22" s="62">
        <f>Model!AE53</f>
        <v>2360</v>
      </c>
      <c r="AF22" s="62">
        <f>Model!AF53</f>
        <v>2470</v>
      </c>
      <c r="AG22" s="62">
        <f>Model!AG53</f>
        <v>2540</v>
      </c>
      <c r="AH22" s="62">
        <f>Model!AH53</f>
        <v>2600</v>
      </c>
      <c r="AI22" s="62">
        <f>Model!AI53</f>
        <v>2720</v>
      </c>
      <c r="AJ22" s="62">
        <f>Model!AJ53</f>
        <v>2760</v>
      </c>
      <c r="AK22" s="62">
        <f>Model!AK53</f>
        <v>2810</v>
      </c>
      <c r="AL22" s="62">
        <f>Model!AL53</f>
        <v>2820</v>
      </c>
      <c r="AM22" s="62">
        <f>Model!AM53</f>
        <v>2870</v>
      </c>
      <c r="AN22" s="62">
        <f>Model!AN53</f>
        <v>2880</v>
      </c>
      <c r="AO22" s="62">
        <f>Model!AO53</f>
        <v>2930</v>
      </c>
      <c r="AP22" s="62">
        <f>Model!AP53</f>
        <v>2960</v>
      </c>
      <c r="AQ22" s="62">
        <f>Model!AQ53</f>
        <v>3020</v>
      </c>
      <c r="AR22" s="62">
        <f>Model!AR53</f>
        <v>3070</v>
      </c>
      <c r="AS22" s="62">
        <f>Model!AS53</f>
        <v>3140</v>
      </c>
      <c r="AT22" s="62">
        <f>Model!AT53</f>
        <v>3190</v>
      </c>
      <c r="AU22" s="62">
        <f>Model!AU53</f>
        <v>3240</v>
      </c>
      <c r="AV22" s="62">
        <f>Model!AV53</f>
        <v>3270</v>
      </c>
      <c r="AW22" s="62">
        <f>Model!AW53</f>
        <v>3290</v>
      </c>
      <c r="AX22" s="62">
        <f>Model!AX53</f>
        <v>3350</v>
      </c>
      <c r="AY22" s="676">
        <f>Model!AY53</f>
        <v>3430</v>
      </c>
      <c r="AZ22" s="62">
        <f>Model!AZ53</f>
        <v>3470</v>
      </c>
      <c r="BA22" s="62">
        <f>Model!BA53</f>
        <v>3520</v>
      </c>
      <c r="BB22" s="62">
        <f>Model!BB53</f>
        <v>3580</v>
      </c>
      <c r="BC22" s="62">
        <f>Model!BC53</f>
        <v>3620</v>
      </c>
      <c r="BD22" s="62">
        <f>Model!BD53</f>
        <v>3660</v>
      </c>
      <c r="BE22" s="62">
        <f>Model!BE53</f>
        <v>3710</v>
      </c>
      <c r="BF22" s="62">
        <f>Model!BF53</f>
        <v>3770</v>
      </c>
      <c r="BG22" s="62"/>
      <c r="BH22" s="1052"/>
      <c r="BI22" s="1052"/>
      <c r="BJ22" s="1052"/>
      <c r="BK22" s="1052"/>
      <c r="BL22" s="1052"/>
      <c r="BM22" s="1052"/>
      <c r="BN22" s="1052"/>
      <c r="BO22" s="1052"/>
      <c r="BP22" s="1052"/>
      <c r="BQ22" s="1052">
        <f>Model!BQ53</f>
        <v>2030</v>
      </c>
      <c r="BR22" s="1052">
        <f>Model!BR53</f>
        <v>2260</v>
      </c>
      <c r="BS22" s="1052">
        <f>Model!BS53</f>
        <v>2600</v>
      </c>
      <c r="BT22" s="1052">
        <f>Model!BT53</f>
        <v>2820</v>
      </c>
      <c r="BU22" s="1052">
        <f>Model!BU53</f>
        <v>2960</v>
      </c>
      <c r="BV22" s="1052">
        <f>Model!BV53</f>
        <v>3190</v>
      </c>
      <c r="BW22" s="1053">
        <f>Model!BW53</f>
        <v>3350</v>
      </c>
      <c r="BX22" s="1052">
        <f>Model!BX53</f>
        <v>3580</v>
      </c>
      <c r="BY22" s="1052">
        <f>Model!BY53</f>
        <v>3770</v>
      </c>
      <c r="BZ22" s="1052">
        <f>Model!BZ53</f>
        <v>3900</v>
      </c>
      <c r="CA22" s="1052">
        <f>Model!CA53</f>
        <v>4010</v>
      </c>
      <c r="CB22" s="1052">
        <f>Model!CB53</f>
        <v>4120</v>
      </c>
      <c r="CC22" s="62"/>
    </row>
    <row r="23" spans="1:81" s="732" customFormat="1" x14ac:dyDescent="0.55000000000000004">
      <c r="A23" s="537" t="str">
        <f>Model!A54</f>
        <v>Y/Y Family daily active people - EoP growth, %</v>
      </c>
      <c r="B23" s="534"/>
      <c r="C23" s="535"/>
      <c r="D23" s="535"/>
      <c r="E23" s="535"/>
      <c r="F23" s="535"/>
      <c r="G23" s="535"/>
      <c r="H23" s="535"/>
      <c r="I23" s="535"/>
      <c r="J23" s="535"/>
      <c r="K23" s="535"/>
      <c r="L23" s="535"/>
      <c r="M23" s="535"/>
      <c r="N23" s="535"/>
      <c r="O23" s="535"/>
      <c r="P23" s="535"/>
      <c r="Q23" s="535"/>
      <c r="R23" s="535"/>
      <c r="S23" s="535"/>
      <c r="T23" s="535"/>
      <c r="U23" s="535"/>
      <c r="V23" s="535"/>
      <c r="W23" s="535"/>
      <c r="X23" s="535"/>
      <c r="Y23" s="535"/>
      <c r="Z23" s="535"/>
      <c r="AA23" s="535"/>
      <c r="AB23" s="535"/>
      <c r="AC23" s="535"/>
      <c r="AD23" s="535"/>
      <c r="AE23" s="535">
        <f>Model!AE54</f>
        <v>0.12380952380952381</v>
      </c>
      <c r="AF23" s="535">
        <f>Model!AF54</f>
        <v>0.15420560747663559</v>
      </c>
      <c r="AG23" s="535">
        <f>Model!AG54</f>
        <v>0.15454545454545454</v>
      </c>
      <c r="AH23" s="535">
        <f>Model!AH54</f>
        <v>0.15044247787610621</v>
      </c>
      <c r="AI23" s="535">
        <f>Model!AI54</f>
        <v>0.15254237288135597</v>
      </c>
      <c r="AJ23" s="535">
        <f>Model!AJ54</f>
        <v>0.1174089068825912</v>
      </c>
      <c r="AK23" s="535">
        <f>Model!AK54</f>
        <v>0.10629921259842523</v>
      </c>
      <c r="AL23" s="535">
        <f>Model!AL54</f>
        <v>8.4615384615384537E-2</v>
      </c>
      <c r="AM23" s="535">
        <f>Model!AM54</f>
        <v>5.5147058823529438E-2</v>
      </c>
      <c r="AN23" s="535">
        <f>Model!AN54</f>
        <v>4.3478260869565188E-2</v>
      </c>
      <c r="AO23" s="535">
        <f>Model!AO54</f>
        <v>4.2704626334519658E-2</v>
      </c>
      <c r="AP23" s="535">
        <f>Model!AP54</f>
        <v>4.9645390070921946E-2</v>
      </c>
      <c r="AQ23" s="535">
        <f>Model!AQ54</f>
        <v>5.2264808362369353E-2</v>
      </c>
      <c r="AR23" s="535">
        <f>Model!AR54</f>
        <v>6.5972222222222321E-2</v>
      </c>
      <c r="AS23" s="535">
        <f>Model!AS54</f>
        <v>7.1672354948805417E-2</v>
      </c>
      <c r="AT23" s="535">
        <f>Model!AT54</f>
        <v>7.7702702702702631E-2</v>
      </c>
      <c r="AU23" s="535">
        <f>Model!AU54</f>
        <v>7.2847682119205226E-2</v>
      </c>
      <c r="AV23" s="535">
        <f>Model!AV54</f>
        <v>6.514657980456029E-2</v>
      </c>
      <c r="AW23" s="535">
        <f>Model!AW54</f>
        <v>4.7770700636942776E-2</v>
      </c>
      <c r="AX23" s="535">
        <f>Model!AX54</f>
        <v>5.0156739811912265E-2</v>
      </c>
      <c r="AY23" s="688">
        <f>Model!AY54</f>
        <v>5.8641975308642014E-2</v>
      </c>
      <c r="AZ23" s="535">
        <f>Model!AZ54</f>
        <v>6.1162079510703293E-2</v>
      </c>
      <c r="BA23" s="535">
        <f>Model!BA54</f>
        <v>6.990881458966558E-2</v>
      </c>
      <c r="BB23" s="535">
        <f>Model!BB54</f>
        <v>6.8656716417910379E-2</v>
      </c>
      <c r="BC23" s="535">
        <f>Model!BC54</f>
        <v>5.5393586005830997E-2</v>
      </c>
      <c r="BD23" s="535">
        <f>Model!BD54</f>
        <v>5.4755043227665778E-2</v>
      </c>
      <c r="BE23" s="535">
        <f>Model!BE54</f>
        <v>5.3977272727272707E-2</v>
      </c>
      <c r="BF23" s="535">
        <f>Model!BF54</f>
        <v>5.307262569832405E-2</v>
      </c>
      <c r="BG23" s="535"/>
      <c r="BH23" s="1062"/>
      <c r="BI23" s="1062"/>
      <c r="BJ23" s="1062"/>
      <c r="BK23" s="1062"/>
      <c r="BL23" s="1062"/>
      <c r="BM23" s="1062"/>
      <c r="BN23" s="1062"/>
      <c r="BO23" s="1062"/>
      <c r="BP23" s="1062"/>
      <c r="BQ23" s="1062"/>
      <c r="BR23" s="1062">
        <f>Model!BR54</f>
        <v>0.11330049261083741</v>
      </c>
      <c r="BS23" s="1062">
        <f>Model!BS54</f>
        <v>0.15044247787610621</v>
      </c>
      <c r="BT23" s="1062">
        <f>Model!BT54</f>
        <v>8.4615384615384537E-2</v>
      </c>
      <c r="BU23" s="1062">
        <f>Model!BU54</f>
        <v>4.9645390070921946E-2</v>
      </c>
      <c r="BV23" s="1062">
        <f>Model!BV54</f>
        <v>7.7702702702702631E-2</v>
      </c>
      <c r="BW23" s="1063">
        <f>Model!BW54</f>
        <v>5.0156739811912265E-2</v>
      </c>
      <c r="BX23" s="1062">
        <f>Model!BX54</f>
        <v>6.8656716417910379E-2</v>
      </c>
      <c r="BY23" s="1062">
        <f>Model!BY54</f>
        <v>5.307262569832405E-2</v>
      </c>
      <c r="BZ23" s="1062">
        <f>Model!BZ54</f>
        <v>3.4482758620689724E-2</v>
      </c>
      <c r="CA23" s="1062">
        <f>Model!CA54</f>
        <v>2.8205128205128105E-2</v>
      </c>
      <c r="CB23" s="1062">
        <f>Model!CB54</f>
        <v>2.7431421446383997E-2</v>
      </c>
      <c r="CC23" s="535"/>
    </row>
    <row r="24" spans="1:81" s="736" customFormat="1" x14ac:dyDescent="0.55000000000000004">
      <c r="A24" s="547" t="str">
        <f>Model!A57</f>
        <v>Family average revenue per person, USD/DAP</v>
      </c>
      <c r="B24" s="548"/>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f>Model!AH57</f>
        <v>10.64396887159533</v>
      </c>
      <c r="AI24" s="549">
        <f>Model!AI57</f>
        <v>9.6379699248120296</v>
      </c>
      <c r="AJ24" s="549">
        <f>Model!AJ57</f>
        <v>10.500729927007299</v>
      </c>
      <c r="AK24" s="549">
        <f>Model!AK57</f>
        <v>10.216157989228007</v>
      </c>
      <c r="AL24" s="549">
        <f>Model!AL57</f>
        <v>11.649733570159858</v>
      </c>
      <c r="AM24" s="549">
        <f>Model!AM57</f>
        <v>9.57</v>
      </c>
      <c r="AN24" s="549">
        <f>Model!AN57</f>
        <v>9.8699999999999992</v>
      </c>
      <c r="AO24" s="549">
        <f>Model!AO57</f>
        <v>9.44</v>
      </c>
      <c r="AP24" s="549">
        <f>Model!AP57</f>
        <v>10.68</v>
      </c>
      <c r="AQ24" s="549">
        <f>Model!AQ57</f>
        <v>9.4700000000000006</v>
      </c>
      <c r="AR24" s="549">
        <f>Model!AR57</f>
        <v>10.42</v>
      </c>
      <c r="AS24" s="549">
        <f>Model!AS57</f>
        <v>10.93</v>
      </c>
      <c r="AT24" s="549">
        <f>Model!AT57</f>
        <v>12.33</v>
      </c>
      <c r="AU24" s="549">
        <f>Model!AU57</f>
        <v>11.2</v>
      </c>
      <c r="AV24" s="549">
        <f>Model!AV57</f>
        <v>11.89</v>
      </c>
      <c r="AW24" s="549">
        <f>Model!AW57</f>
        <v>12.29</v>
      </c>
      <c r="AX24" s="549">
        <f>Model!AX57</f>
        <v>14.25</v>
      </c>
      <c r="AY24" s="692">
        <f>Model!AY57</f>
        <v>12.36</v>
      </c>
      <c r="AZ24" s="549">
        <f>Model!AZ57</f>
        <v>12.484500000000001</v>
      </c>
      <c r="BA24" s="549">
        <f>Model!BA57</f>
        <v>13.0274</v>
      </c>
      <c r="BB24" s="549">
        <f>Model!BB57</f>
        <v>15.504000000000001</v>
      </c>
      <c r="BC24" s="549">
        <f>Model!BC57</f>
        <v>13.225200000000001</v>
      </c>
      <c r="BD24" s="549">
        <f>Model!BD57</f>
        <v>13.108725000000002</v>
      </c>
      <c r="BE24" s="549">
        <f>Model!BE57</f>
        <v>13.809044</v>
      </c>
      <c r="BF24" s="549">
        <f>Model!BF57</f>
        <v>16.868352000000002</v>
      </c>
      <c r="BG24" s="549"/>
      <c r="BH24" s="1072"/>
      <c r="BI24" s="1072"/>
      <c r="BJ24" s="1072"/>
      <c r="BK24" s="1072"/>
      <c r="BL24" s="1072"/>
      <c r="BM24" s="1072"/>
      <c r="BN24" s="1072"/>
      <c r="BO24" s="1072"/>
      <c r="BP24" s="1072"/>
      <c r="BQ24" s="1072"/>
      <c r="BR24" s="1072"/>
      <c r="BS24" s="1072">
        <f>Model!BS57</f>
        <v>34.907818930041152</v>
      </c>
      <c r="BT24" s="1072">
        <f>Model!BT57</f>
        <v>42.677121771217713</v>
      </c>
      <c r="BU24" s="1072">
        <f>Model!BU57</f>
        <v>39.602076124567475</v>
      </c>
      <c r="BV24" s="1072">
        <f>Model!BV57</f>
        <v>43.253983739837402</v>
      </c>
      <c r="BW24" s="1073">
        <f>Model!BW57</f>
        <v>49.649847094801224</v>
      </c>
      <c r="BX24" s="1072">
        <f>Model!BX57</f>
        <v>53.547904184704187</v>
      </c>
      <c r="BY24" s="1072">
        <f>Model!BY57</f>
        <v>56.952501393197281</v>
      </c>
      <c r="BZ24" s="1072">
        <f>Model!BZ57</f>
        <v>60.711366485148304</v>
      </c>
      <c r="CA24" s="1072">
        <f>Model!CA57</f>
        <v>61.925593814851268</v>
      </c>
      <c r="CB24" s="1072">
        <f>Model!CB57</f>
        <v>63.164105691148293</v>
      </c>
      <c r="CC24" s="549"/>
    </row>
    <row r="25" spans="1:81" s="732" customFormat="1" x14ac:dyDescent="0.55000000000000004">
      <c r="A25" s="537" t="str">
        <f>Model!A58</f>
        <v>Y/Y Family average revenue per person growth, %</v>
      </c>
      <c r="B25" s="534"/>
      <c r="C25" s="535"/>
      <c r="D25" s="535"/>
      <c r="E25" s="535"/>
      <c r="F25" s="535"/>
      <c r="G25" s="535"/>
      <c r="H25" s="535"/>
      <c r="I25" s="535"/>
      <c r="J25" s="535"/>
      <c r="K25" s="535"/>
      <c r="L25" s="535"/>
      <c r="M25" s="535"/>
      <c r="N25" s="535"/>
      <c r="O25" s="535"/>
      <c r="P25" s="535"/>
      <c r="Q25" s="535"/>
      <c r="R25" s="535"/>
      <c r="S25" s="535"/>
      <c r="T25" s="535"/>
      <c r="U25" s="535"/>
      <c r="V25" s="535"/>
      <c r="W25" s="535"/>
      <c r="X25" s="535"/>
      <c r="Y25" s="535"/>
      <c r="Z25" s="535"/>
      <c r="AA25" s="535"/>
      <c r="AB25" s="535"/>
      <c r="AC25" s="535"/>
      <c r="AD25" s="535"/>
      <c r="AE25" s="535"/>
      <c r="AF25" s="535"/>
      <c r="AG25" s="535"/>
      <c r="AH25" s="535"/>
      <c r="AI25" s="535"/>
      <c r="AJ25" s="535"/>
      <c r="AK25" s="535"/>
      <c r="AL25" s="535">
        <f>Model!AL58</f>
        <v>9.4491510704106663E-2</v>
      </c>
      <c r="AM25" s="535">
        <f>Model!AM58</f>
        <v>-7.0523072122322672E-3</v>
      </c>
      <c r="AN25" s="535">
        <f>Model!AN58</f>
        <v>-6.0065341304045616E-2</v>
      </c>
      <c r="AO25" s="535">
        <f>Model!AO58</f>
        <v>-7.5973569520596085E-2</v>
      </c>
      <c r="AP25" s="535">
        <f>Model!AP58</f>
        <v>-8.3240836738427859E-2</v>
      </c>
      <c r="AQ25" s="535">
        <f>Model!AQ58</f>
        <v>-1.0449320794148398E-2</v>
      </c>
      <c r="AR25" s="535">
        <f>Model!AR58</f>
        <v>5.5724417426545214E-2</v>
      </c>
      <c r="AS25" s="535">
        <f>Model!AS58</f>
        <v>0.15783898305084754</v>
      </c>
      <c r="AT25" s="535">
        <f>Model!AT58</f>
        <v>0.15449438202247201</v>
      </c>
      <c r="AU25" s="535">
        <f>Model!AU58</f>
        <v>0.18268215417106637</v>
      </c>
      <c r="AV25" s="535">
        <f>Model!AV58</f>
        <v>0.14107485604606529</v>
      </c>
      <c r="AW25" s="535">
        <f>Model!AW58</f>
        <v>0.12442817932296424</v>
      </c>
      <c r="AX25" s="535">
        <f>Model!AX58</f>
        <v>0.15571776155717765</v>
      </c>
      <c r="AY25" s="688">
        <f>Model!AY58</f>
        <v>0.10357142857142865</v>
      </c>
      <c r="AZ25" s="535">
        <f>Model!AZ58</f>
        <v>0.05</v>
      </c>
      <c r="BA25" s="535">
        <f>Model!BA58</f>
        <v>0.06</v>
      </c>
      <c r="BB25" s="535">
        <f>Model!BB58</f>
        <v>8.7999999999999995E-2</v>
      </c>
      <c r="BC25" s="535">
        <f>Model!BC58</f>
        <v>7.0000000000000007E-2</v>
      </c>
      <c r="BD25" s="535">
        <f>Model!BD58</f>
        <v>0.05</v>
      </c>
      <c r="BE25" s="535">
        <f>Model!BE58</f>
        <v>0.06</v>
      </c>
      <c r="BF25" s="535">
        <f>Model!BF58</f>
        <v>8.7999999999999995E-2</v>
      </c>
      <c r="BG25" s="535"/>
      <c r="BH25" s="1062"/>
      <c r="BI25" s="1062"/>
      <c r="BJ25" s="1062"/>
      <c r="BK25" s="1062"/>
      <c r="BL25" s="1062"/>
      <c r="BM25" s="1062"/>
      <c r="BN25" s="1062"/>
      <c r="BO25" s="1062"/>
      <c r="BP25" s="1062"/>
      <c r="BQ25" s="1062"/>
      <c r="BR25" s="1062"/>
      <c r="BS25" s="1062">
        <f>Model!BS58</f>
        <v>6.6688580616249604E-2</v>
      </c>
      <c r="BT25" s="1062">
        <f>Model!BT58</f>
        <v>0.22256626392920853</v>
      </c>
      <c r="BU25" s="1062">
        <f>Model!BU58</f>
        <v>-7.2053726189288403E-2</v>
      </c>
      <c r="BV25" s="1062">
        <f>Model!BV58</f>
        <v>9.2215054680035768E-2</v>
      </c>
      <c r="BW25" s="1063">
        <f>Model!BW58</f>
        <v>0.14786761361527856</v>
      </c>
      <c r="BX25" s="1062">
        <f>Model!BX58</f>
        <v>7.851095860295465E-2</v>
      </c>
      <c r="BY25" s="1062">
        <f>Model!BY58</f>
        <v>6.3580400770673062E-2</v>
      </c>
      <c r="BZ25" s="1062">
        <f>Model!BZ58</f>
        <v>6.6000000000000003E-2</v>
      </c>
      <c r="CA25" s="1062">
        <f>Model!CA58</f>
        <v>0.02</v>
      </c>
      <c r="CB25" s="1062">
        <f>Model!CB58</f>
        <v>0.02</v>
      </c>
      <c r="CC25" s="535"/>
    </row>
    <row r="26" spans="1:81" s="731" customFormat="1" x14ac:dyDescent="0.55000000000000004">
      <c r="A26" s="91"/>
      <c r="B26" s="97"/>
      <c r="C26" s="610"/>
      <c r="D26" s="610"/>
      <c r="E26" s="610"/>
      <c r="F26" s="610"/>
      <c r="G26" s="610"/>
      <c r="H26" s="610"/>
      <c r="I26" s="610"/>
      <c r="J26" s="610"/>
      <c r="K26" s="610"/>
      <c r="L26" s="610"/>
      <c r="M26" s="610"/>
      <c r="N26" s="610"/>
      <c r="O26" s="610"/>
      <c r="P26" s="610"/>
      <c r="Q26" s="610"/>
      <c r="R26" s="610"/>
      <c r="S26" s="610"/>
      <c r="T26" s="610"/>
      <c r="U26" s="610"/>
      <c r="V26" s="610"/>
      <c r="W26" s="610"/>
      <c r="X26" s="610"/>
      <c r="Y26" s="610"/>
      <c r="Z26" s="610"/>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597"/>
      <c r="AZ26" s="610"/>
      <c r="BA26" s="610"/>
      <c r="BB26" s="610"/>
      <c r="BC26" s="610"/>
      <c r="BD26" s="610"/>
      <c r="BE26" s="610"/>
      <c r="BF26" s="610"/>
      <c r="BG26" s="610"/>
      <c r="BH26" s="1074"/>
      <c r="BI26" s="1074"/>
      <c r="BJ26" s="1074"/>
      <c r="BK26" s="1074"/>
      <c r="BL26" s="1074"/>
      <c r="BM26" s="1074"/>
      <c r="BN26" s="1074"/>
      <c r="BO26" s="1074"/>
      <c r="BP26" s="1074"/>
      <c r="BQ26" s="1074"/>
      <c r="BR26" s="1074"/>
      <c r="BS26" s="1074"/>
      <c r="BT26" s="1074"/>
      <c r="BU26" s="1074"/>
      <c r="BV26" s="1074"/>
      <c r="BW26" s="1075"/>
      <c r="BX26" s="1074"/>
      <c r="BY26" s="1074"/>
      <c r="BZ26" s="1074"/>
      <c r="CA26" s="1074"/>
      <c r="CB26" s="1074"/>
      <c r="CC26" s="610"/>
    </row>
    <row r="27" spans="1:81" s="729" customFormat="1" x14ac:dyDescent="0.55000000000000004">
      <c r="A27" s="56" t="s">
        <v>263</v>
      </c>
      <c r="B27" s="608"/>
      <c r="C27" s="608"/>
      <c r="D27" s="608"/>
      <c r="E27" s="608"/>
      <c r="F27" s="608"/>
      <c r="G27" s="608"/>
      <c r="H27" s="608"/>
      <c r="I27" s="608"/>
      <c r="J27" s="608"/>
      <c r="K27" s="608"/>
      <c r="L27" s="608"/>
      <c r="M27" s="608"/>
      <c r="N27" s="608"/>
      <c r="O27" s="608"/>
      <c r="P27" s="608"/>
      <c r="Q27" s="608"/>
      <c r="R27" s="608"/>
      <c r="S27" s="608"/>
      <c r="T27" s="608"/>
      <c r="U27" s="608"/>
      <c r="V27" s="608"/>
      <c r="W27" s="608"/>
      <c r="X27" s="608"/>
      <c r="Y27" s="608"/>
      <c r="Z27" s="608"/>
      <c r="AA27" s="608"/>
      <c r="AB27" s="608"/>
      <c r="AC27" s="608"/>
      <c r="AD27" s="608"/>
      <c r="AE27" s="608"/>
      <c r="AF27" s="608"/>
      <c r="AG27" s="608"/>
      <c r="AH27" s="608"/>
      <c r="AI27" s="608"/>
      <c r="AJ27" s="608"/>
      <c r="AK27" s="608"/>
      <c r="AL27" s="608"/>
      <c r="AM27" s="608"/>
      <c r="AN27" s="608"/>
      <c r="AO27" s="608"/>
      <c r="AP27" s="608"/>
      <c r="AQ27" s="608"/>
      <c r="AR27" s="608"/>
      <c r="AS27" s="608"/>
      <c r="AT27" s="608"/>
      <c r="AU27" s="608"/>
      <c r="AV27" s="608"/>
      <c r="AW27" s="608"/>
      <c r="AX27" s="608"/>
      <c r="AY27" s="609"/>
      <c r="AZ27" s="608"/>
      <c r="BA27" s="608"/>
      <c r="BB27" s="608"/>
      <c r="BC27" s="608"/>
      <c r="BD27" s="608"/>
      <c r="BE27" s="608"/>
      <c r="BF27" s="608"/>
      <c r="BG27" s="608"/>
      <c r="BH27" s="608"/>
      <c r="BI27" s="608"/>
      <c r="BJ27" s="608"/>
      <c r="BK27" s="608"/>
      <c r="BL27" s="608"/>
      <c r="BM27" s="608"/>
      <c r="BN27" s="608"/>
      <c r="BO27" s="608"/>
      <c r="BP27" s="608"/>
      <c r="BQ27" s="608"/>
      <c r="BR27" s="608"/>
      <c r="BS27" s="608"/>
      <c r="BT27" s="608"/>
      <c r="BU27" s="608"/>
      <c r="BV27" s="608"/>
      <c r="BW27" s="609"/>
      <c r="BX27" s="608"/>
      <c r="BY27" s="608"/>
      <c r="BZ27" s="608"/>
      <c r="CA27" s="608"/>
      <c r="CB27" s="608"/>
      <c r="CC27" s="607"/>
    </row>
    <row r="28" spans="1:81" s="728" customFormat="1" x14ac:dyDescent="0.55000000000000004">
      <c r="A28" s="90" t="str">
        <f>INDEX(MO_RIS_REV,0,COLUMN())</f>
        <v>Net Revenue</v>
      </c>
      <c r="B28" s="95"/>
      <c r="C28" s="62">
        <f t="shared" ref="C28:AH28" si="27">INDEX(MO_RIS_REV,0,COLUMN())</f>
        <v>1458</v>
      </c>
      <c r="D28" s="62">
        <f t="shared" si="27"/>
        <v>1813</v>
      </c>
      <c r="E28" s="62">
        <f t="shared" si="27"/>
        <v>2016</v>
      </c>
      <c r="F28" s="62">
        <f t="shared" si="27"/>
        <v>2585</v>
      </c>
      <c r="G28" s="62">
        <f t="shared" si="27"/>
        <v>2502</v>
      </c>
      <c r="H28" s="62">
        <f t="shared" si="27"/>
        <v>2910</v>
      </c>
      <c r="I28" s="62">
        <f t="shared" si="27"/>
        <v>3203</v>
      </c>
      <c r="J28" s="62">
        <f t="shared" si="27"/>
        <v>3851</v>
      </c>
      <c r="K28" s="62">
        <f t="shared" si="27"/>
        <v>3543</v>
      </c>
      <c r="L28" s="62">
        <f t="shared" si="27"/>
        <v>4042</v>
      </c>
      <c r="M28" s="62">
        <f t="shared" si="27"/>
        <v>4501</v>
      </c>
      <c r="N28" s="62">
        <f t="shared" si="27"/>
        <v>5841</v>
      </c>
      <c r="O28" s="62">
        <f t="shared" si="27"/>
        <v>5382</v>
      </c>
      <c r="P28" s="62">
        <f t="shared" si="27"/>
        <v>6436</v>
      </c>
      <c r="Q28" s="62">
        <f t="shared" si="27"/>
        <v>7011</v>
      </c>
      <c r="R28" s="62">
        <f t="shared" si="27"/>
        <v>8809</v>
      </c>
      <c r="S28" s="62">
        <f t="shared" si="27"/>
        <v>8032</v>
      </c>
      <c r="T28" s="62">
        <f t="shared" si="27"/>
        <v>9321</v>
      </c>
      <c r="U28" s="62">
        <f t="shared" si="27"/>
        <v>10328</v>
      </c>
      <c r="V28" s="62">
        <f t="shared" si="27"/>
        <v>12972</v>
      </c>
      <c r="W28" s="62">
        <f t="shared" si="27"/>
        <v>11966</v>
      </c>
      <c r="X28" s="62">
        <f t="shared" si="27"/>
        <v>13231</v>
      </c>
      <c r="Y28" s="62">
        <f t="shared" si="27"/>
        <v>13727</v>
      </c>
      <c r="Z28" s="62">
        <f t="shared" si="27"/>
        <v>16914</v>
      </c>
      <c r="AA28" s="62">
        <f t="shared" si="27"/>
        <v>15077</v>
      </c>
      <c r="AB28" s="62">
        <f t="shared" si="27"/>
        <v>16886</v>
      </c>
      <c r="AC28" s="62">
        <f t="shared" si="27"/>
        <v>17652</v>
      </c>
      <c r="AD28" s="62">
        <f t="shared" si="27"/>
        <v>21082</v>
      </c>
      <c r="AE28" s="62">
        <f t="shared" si="27"/>
        <v>17737</v>
      </c>
      <c r="AF28" s="62">
        <f t="shared" si="27"/>
        <v>18687</v>
      </c>
      <c r="AG28" s="62">
        <f t="shared" si="27"/>
        <v>21470</v>
      </c>
      <c r="AH28" s="62">
        <f t="shared" si="27"/>
        <v>28072</v>
      </c>
      <c r="AI28" s="62">
        <f t="shared" ref="AI28:BF28" si="28">INDEX(MO_RIS_REV,0,COLUMN())</f>
        <v>26171</v>
      </c>
      <c r="AJ28" s="62">
        <f t="shared" si="28"/>
        <v>29077</v>
      </c>
      <c r="AK28" s="62">
        <f t="shared" si="28"/>
        <v>29010</v>
      </c>
      <c r="AL28" s="62">
        <f t="shared" si="28"/>
        <v>33671</v>
      </c>
      <c r="AM28" s="62">
        <f t="shared" si="28"/>
        <v>27908</v>
      </c>
      <c r="AN28" s="62">
        <f t="shared" si="28"/>
        <v>28822</v>
      </c>
      <c r="AO28" s="62">
        <f t="shared" si="28"/>
        <v>27714</v>
      </c>
      <c r="AP28" s="62">
        <f t="shared" si="28"/>
        <v>32165</v>
      </c>
      <c r="AQ28" s="62">
        <f t="shared" si="28"/>
        <v>28645</v>
      </c>
      <c r="AR28" s="62">
        <f t="shared" si="28"/>
        <v>31999</v>
      </c>
      <c r="AS28" s="62">
        <f t="shared" si="28"/>
        <v>34146</v>
      </c>
      <c r="AT28" s="62">
        <f t="shared" si="28"/>
        <v>40111</v>
      </c>
      <c r="AU28" s="62">
        <f t="shared" si="28"/>
        <v>36455</v>
      </c>
      <c r="AV28" s="62">
        <f t="shared" si="28"/>
        <v>39071</v>
      </c>
      <c r="AW28" s="62">
        <f t="shared" si="28"/>
        <v>40589</v>
      </c>
      <c r="AX28" s="62">
        <f t="shared" si="28"/>
        <v>48385</v>
      </c>
      <c r="AY28" s="676">
        <f t="shared" si="28"/>
        <v>42314</v>
      </c>
      <c r="AZ28" s="62">
        <f t="shared" si="28"/>
        <v>43477.474999999999</v>
      </c>
      <c r="BA28" s="62">
        <f t="shared" si="28"/>
        <v>45854.762999999999</v>
      </c>
      <c r="BB28" s="62">
        <f t="shared" si="28"/>
        <v>56284.65</v>
      </c>
      <c r="BC28" s="62">
        <f t="shared" si="28"/>
        <v>47899.12</v>
      </c>
      <c r="BD28" s="62">
        <f t="shared" si="28"/>
        <v>48182.601500000004</v>
      </c>
      <c r="BE28" s="62">
        <f t="shared" si="28"/>
        <v>51275.127140000004</v>
      </c>
      <c r="BF28" s="62">
        <f t="shared" si="28"/>
        <v>64519.90398000001</v>
      </c>
      <c r="BG28" s="62"/>
      <c r="BH28" s="1052">
        <f t="shared" ref="BH28:CB28" si="29">INDEX(MO_RIS_REV,0,COLUMN())</f>
        <v>777</v>
      </c>
      <c r="BI28" s="1052">
        <f t="shared" si="29"/>
        <v>1974</v>
      </c>
      <c r="BJ28" s="1052">
        <f t="shared" si="29"/>
        <v>3711</v>
      </c>
      <c r="BK28" s="1052">
        <f t="shared" si="29"/>
        <v>5089</v>
      </c>
      <c r="BL28" s="1052">
        <f t="shared" si="29"/>
        <v>7872</v>
      </c>
      <c r="BM28" s="1052">
        <f t="shared" si="29"/>
        <v>12466</v>
      </c>
      <c r="BN28" s="1052">
        <f t="shared" si="29"/>
        <v>17928</v>
      </c>
      <c r="BO28" s="1052">
        <f t="shared" si="29"/>
        <v>27638</v>
      </c>
      <c r="BP28" s="1052">
        <f t="shared" si="29"/>
        <v>40653</v>
      </c>
      <c r="BQ28" s="1052">
        <f t="shared" si="29"/>
        <v>55838</v>
      </c>
      <c r="BR28" s="1052">
        <f t="shared" si="29"/>
        <v>70697</v>
      </c>
      <c r="BS28" s="1052">
        <f t="shared" si="29"/>
        <v>85965</v>
      </c>
      <c r="BT28" s="1052">
        <f t="shared" si="29"/>
        <v>117929</v>
      </c>
      <c r="BU28" s="1052">
        <f t="shared" si="29"/>
        <v>116609</v>
      </c>
      <c r="BV28" s="1052">
        <f t="shared" si="29"/>
        <v>134902</v>
      </c>
      <c r="BW28" s="1053">
        <f t="shared" si="29"/>
        <v>164501</v>
      </c>
      <c r="BX28" s="1052">
        <f t="shared" si="29"/>
        <v>187930.88800000001</v>
      </c>
      <c r="BY28" s="1052">
        <f t="shared" si="29"/>
        <v>211876.75262000001</v>
      </c>
      <c r="BZ28" s="1052">
        <f t="shared" si="29"/>
        <v>235790.84697054373</v>
      </c>
      <c r="CA28" s="1052">
        <f t="shared" si="29"/>
        <v>248322.89351273677</v>
      </c>
      <c r="CB28" s="1052">
        <f t="shared" si="29"/>
        <v>260680.33510576782</v>
      </c>
      <c r="CC28" s="607"/>
    </row>
    <row r="29" spans="1:81" s="731" customFormat="1" x14ac:dyDescent="0.55000000000000004">
      <c r="A29" s="91" t="str">
        <f>INDEX(MO_RIS_COGS,0,COLUMN())</f>
        <v>COGS</v>
      </c>
      <c r="B29" s="92"/>
      <c r="C29" s="59">
        <f t="shared" ref="C29:AH29" si="30">INDEX(MO_RIS_COGS,0,COLUMN())</f>
        <v>413</v>
      </c>
      <c r="D29" s="59">
        <f t="shared" si="30"/>
        <v>465</v>
      </c>
      <c r="E29" s="59">
        <f t="shared" si="30"/>
        <v>507</v>
      </c>
      <c r="F29" s="59">
        <f t="shared" si="30"/>
        <v>491</v>
      </c>
      <c r="G29" s="59">
        <f t="shared" si="30"/>
        <v>462</v>
      </c>
      <c r="H29" s="59">
        <f t="shared" si="30"/>
        <v>473</v>
      </c>
      <c r="I29" s="59">
        <f t="shared" si="30"/>
        <v>565</v>
      </c>
      <c r="J29" s="59">
        <f t="shared" si="30"/>
        <v>653</v>
      </c>
      <c r="K29" s="59">
        <f t="shared" si="30"/>
        <v>654</v>
      </c>
      <c r="L29" s="59">
        <f t="shared" si="30"/>
        <v>668</v>
      </c>
      <c r="M29" s="59">
        <f t="shared" si="30"/>
        <v>720</v>
      </c>
      <c r="N29" s="59">
        <f t="shared" si="30"/>
        <v>824</v>
      </c>
      <c r="O29" s="59">
        <f t="shared" si="30"/>
        <v>838</v>
      </c>
      <c r="P29" s="59">
        <f t="shared" si="30"/>
        <v>917</v>
      </c>
      <c r="Q29" s="59">
        <f t="shared" si="30"/>
        <v>987</v>
      </c>
      <c r="R29" s="59">
        <f t="shared" si="30"/>
        <v>1047</v>
      </c>
      <c r="S29" s="59">
        <f t="shared" si="30"/>
        <v>1159</v>
      </c>
      <c r="T29" s="59">
        <f t="shared" si="30"/>
        <v>1237</v>
      </c>
      <c r="U29" s="59">
        <f t="shared" si="30"/>
        <v>1448</v>
      </c>
      <c r="V29" s="59">
        <f t="shared" si="30"/>
        <v>1611</v>
      </c>
      <c r="W29" s="59">
        <f t="shared" si="30"/>
        <v>1927</v>
      </c>
      <c r="X29" s="59">
        <f t="shared" si="30"/>
        <v>2214</v>
      </c>
      <c r="Y29" s="59">
        <f t="shared" si="30"/>
        <v>2418</v>
      </c>
      <c r="Z29" s="59">
        <f t="shared" si="30"/>
        <v>2796</v>
      </c>
      <c r="AA29" s="59">
        <f t="shared" si="30"/>
        <v>2816</v>
      </c>
      <c r="AB29" s="59">
        <f t="shared" si="30"/>
        <v>3307</v>
      </c>
      <c r="AC29" s="59">
        <f t="shared" si="30"/>
        <v>3155</v>
      </c>
      <c r="AD29" s="59">
        <f t="shared" si="30"/>
        <v>3492</v>
      </c>
      <c r="AE29" s="59">
        <f t="shared" si="30"/>
        <v>3459</v>
      </c>
      <c r="AF29" s="59">
        <f t="shared" si="30"/>
        <v>3829</v>
      </c>
      <c r="AG29" s="59">
        <f t="shared" si="30"/>
        <v>4194</v>
      </c>
      <c r="AH29" s="59">
        <f t="shared" si="30"/>
        <v>5210</v>
      </c>
      <c r="AI29" s="59">
        <f t="shared" ref="AI29:BF29" si="31">INDEX(MO_RIS_COGS,0,COLUMN())</f>
        <v>5131</v>
      </c>
      <c r="AJ29" s="59">
        <f t="shared" si="31"/>
        <v>5399</v>
      </c>
      <c r="AK29" s="59">
        <f t="shared" si="31"/>
        <v>5771</v>
      </c>
      <c r="AL29" s="59">
        <f t="shared" si="31"/>
        <v>6348</v>
      </c>
      <c r="AM29" s="59">
        <f t="shared" si="31"/>
        <v>6005</v>
      </c>
      <c r="AN29" s="59">
        <f t="shared" si="31"/>
        <v>5192</v>
      </c>
      <c r="AO29" s="59">
        <f t="shared" si="31"/>
        <v>5716</v>
      </c>
      <c r="AP29" s="59">
        <f t="shared" si="31"/>
        <v>8336</v>
      </c>
      <c r="AQ29" s="59">
        <f t="shared" si="31"/>
        <v>6108</v>
      </c>
      <c r="AR29" s="59">
        <f t="shared" si="31"/>
        <v>5945</v>
      </c>
      <c r="AS29" s="59">
        <f t="shared" si="31"/>
        <v>6210</v>
      </c>
      <c r="AT29" s="59">
        <f t="shared" si="31"/>
        <v>7695</v>
      </c>
      <c r="AU29" s="59">
        <f t="shared" si="31"/>
        <v>6640</v>
      </c>
      <c r="AV29" s="59">
        <f t="shared" si="31"/>
        <v>7308</v>
      </c>
      <c r="AW29" s="59">
        <f t="shared" si="31"/>
        <v>7375</v>
      </c>
      <c r="AX29" s="59">
        <f t="shared" si="31"/>
        <v>8839</v>
      </c>
      <c r="AY29" s="675">
        <f t="shared" si="31"/>
        <v>7572</v>
      </c>
      <c r="AZ29" s="59">
        <f t="shared" si="31"/>
        <v>10003.236207964233</v>
      </c>
      <c r="BA29" s="59">
        <f t="shared" si="31"/>
        <v>9650.2134580899365</v>
      </c>
      <c r="BB29" s="59">
        <f t="shared" si="31"/>
        <v>16395.586236903211</v>
      </c>
      <c r="BC29" s="59">
        <f t="shared" si="31"/>
        <v>3440.03043099567</v>
      </c>
      <c r="BD29" s="59">
        <f t="shared" si="31"/>
        <v>6766.0287614350236</v>
      </c>
      <c r="BE29" s="59">
        <f t="shared" si="31"/>
        <v>8664.6791284066567</v>
      </c>
      <c r="BF29" s="59">
        <f t="shared" si="31"/>
        <v>16148.76266712723</v>
      </c>
      <c r="BG29" s="59"/>
      <c r="BH29" s="1054">
        <f t="shared" ref="BH29:CB29" si="32">INDEX(MO_RIS_COGS,0,COLUMN())</f>
        <v>223</v>
      </c>
      <c r="BI29" s="1054">
        <f t="shared" si="32"/>
        <v>493</v>
      </c>
      <c r="BJ29" s="1054">
        <f t="shared" si="32"/>
        <v>860</v>
      </c>
      <c r="BK29" s="1054">
        <f t="shared" si="32"/>
        <v>1364</v>
      </c>
      <c r="BL29" s="1054">
        <f t="shared" si="32"/>
        <v>1875</v>
      </c>
      <c r="BM29" s="1054">
        <f t="shared" si="32"/>
        <v>2153</v>
      </c>
      <c r="BN29" s="1054">
        <f t="shared" si="32"/>
        <v>2867</v>
      </c>
      <c r="BO29" s="1054">
        <f t="shared" si="32"/>
        <v>3789</v>
      </c>
      <c r="BP29" s="1054">
        <f t="shared" si="32"/>
        <v>5454</v>
      </c>
      <c r="BQ29" s="1054">
        <f t="shared" si="32"/>
        <v>9355</v>
      </c>
      <c r="BR29" s="1054">
        <f t="shared" si="32"/>
        <v>12770</v>
      </c>
      <c r="BS29" s="1054">
        <f t="shared" si="32"/>
        <v>16692</v>
      </c>
      <c r="BT29" s="1054">
        <f t="shared" si="32"/>
        <v>22649</v>
      </c>
      <c r="BU29" s="1054">
        <f t="shared" si="32"/>
        <v>25249</v>
      </c>
      <c r="BV29" s="1054">
        <f t="shared" si="32"/>
        <v>25959</v>
      </c>
      <c r="BW29" s="1055">
        <f t="shared" si="32"/>
        <v>30161</v>
      </c>
      <c r="BX29" s="1054">
        <f t="shared" si="32"/>
        <v>43621.035902957381</v>
      </c>
      <c r="BY29" s="1054">
        <f t="shared" si="32"/>
        <v>35019.50098796458</v>
      </c>
      <c r="BZ29" s="1054">
        <f t="shared" si="32"/>
        <v>31793.505842330022</v>
      </c>
      <c r="CA29" s="1054">
        <f t="shared" si="32"/>
        <v>25996.211774375115</v>
      </c>
      <c r="CB29" s="1054">
        <f t="shared" si="32"/>
        <v>19485.240738566965</v>
      </c>
      <c r="CC29" s="610"/>
    </row>
    <row r="30" spans="1:81" s="731" customFormat="1" x14ac:dyDescent="0.55000000000000004">
      <c r="A30" s="91" t="str">
        <f>INDEX(MO_RIS_GA,0,COLUMN())</f>
        <v>G&amp;A</v>
      </c>
      <c r="B30" s="92"/>
      <c r="C30" s="59">
        <f t="shared" ref="C30:AH30" si="33">INDEX(MO_RIS_GA,0,COLUMN())</f>
        <v>176</v>
      </c>
      <c r="D30" s="59">
        <f t="shared" si="33"/>
        <v>173</v>
      </c>
      <c r="E30" s="59">
        <f t="shared" si="33"/>
        <v>171</v>
      </c>
      <c r="F30" s="59">
        <f t="shared" si="33"/>
        <v>261</v>
      </c>
      <c r="G30" s="59">
        <f t="shared" si="33"/>
        <v>187</v>
      </c>
      <c r="H30" s="59">
        <f t="shared" si="33"/>
        <v>197</v>
      </c>
      <c r="I30" s="59">
        <f t="shared" si="33"/>
        <v>259</v>
      </c>
      <c r="J30" s="59">
        <f t="shared" si="33"/>
        <v>330</v>
      </c>
      <c r="K30" s="59">
        <f t="shared" si="33"/>
        <v>274</v>
      </c>
      <c r="L30" s="59">
        <f t="shared" si="33"/>
        <v>305</v>
      </c>
      <c r="M30" s="59">
        <f t="shared" si="33"/>
        <v>345</v>
      </c>
      <c r="N30" s="59">
        <f t="shared" si="33"/>
        <v>371</v>
      </c>
      <c r="O30" s="59">
        <f t="shared" si="33"/>
        <v>365</v>
      </c>
      <c r="P30" s="59">
        <f t="shared" si="33"/>
        <v>413</v>
      </c>
      <c r="Q30" s="59">
        <f t="shared" si="33"/>
        <v>439</v>
      </c>
      <c r="R30" s="59">
        <f t="shared" si="33"/>
        <v>515</v>
      </c>
      <c r="S30" s="59">
        <f t="shared" si="33"/>
        <v>655</v>
      </c>
      <c r="T30" s="59">
        <f t="shared" si="33"/>
        <v>640</v>
      </c>
      <c r="U30" s="59">
        <f t="shared" si="33"/>
        <v>536</v>
      </c>
      <c r="V30" s="59">
        <f t="shared" si="33"/>
        <v>686</v>
      </c>
      <c r="W30" s="59">
        <f t="shared" si="33"/>
        <v>757</v>
      </c>
      <c r="X30" s="59">
        <f t="shared" si="33"/>
        <v>776</v>
      </c>
      <c r="Y30" s="59">
        <f t="shared" si="33"/>
        <v>943</v>
      </c>
      <c r="Z30" s="59">
        <f t="shared" si="33"/>
        <v>975</v>
      </c>
      <c r="AA30" s="59">
        <f t="shared" si="33"/>
        <v>4064</v>
      </c>
      <c r="AB30" s="59">
        <f t="shared" si="33"/>
        <v>3224</v>
      </c>
      <c r="AC30" s="59">
        <f t="shared" si="33"/>
        <v>1348</v>
      </c>
      <c r="AD30" s="59">
        <f t="shared" si="33"/>
        <v>1829</v>
      </c>
      <c r="AE30" s="59">
        <f t="shared" si="33"/>
        <v>1583</v>
      </c>
      <c r="AF30" s="59">
        <f t="shared" si="33"/>
        <v>1593</v>
      </c>
      <c r="AG30" s="59">
        <f t="shared" si="33"/>
        <v>1790</v>
      </c>
      <c r="AH30" s="59">
        <f t="shared" si="33"/>
        <v>1599</v>
      </c>
      <c r="AI30" s="59">
        <f t="shared" ref="AI30:BF30" si="34">INDEX(MO_RIS_GA,0,COLUMN())</f>
        <v>1622</v>
      </c>
      <c r="AJ30" s="59">
        <f t="shared" si="34"/>
        <v>1956</v>
      </c>
      <c r="AK30" s="59">
        <f t="shared" si="34"/>
        <v>2946</v>
      </c>
      <c r="AL30" s="59">
        <f t="shared" si="34"/>
        <v>3305</v>
      </c>
      <c r="AM30" s="59">
        <f t="shared" si="34"/>
        <v>2360</v>
      </c>
      <c r="AN30" s="59">
        <f t="shared" si="34"/>
        <v>2987</v>
      </c>
      <c r="AO30" s="59">
        <f t="shared" si="34"/>
        <v>3384</v>
      </c>
      <c r="AP30" s="59">
        <f t="shared" si="34"/>
        <v>3085</v>
      </c>
      <c r="AQ30" s="59">
        <f t="shared" si="34"/>
        <v>2885</v>
      </c>
      <c r="AR30" s="59">
        <f t="shared" si="34"/>
        <v>4164</v>
      </c>
      <c r="AS30" s="59">
        <f t="shared" si="34"/>
        <v>2070</v>
      </c>
      <c r="AT30" s="59">
        <f t="shared" si="34"/>
        <v>2289</v>
      </c>
      <c r="AU30" s="59">
        <f t="shared" si="34"/>
        <v>3455</v>
      </c>
      <c r="AV30" s="59">
        <f t="shared" si="34"/>
        <v>3658</v>
      </c>
      <c r="AW30" s="59">
        <f t="shared" si="34"/>
        <v>1865</v>
      </c>
      <c r="AX30" s="59">
        <f t="shared" si="34"/>
        <v>761</v>
      </c>
      <c r="AY30" s="675">
        <f t="shared" si="34"/>
        <v>2280</v>
      </c>
      <c r="AZ30" s="59">
        <f t="shared" si="34"/>
        <v>3635.7789483952292</v>
      </c>
      <c r="BA30" s="59">
        <f t="shared" si="34"/>
        <v>2061.0986725367216</v>
      </c>
      <c r="BB30" s="59">
        <f t="shared" si="34"/>
        <v>828.96116275188581</v>
      </c>
      <c r="BC30" s="59">
        <f t="shared" si="34"/>
        <v>2437.2449664167889</v>
      </c>
      <c r="BD30" s="59">
        <f t="shared" si="34"/>
        <v>3547.4164424475962</v>
      </c>
      <c r="BE30" s="59">
        <f t="shared" si="34"/>
        <v>2253.4602933092483</v>
      </c>
      <c r="BF30" s="59">
        <f t="shared" si="34"/>
        <v>885.7302019352154</v>
      </c>
      <c r="BG30" s="59"/>
      <c r="BH30" s="1054">
        <f t="shared" ref="BH30:CB30" si="35">INDEX(MO_RIS_GA,0,COLUMN())</f>
        <v>90</v>
      </c>
      <c r="BI30" s="1054">
        <f t="shared" si="35"/>
        <v>138</v>
      </c>
      <c r="BJ30" s="1054">
        <f t="shared" si="35"/>
        <v>314</v>
      </c>
      <c r="BK30" s="1054">
        <f t="shared" si="35"/>
        <v>892</v>
      </c>
      <c r="BL30" s="1054">
        <f t="shared" si="35"/>
        <v>781</v>
      </c>
      <c r="BM30" s="1054">
        <f t="shared" si="35"/>
        <v>973</v>
      </c>
      <c r="BN30" s="1054">
        <f t="shared" si="35"/>
        <v>1295</v>
      </c>
      <c r="BO30" s="1054">
        <f t="shared" si="35"/>
        <v>1731</v>
      </c>
      <c r="BP30" s="1054">
        <f t="shared" si="35"/>
        <v>2517</v>
      </c>
      <c r="BQ30" s="1054">
        <f t="shared" si="35"/>
        <v>3451</v>
      </c>
      <c r="BR30" s="1054">
        <f t="shared" si="35"/>
        <v>10465</v>
      </c>
      <c r="BS30" s="1054">
        <f t="shared" si="35"/>
        <v>6564</v>
      </c>
      <c r="BT30" s="1054">
        <f t="shared" si="35"/>
        <v>9829</v>
      </c>
      <c r="BU30" s="1054">
        <f t="shared" si="35"/>
        <v>11816</v>
      </c>
      <c r="BV30" s="1054">
        <f t="shared" si="35"/>
        <v>11408</v>
      </c>
      <c r="BW30" s="1055">
        <f t="shared" si="35"/>
        <v>9740</v>
      </c>
      <c r="BX30" s="1054">
        <f t="shared" si="35"/>
        <v>8805.8387836838374</v>
      </c>
      <c r="BY30" s="1054">
        <f t="shared" si="35"/>
        <v>9123.8519041088493</v>
      </c>
      <c r="BZ30" s="1054">
        <f t="shared" si="35"/>
        <v>9564.1652312555525</v>
      </c>
      <c r="CA30" s="1054">
        <f t="shared" si="35"/>
        <v>9451.6837673467562</v>
      </c>
      <c r="CB30" s="1054">
        <f t="shared" si="35"/>
        <v>9270.3327570129532</v>
      </c>
      <c r="CC30" s="610"/>
    </row>
    <row r="31" spans="1:81" s="731" customFormat="1" x14ac:dyDescent="0.55000000000000004">
      <c r="A31" s="91" t="str">
        <f>INDEX(MO_RIS_SM,0,COLUMN())</f>
        <v>S&amp;M</v>
      </c>
      <c r="B31" s="92"/>
      <c r="C31" s="59">
        <f t="shared" ref="C31:AH31" si="36">INDEX(MO_RIS_SM,0,COLUMN())</f>
        <v>203</v>
      </c>
      <c r="D31" s="59">
        <f t="shared" si="36"/>
        <v>269</v>
      </c>
      <c r="E31" s="59">
        <f t="shared" si="36"/>
        <v>233</v>
      </c>
      <c r="F31" s="59">
        <f t="shared" si="36"/>
        <v>292</v>
      </c>
      <c r="G31" s="59">
        <f t="shared" si="36"/>
        <v>323</v>
      </c>
      <c r="H31" s="59">
        <f t="shared" si="36"/>
        <v>358</v>
      </c>
      <c r="I31" s="59">
        <f t="shared" si="36"/>
        <v>374</v>
      </c>
      <c r="J31" s="59">
        <f t="shared" si="36"/>
        <v>624</v>
      </c>
      <c r="K31" s="59">
        <f t="shared" si="36"/>
        <v>620</v>
      </c>
      <c r="L31" s="59">
        <f t="shared" si="36"/>
        <v>626</v>
      </c>
      <c r="M31" s="59">
        <f t="shared" si="36"/>
        <v>706</v>
      </c>
      <c r="N31" s="59">
        <f t="shared" si="36"/>
        <v>772</v>
      </c>
      <c r="O31" s="59">
        <f t="shared" si="36"/>
        <v>826</v>
      </c>
      <c r="P31" s="59">
        <f t="shared" si="36"/>
        <v>901</v>
      </c>
      <c r="Q31" s="59">
        <f t="shared" si="36"/>
        <v>926</v>
      </c>
      <c r="R31" s="59">
        <f t="shared" si="36"/>
        <v>1118</v>
      </c>
      <c r="S31" s="59">
        <f t="shared" si="36"/>
        <v>1057</v>
      </c>
      <c r="T31" s="59">
        <f t="shared" si="36"/>
        <v>1124</v>
      </c>
      <c r="U31" s="59">
        <f t="shared" si="36"/>
        <v>1170</v>
      </c>
      <c r="V31" s="59">
        <f t="shared" si="36"/>
        <v>1374</v>
      </c>
      <c r="W31" s="59">
        <f t="shared" si="36"/>
        <v>1595</v>
      </c>
      <c r="X31" s="59">
        <f t="shared" si="36"/>
        <v>1855</v>
      </c>
      <c r="Y31" s="59">
        <f t="shared" si="36"/>
        <v>1928</v>
      </c>
      <c r="Z31" s="59">
        <f t="shared" si="36"/>
        <v>2468</v>
      </c>
      <c r="AA31" s="59">
        <f t="shared" si="36"/>
        <v>2020</v>
      </c>
      <c r="AB31" s="59">
        <f t="shared" si="36"/>
        <v>2414</v>
      </c>
      <c r="AC31" s="59">
        <f t="shared" si="36"/>
        <v>2416</v>
      </c>
      <c r="AD31" s="59">
        <f t="shared" si="36"/>
        <v>3026</v>
      </c>
      <c r="AE31" s="59">
        <f t="shared" si="36"/>
        <v>2787</v>
      </c>
      <c r="AF31" s="59">
        <f t="shared" si="36"/>
        <v>2840</v>
      </c>
      <c r="AG31" s="59">
        <f t="shared" si="36"/>
        <v>2683</v>
      </c>
      <c r="AH31" s="59">
        <f t="shared" si="36"/>
        <v>3280</v>
      </c>
      <c r="AI31" s="59">
        <f t="shared" ref="AI31:BF31" si="37">INDEX(MO_RIS_SM,0,COLUMN())</f>
        <v>2843</v>
      </c>
      <c r="AJ31" s="59">
        <f t="shared" si="37"/>
        <v>3259</v>
      </c>
      <c r="AK31" s="59">
        <f t="shared" si="37"/>
        <v>3554</v>
      </c>
      <c r="AL31" s="59">
        <f t="shared" si="37"/>
        <v>4387</v>
      </c>
      <c r="AM31" s="59">
        <f t="shared" si="37"/>
        <v>3312</v>
      </c>
      <c r="AN31" s="59">
        <f t="shared" si="37"/>
        <v>3595</v>
      </c>
      <c r="AO31" s="59">
        <f t="shared" si="37"/>
        <v>3780</v>
      </c>
      <c r="AP31" s="59">
        <f t="shared" si="37"/>
        <v>4574</v>
      </c>
      <c r="AQ31" s="59">
        <f t="shared" si="37"/>
        <v>3044</v>
      </c>
      <c r="AR31" s="59">
        <f t="shared" si="37"/>
        <v>3154</v>
      </c>
      <c r="AS31" s="59">
        <f t="shared" si="37"/>
        <v>2877</v>
      </c>
      <c r="AT31" s="59">
        <f t="shared" si="37"/>
        <v>3226</v>
      </c>
      <c r="AU31" s="59">
        <f t="shared" si="37"/>
        <v>2564</v>
      </c>
      <c r="AV31" s="59">
        <f t="shared" si="37"/>
        <v>2721</v>
      </c>
      <c r="AW31" s="59">
        <f t="shared" si="37"/>
        <v>2822</v>
      </c>
      <c r="AX31" s="59">
        <f t="shared" si="37"/>
        <v>3240</v>
      </c>
      <c r="AY31" s="675">
        <f t="shared" si="37"/>
        <v>2757</v>
      </c>
      <c r="AZ31" s="59">
        <f t="shared" si="37"/>
        <v>2984.4002213732692</v>
      </c>
      <c r="BA31" s="59">
        <f t="shared" si="37"/>
        <v>3142.2538670721869</v>
      </c>
      <c r="BB31" s="59">
        <f t="shared" si="37"/>
        <v>3712.6988366177534</v>
      </c>
      <c r="BC31" s="59">
        <f t="shared" si="37"/>
        <v>3073.0035089171433</v>
      </c>
      <c r="BD31" s="59">
        <f t="shared" si="37"/>
        <v>3259.1890106495102</v>
      </c>
      <c r="BE31" s="59">
        <f t="shared" si="37"/>
        <v>3462.415839712954</v>
      </c>
      <c r="BF31" s="59">
        <f t="shared" si="37"/>
        <v>4191.4001816070149</v>
      </c>
      <c r="BG31" s="59"/>
      <c r="BH31" s="1054">
        <f t="shared" ref="BH31:CB31" si="38">INDEX(MO_RIS_SM,0,COLUMN())</f>
        <v>87</v>
      </c>
      <c r="BI31" s="1054">
        <f t="shared" si="38"/>
        <v>167</v>
      </c>
      <c r="BJ31" s="1054">
        <f t="shared" si="38"/>
        <v>393</v>
      </c>
      <c r="BK31" s="1054">
        <f t="shared" si="38"/>
        <v>896</v>
      </c>
      <c r="BL31" s="1054">
        <f t="shared" si="38"/>
        <v>997</v>
      </c>
      <c r="BM31" s="1054">
        <f t="shared" si="38"/>
        <v>1680</v>
      </c>
      <c r="BN31" s="1054">
        <f t="shared" si="38"/>
        <v>2725</v>
      </c>
      <c r="BO31" s="1054">
        <f t="shared" si="38"/>
        <v>3772</v>
      </c>
      <c r="BP31" s="1054">
        <f t="shared" si="38"/>
        <v>4725</v>
      </c>
      <c r="BQ31" s="1054">
        <f t="shared" si="38"/>
        <v>7846</v>
      </c>
      <c r="BR31" s="1054">
        <f t="shared" si="38"/>
        <v>9876</v>
      </c>
      <c r="BS31" s="1054">
        <f t="shared" si="38"/>
        <v>11591</v>
      </c>
      <c r="BT31" s="1054">
        <f t="shared" si="38"/>
        <v>14043</v>
      </c>
      <c r="BU31" s="1054">
        <f t="shared" si="38"/>
        <v>15262</v>
      </c>
      <c r="BV31" s="1054">
        <f t="shared" si="38"/>
        <v>12301</v>
      </c>
      <c r="BW31" s="1055">
        <f t="shared" si="38"/>
        <v>11347</v>
      </c>
      <c r="BX31" s="1054">
        <f t="shared" si="38"/>
        <v>12596.352925063209</v>
      </c>
      <c r="BY31" s="1054">
        <f t="shared" si="38"/>
        <v>13986.008540886622</v>
      </c>
      <c r="BZ31" s="1054">
        <f t="shared" si="38"/>
        <v>14975.103511706917</v>
      </c>
      <c r="CA31" s="1054">
        <f t="shared" si="38"/>
        <v>15150.207979308097</v>
      </c>
      <c r="CB31" s="1054">
        <f t="shared" si="38"/>
        <v>15252.436058761976</v>
      </c>
      <c r="CC31" s="610"/>
    </row>
    <row r="32" spans="1:81" s="731" customFormat="1" x14ac:dyDescent="0.55000000000000004">
      <c r="A32" s="183" t="str">
        <f>INDEX(MO_RIS_RD,0,COLUMN())</f>
        <v>R&amp;D</v>
      </c>
      <c r="B32" s="184"/>
      <c r="C32" s="168">
        <f t="shared" ref="C32:AH32" si="39">INDEX(MO_RIS_RD,0,COLUMN())</f>
        <v>293</v>
      </c>
      <c r="D32" s="168">
        <f t="shared" si="39"/>
        <v>344</v>
      </c>
      <c r="E32" s="168">
        <f t="shared" si="39"/>
        <v>369</v>
      </c>
      <c r="F32" s="168">
        <f t="shared" si="39"/>
        <v>408</v>
      </c>
      <c r="G32" s="168">
        <f t="shared" si="39"/>
        <v>455</v>
      </c>
      <c r="H32" s="168">
        <f t="shared" si="39"/>
        <v>492</v>
      </c>
      <c r="I32" s="168">
        <f t="shared" si="39"/>
        <v>608</v>
      </c>
      <c r="J32" s="168">
        <f t="shared" si="39"/>
        <v>1111</v>
      </c>
      <c r="K32" s="168">
        <f t="shared" si="39"/>
        <v>1062</v>
      </c>
      <c r="L32" s="168">
        <f t="shared" si="39"/>
        <v>1170</v>
      </c>
      <c r="M32" s="168">
        <f t="shared" si="39"/>
        <v>1271</v>
      </c>
      <c r="N32" s="168">
        <f t="shared" si="39"/>
        <v>1314</v>
      </c>
      <c r="O32" s="168">
        <f t="shared" si="39"/>
        <v>1343</v>
      </c>
      <c r="P32" s="168">
        <f t="shared" si="39"/>
        <v>1471</v>
      </c>
      <c r="Q32" s="168">
        <f t="shared" si="39"/>
        <v>1542</v>
      </c>
      <c r="R32" s="168">
        <f t="shared" si="39"/>
        <v>1563</v>
      </c>
      <c r="S32" s="168">
        <f t="shared" si="39"/>
        <v>1834</v>
      </c>
      <c r="T32" s="168">
        <f t="shared" si="39"/>
        <v>1919</v>
      </c>
      <c r="U32" s="168">
        <f t="shared" si="39"/>
        <v>2052</v>
      </c>
      <c r="V32" s="168">
        <f t="shared" si="39"/>
        <v>1949</v>
      </c>
      <c r="W32" s="168">
        <f t="shared" si="39"/>
        <v>2238</v>
      </c>
      <c r="X32" s="168">
        <f t="shared" si="39"/>
        <v>2523</v>
      </c>
      <c r="Y32" s="168">
        <f t="shared" si="39"/>
        <v>2657</v>
      </c>
      <c r="Z32" s="168">
        <f t="shared" si="39"/>
        <v>2855</v>
      </c>
      <c r="AA32" s="168">
        <f t="shared" si="39"/>
        <v>2860</v>
      </c>
      <c r="AB32" s="168">
        <f t="shared" si="39"/>
        <v>3315</v>
      </c>
      <c r="AC32" s="168">
        <f t="shared" si="39"/>
        <v>3548</v>
      </c>
      <c r="AD32" s="168">
        <f t="shared" si="39"/>
        <v>3877</v>
      </c>
      <c r="AE32" s="168">
        <f t="shared" si="39"/>
        <v>4015</v>
      </c>
      <c r="AF32" s="168">
        <f t="shared" si="39"/>
        <v>4462</v>
      </c>
      <c r="AG32" s="168">
        <f t="shared" si="39"/>
        <v>4763</v>
      </c>
      <c r="AH32" s="168">
        <f t="shared" si="39"/>
        <v>5208</v>
      </c>
      <c r="AI32" s="168">
        <f t="shared" ref="AI32:BF32" si="40">INDEX(MO_RIS_RD,0,COLUMN())</f>
        <v>5197</v>
      </c>
      <c r="AJ32" s="168">
        <f t="shared" si="40"/>
        <v>6096</v>
      </c>
      <c r="AK32" s="168">
        <f t="shared" si="40"/>
        <v>6316</v>
      </c>
      <c r="AL32" s="168">
        <f t="shared" si="40"/>
        <v>7046</v>
      </c>
      <c r="AM32" s="168">
        <f t="shared" si="40"/>
        <v>7707</v>
      </c>
      <c r="AN32" s="168">
        <f t="shared" si="40"/>
        <v>8690</v>
      </c>
      <c r="AO32" s="168">
        <f t="shared" si="40"/>
        <v>9170</v>
      </c>
      <c r="AP32" s="168">
        <f t="shared" si="40"/>
        <v>9771</v>
      </c>
      <c r="AQ32" s="168">
        <f t="shared" si="40"/>
        <v>9381</v>
      </c>
      <c r="AR32" s="168">
        <f t="shared" si="40"/>
        <v>9344</v>
      </c>
      <c r="AS32" s="168">
        <f t="shared" si="40"/>
        <v>9241</v>
      </c>
      <c r="AT32" s="168">
        <f t="shared" si="40"/>
        <v>10517</v>
      </c>
      <c r="AU32" s="168">
        <f t="shared" si="40"/>
        <v>9978</v>
      </c>
      <c r="AV32" s="168">
        <f t="shared" si="40"/>
        <v>10537</v>
      </c>
      <c r="AW32" s="168">
        <f t="shared" si="40"/>
        <v>11177</v>
      </c>
      <c r="AX32" s="168">
        <f t="shared" si="40"/>
        <v>12180</v>
      </c>
      <c r="AY32" s="686">
        <f t="shared" si="40"/>
        <v>12150</v>
      </c>
      <c r="AZ32" s="168">
        <f t="shared" si="40"/>
        <v>11681.898227567122</v>
      </c>
      <c r="BA32" s="168">
        <f t="shared" si="40"/>
        <v>12581.179311527581</v>
      </c>
      <c r="BB32" s="168">
        <f t="shared" si="40"/>
        <v>14112.301420063035</v>
      </c>
      <c r="BC32" s="168">
        <f t="shared" si="40"/>
        <v>13705.806698405255</v>
      </c>
      <c r="BD32" s="168">
        <f t="shared" si="40"/>
        <v>12897.929081904407</v>
      </c>
      <c r="BE32" s="168">
        <f t="shared" si="40"/>
        <v>14017.090437626182</v>
      </c>
      <c r="BF32" s="168">
        <f t="shared" si="40"/>
        <v>16112.614226893778</v>
      </c>
      <c r="BG32" s="168"/>
      <c r="BH32" s="1056">
        <f t="shared" ref="BH32:CB32" si="41">INDEX(MO_RIS_RD,0,COLUMN())</f>
        <v>115</v>
      </c>
      <c r="BI32" s="1056">
        <f t="shared" si="41"/>
        <v>144</v>
      </c>
      <c r="BJ32" s="1056">
        <f t="shared" si="41"/>
        <v>388</v>
      </c>
      <c r="BK32" s="1056">
        <f t="shared" si="41"/>
        <v>1399</v>
      </c>
      <c r="BL32" s="1056">
        <f t="shared" si="41"/>
        <v>1415</v>
      </c>
      <c r="BM32" s="1056">
        <f t="shared" si="41"/>
        <v>2666</v>
      </c>
      <c r="BN32" s="1056">
        <f t="shared" si="41"/>
        <v>4816</v>
      </c>
      <c r="BO32" s="1056">
        <f t="shared" si="41"/>
        <v>5919</v>
      </c>
      <c r="BP32" s="1056">
        <f t="shared" si="41"/>
        <v>7754</v>
      </c>
      <c r="BQ32" s="1056">
        <f t="shared" si="41"/>
        <v>10273</v>
      </c>
      <c r="BR32" s="1056">
        <f t="shared" si="41"/>
        <v>13600</v>
      </c>
      <c r="BS32" s="1056">
        <f t="shared" si="41"/>
        <v>18447</v>
      </c>
      <c r="BT32" s="1056">
        <f t="shared" si="41"/>
        <v>24655</v>
      </c>
      <c r="BU32" s="1056">
        <f t="shared" si="41"/>
        <v>35338</v>
      </c>
      <c r="BV32" s="1056">
        <f t="shared" si="41"/>
        <v>38483</v>
      </c>
      <c r="BW32" s="1057">
        <f t="shared" si="41"/>
        <v>43873</v>
      </c>
      <c r="BX32" s="1056">
        <f t="shared" si="41"/>
        <v>50525.378959157737</v>
      </c>
      <c r="BY32" s="1056">
        <f t="shared" si="41"/>
        <v>56733.440444829619</v>
      </c>
      <c r="BZ32" s="1056">
        <f t="shared" si="41"/>
        <v>62547.350347695639</v>
      </c>
      <c r="CA32" s="1056">
        <f t="shared" si="41"/>
        <v>65250.871923615639</v>
      </c>
      <c r="CB32" s="1056">
        <f t="shared" si="41"/>
        <v>67846.289494001816</v>
      </c>
      <c r="CC32" s="610"/>
    </row>
    <row r="33" spans="1:81" s="728" customFormat="1" x14ac:dyDescent="0.55000000000000004">
      <c r="A33" s="93" t="str">
        <f>INDEX(MO_RIS_EBIT,0,COLUMN())</f>
        <v>EBIT</v>
      </c>
      <c r="B33" s="94"/>
      <c r="C33" s="60">
        <f>IFERROR(INDEX(SP_GF_Rev,0,COLUMN()),0)-IFERROR(INDEX(SP_GF_COGS,0,COLUMN()),0)-IFERROR(INDEX(SP_GF_SM,0,COLUMN()),0)-IFERROR(INDEX(SP_GF_DA_Operating,0,COLUMN()),0)-IFERROR(INDEX(SP_GF_GA,0,COLUMN()),0)-IFERROR(INDEX(SP_GF_RD,0,COLUMN()),0)</f>
        <v>373</v>
      </c>
      <c r="D33" s="60">
        <f>IFERROR(INDEX(SP_GF_Rev,0,COLUMN()),0)-IFERROR(INDEX(SP_GF_COGS,0,COLUMN()),0)-IFERROR(INDEX(SP_GF_SM,0,COLUMN()),0)-IFERROR(INDEX(SP_GF_DA_Operating,0,COLUMN()),0)-IFERROR(INDEX(SP_GF_GA,0,COLUMN()),0)-IFERROR(INDEX(SP_GF_RD,0,COLUMN()),0)</f>
        <v>562</v>
      </c>
      <c r="E33" s="60">
        <f>IFERROR(INDEX(SP_GF_Rev,0,COLUMN()),0)-IFERROR(INDEX(SP_GF_COGS,0,COLUMN()),0)-IFERROR(INDEX(SP_GF_SM,0,COLUMN()),0)-IFERROR(INDEX(SP_GF_DA_Operating,0,COLUMN()),0)-IFERROR(INDEX(SP_GF_GA,0,COLUMN()),0)-IFERROR(INDEX(SP_GF_RD,0,COLUMN()),0)</f>
        <v>736</v>
      </c>
      <c r="F33" s="60">
        <f>IFERROR(INDEX(SP_GF_Rev,0,COLUMN()),0)-IFERROR(INDEX(SP_GF_COGS,0,COLUMN()),0)-IFERROR(INDEX(SP_GF_SM,0,COLUMN()),0)-IFERROR(INDEX(SP_GF_DA_Operating,0,COLUMN()),0)-IFERROR(INDEX(SP_GF_GA,0,COLUMN()),0)-IFERROR(INDEX(SP_GF_RD,0,COLUMN()),0)</f>
        <v>1133</v>
      </c>
      <c r="G33" s="60">
        <f>IFERROR(INDEX(SP_GF_Rev,0,COLUMN()),0)-IFERROR(INDEX(SP_GF_COGS,0,COLUMN()),0)-IFERROR(INDEX(SP_GF_SM,0,COLUMN()),0)-IFERROR(INDEX(SP_GF_DA_Operating,0,COLUMN()),0)-IFERROR(INDEX(SP_GF_GA,0,COLUMN()),0)-IFERROR(INDEX(SP_GF_RD,0,COLUMN()),0)</f>
        <v>1075</v>
      </c>
      <c r="H33" s="60">
        <f>IFERROR(INDEX(SP_GF_Rev,0,COLUMN()),0)-IFERROR(INDEX(SP_GF_COGS,0,COLUMN()),0)-IFERROR(INDEX(SP_GF_SM,0,COLUMN()),0)-IFERROR(INDEX(SP_GF_DA_Operating,0,COLUMN()),0)-IFERROR(INDEX(SP_GF_GA,0,COLUMN()),0)-IFERROR(INDEX(SP_GF_RD,0,COLUMN()),0)</f>
        <v>1390</v>
      </c>
      <c r="I33" s="60">
        <f>IFERROR(INDEX(SP_GF_Rev,0,COLUMN()),0)-IFERROR(INDEX(SP_GF_COGS,0,COLUMN()),0)-IFERROR(INDEX(SP_GF_SM,0,COLUMN()),0)-IFERROR(INDEX(SP_GF_DA_Operating,0,COLUMN()),0)-IFERROR(INDEX(SP_GF_GA,0,COLUMN()),0)-IFERROR(INDEX(SP_GF_RD,0,COLUMN()),0)</f>
        <v>1397</v>
      </c>
      <c r="J33" s="60">
        <f>IFERROR(INDEX(SP_GF_Rev,0,COLUMN()),0)-IFERROR(INDEX(SP_GF_COGS,0,COLUMN()),0)-IFERROR(INDEX(SP_GF_SM,0,COLUMN()),0)-IFERROR(INDEX(SP_GF_DA_Operating,0,COLUMN()),0)-IFERROR(INDEX(SP_GF_GA,0,COLUMN()),0)-IFERROR(INDEX(SP_GF_RD,0,COLUMN()),0)</f>
        <v>1133</v>
      </c>
      <c r="K33" s="60">
        <f>IFERROR(INDEX(SP_GF_Rev,0,COLUMN()),0)-IFERROR(INDEX(SP_GF_COGS,0,COLUMN()),0)-IFERROR(INDEX(SP_GF_SM,0,COLUMN()),0)-IFERROR(INDEX(SP_GF_DA_Operating,0,COLUMN()),0)-IFERROR(INDEX(SP_GF_GA,0,COLUMN()),0)-IFERROR(INDEX(SP_GF_RD,0,COLUMN()),0)</f>
        <v>933</v>
      </c>
      <c r="L33" s="60">
        <f>IFERROR(INDEX(SP_GF_Rev,0,COLUMN()),0)-IFERROR(INDEX(SP_GF_COGS,0,COLUMN()),0)-IFERROR(INDEX(SP_GF_SM,0,COLUMN()),0)-IFERROR(INDEX(SP_GF_DA_Operating,0,COLUMN()),0)-IFERROR(INDEX(SP_GF_GA,0,COLUMN()),0)-IFERROR(INDEX(SP_GF_RD,0,COLUMN()),0)</f>
        <v>1273</v>
      </c>
      <c r="M33" s="60">
        <f>IFERROR(INDEX(SP_GF_Rev,0,COLUMN()),0)-IFERROR(INDEX(SP_GF_COGS,0,COLUMN()),0)-IFERROR(INDEX(SP_GF_SM,0,COLUMN()),0)-IFERROR(INDEX(SP_GF_DA_Operating,0,COLUMN()),0)-IFERROR(INDEX(SP_GF_GA,0,COLUMN()),0)-IFERROR(INDEX(SP_GF_RD,0,COLUMN()),0)</f>
        <v>1459</v>
      </c>
      <c r="N33" s="60">
        <f>IFERROR(INDEX(SP_GF_Rev,0,COLUMN()),0)-IFERROR(INDEX(SP_GF_COGS,0,COLUMN()),0)-IFERROR(INDEX(SP_GF_SM,0,COLUMN()),0)-IFERROR(INDEX(SP_GF_DA_Operating,0,COLUMN()),0)-IFERROR(INDEX(SP_GF_GA,0,COLUMN()),0)-IFERROR(INDEX(SP_GF_RD,0,COLUMN()),0)</f>
        <v>2560</v>
      </c>
      <c r="O33" s="60">
        <f>IFERROR(INDEX(SP_GF_Rev,0,COLUMN()),0)-IFERROR(INDEX(SP_GF_COGS,0,COLUMN()),0)-IFERROR(INDEX(SP_GF_SM,0,COLUMN()),0)-IFERROR(INDEX(SP_GF_DA_Operating,0,COLUMN()),0)-IFERROR(INDEX(SP_GF_GA,0,COLUMN()),0)-IFERROR(INDEX(SP_GF_RD,0,COLUMN()),0)</f>
        <v>2010</v>
      </c>
      <c r="P33" s="60">
        <f>IFERROR(INDEX(SP_GF_Rev,0,COLUMN()),0)-IFERROR(INDEX(SP_GF_COGS,0,COLUMN()),0)-IFERROR(INDEX(SP_GF_SM,0,COLUMN()),0)-IFERROR(INDEX(SP_GF_DA_Operating,0,COLUMN()),0)-IFERROR(INDEX(SP_GF_GA,0,COLUMN()),0)-IFERROR(INDEX(SP_GF_RD,0,COLUMN()),0)</f>
        <v>2734</v>
      </c>
      <c r="Q33" s="60">
        <f>IFERROR(INDEX(SP_GF_Rev,0,COLUMN()),0)-IFERROR(INDEX(SP_GF_COGS,0,COLUMN()),0)-IFERROR(INDEX(SP_GF_SM,0,COLUMN()),0)-IFERROR(INDEX(SP_GF_DA_Operating,0,COLUMN()),0)-IFERROR(INDEX(SP_GF_GA,0,COLUMN()),0)-IFERROR(INDEX(SP_GF_RD,0,COLUMN()),0)</f>
        <v>3117</v>
      </c>
      <c r="R33" s="60">
        <f>IFERROR(INDEX(SP_GF_Rev,0,COLUMN()),0)-IFERROR(INDEX(SP_GF_COGS,0,COLUMN()),0)-IFERROR(INDEX(SP_GF_SM,0,COLUMN()),0)-IFERROR(INDEX(SP_GF_DA_Operating,0,COLUMN()),0)-IFERROR(INDEX(SP_GF_GA,0,COLUMN()),0)-IFERROR(INDEX(SP_GF_RD,0,COLUMN()),0)</f>
        <v>4566</v>
      </c>
      <c r="S33" s="60">
        <f>IFERROR(INDEX(SP_GF_Rev,0,COLUMN()),0)-IFERROR(INDEX(SP_GF_COGS,0,COLUMN()),0)-IFERROR(INDEX(SP_GF_SM,0,COLUMN()),0)-IFERROR(INDEX(SP_GF_DA_Operating,0,COLUMN()),0)-IFERROR(INDEX(SP_GF_GA,0,COLUMN()),0)-IFERROR(INDEX(SP_GF_RD,0,COLUMN()),0)</f>
        <v>3327</v>
      </c>
      <c r="T33" s="60">
        <f>IFERROR(INDEX(SP_GF_Rev,0,COLUMN()),0)-IFERROR(INDEX(SP_GF_COGS,0,COLUMN()),0)-IFERROR(INDEX(SP_GF_SM,0,COLUMN()),0)-IFERROR(INDEX(SP_GF_DA_Operating,0,COLUMN()),0)-IFERROR(INDEX(SP_GF_GA,0,COLUMN()),0)-IFERROR(INDEX(SP_GF_RD,0,COLUMN()),0)</f>
        <v>4401</v>
      </c>
      <c r="U33" s="60">
        <f>IFERROR(INDEX(SP_GF_Rev,0,COLUMN()),0)-IFERROR(INDEX(SP_GF_COGS,0,COLUMN()),0)-IFERROR(INDEX(SP_GF_SM,0,COLUMN()),0)-IFERROR(INDEX(SP_GF_DA_Operating,0,COLUMN()),0)-IFERROR(INDEX(SP_GF_GA,0,COLUMN()),0)-IFERROR(INDEX(SP_GF_RD,0,COLUMN()),0)</f>
        <v>5122</v>
      </c>
      <c r="V33" s="60">
        <f>IFERROR(INDEX(SP_GF_Rev,0,COLUMN()),0)-IFERROR(INDEX(SP_GF_COGS,0,COLUMN()),0)-IFERROR(INDEX(SP_GF_SM,0,COLUMN()),0)-IFERROR(INDEX(SP_GF_DA_Operating,0,COLUMN()),0)-IFERROR(INDEX(SP_GF_GA,0,COLUMN()),0)-IFERROR(INDEX(SP_GF_RD,0,COLUMN()),0)</f>
        <v>7352</v>
      </c>
      <c r="W33" s="60">
        <f>IFERROR(INDEX(SP_GF_Rev,0,COLUMN()),0)-IFERROR(INDEX(SP_GF_COGS,0,COLUMN()),0)-IFERROR(INDEX(SP_GF_SM,0,COLUMN()),0)-IFERROR(INDEX(SP_GF_DA_Operating,0,COLUMN()),0)-IFERROR(INDEX(SP_GF_GA,0,COLUMN()),0)-IFERROR(INDEX(SP_GF_RD,0,COLUMN()),0)</f>
        <v>5449</v>
      </c>
      <c r="X33" s="60">
        <f>IFERROR(INDEX(SP_GF_Rev,0,COLUMN()),0)-IFERROR(INDEX(SP_GF_COGS,0,COLUMN()),0)-IFERROR(INDEX(SP_GF_SM,0,COLUMN()),0)-IFERROR(INDEX(SP_GF_DA_Operating,0,COLUMN()),0)-IFERROR(INDEX(SP_GF_GA,0,COLUMN()),0)-IFERROR(INDEX(SP_GF_RD,0,COLUMN()),0)</f>
        <v>5863</v>
      </c>
      <c r="Y33" s="60">
        <f>IFERROR(INDEX(SP_GF_Rev,0,COLUMN()),0)-IFERROR(INDEX(SP_GF_COGS,0,COLUMN()),0)-IFERROR(INDEX(SP_GF_SM,0,COLUMN()),0)-IFERROR(INDEX(SP_GF_DA_Operating,0,COLUMN()),0)-IFERROR(INDEX(SP_GF_GA,0,COLUMN()),0)-IFERROR(INDEX(SP_GF_RD,0,COLUMN()),0)</f>
        <v>5781</v>
      </c>
      <c r="Z33" s="60">
        <f>IFERROR(INDEX(SP_GF_Rev,0,COLUMN()),0)-IFERROR(INDEX(SP_GF_COGS,0,COLUMN()),0)-IFERROR(INDEX(SP_GF_SM,0,COLUMN()),0)-IFERROR(INDEX(SP_GF_DA_Operating,0,COLUMN()),0)-IFERROR(INDEX(SP_GF_GA,0,COLUMN()),0)-IFERROR(INDEX(SP_GF_RD,0,COLUMN()),0)</f>
        <v>7820</v>
      </c>
      <c r="AA33" s="60">
        <f>IFERROR(INDEX(SP_GF_Rev,0,COLUMN()),0)-IFERROR(INDEX(SP_GF_COGS,0,COLUMN()),0)-IFERROR(INDEX(SP_GF_SM,0,COLUMN()),0)-IFERROR(INDEX(SP_GF_DA_Operating,0,COLUMN()),0)-IFERROR(INDEX(SP_GF_GA,0,COLUMN()),0)-IFERROR(INDEX(SP_GF_RD,0,COLUMN()),0)</f>
        <v>3317</v>
      </c>
      <c r="AB33" s="60">
        <f>IFERROR(INDEX(SP_GF_Rev,0,COLUMN()),0)-IFERROR(INDEX(SP_GF_COGS,0,COLUMN()),0)-IFERROR(INDEX(SP_GF_SM,0,COLUMN()),0)-IFERROR(INDEX(SP_GF_DA_Operating,0,COLUMN()),0)-IFERROR(INDEX(SP_GF_GA,0,COLUMN()),0)-IFERROR(INDEX(SP_GF_RD,0,COLUMN()),0)</f>
        <v>4626</v>
      </c>
      <c r="AC33" s="60">
        <f>IFERROR(INDEX(SP_GF_Rev,0,COLUMN()),0)-IFERROR(INDEX(SP_GF_COGS,0,COLUMN()),0)-IFERROR(INDEX(SP_GF_SM,0,COLUMN()),0)-IFERROR(INDEX(SP_GF_DA_Operating,0,COLUMN()),0)-IFERROR(INDEX(SP_GF_GA,0,COLUMN()),0)-IFERROR(INDEX(SP_GF_RD,0,COLUMN()),0)</f>
        <v>7185</v>
      </c>
      <c r="AD33" s="60">
        <f>IFERROR(INDEX(SP_GF_Rev,0,COLUMN()),0)-IFERROR(INDEX(SP_GF_COGS,0,COLUMN()),0)-IFERROR(INDEX(SP_GF_SM,0,COLUMN()),0)-IFERROR(INDEX(SP_GF_DA_Operating,0,COLUMN()),0)-IFERROR(INDEX(SP_GF_GA,0,COLUMN()),0)-IFERROR(INDEX(SP_GF_RD,0,COLUMN()),0)</f>
        <v>8858</v>
      </c>
      <c r="AE33" s="60">
        <f>IFERROR(INDEX(SP_GF_Rev,0,COLUMN()),0)-IFERROR(INDEX(SP_GF_COGS,0,COLUMN()),0)-IFERROR(INDEX(SP_GF_SM,0,COLUMN()),0)-IFERROR(INDEX(SP_GF_DA_Operating,0,COLUMN()),0)-IFERROR(INDEX(SP_GF_GA,0,COLUMN()),0)-IFERROR(INDEX(SP_GF_RD,0,COLUMN()),0)</f>
        <v>5893</v>
      </c>
      <c r="AF33" s="60">
        <f>IFERROR(INDEX(SP_GF_Rev,0,COLUMN()),0)-IFERROR(INDEX(SP_GF_COGS,0,COLUMN()),0)-IFERROR(INDEX(SP_GF_SM,0,COLUMN()),0)-IFERROR(INDEX(SP_GF_DA_Operating,0,COLUMN()),0)-IFERROR(INDEX(SP_GF_GA,0,COLUMN()),0)-IFERROR(INDEX(SP_GF_RD,0,COLUMN()),0)</f>
        <v>5963</v>
      </c>
      <c r="AG33" s="60">
        <f>IFERROR(INDEX(SP_GF_Rev,0,COLUMN()),0)-IFERROR(INDEX(SP_GF_COGS,0,COLUMN()),0)-IFERROR(INDEX(SP_GF_SM,0,COLUMN()),0)-IFERROR(INDEX(SP_GF_DA_Operating,0,COLUMN()),0)-IFERROR(INDEX(SP_GF_GA,0,COLUMN()),0)-IFERROR(INDEX(SP_GF_RD,0,COLUMN()),0)</f>
        <v>8040</v>
      </c>
      <c r="AH33" s="60">
        <f>IFERROR(INDEX(SP_GF_Rev,0,COLUMN()),0)-IFERROR(INDEX(SP_GF_COGS,0,COLUMN()),0)-IFERROR(INDEX(SP_GF_SM,0,COLUMN()),0)-IFERROR(INDEX(SP_GF_DA_Operating,0,COLUMN()),0)-IFERROR(INDEX(SP_GF_GA,0,COLUMN()),0)-IFERROR(INDEX(SP_GF_RD,0,COLUMN()),0)</f>
        <v>12775</v>
      </c>
      <c r="AI33" s="60">
        <f>IFERROR(INDEX(SP_GF_Rev,0,COLUMN()),0)-IFERROR(INDEX(SP_GF_COGS,0,COLUMN()),0)-IFERROR(INDEX(SP_GF_SM,0,COLUMN()),0)-IFERROR(INDEX(SP_GF_DA_Operating,0,COLUMN()),0)-IFERROR(INDEX(SP_GF_GA,0,COLUMN()),0)-IFERROR(INDEX(SP_GF_RD,0,COLUMN()),0)</f>
        <v>11378</v>
      </c>
      <c r="AJ33" s="60">
        <f>IFERROR(INDEX(SP_GF_Rev,0,COLUMN()),0)-IFERROR(INDEX(SP_GF_COGS,0,COLUMN()),0)-IFERROR(INDEX(SP_GF_SM,0,COLUMN()),0)-IFERROR(INDEX(SP_GF_DA_Operating,0,COLUMN()),0)-IFERROR(INDEX(SP_GF_GA,0,COLUMN()),0)-IFERROR(INDEX(SP_GF_RD,0,COLUMN()),0)</f>
        <v>12367</v>
      </c>
      <c r="AK33" s="60">
        <f>IFERROR(INDEX(SP_GF_Rev,0,COLUMN()),0)-IFERROR(INDEX(SP_GF_COGS,0,COLUMN()),0)-IFERROR(INDEX(SP_GF_SM,0,COLUMN()),0)-IFERROR(INDEX(SP_GF_DA_Operating,0,COLUMN()),0)-IFERROR(INDEX(SP_GF_GA,0,COLUMN()),0)-IFERROR(INDEX(SP_GF_RD,0,COLUMN()),0)</f>
        <v>10423</v>
      </c>
      <c r="AL33" s="60">
        <f>IFERROR(INDEX(SP_GF_Rev,0,COLUMN()),0)-IFERROR(INDEX(SP_GF_COGS,0,COLUMN()),0)-IFERROR(INDEX(SP_GF_SM,0,COLUMN()),0)-IFERROR(INDEX(SP_GF_DA_Operating,0,COLUMN()),0)-IFERROR(INDEX(SP_GF_GA,0,COLUMN()),0)-IFERROR(INDEX(SP_GF_RD,0,COLUMN()),0)</f>
        <v>12585</v>
      </c>
      <c r="AM33" s="60">
        <f>IFERROR(INDEX(SP_GF_Rev,0,COLUMN()),0)-IFERROR(INDEX(SP_GF_COGS,0,COLUMN()),0)-IFERROR(INDEX(SP_GF_SM,0,COLUMN()),0)-IFERROR(INDEX(SP_GF_DA_Operating,0,COLUMN()),0)-IFERROR(INDEX(SP_GF_GA,0,COLUMN()),0)-IFERROR(INDEX(SP_GF_RD,0,COLUMN()),0)</f>
        <v>8524</v>
      </c>
      <c r="AN33" s="60">
        <f>IFERROR(INDEX(SP_GF_Rev,0,COLUMN()),0)-IFERROR(INDEX(SP_GF_COGS,0,COLUMN()),0)-IFERROR(INDEX(SP_GF_SM,0,COLUMN()),0)-IFERROR(INDEX(SP_GF_DA_Operating,0,COLUMN()),0)-IFERROR(INDEX(SP_GF_GA,0,COLUMN()),0)-IFERROR(INDEX(SP_GF_RD,0,COLUMN()),0)</f>
        <v>8358</v>
      </c>
      <c r="AO33" s="60">
        <f>IFERROR(INDEX(SP_GF_Rev,0,COLUMN()),0)-IFERROR(INDEX(SP_GF_COGS,0,COLUMN()),0)-IFERROR(INDEX(SP_GF_SM,0,COLUMN()),0)-IFERROR(INDEX(SP_GF_DA_Operating,0,COLUMN()),0)-IFERROR(INDEX(SP_GF_GA,0,COLUMN()),0)-IFERROR(INDEX(SP_GF_RD,0,COLUMN()),0)</f>
        <v>5664</v>
      </c>
      <c r="AP33" s="60">
        <f>IFERROR(INDEX(SP_GF_Rev,0,COLUMN()),0)-IFERROR(INDEX(SP_GF_COGS,0,COLUMN()),0)-IFERROR(INDEX(SP_GF_SM,0,COLUMN()),0)-IFERROR(INDEX(SP_GF_DA_Operating,0,COLUMN()),0)-IFERROR(INDEX(SP_GF_GA,0,COLUMN()),0)-IFERROR(INDEX(SP_GF_RD,0,COLUMN()),0)</f>
        <v>6399</v>
      </c>
      <c r="AQ33" s="60">
        <f>IFERROR(INDEX(SP_GF_Rev,0,COLUMN()),0)-IFERROR(INDEX(SP_GF_COGS,0,COLUMN()),0)-IFERROR(INDEX(SP_GF_SM,0,COLUMN()),0)-IFERROR(INDEX(SP_GF_DA_Operating,0,COLUMN()),0)-IFERROR(INDEX(SP_GF_GA,0,COLUMN()),0)-IFERROR(INDEX(SP_GF_RD,0,COLUMN()),0)</f>
        <v>7227</v>
      </c>
      <c r="AR33" s="60">
        <f>IFERROR(INDEX(SP_GF_Rev,0,COLUMN()),0)-IFERROR(INDEX(SP_GF_COGS,0,COLUMN()),0)-IFERROR(INDEX(SP_GF_SM,0,COLUMN()),0)-IFERROR(INDEX(SP_GF_DA_Operating,0,COLUMN()),0)-IFERROR(INDEX(SP_GF_GA,0,COLUMN()),0)-IFERROR(INDEX(SP_GF_RD,0,COLUMN()),0)</f>
        <v>9392</v>
      </c>
      <c r="AS33" s="60">
        <f>IFERROR(INDEX(SP_GF_Rev,0,COLUMN()),0)-IFERROR(INDEX(SP_GF_COGS,0,COLUMN()),0)-IFERROR(INDEX(SP_GF_SM,0,COLUMN()),0)-IFERROR(INDEX(SP_GF_DA_Operating,0,COLUMN()),0)-IFERROR(INDEX(SP_GF_GA,0,COLUMN()),0)-IFERROR(INDEX(SP_GF_RD,0,COLUMN()),0)</f>
        <v>13748</v>
      </c>
      <c r="AT33" s="60">
        <f>IFERROR(INDEX(SP_GF_Rev,0,COLUMN()),0)-IFERROR(INDEX(SP_GF_COGS,0,COLUMN()),0)-IFERROR(INDEX(SP_GF_SM,0,COLUMN()),0)-IFERROR(INDEX(SP_GF_DA_Operating,0,COLUMN()),0)-IFERROR(INDEX(SP_GF_GA,0,COLUMN()),0)-IFERROR(INDEX(SP_GF_RD,0,COLUMN()),0)</f>
        <v>16384</v>
      </c>
      <c r="AU33" s="60">
        <f>IFERROR(INDEX(SP_GF_Rev,0,COLUMN()),0)-IFERROR(INDEX(SP_GF_COGS,0,COLUMN()),0)-IFERROR(INDEX(SP_GF_SM,0,COLUMN()),0)-IFERROR(INDEX(SP_GF_DA_Operating,0,COLUMN()),0)-IFERROR(INDEX(SP_GF_GA,0,COLUMN()),0)-IFERROR(INDEX(SP_GF_RD,0,COLUMN()),0)</f>
        <v>13818</v>
      </c>
      <c r="AV33" s="60">
        <f>IFERROR(INDEX(SP_GF_Rev,0,COLUMN()),0)-IFERROR(INDEX(SP_GF_COGS,0,COLUMN()),0)-IFERROR(INDEX(SP_GF_SM,0,COLUMN()),0)-IFERROR(INDEX(SP_GF_DA_Operating,0,COLUMN()),0)-IFERROR(INDEX(SP_GF_GA,0,COLUMN()),0)-IFERROR(INDEX(SP_GF_RD,0,COLUMN()),0)</f>
        <v>14847</v>
      </c>
      <c r="AW33" s="60">
        <f>IFERROR(INDEX(SP_GF_Rev,0,COLUMN()),0)-IFERROR(INDEX(SP_GF_COGS,0,COLUMN()),0)-IFERROR(INDEX(SP_GF_SM,0,COLUMN()),0)-IFERROR(INDEX(SP_GF_DA_Operating,0,COLUMN()),0)-IFERROR(INDEX(SP_GF_GA,0,COLUMN()),0)-IFERROR(INDEX(SP_GF_RD,0,COLUMN()),0)</f>
        <v>17350</v>
      </c>
      <c r="AX33" s="60">
        <f>IFERROR(INDEX(SP_GF_Rev,0,COLUMN()),0)-IFERROR(INDEX(SP_GF_COGS,0,COLUMN()),0)-IFERROR(INDEX(SP_GF_SM,0,COLUMN()),0)-IFERROR(INDEX(SP_GF_DA_Operating,0,COLUMN()),0)-IFERROR(INDEX(SP_GF_GA,0,COLUMN()),0)-IFERROR(INDEX(SP_GF_RD,0,COLUMN()),0)</f>
        <v>23365</v>
      </c>
      <c r="AY33" s="687">
        <f>IFERROR(INDEX(SP_GF_Rev,0,COLUMN()),0)-IFERROR(INDEX(SP_GF_COGS,0,COLUMN()),0)-IFERROR(INDEX(SP_GF_SM,0,COLUMN()),0)-IFERROR(INDEX(SP_GF_DA_Operating,0,COLUMN()),0)-IFERROR(INDEX(SP_GF_GA,0,COLUMN()),0)-IFERROR(INDEX(SP_GF_RD,0,COLUMN()),0)</f>
        <v>17555</v>
      </c>
      <c r="AZ33" s="60">
        <f>IFERROR(INDEX(SP_GF_Rev,0,COLUMN()),0)-IFERROR(INDEX(SP_GF_COGS,0,COLUMN()),0)-IFERROR(INDEX(SP_GF_SM,0,COLUMN()),0)-IFERROR(INDEX(SP_GF_DA_Operating,0,COLUMN()),0)-IFERROR(INDEX(SP_GF_GA,0,COLUMN()),0)-IFERROR(INDEX(SP_GF_RD,0,COLUMN()),0)</f>
        <v>15172.161394700146</v>
      </c>
      <c r="BA33" s="60">
        <f>IFERROR(INDEX(SP_GF_Rev,0,COLUMN()),0)-IFERROR(INDEX(SP_GF_COGS,0,COLUMN()),0)-IFERROR(INDEX(SP_GF_SM,0,COLUMN()),0)-IFERROR(INDEX(SP_GF_DA_Operating,0,COLUMN()),0)-IFERROR(INDEX(SP_GF_GA,0,COLUMN()),0)-IFERROR(INDEX(SP_GF_RD,0,COLUMN()),0)</f>
        <v>18420.017690773573</v>
      </c>
      <c r="BB33" s="60">
        <f>IFERROR(INDEX(SP_GF_Rev,0,COLUMN()),0)-IFERROR(INDEX(SP_GF_COGS,0,COLUMN()),0)-IFERROR(INDEX(SP_GF_SM,0,COLUMN()),0)-IFERROR(INDEX(SP_GF_DA_Operating,0,COLUMN()),0)-IFERROR(INDEX(SP_GF_GA,0,COLUMN()),0)-IFERROR(INDEX(SP_GF_RD,0,COLUMN()),0)</f>
        <v>21235.102343664119</v>
      </c>
      <c r="BC33" s="60">
        <f>IFERROR(INDEX(SP_GF_Rev,0,COLUMN()),0)-IFERROR(INDEX(SP_GF_COGS,0,COLUMN()),0)-IFERROR(INDEX(SP_GF_SM,0,COLUMN()),0)-IFERROR(INDEX(SP_GF_DA_Operating,0,COLUMN()),0)-IFERROR(INDEX(SP_GF_GA,0,COLUMN()),0)-IFERROR(INDEX(SP_GF_RD,0,COLUMN()),0)</f>
        <v>25243.034395265146</v>
      </c>
      <c r="BD33" s="60">
        <f>IFERROR(INDEX(SP_GF_Rev,0,COLUMN()),0)-IFERROR(INDEX(SP_GF_COGS,0,COLUMN()),0)-IFERROR(INDEX(SP_GF_SM,0,COLUMN()),0)-IFERROR(INDEX(SP_GF_DA_Operating,0,COLUMN()),0)-IFERROR(INDEX(SP_GF_GA,0,COLUMN()),0)-IFERROR(INDEX(SP_GF_RD,0,COLUMN()),0)</f>
        <v>21712.038203563465</v>
      </c>
      <c r="BE33" s="60">
        <f>IFERROR(INDEX(SP_GF_Rev,0,COLUMN()),0)-IFERROR(INDEX(SP_GF_COGS,0,COLUMN()),0)-IFERROR(INDEX(SP_GF_SM,0,COLUMN()),0)-IFERROR(INDEX(SP_GF_DA_Operating,0,COLUMN()),0)-IFERROR(INDEX(SP_GF_GA,0,COLUMN()),0)-IFERROR(INDEX(SP_GF_RD,0,COLUMN()),0)</f>
        <v>22877.481440944961</v>
      </c>
      <c r="BF33" s="60">
        <f>IFERROR(INDEX(SP_GF_Rev,0,COLUMN()),0)-IFERROR(INDEX(SP_GF_COGS,0,COLUMN()),0)-IFERROR(INDEX(SP_GF_SM,0,COLUMN()),0)-IFERROR(INDEX(SP_GF_DA_Operating,0,COLUMN()),0)-IFERROR(INDEX(SP_GF_GA,0,COLUMN()),0)-IFERROR(INDEX(SP_GF_RD,0,COLUMN()),0)</f>
        <v>27181.396702436774</v>
      </c>
      <c r="BG33" s="60"/>
      <c r="BH33" s="1058">
        <f>IFERROR(INDEX(SP_GF_Rev,0,COLUMN()),0)-IFERROR(INDEX(SP_GF_COGS,0,COLUMN()),0)-IFERROR(INDEX(SP_GF_SM,0,COLUMN()),0)-IFERROR(INDEX(SP_GF_DA_Operating,0,COLUMN()),0)-IFERROR(INDEX(SP_GF_GA,0,COLUMN()),0)-IFERROR(INDEX(SP_GF_RD,0,COLUMN()),0)</f>
        <v>262</v>
      </c>
      <c r="BI33" s="1058">
        <f>IFERROR(INDEX(SP_GF_Rev,0,COLUMN()),0)-IFERROR(INDEX(SP_GF_COGS,0,COLUMN()),0)-IFERROR(INDEX(SP_GF_SM,0,COLUMN()),0)-IFERROR(INDEX(SP_GF_DA_Operating,0,COLUMN()),0)-IFERROR(INDEX(SP_GF_GA,0,COLUMN()),0)-IFERROR(INDEX(SP_GF_RD,0,COLUMN()),0)</f>
        <v>1032</v>
      </c>
      <c r="BJ33" s="1058">
        <f>IFERROR(INDEX(SP_GF_Rev,0,COLUMN()),0)-IFERROR(INDEX(SP_GF_COGS,0,COLUMN()),0)-IFERROR(INDEX(SP_GF_SM,0,COLUMN()),0)-IFERROR(INDEX(SP_GF_DA_Operating,0,COLUMN()),0)-IFERROR(INDEX(SP_GF_GA,0,COLUMN()),0)-IFERROR(INDEX(SP_GF_RD,0,COLUMN()),0)</f>
        <v>1756</v>
      </c>
      <c r="BK33" s="1058">
        <f>IFERROR(INDEX(SP_GF_Rev,0,COLUMN()),0)-IFERROR(INDEX(SP_GF_COGS,0,COLUMN()),0)-IFERROR(INDEX(SP_GF_SM,0,COLUMN()),0)-IFERROR(INDEX(SP_GF_DA_Operating,0,COLUMN()),0)-IFERROR(INDEX(SP_GF_GA,0,COLUMN()),0)-IFERROR(INDEX(SP_GF_RD,0,COLUMN()),0)</f>
        <v>538</v>
      </c>
      <c r="BL33" s="1058">
        <f>IFERROR(INDEX(SP_GF_Rev,0,COLUMN()),0)-IFERROR(INDEX(SP_GF_COGS,0,COLUMN()),0)-IFERROR(INDEX(SP_GF_SM,0,COLUMN()),0)-IFERROR(INDEX(SP_GF_DA_Operating,0,COLUMN()),0)-IFERROR(INDEX(SP_GF_GA,0,COLUMN()),0)-IFERROR(INDEX(SP_GF_RD,0,COLUMN()),0)</f>
        <v>2804</v>
      </c>
      <c r="BM33" s="1058">
        <f>IFERROR(INDEX(SP_GF_Rev,0,COLUMN()),0)-IFERROR(INDEX(SP_GF_COGS,0,COLUMN()),0)-IFERROR(INDEX(SP_GF_SM,0,COLUMN()),0)-IFERROR(INDEX(SP_GF_DA_Operating,0,COLUMN()),0)-IFERROR(INDEX(SP_GF_GA,0,COLUMN()),0)-IFERROR(INDEX(SP_GF_RD,0,COLUMN()),0)</f>
        <v>4994</v>
      </c>
      <c r="BN33" s="1058">
        <f>IFERROR(INDEX(SP_GF_Rev,0,COLUMN()),0)-IFERROR(INDEX(SP_GF_COGS,0,COLUMN()),0)-IFERROR(INDEX(SP_GF_SM,0,COLUMN()),0)-IFERROR(INDEX(SP_GF_DA_Operating,0,COLUMN()),0)-IFERROR(INDEX(SP_GF_GA,0,COLUMN()),0)-IFERROR(INDEX(SP_GF_RD,0,COLUMN()),0)</f>
        <v>6225</v>
      </c>
      <c r="BO33" s="1058">
        <f>IFERROR(INDEX(SP_GF_Rev,0,COLUMN()),0)-IFERROR(INDEX(SP_GF_COGS,0,COLUMN()),0)-IFERROR(INDEX(SP_GF_SM,0,COLUMN()),0)-IFERROR(INDEX(SP_GF_DA_Operating,0,COLUMN()),0)-IFERROR(INDEX(SP_GF_GA,0,COLUMN()),0)-IFERROR(INDEX(SP_GF_RD,0,COLUMN()),0)</f>
        <v>12427</v>
      </c>
      <c r="BP33" s="1058">
        <f>IFERROR(INDEX(SP_GF_Rev,0,COLUMN()),0)-IFERROR(INDEX(SP_GF_COGS,0,COLUMN()),0)-IFERROR(INDEX(SP_GF_SM,0,COLUMN()),0)-IFERROR(INDEX(SP_GF_DA_Operating,0,COLUMN()),0)-IFERROR(INDEX(SP_GF_GA,0,COLUMN()),0)-IFERROR(INDEX(SP_GF_RD,0,COLUMN()),0)</f>
        <v>20203</v>
      </c>
      <c r="BQ33" s="1058">
        <f>IFERROR(INDEX(SP_GF_Rev,0,COLUMN()),0)-IFERROR(INDEX(SP_GF_COGS,0,COLUMN()),0)-IFERROR(INDEX(SP_GF_SM,0,COLUMN()),0)-IFERROR(INDEX(SP_GF_DA_Operating,0,COLUMN()),0)-IFERROR(INDEX(SP_GF_GA,0,COLUMN()),0)-IFERROR(INDEX(SP_GF_RD,0,COLUMN()),0)</f>
        <v>24913</v>
      </c>
      <c r="BR33" s="1058">
        <f>IFERROR(INDEX(SP_GF_Rev,0,COLUMN()),0)-IFERROR(INDEX(SP_GF_COGS,0,COLUMN()),0)-IFERROR(INDEX(SP_GF_SM,0,COLUMN()),0)-IFERROR(INDEX(SP_GF_DA_Operating,0,COLUMN()),0)-IFERROR(INDEX(SP_GF_GA,0,COLUMN()),0)-IFERROR(INDEX(SP_GF_RD,0,COLUMN()),0)</f>
        <v>23986</v>
      </c>
      <c r="BS33" s="1058">
        <f>IFERROR(INDEX(SP_GF_Rev,0,COLUMN()),0)-IFERROR(INDEX(SP_GF_COGS,0,COLUMN()),0)-IFERROR(INDEX(SP_GF_SM,0,COLUMN()),0)-IFERROR(INDEX(SP_GF_DA_Operating,0,COLUMN()),0)-IFERROR(INDEX(SP_GF_GA,0,COLUMN()),0)-IFERROR(INDEX(SP_GF_RD,0,COLUMN()),0)</f>
        <v>32671</v>
      </c>
      <c r="BT33" s="1058">
        <f>IFERROR(INDEX(SP_GF_Rev,0,COLUMN()),0)-IFERROR(INDEX(SP_GF_COGS,0,COLUMN()),0)-IFERROR(INDEX(SP_GF_SM,0,COLUMN()),0)-IFERROR(INDEX(SP_GF_DA_Operating,0,COLUMN()),0)-IFERROR(INDEX(SP_GF_GA,0,COLUMN()),0)-IFERROR(INDEX(SP_GF_RD,0,COLUMN()),0)</f>
        <v>46753</v>
      </c>
      <c r="BU33" s="1058">
        <f>IFERROR(INDEX(SP_GF_Rev,0,COLUMN()),0)-IFERROR(INDEX(SP_GF_COGS,0,COLUMN()),0)-IFERROR(INDEX(SP_GF_SM,0,COLUMN()),0)-IFERROR(INDEX(SP_GF_DA_Operating,0,COLUMN()),0)-IFERROR(INDEX(SP_GF_GA,0,COLUMN()),0)-IFERROR(INDEX(SP_GF_RD,0,COLUMN()),0)</f>
        <v>28944</v>
      </c>
      <c r="BV33" s="1058">
        <f>IFERROR(INDEX(SP_GF_Rev,0,COLUMN()),0)-IFERROR(INDEX(SP_GF_COGS,0,COLUMN()),0)-IFERROR(INDEX(SP_GF_SM,0,COLUMN()),0)-IFERROR(INDEX(SP_GF_DA_Operating,0,COLUMN()),0)-IFERROR(INDEX(SP_GF_GA,0,COLUMN()),0)-IFERROR(INDEX(SP_GF_RD,0,COLUMN()),0)</f>
        <v>46751</v>
      </c>
      <c r="BW33" s="1059">
        <f>IFERROR(INDEX(SP_GF_Rev,0,COLUMN()),0)-IFERROR(INDEX(SP_GF_COGS,0,COLUMN()),0)-IFERROR(INDEX(SP_GF_SM,0,COLUMN()),0)-IFERROR(INDEX(SP_GF_DA_Operating,0,COLUMN()),0)-IFERROR(INDEX(SP_GF_GA,0,COLUMN()),0)-IFERROR(INDEX(SP_GF_RD,0,COLUMN()),0)</f>
        <v>69380</v>
      </c>
      <c r="BX33" s="1058">
        <f>IFERROR(INDEX(SP_GF_Rev,0,COLUMN()),0)-IFERROR(INDEX(SP_GF_COGS,0,COLUMN()),0)-IFERROR(INDEX(SP_GF_SM,0,COLUMN()),0)-IFERROR(INDEX(SP_GF_DA_Operating,0,COLUMN()),0)-IFERROR(INDEX(SP_GF_GA,0,COLUMN()),0)-IFERROR(INDEX(SP_GF_RD,0,COLUMN()),0)</f>
        <v>72382.28142913786</v>
      </c>
      <c r="BY33" s="1058">
        <f>IFERROR(INDEX(SP_GF_Rev,0,COLUMN()),0)-IFERROR(INDEX(SP_GF_COGS,0,COLUMN()),0)-IFERROR(INDEX(SP_GF_SM,0,COLUMN()),0)-IFERROR(INDEX(SP_GF_DA_Operating,0,COLUMN()),0)-IFERROR(INDEX(SP_GF_GA,0,COLUMN()),0)-IFERROR(INDEX(SP_GF_RD,0,COLUMN()),0)</f>
        <v>97013.95074221032</v>
      </c>
      <c r="BZ33" s="1058">
        <f>IFERROR(INDEX(SP_GF_Rev,0,COLUMN()),0)-IFERROR(INDEX(SP_GF_COGS,0,COLUMN()),0)-IFERROR(INDEX(SP_GF_SM,0,COLUMN()),0)-IFERROR(INDEX(SP_GF_DA_Operating,0,COLUMN()),0)-IFERROR(INDEX(SP_GF_GA,0,COLUMN()),0)-IFERROR(INDEX(SP_GF_RD,0,COLUMN()),0)</f>
        <v>116910.72203755559</v>
      </c>
      <c r="CA33" s="1058">
        <f>IFERROR(INDEX(SP_GF_Rev,0,COLUMN()),0)-IFERROR(INDEX(SP_GF_COGS,0,COLUMN()),0)-IFERROR(INDEX(SP_GF_SM,0,COLUMN()),0)-IFERROR(INDEX(SP_GF_DA_Operating,0,COLUMN()),0)-IFERROR(INDEX(SP_GF_GA,0,COLUMN()),0)-IFERROR(INDEX(SP_GF_RD,0,COLUMN()),0)</f>
        <v>132473.91806809118</v>
      </c>
      <c r="CB33" s="1058">
        <f>IFERROR(INDEX(SP_GF_Rev,0,COLUMN()),0)-IFERROR(INDEX(SP_GF_COGS,0,COLUMN()),0)-IFERROR(INDEX(SP_GF_SM,0,COLUMN()),0)-IFERROR(INDEX(SP_GF_DA_Operating,0,COLUMN()),0)-IFERROR(INDEX(SP_GF_GA,0,COLUMN()),0)-IFERROR(INDEX(SP_GF_RD,0,COLUMN()),0)</f>
        <v>148826.03605742409</v>
      </c>
      <c r="CC33" s="607"/>
    </row>
    <row r="34" spans="1:81" s="731" customFormat="1" x14ac:dyDescent="0.55000000000000004">
      <c r="A34" s="91" t="str">
        <f>INDEX(MO_RIS_IE,0,COLUMN())</f>
        <v>Interest expense</v>
      </c>
      <c r="B34" s="92"/>
      <c r="C34" s="59">
        <f t="shared" ref="C34:AH34" si="42">IFERROR(_xlfn.SINGLE(INDEX(MO_RIS_IE_Net,0,COLUMN())),_xlfn.SINGLE(INDEX(MO_RIS_IE,0,COLUMN()))+_xlfn.SINGLE(INDEX(MO_RIS_II,0,COLUMN())))</f>
        <v>10</v>
      </c>
      <c r="D34" s="59">
        <f t="shared" si="42"/>
        <v>9</v>
      </c>
      <c r="E34" s="59">
        <f t="shared" si="42"/>
        <v>16</v>
      </c>
      <c r="F34" s="59">
        <f t="shared" si="42"/>
        <v>2</v>
      </c>
      <c r="G34" s="59">
        <f t="shared" si="42"/>
        <v>0</v>
      </c>
      <c r="H34" s="59">
        <f t="shared" si="42"/>
        <v>0</v>
      </c>
      <c r="I34" s="59">
        <f t="shared" si="42"/>
        <v>-4</v>
      </c>
      <c r="J34" s="59">
        <f t="shared" si="42"/>
        <v>0</v>
      </c>
      <c r="K34" s="59">
        <f t="shared" si="42"/>
        <v>-2</v>
      </c>
      <c r="L34" s="59">
        <f t="shared" si="42"/>
        <v>-5</v>
      </c>
      <c r="M34" s="59">
        <f t="shared" si="42"/>
        <v>-7</v>
      </c>
      <c r="N34" s="59">
        <f t="shared" si="42"/>
        <v>-15</v>
      </c>
      <c r="O34" s="59">
        <f t="shared" si="42"/>
        <v>-27</v>
      </c>
      <c r="P34" s="59">
        <f t="shared" si="42"/>
        <v>-32</v>
      </c>
      <c r="Q34" s="59">
        <f t="shared" si="42"/>
        <v>-50</v>
      </c>
      <c r="R34" s="59">
        <f t="shared" si="42"/>
        <v>-56</v>
      </c>
      <c r="S34" s="59">
        <f t="shared" si="42"/>
        <v>-67</v>
      </c>
      <c r="T34" s="59">
        <f t="shared" si="42"/>
        <v>-91</v>
      </c>
      <c r="U34" s="59">
        <f t="shared" si="42"/>
        <v>-108</v>
      </c>
      <c r="V34" s="59">
        <f t="shared" si="42"/>
        <v>-126</v>
      </c>
      <c r="W34" s="59">
        <f t="shared" si="42"/>
        <v>-145</v>
      </c>
      <c r="X34" s="59">
        <f t="shared" si="42"/>
        <v>-143</v>
      </c>
      <c r="Y34" s="59">
        <f t="shared" si="42"/>
        <v>-176</v>
      </c>
      <c r="Z34" s="59">
        <f t="shared" si="42"/>
        <v>-188</v>
      </c>
      <c r="AA34" s="59">
        <f t="shared" si="42"/>
        <v>-198</v>
      </c>
      <c r="AB34" s="59">
        <f t="shared" si="42"/>
        <v>-219</v>
      </c>
      <c r="AC34" s="59">
        <f t="shared" si="42"/>
        <v>-258</v>
      </c>
      <c r="AD34" s="59">
        <f t="shared" si="42"/>
        <v>-229</v>
      </c>
      <c r="AE34" s="59">
        <f t="shared" si="42"/>
        <v>-228</v>
      </c>
      <c r="AF34" s="59">
        <f t="shared" si="42"/>
        <v>-162</v>
      </c>
      <c r="AG34" s="59">
        <f t="shared" si="42"/>
        <v>-146</v>
      </c>
      <c r="AH34" s="59">
        <f t="shared" si="42"/>
        <v>-136</v>
      </c>
      <c r="AI34" s="59">
        <f t="shared" ref="AI34:BF34" si="43">IFERROR(_xlfn.SINGLE(INDEX(MO_RIS_IE_Net,0,COLUMN())),_xlfn.SINGLE(INDEX(MO_RIS_IE,0,COLUMN()))+_xlfn.SINGLE(INDEX(MO_RIS_II,0,COLUMN())))</f>
        <v>-118</v>
      </c>
      <c r="AJ34" s="59">
        <f t="shared" si="43"/>
        <v>-121</v>
      </c>
      <c r="AK34" s="59">
        <f t="shared" si="43"/>
        <v>-120</v>
      </c>
      <c r="AL34" s="59">
        <f t="shared" si="43"/>
        <v>-102</v>
      </c>
      <c r="AM34" s="59">
        <f t="shared" si="43"/>
        <v>-76</v>
      </c>
      <c r="AN34" s="59">
        <f t="shared" si="43"/>
        <v>-91</v>
      </c>
      <c r="AO34" s="59">
        <f t="shared" si="43"/>
        <v>-77</v>
      </c>
      <c r="AP34" s="59">
        <f t="shared" si="43"/>
        <v>-32</v>
      </c>
      <c r="AQ34" s="59">
        <f t="shared" si="43"/>
        <v>-138</v>
      </c>
      <c r="AR34" s="59">
        <f t="shared" si="43"/>
        <v>-207</v>
      </c>
      <c r="AS34" s="59">
        <f t="shared" si="43"/>
        <v>-395</v>
      </c>
      <c r="AT34" s="59">
        <f t="shared" si="43"/>
        <v>-453</v>
      </c>
      <c r="AU34" s="59">
        <f t="shared" si="43"/>
        <v>-458</v>
      </c>
      <c r="AV34" s="59">
        <f t="shared" si="43"/>
        <v>-412</v>
      </c>
      <c r="AW34" s="59">
        <f t="shared" si="43"/>
        <v>-453</v>
      </c>
      <c r="AX34" s="59">
        <f t="shared" si="43"/>
        <v>-479</v>
      </c>
      <c r="AY34" s="675">
        <f t="shared" si="43"/>
        <v>-450</v>
      </c>
      <c r="AZ34" s="59">
        <f t="shared" si="43"/>
        <v>-408.73086301369875</v>
      </c>
      <c r="BA34" s="59">
        <f t="shared" ca="1" si="43"/>
        <v>-469.62881181515036</v>
      </c>
      <c r="BB34" s="59">
        <f t="shared" ca="1" si="43"/>
        <v>-453.22859708883288</v>
      </c>
      <c r="BC34" s="59">
        <f t="shared" ca="1" si="43"/>
        <v>-642.86070455103868</v>
      </c>
      <c r="BD34" s="59">
        <f t="shared" ca="1" si="43"/>
        <v>-870.79364955647179</v>
      </c>
      <c r="BE34" s="59">
        <f t="shared" ca="1" si="43"/>
        <v>-1058.8218556776803</v>
      </c>
      <c r="BF34" s="59">
        <f t="shared" ca="1" si="43"/>
        <v>-1062.2115397841135</v>
      </c>
      <c r="BG34" s="59"/>
      <c r="BH34" s="1054">
        <f t="shared" ref="BH34:CB34" si="44">IFERROR(_xlfn.SINGLE(INDEX(MO_RIS_IE_Net,0,COLUMN())),_xlfn.SINGLE(INDEX(MO_RIS_IE,0,COLUMN()))+_xlfn.SINGLE(INDEX(MO_RIS_II,0,COLUMN())))</f>
        <v>10</v>
      </c>
      <c r="BI34" s="1054">
        <f t="shared" si="44"/>
        <v>22</v>
      </c>
      <c r="BJ34" s="1054">
        <f t="shared" si="44"/>
        <v>42</v>
      </c>
      <c r="BK34" s="1054">
        <f t="shared" si="44"/>
        <v>51</v>
      </c>
      <c r="BL34" s="1054">
        <f t="shared" si="44"/>
        <v>37</v>
      </c>
      <c r="BM34" s="1054">
        <f t="shared" si="44"/>
        <v>-4</v>
      </c>
      <c r="BN34" s="1054">
        <f t="shared" si="44"/>
        <v>-29</v>
      </c>
      <c r="BO34" s="1054">
        <f t="shared" si="44"/>
        <v>-166</v>
      </c>
      <c r="BP34" s="1054">
        <f t="shared" si="44"/>
        <v>-392</v>
      </c>
      <c r="BQ34" s="1054">
        <f t="shared" si="44"/>
        <v>-652</v>
      </c>
      <c r="BR34" s="1054">
        <f t="shared" si="44"/>
        <v>-904</v>
      </c>
      <c r="BS34" s="1054">
        <f t="shared" si="44"/>
        <v>-672</v>
      </c>
      <c r="BT34" s="1054">
        <f t="shared" si="44"/>
        <v>-461</v>
      </c>
      <c r="BU34" s="1054">
        <f t="shared" si="44"/>
        <v>-276</v>
      </c>
      <c r="BV34" s="1054">
        <f t="shared" si="44"/>
        <v>-1193</v>
      </c>
      <c r="BW34" s="1055">
        <f t="shared" si="44"/>
        <v>-1802</v>
      </c>
      <c r="BX34" s="1054">
        <f t="shared" ca="1" si="44"/>
        <v>-1781.5882719176821</v>
      </c>
      <c r="BY34" s="1054">
        <f t="shared" ca="1" si="44"/>
        <v>-3634.6877495693043</v>
      </c>
      <c r="BZ34" s="1054">
        <f t="shared" ca="1" si="44"/>
        <v>-4917.1469488317834</v>
      </c>
      <c r="CA34" s="1054">
        <f t="shared" ca="1" si="44"/>
        <v>-8042.7037688618302</v>
      </c>
      <c r="CB34" s="1054">
        <f t="shared" ca="1" si="44"/>
        <v>-11391.703986826169</v>
      </c>
      <c r="CC34" s="610"/>
    </row>
    <row r="35" spans="1:81" s="731" customFormat="1" x14ac:dyDescent="0.55000000000000004">
      <c r="A35" s="183" t="s">
        <v>264</v>
      </c>
      <c r="B35" s="184"/>
      <c r="C35" s="168">
        <f t="shared" ref="C35:AH35" si="45">INDEX(MO_RIS_OI,0,COLUMN())+INDEX(MO_RIS_OTI,0,COLUMN())</f>
        <v>10</v>
      </c>
      <c r="D35" s="168">
        <f t="shared" si="45"/>
        <v>8</v>
      </c>
      <c r="E35" s="168">
        <f t="shared" si="45"/>
        <v>-6</v>
      </c>
      <c r="F35" s="168">
        <f t="shared" si="45"/>
        <v>1</v>
      </c>
      <c r="G35" s="168">
        <f t="shared" si="45"/>
        <v>0</v>
      </c>
      <c r="H35" s="168">
        <f t="shared" si="45"/>
        <v>4</v>
      </c>
      <c r="I35" s="168">
        <f t="shared" si="45"/>
        <v>65</v>
      </c>
      <c r="J35" s="168">
        <f t="shared" si="45"/>
        <v>19</v>
      </c>
      <c r="K35" s="168">
        <f t="shared" si="45"/>
        <v>3</v>
      </c>
      <c r="L35" s="168">
        <f t="shared" si="45"/>
        <v>5</v>
      </c>
      <c r="M35" s="168">
        <f t="shared" si="45"/>
        <v>34</v>
      </c>
      <c r="N35" s="168">
        <f t="shared" si="45"/>
        <v>18</v>
      </c>
      <c r="O35" s="168">
        <f t="shared" si="45"/>
        <v>-29</v>
      </c>
      <c r="P35" s="168">
        <f t="shared" si="45"/>
        <v>12</v>
      </c>
      <c r="Q35" s="168">
        <f t="shared" si="45"/>
        <v>3</v>
      </c>
      <c r="R35" s="168">
        <f t="shared" si="45"/>
        <v>89</v>
      </c>
      <c r="S35" s="168">
        <f t="shared" si="45"/>
        <v>-14</v>
      </c>
      <c r="T35" s="168">
        <f t="shared" si="45"/>
        <v>4</v>
      </c>
      <c r="U35" s="168">
        <f t="shared" si="45"/>
        <v>-6</v>
      </c>
      <c r="V35" s="168">
        <f t="shared" si="45"/>
        <v>17</v>
      </c>
      <c r="W35" s="168">
        <f t="shared" si="45"/>
        <v>-16</v>
      </c>
      <c r="X35" s="168">
        <f t="shared" si="45"/>
        <v>138</v>
      </c>
      <c r="Y35" s="168">
        <f t="shared" si="45"/>
        <v>45</v>
      </c>
      <c r="Z35" s="168">
        <f t="shared" si="45"/>
        <v>37</v>
      </c>
      <c r="AA35" s="168">
        <f t="shared" si="45"/>
        <v>33</v>
      </c>
      <c r="AB35" s="168">
        <f t="shared" si="45"/>
        <v>13</v>
      </c>
      <c r="AC35" s="168">
        <f t="shared" si="45"/>
        <v>114</v>
      </c>
      <c r="AD35" s="168">
        <f t="shared" si="45"/>
        <v>-82</v>
      </c>
      <c r="AE35" s="168">
        <f t="shared" si="45"/>
        <v>260</v>
      </c>
      <c r="AF35" s="168">
        <f t="shared" si="45"/>
        <v>-6</v>
      </c>
      <c r="AG35" s="168">
        <f t="shared" si="45"/>
        <v>53</v>
      </c>
      <c r="AH35" s="168">
        <f t="shared" si="45"/>
        <v>-144</v>
      </c>
      <c r="AI35" s="168">
        <f t="shared" ref="AI35:BF35" si="46">INDEX(MO_RIS_OI,0,COLUMN())+INDEX(MO_RIS_OTI,0,COLUMN())</f>
        <v>-7</v>
      </c>
      <c r="AJ35" s="168">
        <f t="shared" si="46"/>
        <v>-25</v>
      </c>
      <c r="AK35" s="168">
        <f t="shared" si="46"/>
        <v>-22</v>
      </c>
      <c r="AL35" s="168">
        <f t="shared" si="46"/>
        <v>-16</v>
      </c>
      <c r="AM35" s="168">
        <f t="shared" si="46"/>
        <v>-308</v>
      </c>
      <c r="AN35" s="168">
        <f t="shared" si="46"/>
        <v>263</v>
      </c>
      <c r="AO35" s="168">
        <f t="shared" si="46"/>
        <v>165</v>
      </c>
      <c r="AP35" s="168">
        <f t="shared" si="46"/>
        <v>282</v>
      </c>
      <c r="AQ35" s="168">
        <f t="shared" si="46"/>
        <v>58</v>
      </c>
      <c r="AR35" s="168">
        <f t="shared" si="46"/>
        <v>306</v>
      </c>
      <c r="AS35" s="168">
        <f t="shared" si="46"/>
        <v>123</v>
      </c>
      <c r="AT35" s="168">
        <f t="shared" si="46"/>
        <v>29</v>
      </c>
      <c r="AU35" s="168">
        <f t="shared" si="46"/>
        <v>93</v>
      </c>
      <c r="AV35" s="168">
        <f t="shared" si="46"/>
        <v>153</v>
      </c>
      <c r="AW35" s="168">
        <f t="shared" si="46"/>
        <v>-19</v>
      </c>
      <c r="AX35" s="168">
        <f t="shared" si="46"/>
        <v>291</v>
      </c>
      <c r="AY35" s="686">
        <f t="shared" si="46"/>
        <v>-377</v>
      </c>
      <c r="AZ35" s="168">
        <f t="shared" si="46"/>
        <v>-5500</v>
      </c>
      <c r="BA35" s="168">
        <f t="shared" si="46"/>
        <v>-4500</v>
      </c>
      <c r="BB35" s="168">
        <f t="shared" si="46"/>
        <v>-4500</v>
      </c>
      <c r="BC35" s="168">
        <f t="shared" si="46"/>
        <v>-3000</v>
      </c>
      <c r="BD35" s="168">
        <f t="shared" si="46"/>
        <v>-2900</v>
      </c>
      <c r="BE35" s="168">
        <f t="shared" si="46"/>
        <v>-3500</v>
      </c>
      <c r="BF35" s="168">
        <f t="shared" si="46"/>
        <v>-1500</v>
      </c>
      <c r="BG35" s="168"/>
      <c r="BH35" s="1056">
        <f t="shared" ref="BH35:CB35" si="47">INDEX(MO_RIS_OI,0,COLUMN())+INDEX(MO_RIS_OTI,0,COLUMN())</f>
        <v>-2</v>
      </c>
      <c r="BI35" s="1056">
        <f t="shared" si="47"/>
        <v>2</v>
      </c>
      <c r="BJ35" s="1056">
        <f t="shared" si="47"/>
        <v>19</v>
      </c>
      <c r="BK35" s="1056">
        <f t="shared" si="47"/>
        <v>-7</v>
      </c>
      <c r="BL35" s="1056">
        <f t="shared" si="47"/>
        <v>13</v>
      </c>
      <c r="BM35" s="1056">
        <f t="shared" si="47"/>
        <v>88</v>
      </c>
      <c r="BN35" s="1056">
        <f t="shared" si="47"/>
        <v>60</v>
      </c>
      <c r="BO35" s="1056">
        <f t="shared" si="47"/>
        <v>75</v>
      </c>
      <c r="BP35" s="1056">
        <f t="shared" si="47"/>
        <v>1</v>
      </c>
      <c r="BQ35" s="1056">
        <f t="shared" si="47"/>
        <v>204</v>
      </c>
      <c r="BR35" s="1056">
        <f t="shared" si="47"/>
        <v>78</v>
      </c>
      <c r="BS35" s="1056">
        <f t="shared" si="47"/>
        <v>163</v>
      </c>
      <c r="BT35" s="1056">
        <f t="shared" si="47"/>
        <v>-70</v>
      </c>
      <c r="BU35" s="1056">
        <f t="shared" si="47"/>
        <v>401</v>
      </c>
      <c r="BV35" s="1056">
        <f t="shared" si="47"/>
        <v>516</v>
      </c>
      <c r="BW35" s="1057">
        <f t="shared" si="47"/>
        <v>519</v>
      </c>
      <c r="BX35" s="1056">
        <f t="shared" si="47"/>
        <v>-14877</v>
      </c>
      <c r="BY35" s="1056">
        <f t="shared" si="47"/>
        <v>-10900</v>
      </c>
      <c r="BZ35" s="1056">
        <f t="shared" si="47"/>
        <v>-5100</v>
      </c>
      <c r="CA35" s="1056">
        <f t="shared" si="47"/>
        <v>0</v>
      </c>
      <c r="CB35" s="1056">
        <f t="shared" si="47"/>
        <v>0</v>
      </c>
      <c r="CC35" s="610"/>
    </row>
    <row r="36" spans="1:81" s="728" customFormat="1" x14ac:dyDescent="0.55000000000000004">
      <c r="A36" s="93" t="str">
        <f>INDEX(MO_RIS_EBT,0,COLUMN())</f>
        <v>EBT</v>
      </c>
      <c r="B36" s="94"/>
      <c r="C36" s="60">
        <f t="shared" ref="C36:AH36" si="48">INDEX(SP_GF_EBIT,0,COLUMN())-INDEX(SP_GF_IE,0,COLUMN())-INDEX(SP_GF_OI,0,COLUMN())</f>
        <v>353</v>
      </c>
      <c r="D36" s="60">
        <f t="shared" si="48"/>
        <v>545</v>
      </c>
      <c r="E36" s="60">
        <f t="shared" si="48"/>
        <v>726</v>
      </c>
      <c r="F36" s="60">
        <f t="shared" si="48"/>
        <v>1130</v>
      </c>
      <c r="G36" s="60">
        <f t="shared" si="48"/>
        <v>1075</v>
      </c>
      <c r="H36" s="60">
        <f t="shared" si="48"/>
        <v>1386</v>
      </c>
      <c r="I36" s="60">
        <f t="shared" si="48"/>
        <v>1336</v>
      </c>
      <c r="J36" s="60">
        <f t="shared" si="48"/>
        <v>1114</v>
      </c>
      <c r="K36" s="60">
        <f t="shared" si="48"/>
        <v>932</v>
      </c>
      <c r="L36" s="60">
        <f t="shared" si="48"/>
        <v>1273</v>
      </c>
      <c r="M36" s="60">
        <f t="shared" si="48"/>
        <v>1432</v>
      </c>
      <c r="N36" s="60">
        <f t="shared" si="48"/>
        <v>2557</v>
      </c>
      <c r="O36" s="60">
        <f t="shared" si="48"/>
        <v>2066</v>
      </c>
      <c r="P36" s="60">
        <f t="shared" si="48"/>
        <v>2754</v>
      </c>
      <c r="Q36" s="60">
        <f t="shared" si="48"/>
        <v>3164</v>
      </c>
      <c r="R36" s="60">
        <f t="shared" si="48"/>
        <v>4533</v>
      </c>
      <c r="S36" s="60">
        <f t="shared" si="48"/>
        <v>3408</v>
      </c>
      <c r="T36" s="60">
        <f t="shared" si="48"/>
        <v>4488</v>
      </c>
      <c r="U36" s="60">
        <f t="shared" si="48"/>
        <v>5236</v>
      </c>
      <c r="V36" s="60">
        <f t="shared" si="48"/>
        <v>7461</v>
      </c>
      <c r="W36" s="60">
        <f t="shared" si="48"/>
        <v>5610</v>
      </c>
      <c r="X36" s="60">
        <f t="shared" si="48"/>
        <v>5868</v>
      </c>
      <c r="Y36" s="60">
        <f t="shared" si="48"/>
        <v>5912</v>
      </c>
      <c r="Z36" s="60">
        <f t="shared" si="48"/>
        <v>7971</v>
      </c>
      <c r="AA36" s="60">
        <f t="shared" si="48"/>
        <v>3482</v>
      </c>
      <c r="AB36" s="60">
        <f t="shared" si="48"/>
        <v>4832</v>
      </c>
      <c r="AC36" s="60">
        <f t="shared" si="48"/>
        <v>7329</v>
      </c>
      <c r="AD36" s="60">
        <f t="shared" si="48"/>
        <v>9169</v>
      </c>
      <c r="AE36" s="60">
        <f t="shared" si="48"/>
        <v>5861</v>
      </c>
      <c r="AF36" s="60">
        <f t="shared" si="48"/>
        <v>6131</v>
      </c>
      <c r="AG36" s="60">
        <f t="shared" si="48"/>
        <v>8133</v>
      </c>
      <c r="AH36" s="60">
        <f t="shared" si="48"/>
        <v>13055</v>
      </c>
      <c r="AI36" s="60">
        <f t="shared" ref="AI36:BF36" si="49">INDEX(SP_GF_EBIT,0,COLUMN())-INDEX(SP_GF_IE,0,COLUMN())-INDEX(SP_GF_OI,0,COLUMN())</f>
        <v>11503</v>
      </c>
      <c r="AJ36" s="60">
        <f t="shared" si="49"/>
        <v>12513</v>
      </c>
      <c r="AK36" s="60">
        <f t="shared" si="49"/>
        <v>10565</v>
      </c>
      <c r="AL36" s="60">
        <f t="shared" si="49"/>
        <v>12703</v>
      </c>
      <c r="AM36" s="60">
        <f t="shared" si="49"/>
        <v>8908</v>
      </c>
      <c r="AN36" s="60">
        <f t="shared" si="49"/>
        <v>8186</v>
      </c>
      <c r="AO36" s="60">
        <f t="shared" si="49"/>
        <v>5576</v>
      </c>
      <c r="AP36" s="60">
        <f t="shared" si="49"/>
        <v>6149</v>
      </c>
      <c r="AQ36" s="60">
        <f t="shared" si="49"/>
        <v>7307</v>
      </c>
      <c r="AR36" s="60">
        <f t="shared" si="49"/>
        <v>9293</v>
      </c>
      <c r="AS36" s="60">
        <f t="shared" si="49"/>
        <v>14020</v>
      </c>
      <c r="AT36" s="60">
        <f t="shared" si="49"/>
        <v>16808</v>
      </c>
      <c r="AU36" s="60">
        <f t="shared" si="49"/>
        <v>14183</v>
      </c>
      <c r="AV36" s="60">
        <f t="shared" si="49"/>
        <v>15106</v>
      </c>
      <c r="AW36" s="60">
        <f t="shared" si="49"/>
        <v>17822</v>
      </c>
      <c r="AX36" s="60">
        <f t="shared" si="49"/>
        <v>23553</v>
      </c>
      <c r="AY36" s="687">
        <f t="shared" si="49"/>
        <v>18382</v>
      </c>
      <c r="AZ36" s="60">
        <f t="shared" si="49"/>
        <v>21080.892257713844</v>
      </c>
      <c r="BA36" s="60">
        <f t="shared" ca="1" si="49"/>
        <v>23389.646502588723</v>
      </c>
      <c r="BB36" s="60">
        <f t="shared" ca="1" si="49"/>
        <v>26188.330940752952</v>
      </c>
      <c r="BC36" s="60">
        <f t="shared" ca="1" si="49"/>
        <v>28885.895099816185</v>
      </c>
      <c r="BD36" s="60">
        <f t="shared" ca="1" si="49"/>
        <v>25482.831853119937</v>
      </c>
      <c r="BE36" s="60">
        <f t="shared" ca="1" si="49"/>
        <v>27436.303296622642</v>
      </c>
      <c r="BF36" s="60">
        <f t="shared" ca="1" si="49"/>
        <v>29743.608242220886</v>
      </c>
      <c r="BG36" s="60"/>
      <c r="BH36" s="1058">
        <f t="shared" ref="BH36:CB36" si="50">INDEX(SP_GF_EBIT,0,COLUMN())-INDEX(SP_GF_IE,0,COLUMN())-INDEX(SP_GF_OI,0,COLUMN())</f>
        <v>254</v>
      </c>
      <c r="BI36" s="1058">
        <f t="shared" si="50"/>
        <v>1008</v>
      </c>
      <c r="BJ36" s="1058">
        <f t="shared" si="50"/>
        <v>1695</v>
      </c>
      <c r="BK36" s="1058">
        <f t="shared" si="50"/>
        <v>494</v>
      </c>
      <c r="BL36" s="1058">
        <f t="shared" si="50"/>
        <v>2754</v>
      </c>
      <c r="BM36" s="1058">
        <f t="shared" si="50"/>
        <v>4910</v>
      </c>
      <c r="BN36" s="1058">
        <f t="shared" si="50"/>
        <v>6194</v>
      </c>
      <c r="BO36" s="1058">
        <f t="shared" si="50"/>
        <v>12518</v>
      </c>
      <c r="BP36" s="1058">
        <f t="shared" si="50"/>
        <v>20594</v>
      </c>
      <c r="BQ36" s="1058">
        <f t="shared" si="50"/>
        <v>25361</v>
      </c>
      <c r="BR36" s="1058">
        <f t="shared" si="50"/>
        <v>24812</v>
      </c>
      <c r="BS36" s="1058">
        <f t="shared" si="50"/>
        <v>33180</v>
      </c>
      <c r="BT36" s="1058">
        <f t="shared" si="50"/>
        <v>47284</v>
      </c>
      <c r="BU36" s="1058">
        <f t="shared" si="50"/>
        <v>28819</v>
      </c>
      <c r="BV36" s="1058">
        <f t="shared" si="50"/>
        <v>47428</v>
      </c>
      <c r="BW36" s="1059">
        <f t="shared" si="50"/>
        <v>70663</v>
      </c>
      <c r="BX36" s="1058">
        <f t="shared" ca="1" si="50"/>
        <v>89040.869701055548</v>
      </c>
      <c r="BY36" s="1058">
        <f t="shared" ca="1" si="50"/>
        <v>111548.63849177962</v>
      </c>
      <c r="BZ36" s="1058">
        <f t="shared" ca="1" si="50"/>
        <v>126927.86898638737</v>
      </c>
      <c r="CA36" s="1058">
        <f t="shared" ca="1" si="50"/>
        <v>140516.62183695301</v>
      </c>
      <c r="CB36" s="1058">
        <f t="shared" ca="1" si="50"/>
        <v>160217.74004425027</v>
      </c>
      <c r="CC36" s="607"/>
    </row>
    <row r="37" spans="1:81" s="731" customFormat="1" x14ac:dyDescent="0.55000000000000004">
      <c r="A37" s="91" t="s">
        <v>265</v>
      </c>
      <c r="B37" s="92"/>
      <c r="C37" s="59">
        <f t="shared" ref="C37:AH37" si="51">INDEX(MO_RIS_Tax_Current,0,COLUMN())+INDEX(MO_RIS_Tax_Deferred,0,COLUMN())</f>
        <v>134</v>
      </c>
      <c r="D37" s="59">
        <f t="shared" si="51"/>
        <v>212</v>
      </c>
      <c r="E37" s="59">
        <f t="shared" si="51"/>
        <v>301</v>
      </c>
      <c r="F37" s="59">
        <f t="shared" si="51"/>
        <v>607</v>
      </c>
      <c r="G37" s="59">
        <f t="shared" si="51"/>
        <v>433</v>
      </c>
      <c r="H37" s="59">
        <f t="shared" si="51"/>
        <v>595</v>
      </c>
      <c r="I37" s="59">
        <f t="shared" si="51"/>
        <v>530</v>
      </c>
      <c r="J37" s="59">
        <f t="shared" si="51"/>
        <v>413</v>
      </c>
      <c r="K37" s="59">
        <f t="shared" si="51"/>
        <v>420</v>
      </c>
      <c r="L37" s="59">
        <f t="shared" si="51"/>
        <v>554</v>
      </c>
      <c r="M37" s="59">
        <f t="shared" si="51"/>
        <v>536</v>
      </c>
      <c r="N37" s="59">
        <f t="shared" si="51"/>
        <v>995</v>
      </c>
      <c r="O37" s="59">
        <f t="shared" si="51"/>
        <v>328</v>
      </c>
      <c r="P37" s="59">
        <f t="shared" si="51"/>
        <v>471</v>
      </c>
      <c r="Q37" s="59">
        <f t="shared" si="51"/>
        <v>537</v>
      </c>
      <c r="R37" s="59">
        <f t="shared" si="51"/>
        <v>965</v>
      </c>
      <c r="S37" s="59">
        <f t="shared" si="51"/>
        <v>344</v>
      </c>
      <c r="T37" s="59">
        <f t="shared" si="51"/>
        <v>594</v>
      </c>
      <c r="U37" s="59">
        <f t="shared" si="51"/>
        <v>529</v>
      </c>
      <c r="V37" s="59">
        <f t="shared" si="51"/>
        <v>3194</v>
      </c>
      <c r="W37" s="59">
        <f t="shared" si="51"/>
        <v>622</v>
      </c>
      <c r="X37" s="59">
        <f t="shared" si="51"/>
        <v>762</v>
      </c>
      <c r="Y37" s="59">
        <f t="shared" si="51"/>
        <v>775</v>
      </c>
      <c r="Z37" s="59">
        <f t="shared" si="51"/>
        <v>1090</v>
      </c>
      <c r="AA37" s="59">
        <f t="shared" si="51"/>
        <v>1053</v>
      </c>
      <c r="AB37" s="59">
        <f t="shared" si="51"/>
        <v>2216</v>
      </c>
      <c r="AC37" s="59">
        <f t="shared" si="51"/>
        <v>1238</v>
      </c>
      <c r="AD37" s="59">
        <f t="shared" si="51"/>
        <v>1820</v>
      </c>
      <c r="AE37" s="59">
        <f t="shared" si="51"/>
        <v>959</v>
      </c>
      <c r="AF37" s="59">
        <f t="shared" si="51"/>
        <v>953</v>
      </c>
      <c r="AG37" s="59">
        <f t="shared" si="51"/>
        <v>287</v>
      </c>
      <c r="AH37" s="59">
        <f t="shared" si="51"/>
        <v>1836</v>
      </c>
      <c r="AI37" s="59">
        <f t="shared" ref="AI37:BF37" si="52">INDEX(MO_RIS_Tax_Current,0,COLUMN())+INDEX(MO_RIS_Tax_Deferred,0,COLUMN())</f>
        <v>2006</v>
      </c>
      <c r="AJ37" s="59">
        <f t="shared" si="52"/>
        <v>2119</v>
      </c>
      <c r="AK37" s="59">
        <f t="shared" si="52"/>
        <v>1371</v>
      </c>
      <c r="AL37" s="59">
        <f t="shared" si="52"/>
        <v>2417</v>
      </c>
      <c r="AM37" s="59">
        <f t="shared" si="52"/>
        <v>1443</v>
      </c>
      <c r="AN37" s="59">
        <f t="shared" si="52"/>
        <v>1499</v>
      </c>
      <c r="AO37" s="59">
        <f t="shared" si="52"/>
        <v>1181</v>
      </c>
      <c r="AP37" s="59">
        <f t="shared" si="52"/>
        <v>1497</v>
      </c>
      <c r="AQ37" s="59">
        <f t="shared" si="52"/>
        <v>1598</v>
      </c>
      <c r="AR37" s="59">
        <f t="shared" si="52"/>
        <v>1505</v>
      </c>
      <c r="AS37" s="59">
        <f t="shared" si="52"/>
        <v>2437</v>
      </c>
      <c r="AT37" s="59">
        <f t="shared" si="52"/>
        <v>2791</v>
      </c>
      <c r="AU37" s="59">
        <f t="shared" si="52"/>
        <v>1814</v>
      </c>
      <c r="AV37" s="59">
        <f t="shared" si="52"/>
        <v>1641</v>
      </c>
      <c r="AW37" s="59">
        <f t="shared" si="52"/>
        <v>2134</v>
      </c>
      <c r="AX37" s="59">
        <f t="shared" si="52"/>
        <v>2715</v>
      </c>
      <c r="AY37" s="675">
        <f t="shared" si="52"/>
        <v>1738</v>
      </c>
      <c r="AZ37" s="59">
        <f t="shared" si="52"/>
        <v>2845.9204547913691</v>
      </c>
      <c r="BA37" s="59">
        <f t="shared" ca="1" si="52"/>
        <v>3157.602277849478</v>
      </c>
      <c r="BB37" s="59">
        <f t="shared" ca="1" si="52"/>
        <v>3535.4246770016484</v>
      </c>
      <c r="BC37" s="59">
        <f t="shared" ca="1" si="52"/>
        <v>3755.1663629761038</v>
      </c>
      <c r="BD37" s="59">
        <f t="shared" ca="1" si="52"/>
        <v>3312.7681409055922</v>
      </c>
      <c r="BE37" s="59">
        <f t="shared" ca="1" si="52"/>
        <v>3566.719428560943</v>
      </c>
      <c r="BF37" s="59">
        <f t="shared" ca="1" si="52"/>
        <v>3866.6690714887145</v>
      </c>
      <c r="BG37" s="59"/>
      <c r="BH37" s="1054">
        <f t="shared" ref="BH37:CB37" si="53">INDEX(MO_RIS_Tax_Current,0,COLUMN())+INDEX(MO_RIS_Tax_Deferred,0,COLUMN())</f>
        <v>25</v>
      </c>
      <c r="BI37" s="1054">
        <f t="shared" si="53"/>
        <v>402</v>
      </c>
      <c r="BJ37" s="1054">
        <f t="shared" si="53"/>
        <v>695</v>
      </c>
      <c r="BK37" s="1054">
        <f t="shared" si="53"/>
        <v>441</v>
      </c>
      <c r="BL37" s="1054">
        <f t="shared" si="53"/>
        <v>1254</v>
      </c>
      <c r="BM37" s="1054">
        <f t="shared" si="53"/>
        <v>1970</v>
      </c>
      <c r="BN37" s="1054">
        <f t="shared" si="53"/>
        <v>2506</v>
      </c>
      <c r="BO37" s="1054">
        <f t="shared" si="53"/>
        <v>2301</v>
      </c>
      <c r="BP37" s="1054">
        <f t="shared" si="53"/>
        <v>4660</v>
      </c>
      <c r="BQ37" s="1054">
        <f t="shared" si="53"/>
        <v>3249</v>
      </c>
      <c r="BR37" s="1054">
        <f t="shared" si="53"/>
        <v>6327</v>
      </c>
      <c r="BS37" s="1054">
        <f t="shared" si="53"/>
        <v>4034</v>
      </c>
      <c r="BT37" s="1054">
        <f t="shared" si="53"/>
        <v>7914</v>
      </c>
      <c r="BU37" s="1054">
        <f t="shared" si="53"/>
        <v>5619</v>
      </c>
      <c r="BV37" s="1054">
        <f t="shared" si="53"/>
        <v>8330</v>
      </c>
      <c r="BW37" s="1055">
        <f t="shared" si="53"/>
        <v>8303</v>
      </c>
      <c r="BX37" s="1054">
        <f t="shared" ca="1" si="53"/>
        <v>11276.947409642495</v>
      </c>
      <c r="BY37" s="1054">
        <f t="shared" ca="1" si="53"/>
        <v>14501.323003931357</v>
      </c>
      <c r="BZ37" s="1054">
        <f t="shared" ca="1" si="53"/>
        <v>16500.62296823036</v>
      </c>
      <c r="CA37" s="1054">
        <f t="shared" ca="1" si="53"/>
        <v>25292.991930651537</v>
      </c>
      <c r="CB37" s="1054">
        <f t="shared" ca="1" si="53"/>
        <v>28839.193207965058</v>
      </c>
      <c r="CC37" s="610"/>
    </row>
    <row r="38" spans="1:81" s="731" customFormat="1" x14ac:dyDescent="0.55000000000000004">
      <c r="A38" s="91" t="str">
        <f>INDEX(MO_RIS_DisCont,0,COLUMN())</f>
        <v>Discontinued Operations</v>
      </c>
      <c r="B38" s="92"/>
      <c r="C38" s="59">
        <f t="shared" ref="C38:AH38" si="54">INDEX(MO_RIS_DisCont,0,COLUMN())</f>
        <v>0</v>
      </c>
      <c r="D38" s="59">
        <f t="shared" si="54"/>
        <v>0</v>
      </c>
      <c r="E38" s="59">
        <f t="shared" si="54"/>
        <v>0</v>
      </c>
      <c r="F38" s="59">
        <f t="shared" si="54"/>
        <v>0</v>
      </c>
      <c r="G38" s="59">
        <f t="shared" si="54"/>
        <v>0</v>
      </c>
      <c r="H38" s="59">
        <f t="shared" si="54"/>
        <v>0</v>
      </c>
      <c r="I38" s="59">
        <f t="shared" si="54"/>
        <v>0</v>
      </c>
      <c r="J38" s="59">
        <f t="shared" si="54"/>
        <v>0</v>
      </c>
      <c r="K38" s="59">
        <f t="shared" si="54"/>
        <v>0</v>
      </c>
      <c r="L38" s="59">
        <f t="shared" si="54"/>
        <v>0</v>
      </c>
      <c r="M38" s="59">
        <f t="shared" si="54"/>
        <v>0</v>
      </c>
      <c r="N38" s="59">
        <f t="shared" si="54"/>
        <v>0</v>
      </c>
      <c r="O38" s="59">
        <f t="shared" si="54"/>
        <v>0</v>
      </c>
      <c r="P38" s="59">
        <f t="shared" si="54"/>
        <v>0</v>
      </c>
      <c r="Q38" s="59">
        <f t="shared" si="54"/>
        <v>0</v>
      </c>
      <c r="R38" s="59">
        <f t="shared" si="54"/>
        <v>0</v>
      </c>
      <c r="S38" s="59">
        <f t="shared" si="54"/>
        <v>0</v>
      </c>
      <c r="T38" s="59">
        <f t="shared" si="54"/>
        <v>0</v>
      </c>
      <c r="U38" s="59">
        <f t="shared" si="54"/>
        <v>0</v>
      </c>
      <c r="V38" s="59">
        <f t="shared" si="54"/>
        <v>0</v>
      </c>
      <c r="W38" s="59">
        <f t="shared" si="54"/>
        <v>0</v>
      </c>
      <c r="X38" s="59">
        <f t="shared" si="54"/>
        <v>0</v>
      </c>
      <c r="Y38" s="59">
        <f t="shared" si="54"/>
        <v>0</v>
      </c>
      <c r="Z38" s="59">
        <f t="shared" si="54"/>
        <v>0</v>
      </c>
      <c r="AA38" s="59">
        <f t="shared" si="54"/>
        <v>0</v>
      </c>
      <c r="AB38" s="59">
        <f t="shared" si="54"/>
        <v>0</v>
      </c>
      <c r="AC38" s="59">
        <f t="shared" si="54"/>
        <v>0</v>
      </c>
      <c r="AD38" s="59">
        <f t="shared" si="54"/>
        <v>0</v>
      </c>
      <c r="AE38" s="59">
        <f t="shared" si="54"/>
        <v>0</v>
      </c>
      <c r="AF38" s="59">
        <f t="shared" si="54"/>
        <v>0</v>
      </c>
      <c r="AG38" s="59">
        <f t="shared" si="54"/>
        <v>0</v>
      </c>
      <c r="AH38" s="59">
        <f t="shared" si="54"/>
        <v>0</v>
      </c>
      <c r="AI38" s="59">
        <f t="shared" ref="AI38:BF38" si="55">INDEX(MO_RIS_DisCont,0,COLUMN())</f>
        <v>0</v>
      </c>
      <c r="AJ38" s="59">
        <f t="shared" si="55"/>
        <v>0</v>
      </c>
      <c r="AK38" s="59">
        <f t="shared" si="55"/>
        <v>0</v>
      </c>
      <c r="AL38" s="59">
        <f t="shared" si="55"/>
        <v>0</v>
      </c>
      <c r="AM38" s="59">
        <f t="shared" si="55"/>
        <v>0</v>
      </c>
      <c r="AN38" s="59">
        <f t="shared" si="55"/>
        <v>0</v>
      </c>
      <c r="AO38" s="59">
        <f t="shared" si="55"/>
        <v>0</v>
      </c>
      <c r="AP38" s="59">
        <f t="shared" si="55"/>
        <v>0</v>
      </c>
      <c r="AQ38" s="59">
        <f t="shared" si="55"/>
        <v>0</v>
      </c>
      <c r="AR38" s="59">
        <f t="shared" si="55"/>
        <v>0</v>
      </c>
      <c r="AS38" s="59">
        <f t="shared" si="55"/>
        <v>0</v>
      </c>
      <c r="AT38" s="59">
        <f t="shared" si="55"/>
        <v>0</v>
      </c>
      <c r="AU38" s="59">
        <f t="shared" si="55"/>
        <v>0</v>
      </c>
      <c r="AV38" s="59">
        <f t="shared" si="55"/>
        <v>0</v>
      </c>
      <c r="AW38" s="59">
        <f t="shared" si="55"/>
        <v>0</v>
      </c>
      <c r="AX38" s="59">
        <f t="shared" si="55"/>
        <v>0</v>
      </c>
      <c r="AY38" s="675">
        <f t="shared" si="55"/>
        <v>0</v>
      </c>
      <c r="AZ38" s="59">
        <f t="shared" si="55"/>
        <v>0</v>
      </c>
      <c r="BA38" s="59">
        <f t="shared" si="55"/>
        <v>0</v>
      </c>
      <c r="BB38" s="59">
        <f t="shared" si="55"/>
        <v>0</v>
      </c>
      <c r="BC38" s="59">
        <f t="shared" si="55"/>
        <v>0</v>
      </c>
      <c r="BD38" s="59">
        <f t="shared" si="55"/>
        <v>0</v>
      </c>
      <c r="BE38" s="59">
        <f t="shared" si="55"/>
        <v>0</v>
      </c>
      <c r="BF38" s="59">
        <f t="shared" si="55"/>
        <v>0</v>
      </c>
      <c r="BG38" s="59"/>
      <c r="BH38" s="1054">
        <f t="shared" ref="BH38:CB38" si="56">INDEX(MO_RIS_DisCont,0,COLUMN())</f>
        <v>0</v>
      </c>
      <c r="BI38" s="1054">
        <f t="shared" si="56"/>
        <v>0</v>
      </c>
      <c r="BJ38" s="1054">
        <f t="shared" si="56"/>
        <v>0</v>
      </c>
      <c r="BK38" s="1054">
        <f t="shared" si="56"/>
        <v>0</v>
      </c>
      <c r="BL38" s="1054">
        <f t="shared" si="56"/>
        <v>0</v>
      </c>
      <c r="BM38" s="1054">
        <f t="shared" si="56"/>
        <v>0</v>
      </c>
      <c r="BN38" s="1054">
        <f t="shared" si="56"/>
        <v>0</v>
      </c>
      <c r="BO38" s="1054">
        <f t="shared" si="56"/>
        <v>0</v>
      </c>
      <c r="BP38" s="1054">
        <f t="shared" si="56"/>
        <v>0</v>
      </c>
      <c r="BQ38" s="1054">
        <f t="shared" si="56"/>
        <v>0</v>
      </c>
      <c r="BR38" s="1054">
        <f t="shared" si="56"/>
        <v>0</v>
      </c>
      <c r="BS38" s="1054">
        <f t="shared" si="56"/>
        <v>0</v>
      </c>
      <c r="BT38" s="1054">
        <f t="shared" si="56"/>
        <v>0</v>
      </c>
      <c r="BU38" s="1054">
        <f t="shared" si="56"/>
        <v>0</v>
      </c>
      <c r="BV38" s="1054">
        <f t="shared" si="56"/>
        <v>0</v>
      </c>
      <c r="BW38" s="1055">
        <f t="shared" si="56"/>
        <v>0</v>
      </c>
      <c r="BX38" s="1054">
        <f t="shared" si="56"/>
        <v>0</v>
      </c>
      <c r="BY38" s="1054">
        <f t="shared" si="56"/>
        <v>0</v>
      </c>
      <c r="BZ38" s="1054">
        <f t="shared" si="56"/>
        <v>0</v>
      </c>
      <c r="CA38" s="1054">
        <f t="shared" si="56"/>
        <v>0</v>
      </c>
      <c r="CB38" s="1054">
        <f t="shared" si="56"/>
        <v>0</v>
      </c>
      <c r="CC38" s="610"/>
    </row>
    <row r="39" spans="1:81" s="731" customFormat="1" x14ac:dyDescent="0.55000000000000004">
      <c r="A39" s="91" t="str">
        <f>INDEX(MO_RIS_NCI,0,COLUMN())</f>
        <v>Net Income to NCI</v>
      </c>
      <c r="B39" s="92"/>
      <c r="C39" s="59">
        <f t="shared" ref="C39:AH39" si="57">INDEX(MO_RIS_NCI,0,COLUMN())</f>
        <v>0</v>
      </c>
      <c r="D39" s="59">
        <f t="shared" si="57"/>
        <v>0</v>
      </c>
      <c r="E39" s="59">
        <f t="shared" si="57"/>
        <v>0</v>
      </c>
      <c r="F39" s="59">
        <f t="shared" si="57"/>
        <v>0</v>
      </c>
      <c r="G39" s="59">
        <f t="shared" si="57"/>
        <v>0</v>
      </c>
      <c r="H39" s="59">
        <f t="shared" si="57"/>
        <v>0</v>
      </c>
      <c r="I39" s="59">
        <f t="shared" si="57"/>
        <v>0</v>
      </c>
      <c r="J39" s="59">
        <f t="shared" si="57"/>
        <v>0</v>
      </c>
      <c r="K39" s="59">
        <f t="shared" si="57"/>
        <v>0</v>
      </c>
      <c r="L39" s="59">
        <f t="shared" si="57"/>
        <v>0</v>
      </c>
      <c r="M39" s="59">
        <f t="shared" si="57"/>
        <v>0</v>
      </c>
      <c r="N39" s="59">
        <f t="shared" si="57"/>
        <v>0</v>
      </c>
      <c r="O39" s="59">
        <f t="shared" si="57"/>
        <v>0</v>
      </c>
      <c r="P39" s="59">
        <f t="shared" si="57"/>
        <v>0</v>
      </c>
      <c r="Q39" s="59">
        <f t="shared" si="57"/>
        <v>0</v>
      </c>
      <c r="R39" s="59">
        <f t="shared" si="57"/>
        <v>0</v>
      </c>
      <c r="S39" s="59">
        <f t="shared" si="57"/>
        <v>0</v>
      </c>
      <c r="T39" s="59">
        <f t="shared" si="57"/>
        <v>0</v>
      </c>
      <c r="U39" s="59">
        <f t="shared" si="57"/>
        <v>0</v>
      </c>
      <c r="V39" s="59">
        <f t="shared" si="57"/>
        <v>0</v>
      </c>
      <c r="W39" s="59">
        <f t="shared" si="57"/>
        <v>0</v>
      </c>
      <c r="X39" s="59">
        <f t="shared" si="57"/>
        <v>0</v>
      </c>
      <c r="Y39" s="59">
        <f t="shared" si="57"/>
        <v>0</v>
      </c>
      <c r="Z39" s="59">
        <f t="shared" si="57"/>
        <v>0</v>
      </c>
      <c r="AA39" s="59">
        <f t="shared" si="57"/>
        <v>0</v>
      </c>
      <c r="AB39" s="59">
        <f t="shared" si="57"/>
        <v>0</v>
      </c>
      <c r="AC39" s="59">
        <f t="shared" si="57"/>
        <v>0</v>
      </c>
      <c r="AD39" s="59">
        <f t="shared" si="57"/>
        <v>0</v>
      </c>
      <c r="AE39" s="59">
        <f t="shared" si="57"/>
        <v>0</v>
      </c>
      <c r="AF39" s="59">
        <f t="shared" si="57"/>
        <v>0</v>
      </c>
      <c r="AG39" s="59">
        <f t="shared" si="57"/>
        <v>0</v>
      </c>
      <c r="AH39" s="59">
        <f t="shared" si="57"/>
        <v>0</v>
      </c>
      <c r="AI39" s="59">
        <f t="shared" ref="AI39:BF39" si="58">INDEX(MO_RIS_NCI,0,COLUMN())</f>
        <v>0</v>
      </c>
      <c r="AJ39" s="59">
        <f t="shared" si="58"/>
        <v>0</v>
      </c>
      <c r="AK39" s="59">
        <f t="shared" si="58"/>
        <v>0</v>
      </c>
      <c r="AL39" s="59">
        <f t="shared" si="58"/>
        <v>0</v>
      </c>
      <c r="AM39" s="59">
        <f t="shared" si="58"/>
        <v>0</v>
      </c>
      <c r="AN39" s="59">
        <f t="shared" si="58"/>
        <v>0</v>
      </c>
      <c r="AO39" s="59">
        <f t="shared" si="58"/>
        <v>0</v>
      </c>
      <c r="AP39" s="59">
        <f t="shared" si="58"/>
        <v>0</v>
      </c>
      <c r="AQ39" s="59">
        <f t="shared" si="58"/>
        <v>0</v>
      </c>
      <c r="AR39" s="59">
        <f t="shared" si="58"/>
        <v>0</v>
      </c>
      <c r="AS39" s="59">
        <f t="shared" si="58"/>
        <v>0</v>
      </c>
      <c r="AT39" s="59">
        <f t="shared" si="58"/>
        <v>0</v>
      </c>
      <c r="AU39" s="59">
        <f t="shared" si="58"/>
        <v>0</v>
      </c>
      <c r="AV39" s="59">
        <f t="shared" si="58"/>
        <v>0</v>
      </c>
      <c r="AW39" s="59">
        <f t="shared" si="58"/>
        <v>0</v>
      </c>
      <c r="AX39" s="59">
        <f t="shared" si="58"/>
        <v>0</v>
      </c>
      <c r="AY39" s="675">
        <f t="shared" si="58"/>
        <v>0</v>
      </c>
      <c r="AZ39" s="59">
        <f t="shared" si="58"/>
        <v>0</v>
      </c>
      <c r="BA39" s="59">
        <f t="shared" si="58"/>
        <v>0</v>
      </c>
      <c r="BB39" s="59">
        <f t="shared" si="58"/>
        <v>0</v>
      </c>
      <c r="BC39" s="59">
        <f t="shared" si="58"/>
        <v>0</v>
      </c>
      <c r="BD39" s="59">
        <f t="shared" si="58"/>
        <v>0</v>
      </c>
      <c r="BE39" s="59">
        <f t="shared" si="58"/>
        <v>0</v>
      </c>
      <c r="BF39" s="59">
        <f t="shared" si="58"/>
        <v>0</v>
      </c>
      <c r="BG39" s="59"/>
      <c r="BH39" s="1054">
        <f t="shared" ref="BH39:CB39" si="59">INDEX(MO_RIS_NCI,0,COLUMN())</f>
        <v>0</v>
      </c>
      <c r="BI39" s="1054">
        <f t="shared" si="59"/>
        <v>0</v>
      </c>
      <c r="BJ39" s="1054">
        <f t="shared" si="59"/>
        <v>0</v>
      </c>
      <c r="BK39" s="1054">
        <f t="shared" si="59"/>
        <v>0</v>
      </c>
      <c r="BL39" s="1054">
        <f t="shared" si="59"/>
        <v>0</v>
      </c>
      <c r="BM39" s="1054">
        <f t="shared" si="59"/>
        <v>0</v>
      </c>
      <c r="BN39" s="1054">
        <f t="shared" si="59"/>
        <v>0</v>
      </c>
      <c r="BO39" s="1054">
        <f t="shared" si="59"/>
        <v>0</v>
      </c>
      <c r="BP39" s="1054">
        <f t="shared" si="59"/>
        <v>0</v>
      </c>
      <c r="BQ39" s="1054">
        <f t="shared" si="59"/>
        <v>0</v>
      </c>
      <c r="BR39" s="1054">
        <f t="shared" si="59"/>
        <v>0</v>
      </c>
      <c r="BS39" s="1054">
        <f t="shared" si="59"/>
        <v>0</v>
      </c>
      <c r="BT39" s="1054">
        <f t="shared" si="59"/>
        <v>0</v>
      </c>
      <c r="BU39" s="1054">
        <f t="shared" si="59"/>
        <v>0</v>
      </c>
      <c r="BV39" s="1054">
        <f t="shared" si="59"/>
        <v>0</v>
      </c>
      <c r="BW39" s="1055">
        <f t="shared" si="59"/>
        <v>0</v>
      </c>
      <c r="BX39" s="1054">
        <f t="shared" si="59"/>
        <v>0</v>
      </c>
      <c r="BY39" s="1054">
        <f t="shared" si="59"/>
        <v>0</v>
      </c>
      <c r="BZ39" s="1054">
        <f t="shared" si="59"/>
        <v>0</v>
      </c>
      <c r="CA39" s="1054">
        <f t="shared" si="59"/>
        <v>0</v>
      </c>
      <c r="CB39" s="1054">
        <f t="shared" si="59"/>
        <v>0</v>
      </c>
      <c r="CC39" s="610"/>
    </row>
    <row r="40" spans="1:81" s="731" customFormat="1" x14ac:dyDescent="0.55000000000000004">
      <c r="A40" s="183" t="str">
        <f>INDEX(MO_RIS_Dividend_Prefs,0,COLUMN())</f>
        <v>Earnings to Preferred and Other Securities</v>
      </c>
      <c r="B40" s="184"/>
      <c r="C40" s="168">
        <f t="shared" ref="C40:AH40" si="60">INDEX(MO_RIS_Dividend_Prefs,0,COLUMN())</f>
        <v>2</v>
      </c>
      <c r="D40" s="168">
        <f t="shared" si="60"/>
        <v>2</v>
      </c>
      <c r="E40" s="168">
        <f t="shared" si="60"/>
        <v>3</v>
      </c>
      <c r="F40" s="168">
        <f t="shared" si="60"/>
        <v>3</v>
      </c>
      <c r="G40" s="168">
        <f t="shared" si="60"/>
        <v>3</v>
      </c>
      <c r="H40" s="168">
        <f t="shared" si="60"/>
        <v>3</v>
      </c>
      <c r="I40" s="168">
        <f t="shared" si="60"/>
        <v>4</v>
      </c>
      <c r="J40" s="168">
        <f t="shared" si="60"/>
        <v>5</v>
      </c>
      <c r="K40" s="168">
        <f t="shared" si="60"/>
        <v>3</v>
      </c>
      <c r="L40" s="168">
        <f t="shared" si="60"/>
        <v>4</v>
      </c>
      <c r="M40" s="168">
        <f t="shared" si="60"/>
        <v>5</v>
      </c>
      <c r="N40" s="168">
        <f t="shared" si="60"/>
        <v>7</v>
      </c>
      <c r="O40" s="168">
        <f t="shared" si="60"/>
        <v>6</v>
      </c>
      <c r="P40" s="168">
        <f t="shared" si="60"/>
        <v>7</v>
      </c>
      <c r="Q40" s="168">
        <f t="shared" si="60"/>
        <v>7</v>
      </c>
      <c r="R40" s="168">
        <f t="shared" si="60"/>
        <v>7</v>
      </c>
      <c r="S40" s="168">
        <f t="shared" si="60"/>
        <v>5</v>
      </c>
      <c r="T40" s="168">
        <f t="shared" si="60"/>
        <v>4</v>
      </c>
      <c r="U40" s="168">
        <f t="shared" si="60"/>
        <v>3</v>
      </c>
      <c r="V40" s="168">
        <f t="shared" si="60"/>
        <v>2</v>
      </c>
      <c r="W40" s="168">
        <f t="shared" si="60"/>
        <v>1</v>
      </c>
      <c r="X40" s="168">
        <f t="shared" si="60"/>
        <v>0</v>
      </c>
      <c r="Y40" s="168">
        <f t="shared" si="60"/>
        <v>0</v>
      </c>
      <c r="Z40" s="168">
        <f t="shared" si="60"/>
        <v>0</v>
      </c>
      <c r="AA40" s="168">
        <f t="shared" si="60"/>
        <v>0</v>
      </c>
      <c r="AB40" s="168">
        <f t="shared" si="60"/>
        <v>0</v>
      </c>
      <c r="AC40" s="168">
        <f t="shared" si="60"/>
        <v>0</v>
      </c>
      <c r="AD40" s="168">
        <f t="shared" si="60"/>
        <v>0</v>
      </c>
      <c r="AE40" s="168">
        <f t="shared" si="60"/>
        <v>0</v>
      </c>
      <c r="AF40" s="168">
        <f t="shared" si="60"/>
        <v>0</v>
      </c>
      <c r="AG40" s="168">
        <f t="shared" si="60"/>
        <v>0</v>
      </c>
      <c r="AH40" s="168">
        <f t="shared" si="60"/>
        <v>0</v>
      </c>
      <c r="AI40" s="168">
        <f t="shared" ref="AI40:BF40" si="61">INDEX(MO_RIS_Dividend_Prefs,0,COLUMN())</f>
        <v>0</v>
      </c>
      <c r="AJ40" s="168">
        <f t="shared" si="61"/>
        <v>0</v>
      </c>
      <c r="AK40" s="168">
        <f t="shared" si="61"/>
        <v>0</v>
      </c>
      <c r="AL40" s="168">
        <f t="shared" si="61"/>
        <v>0</v>
      </c>
      <c r="AM40" s="168">
        <f t="shared" si="61"/>
        <v>0</v>
      </c>
      <c r="AN40" s="168">
        <f t="shared" si="61"/>
        <v>0</v>
      </c>
      <c r="AO40" s="168">
        <f t="shared" si="61"/>
        <v>0</v>
      </c>
      <c r="AP40" s="168">
        <f t="shared" si="61"/>
        <v>0</v>
      </c>
      <c r="AQ40" s="168">
        <f t="shared" si="61"/>
        <v>0</v>
      </c>
      <c r="AR40" s="168">
        <f t="shared" si="61"/>
        <v>0</v>
      </c>
      <c r="AS40" s="168">
        <f t="shared" si="61"/>
        <v>0</v>
      </c>
      <c r="AT40" s="168">
        <f t="shared" si="61"/>
        <v>0</v>
      </c>
      <c r="AU40" s="168">
        <f t="shared" si="61"/>
        <v>0</v>
      </c>
      <c r="AV40" s="168">
        <f t="shared" si="61"/>
        <v>0</v>
      </c>
      <c r="AW40" s="168">
        <f t="shared" si="61"/>
        <v>0</v>
      </c>
      <c r="AX40" s="168">
        <f t="shared" si="61"/>
        <v>0</v>
      </c>
      <c r="AY40" s="686">
        <f t="shared" si="61"/>
        <v>0</v>
      </c>
      <c r="AZ40" s="168">
        <f t="shared" si="61"/>
        <v>0</v>
      </c>
      <c r="BA40" s="168">
        <f t="shared" si="61"/>
        <v>0</v>
      </c>
      <c r="BB40" s="168">
        <f t="shared" si="61"/>
        <v>0</v>
      </c>
      <c r="BC40" s="168">
        <f t="shared" si="61"/>
        <v>0</v>
      </c>
      <c r="BD40" s="168">
        <f t="shared" si="61"/>
        <v>0</v>
      </c>
      <c r="BE40" s="168">
        <f t="shared" si="61"/>
        <v>0</v>
      </c>
      <c r="BF40" s="168">
        <f t="shared" si="61"/>
        <v>0</v>
      </c>
      <c r="BG40" s="168"/>
      <c r="BH40" s="1056">
        <f t="shared" ref="BH40:CB40" si="62">INDEX(MO_RIS_Dividend_Prefs,0,COLUMN())</f>
        <v>107</v>
      </c>
      <c r="BI40" s="1056">
        <f t="shared" si="62"/>
        <v>234</v>
      </c>
      <c r="BJ40" s="1056">
        <f t="shared" si="62"/>
        <v>332</v>
      </c>
      <c r="BK40" s="1056">
        <f t="shared" si="62"/>
        <v>21</v>
      </c>
      <c r="BL40" s="1056">
        <f t="shared" si="62"/>
        <v>9</v>
      </c>
      <c r="BM40" s="1056">
        <f t="shared" si="62"/>
        <v>15</v>
      </c>
      <c r="BN40" s="1056">
        <f t="shared" si="62"/>
        <v>19</v>
      </c>
      <c r="BO40" s="1056">
        <f t="shared" si="62"/>
        <v>29</v>
      </c>
      <c r="BP40" s="1056">
        <f t="shared" si="62"/>
        <v>14</v>
      </c>
      <c r="BQ40" s="1056">
        <f t="shared" si="62"/>
        <v>1</v>
      </c>
      <c r="BR40" s="1056">
        <f t="shared" si="62"/>
        <v>0</v>
      </c>
      <c r="BS40" s="1056">
        <f t="shared" si="62"/>
        <v>0</v>
      </c>
      <c r="BT40" s="1056">
        <f t="shared" si="62"/>
        <v>0</v>
      </c>
      <c r="BU40" s="1056">
        <f t="shared" si="62"/>
        <v>0</v>
      </c>
      <c r="BV40" s="1056">
        <f t="shared" si="62"/>
        <v>0</v>
      </c>
      <c r="BW40" s="1057">
        <f t="shared" si="62"/>
        <v>0</v>
      </c>
      <c r="BX40" s="1056">
        <f t="shared" si="62"/>
        <v>0</v>
      </c>
      <c r="BY40" s="1056">
        <f t="shared" si="62"/>
        <v>0</v>
      </c>
      <c r="BZ40" s="1056">
        <f t="shared" si="62"/>
        <v>0</v>
      </c>
      <c r="CA40" s="1056">
        <f t="shared" si="62"/>
        <v>0</v>
      </c>
      <c r="CB40" s="1056">
        <f t="shared" si="62"/>
        <v>0</v>
      </c>
      <c r="CC40" s="610"/>
    </row>
    <row r="41" spans="1:81" s="728" customFormat="1" x14ac:dyDescent="0.55000000000000004">
      <c r="A41" s="93" t="str">
        <f>INDEX(MO_RIS_NI_GAAP_Basic,0,COLUMN())</f>
        <v>Net Income to Common Shareholders</v>
      </c>
      <c r="B41" s="94"/>
      <c r="C41" s="60">
        <f t="shared" ref="C41:AH41" si="63">INDEX(SP_GF_EBT,0,COLUMN())-INDEX(SP_GF_Tax,0,COLUMN())-INDEX(SP_GF_DisCont,0,COLUMN())-INDEX(SP_GF_NCI,0,COLUMN())-INDEX(SP_GF_Div_Prefs,0,COLUMN())</f>
        <v>217</v>
      </c>
      <c r="D41" s="60">
        <f t="shared" si="63"/>
        <v>331</v>
      </c>
      <c r="E41" s="60">
        <f t="shared" si="63"/>
        <v>422</v>
      </c>
      <c r="F41" s="60">
        <f t="shared" si="63"/>
        <v>520</v>
      </c>
      <c r="G41" s="60">
        <f t="shared" si="63"/>
        <v>639</v>
      </c>
      <c r="H41" s="60">
        <f t="shared" si="63"/>
        <v>788</v>
      </c>
      <c r="I41" s="60">
        <f t="shared" si="63"/>
        <v>802</v>
      </c>
      <c r="J41" s="60">
        <f t="shared" si="63"/>
        <v>696</v>
      </c>
      <c r="K41" s="60">
        <f t="shared" si="63"/>
        <v>509</v>
      </c>
      <c r="L41" s="60">
        <f t="shared" si="63"/>
        <v>715</v>
      </c>
      <c r="M41" s="60">
        <f t="shared" si="63"/>
        <v>891</v>
      </c>
      <c r="N41" s="60">
        <f t="shared" si="63"/>
        <v>1555</v>
      </c>
      <c r="O41" s="60">
        <f t="shared" si="63"/>
        <v>1732</v>
      </c>
      <c r="P41" s="60">
        <f t="shared" si="63"/>
        <v>2276</v>
      </c>
      <c r="Q41" s="60">
        <f t="shared" si="63"/>
        <v>2620</v>
      </c>
      <c r="R41" s="60">
        <f t="shared" si="63"/>
        <v>3561</v>
      </c>
      <c r="S41" s="60">
        <f t="shared" si="63"/>
        <v>3059</v>
      </c>
      <c r="T41" s="60">
        <f t="shared" si="63"/>
        <v>3890</v>
      </c>
      <c r="U41" s="60">
        <f t="shared" si="63"/>
        <v>4704</v>
      </c>
      <c r="V41" s="60">
        <f t="shared" si="63"/>
        <v>4265</v>
      </c>
      <c r="W41" s="60">
        <f t="shared" si="63"/>
        <v>4987</v>
      </c>
      <c r="X41" s="60">
        <f t="shared" si="63"/>
        <v>5106</v>
      </c>
      <c r="Y41" s="60">
        <f t="shared" si="63"/>
        <v>5137</v>
      </c>
      <c r="Z41" s="60">
        <f t="shared" si="63"/>
        <v>6881</v>
      </c>
      <c r="AA41" s="60">
        <f t="shared" si="63"/>
        <v>2429</v>
      </c>
      <c r="AB41" s="60">
        <f t="shared" si="63"/>
        <v>2616</v>
      </c>
      <c r="AC41" s="60">
        <f t="shared" si="63"/>
        <v>6091</v>
      </c>
      <c r="AD41" s="60">
        <f t="shared" si="63"/>
        <v>7349</v>
      </c>
      <c r="AE41" s="60">
        <f t="shared" si="63"/>
        <v>4902</v>
      </c>
      <c r="AF41" s="60">
        <f t="shared" si="63"/>
        <v>5178</v>
      </c>
      <c r="AG41" s="60">
        <f t="shared" si="63"/>
        <v>7846</v>
      </c>
      <c r="AH41" s="60">
        <f t="shared" si="63"/>
        <v>11219</v>
      </c>
      <c r="AI41" s="60">
        <f t="shared" ref="AI41:BF41" si="64">INDEX(SP_GF_EBT,0,COLUMN())-INDEX(SP_GF_Tax,0,COLUMN())-INDEX(SP_GF_DisCont,0,COLUMN())-INDEX(SP_GF_NCI,0,COLUMN())-INDEX(SP_GF_Div_Prefs,0,COLUMN())</f>
        <v>9497</v>
      </c>
      <c r="AJ41" s="60">
        <f t="shared" si="64"/>
        <v>10394</v>
      </c>
      <c r="AK41" s="60">
        <f t="shared" si="64"/>
        <v>9194</v>
      </c>
      <c r="AL41" s="60">
        <f t="shared" si="64"/>
        <v>10286</v>
      </c>
      <c r="AM41" s="60">
        <f t="shared" si="64"/>
        <v>7465</v>
      </c>
      <c r="AN41" s="60">
        <f t="shared" si="64"/>
        <v>6687</v>
      </c>
      <c r="AO41" s="60">
        <f t="shared" si="64"/>
        <v>4395</v>
      </c>
      <c r="AP41" s="60">
        <f t="shared" si="64"/>
        <v>4652</v>
      </c>
      <c r="AQ41" s="60">
        <f t="shared" si="64"/>
        <v>5709</v>
      </c>
      <c r="AR41" s="60">
        <f t="shared" si="64"/>
        <v>7788</v>
      </c>
      <c r="AS41" s="60">
        <f t="shared" si="64"/>
        <v>11583</v>
      </c>
      <c r="AT41" s="60">
        <f t="shared" si="64"/>
        <v>14017</v>
      </c>
      <c r="AU41" s="60">
        <f t="shared" si="64"/>
        <v>12369</v>
      </c>
      <c r="AV41" s="60">
        <f t="shared" si="64"/>
        <v>13465</v>
      </c>
      <c r="AW41" s="60">
        <f t="shared" si="64"/>
        <v>15688</v>
      </c>
      <c r="AX41" s="60">
        <f t="shared" si="64"/>
        <v>20838</v>
      </c>
      <c r="AY41" s="687">
        <f t="shared" si="64"/>
        <v>16644</v>
      </c>
      <c r="AZ41" s="60">
        <f t="shared" si="64"/>
        <v>18234.971802922475</v>
      </c>
      <c r="BA41" s="60">
        <f t="shared" ca="1" si="64"/>
        <v>20232.044224739246</v>
      </c>
      <c r="BB41" s="60">
        <f t="shared" ca="1" si="64"/>
        <v>22652.906263751305</v>
      </c>
      <c r="BC41" s="60">
        <f t="shared" ca="1" si="64"/>
        <v>25130.728736840083</v>
      </c>
      <c r="BD41" s="60">
        <f t="shared" ca="1" si="64"/>
        <v>22170.063712214345</v>
      </c>
      <c r="BE41" s="60">
        <f t="shared" ca="1" si="64"/>
        <v>23869.583868061698</v>
      </c>
      <c r="BF41" s="60">
        <f t="shared" ca="1" si="64"/>
        <v>25876.93917073217</v>
      </c>
      <c r="BG41" s="60"/>
      <c r="BH41" s="1058">
        <f t="shared" ref="BH41:CB41" si="65">INDEX(SP_GF_EBT,0,COLUMN())-INDEX(SP_GF_Tax,0,COLUMN())-INDEX(SP_GF_DisCont,0,COLUMN())-INDEX(SP_GF_NCI,0,COLUMN())-INDEX(SP_GF_Div_Prefs,0,COLUMN())</f>
        <v>122</v>
      </c>
      <c r="BI41" s="1058">
        <f t="shared" si="65"/>
        <v>372</v>
      </c>
      <c r="BJ41" s="1058">
        <f t="shared" si="65"/>
        <v>668</v>
      </c>
      <c r="BK41" s="1058">
        <f t="shared" si="65"/>
        <v>32</v>
      </c>
      <c r="BL41" s="1058">
        <f t="shared" si="65"/>
        <v>1491</v>
      </c>
      <c r="BM41" s="1058">
        <f t="shared" si="65"/>
        <v>2925</v>
      </c>
      <c r="BN41" s="1058">
        <f t="shared" si="65"/>
        <v>3669</v>
      </c>
      <c r="BO41" s="1058">
        <f t="shared" si="65"/>
        <v>10188</v>
      </c>
      <c r="BP41" s="1058">
        <f t="shared" si="65"/>
        <v>15920</v>
      </c>
      <c r="BQ41" s="1058">
        <f t="shared" si="65"/>
        <v>22111</v>
      </c>
      <c r="BR41" s="1058">
        <f t="shared" si="65"/>
        <v>18485</v>
      </c>
      <c r="BS41" s="1058">
        <f t="shared" si="65"/>
        <v>29146</v>
      </c>
      <c r="BT41" s="1058">
        <f t="shared" si="65"/>
        <v>39370</v>
      </c>
      <c r="BU41" s="1058">
        <f t="shared" si="65"/>
        <v>23200</v>
      </c>
      <c r="BV41" s="1058">
        <f t="shared" si="65"/>
        <v>39098</v>
      </c>
      <c r="BW41" s="1059">
        <f t="shared" si="65"/>
        <v>62360</v>
      </c>
      <c r="BX41" s="1058">
        <f t="shared" ca="1" si="65"/>
        <v>77763.922291413051</v>
      </c>
      <c r="BY41" s="1058">
        <f t="shared" ca="1" si="65"/>
        <v>97047.315487848275</v>
      </c>
      <c r="BZ41" s="1058">
        <f t="shared" ca="1" si="65"/>
        <v>110427.24601815702</v>
      </c>
      <c r="CA41" s="1058">
        <f t="shared" ca="1" si="65"/>
        <v>115223.62990630147</v>
      </c>
      <c r="CB41" s="1058">
        <f t="shared" ca="1" si="65"/>
        <v>131378.54683628521</v>
      </c>
      <c r="CC41" s="607"/>
    </row>
    <row r="42" spans="1:81" s="730" customFormat="1" x14ac:dyDescent="0.55000000000000004">
      <c r="A42" s="98" t="str">
        <f>INDEX(MO_RIS_EPS_WAD,0,COLUMN())</f>
        <v>Earnings Per Share - WAD</v>
      </c>
      <c r="B42" s="99"/>
      <c r="C42" s="63">
        <f t="shared" ref="C42:AH42" si="66">INDEX(MO_RIS_EPS_WAD,0,COLUMN())</f>
        <v>8.7635054021608649E-2</v>
      </c>
      <c r="D42" s="63">
        <f t="shared" si="66"/>
        <v>0.13309352517985612</v>
      </c>
      <c r="E42" s="63">
        <f t="shared" si="66"/>
        <v>0.16811708860759494</v>
      </c>
      <c r="F42" s="63">
        <f t="shared" si="66"/>
        <v>0.20445660672400312</v>
      </c>
      <c r="G42" s="63">
        <f t="shared" si="66"/>
        <v>0.24607129168263703</v>
      </c>
      <c r="H42" s="63">
        <f t="shared" si="66"/>
        <v>0.30248565965583174</v>
      </c>
      <c r="I42" s="63">
        <f t="shared" si="66"/>
        <v>0.30484114977307109</v>
      </c>
      <c r="J42" s="63">
        <f t="shared" si="66"/>
        <v>0.24893465909090909</v>
      </c>
      <c r="K42" s="63">
        <f t="shared" si="66"/>
        <v>0.18053596614950634</v>
      </c>
      <c r="L42" s="63">
        <f t="shared" si="66"/>
        <v>0.25228070175438594</v>
      </c>
      <c r="M42" s="63">
        <f t="shared" si="66"/>
        <v>0.31295843520782396</v>
      </c>
      <c r="N42" s="63">
        <f t="shared" si="66"/>
        <v>0.54239054899235584</v>
      </c>
      <c r="O42" s="63">
        <f t="shared" si="66"/>
        <v>0.59827882960413081</v>
      </c>
      <c r="P42" s="63">
        <f t="shared" si="66"/>
        <v>0.78158165011982195</v>
      </c>
      <c r="Q42" s="63">
        <f t="shared" si="66"/>
        <v>0.90120068610634652</v>
      </c>
      <c r="R42" s="63">
        <f t="shared" si="66"/>
        <v>1.2147719537100068</v>
      </c>
      <c r="S42" s="63">
        <f t="shared" si="66"/>
        <v>1.0407608695652173</v>
      </c>
      <c r="T42" s="63">
        <f t="shared" si="66"/>
        <v>1.3195526940020332</v>
      </c>
      <c r="U42" s="63">
        <f t="shared" si="66"/>
        <v>1.5923545331529094</v>
      </c>
      <c r="V42" s="63">
        <f t="shared" si="66"/>
        <v>1.445159106296547</v>
      </c>
      <c r="W42" s="63">
        <f t="shared" si="66"/>
        <v>1.6937181663837011</v>
      </c>
      <c r="X42" s="63">
        <f t="shared" si="66"/>
        <v>1.7426621160409557</v>
      </c>
      <c r="Y42" s="63">
        <f t="shared" si="66"/>
        <v>1.7634740817027119</v>
      </c>
      <c r="Z42" s="63">
        <f t="shared" si="66"/>
        <v>2.3842688842688844</v>
      </c>
      <c r="AA42" s="63">
        <f t="shared" si="66"/>
        <v>0.84663645869640991</v>
      </c>
      <c r="AB42" s="63">
        <f t="shared" si="66"/>
        <v>0.90991304347826085</v>
      </c>
      <c r="AC42" s="63">
        <f t="shared" si="66"/>
        <v>2.1193458594293668</v>
      </c>
      <c r="AD42" s="63">
        <f t="shared" si="66"/>
        <v>2.559735283873215</v>
      </c>
      <c r="AE42" s="63">
        <f t="shared" si="66"/>
        <v>1.7092050209205021</v>
      </c>
      <c r="AF42" s="63">
        <f t="shared" si="66"/>
        <v>1.7985411601250434</v>
      </c>
      <c r="AG42" s="63">
        <f t="shared" si="66"/>
        <v>2.7139398132134209</v>
      </c>
      <c r="AH42" s="63">
        <f t="shared" si="66"/>
        <v>3.882006920415225</v>
      </c>
      <c r="AI42" s="63">
        <f t="shared" ref="AI42:BF42" si="67">INDEX(MO_RIS_EPS_WAD,0,COLUMN())</f>
        <v>3.2952810548230396</v>
      </c>
      <c r="AJ42" s="63">
        <f t="shared" si="67"/>
        <v>3.6127911018421965</v>
      </c>
      <c r="AK42" s="63">
        <f t="shared" si="67"/>
        <v>3.2158097236796084</v>
      </c>
      <c r="AL42" s="63">
        <f t="shared" si="67"/>
        <v>3.6748838871025367</v>
      </c>
      <c r="AM42" s="63">
        <f t="shared" si="67"/>
        <v>2.7224653537563821</v>
      </c>
      <c r="AN42" s="63">
        <f t="shared" si="67"/>
        <v>2.4647991153704387</v>
      </c>
      <c r="AO42" s="63">
        <f t="shared" si="67"/>
        <v>1.6356531447711202</v>
      </c>
      <c r="AP42" s="63">
        <f t="shared" si="67"/>
        <v>1.7621212121212122</v>
      </c>
      <c r="AQ42" s="63">
        <f t="shared" si="67"/>
        <v>2.1991525423728815</v>
      </c>
      <c r="AR42" s="63">
        <f t="shared" si="67"/>
        <v>2.9816232771822357</v>
      </c>
      <c r="AS42" s="63">
        <f t="shared" si="67"/>
        <v>4.3858386974630825</v>
      </c>
      <c r="AT42" s="63">
        <f t="shared" si="67"/>
        <v>5.3296577946768062</v>
      </c>
      <c r="AU42" s="63">
        <f t="shared" si="67"/>
        <v>4.7119999999999997</v>
      </c>
      <c r="AV42" s="63">
        <f t="shared" si="67"/>
        <v>5.1590038314176248</v>
      </c>
      <c r="AW42" s="63">
        <f t="shared" si="67"/>
        <v>6.0338461538461541</v>
      </c>
      <c r="AX42" s="63">
        <f t="shared" si="67"/>
        <v>8.0176991150442483</v>
      </c>
      <c r="AY42" s="693">
        <f t="shared" si="67"/>
        <v>6.4262548262548265</v>
      </c>
      <c r="AZ42" s="63">
        <f t="shared" ca="1" si="67"/>
        <v>7.0462126544188326</v>
      </c>
      <c r="BA42" s="63">
        <f t="shared" ca="1" si="67"/>
        <v>7.8072951401833093</v>
      </c>
      <c r="BB42" s="63">
        <f t="shared" ca="1" si="67"/>
        <v>8.750891183534069</v>
      </c>
      <c r="BC42" s="63">
        <f t="shared" ca="1" si="67"/>
        <v>9.7128277352638719</v>
      </c>
      <c r="BD42" s="63">
        <f t="shared" ca="1" si="67"/>
        <v>8.5676973685638131</v>
      </c>
      <c r="BE42" s="63">
        <f t="shared" ca="1" si="67"/>
        <v>9.2235604217152236</v>
      </c>
      <c r="BF42" s="63">
        <f t="shared" ca="1" si="67"/>
        <v>9.9982323916825209</v>
      </c>
      <c r="BG42" s="63"/>
      <c r="BH42" s="1076">
        <f t="shared" ref="BH42:CB42" si="68">INDEX(MO_RIS_EPS_WAD,0,COLUMN())</f>
        <v>0</v>
      </c>
      <c r="BI42" s="1076">
        <f t="shared" si="68"/>
        <v>0.28429985855728429</v>
      </c>
      <c r="BJ42" s="1076">
        <f t="shared" si="68"/>
        <v>0.46352785145888592</v>
      </c>
      <c r="BK42" s="1076">
        <f t="shared" si="68"/>
        <v>1.4773776546629732E-2</v>
      </c>
      <c r="BL42" s="1076">
        <f t="shared" si="68"/>
        <v>0.59594755661501786</v>
      </c>
      <c r="BM42" s="1076">
        <f t="shared" si="68"/>
        <v>1.1036036036036037</v>
      </c>
      <c r="BN42" s="1076">
        <f t="shared" si="68"/>
        <v>1.2926743778478795</v>
      </c>
      <c r="BO42" s="1076">
        <f t="shared" si="68"/>
        <v>3.4929914529914532</v>
      </c>
      <c r="BP42" s="1076">
        <f t="shared" si="68"/>
        <v>5.3903924221921518</v>
      </c>
      <c r="BQ42" s="1076">
        <f t="shared" si="68"/>
        <v>7.5700102704553238</v>
      </c>
      <c r="BR42" s="1076">
        <f t="shared" si="68"/>
        <v>6.4273296244784426</v>
      </c>
      <c r="BS42" s="1076">
        <f t="shared" si="68"/>
        <v>10.092105263157896</v>
      </c>
      <c r="BT42" s="1076">
        <f t="shared" si="68"/>
        <v>13.770549143057012</v>
      </c>
      <c r="BU42" s="1076">
        <f t="shared" si="68"/>
        <v>8.5862324204293117</v>
      </c>
      <c r="BV42" s="1076">
        <f t="shared" si="68"/>
        <v>14.871814378090528</v>
      </c>
      <c r="BW42" s="1077">
        <f t="shared" si="68"/>
        <v>23.856159143075747</v>
      </c>
      <c r="BX42" s="1076">
        <f t="shared" ca="1" si="68"/>
        <v>30.020515028389646</v>
      </c>
      <c r="BY42" s="1076">
        <f t="shared" ca="1" si="68"/>
        <v>37.502357568041283</v>
      </c>
      <c r="BZ42" s="1076">
        <f t="shared" ca="1" si="68"/>
        <v>42.759781316545677</v>
      </c>
      <c r="CA42" s="1076">
        <f t="shared" ca="1" si="68"/>
        <v>44.807640164096313</v>
      </c>
      <c r="CB42" s="1076">
        <f t="shared" ca="1" si="68"/>
        <v>51.287253533345151</v>
      </c>
      <c r="CC42" s="63"/>
    </row>
    <row r="43" spans="1:81" s="731" customFormat="1" x14ac:dyDescent="0.55000000000000004">
      <c r="A43" s="378" t="str">
        <f>INDEX(MO_RIS_ShareCount_WAD_Adj,0,COLUMN())</f>
        <v>Adjusted Shares Outstanding - WAD</v>
      </c>
      <c r="B43" s="92"/>
      <c r="C43" s="59">
        <f t="shared" ref="C43:AH43" si="69">INDEX(MO_RIS_ShareCount_WAD_Adj,0,COLUMN())</f>
        <v>2499</v>
      </c>
      <c r="D43" s="59">
        <f t="shared" si="69"/>
        <v>2502</v>
      </c>
      <c r="E43" s="59">
        <f t="shared" si="69"/>
        <v>2528</v>
      </c>
      <c r="F43" s="59">
        <f t="shared" si="69"/>
        <v>2558</v>
      </c>
      <c r="G43" s="59">
        <f t="shared" si="69"/>
        <v>2609</v>
      </c>
      <c r="H43" s="59">
        <f t="shared" si="69"/>
        <v>2615</v>
      </c>
      <c r="I43" s="59">
        <f t="shared" si="69"/>
        <v>2644</v>
      </c>
      <c r="J43" s="59">
        <f t="shared" si="69"/>
        <v>2816</v>
      </c>
      <c r="K43" s="59">
        <f t="shared" si="69"/>
        <v>2836</v>
      </c>
      <c r="L43" s="59">
        <f t="shared" si="69"/>
        <v>2850</v>
      </c>
      <c r="M43" s="59">
        <f t="shared" si="69"/>
        <v>2863</v>
      </c>
      <c r="N43" s="59">
        <f t="shared" si="69"/>
        <v>2878</v>
      </c>
      <c r="O43" s="59">
        <f t="shared" si="69"/>
        <v>2888</v>
      </c>
      <c r="P43" s="59">
        <f t="shared" si="69"/>
        <v>2921</v>
      </c>
      <c r="Q43" s="59">
        <f t="shared" si="69"/>
        <v>2915</v>
      </c>
      <c r="R43" s="59">
        <f t="shared" si="69"/>
        <v>2938</v>
      </c>
      <c r="S43" s="59">
        <f t="shared" si="69"/>
        <v>2944</v>
      </c>
      <c r="T43" s="59">
        <f t="shared" si="69"/>
        <v>2951</v>
      </c>
      <c r="U43" s="59">
        <f t="shared" si="69"/>
        <v>2956</v>
      </c>
      <c r="V43" s="59">
        <f t="shared" si="69"/>
        <v>2954</v>
      </c>
      <c r="W43" s="59">
        <f t="shared" si="69"/>
        <v>2945</v>
      </c>
      <c r="X43" s="59">
        <f t="shared" si="69"/>
        <v>2930</v>
      </c>
      <c r="Y43" s="59">
        <f t="shared" si="69"/>
        <v>2913</v>
      </c>
      <c r="Z43" s="59">
        <f t="shared" si="69"/>
        <v>2886</v>
      </c>
      <c r="AA43" s="59">
        <f t="shared" si="69"/>
        <v>2869</v>
      </c>
      <c r="AB43" s="59">
        <f t="shared" si="69"/>
        <v>2875</v>
      </c>
      <c r="AC43" s="59">
        <f t="shared" si="69"/>
        <v>2874</v>
      </c>
      <c r="AD43" s="59">
        <f t="shared" si="69"/>
        <v>2871</v>
      </c>
      <c r="AE43" s="59">
        <f t="shared" si="69"/>
        <v>2868</v>
      </c>
      <c r="AF43" s="59">
        <f t="shared" si="69"/>
        <v>2879</v>
      </c>
      <c r="AG43" s="59">
        <f t="shared" si="69"/>
        <v>2891</v>
      </c>
      <c r="AH43" s="59">
        <f t="shared" si="69"/>
        <v>2890</v>
      </c>
      <c r="AI43" s="59">
        <f t="shared" ref="AI43:BF43" si="70">INDEX(MO_RIS_ShareCount_WAD_Adj,0,COLUMN())</f>
        <v>2882</v>
      </c>
      <c r="AJ43" s="59">
        <f t="shared" si="70"/>
        <v>2877</v>
      </c>
      <c r="AK43" s="59">
        <f t="shared" si="70"/>
        <v>2859</v>
      </c>
      <c r="AL43" s="59">
        <f t="shared" si="70"/>
        <v>2799</v>
      </c>
      <c r="AM43" s="59">
        <f t="shared" si="70"/>
        <v>2742</v>
      </c>
      <c r="AN43" s="59">
        <f t="shared" si="70"/>
        <v>2713</v>
      </c>
      <c r="AO43" s="59">
        <f t="shared" si="70"/>
        <v>2687</v>
      </c>
      <c r="AP43" s="59">
        <f t="shared" si="70"/>
        <v>2640</v>
      </c>
      <c r="AQ43" s="59">
        <f t="shared" si="70"/>
        <v>2596</v>
      </c>
      <c r="AR43" s="59">
        <f t="shared" si="70"/>
        <v>2612</v>
      </c>
      <c r="AS43" s="59">
        <f t="shared" si="70"/>
        <v>2641</v>
      </c>
      <c r="AT43" s="59">
        <f t="shared" si="70"/>
        <v>2630</v>
      </c>
      <c r="AU43" s="59">
        <f t="shared" si="70"/>
        <v>2625</v>
      </c>
      <c r="AV43" s="59">
        <f t="shared" si="70"/>
        <v>2610</v>
      </c>
      <c r="AW43" s="59">
        <f t="shared" si="70"/>
        <v>2600</v>
      </c>
      <c r="AX43" s="59">
        <f t="shared" si="70"/>
        <v>2599</v>
      </c>
      <c r="AY43" s="675">
        <f t="shared" si="70"/>
        <v>2590</v>
      </c>
      <c r="AZ43" s="59">
        <f t="shared" ca="1" si="70"/>
        <v>2587.9110803570384</v>
      </c>
      <c r="BA43" s="59">
        <f t="shared" ca="1" si="70"/>
        <v>2591.4281273429883</v>
      </c>
      <c r="BB43" s="59">
        <f t="shared" ca="1" si="70"/>
        <v>2588.639921197474</v>
      </c>
      <c r="BC43" s="59">
        <f t="shared" ca="1" si="70"/>
        <v>2587.3751107104699</v>
      </c>
      <c r="BD43" s="59">
        <f t="shared" ca="1" si="70"/>
        <v>2587.6338482215406</v>
      </c>
      <c r="BE43" s="59">
        <f t="shared" ca="1" si="70"/>
        <v>2587.8926116063631</v>
      </c>
      <c r="BF43" s="59">
        <f t="shared" ca="1" si="70"/>
        <v>2588.151400867524</v>
      </c>
      <c r="BG43" s="59"/>
      <c r="BH43" s="1054"/>
      <c r="BI43" s="1054"/>
      <c r="BJ43" s="1054"/>
      <c r="BK43" s="1054">
        <f t="shared" ref="BK43:CB43" si="71">INDEX(MO_RIS_ShareCount_WAD_Adj,0,COLUMN())</f>
        <v>2479</v>
      </c>
      <c r="BL43" s="1054">
        <f t="shared" si="71"/>
        <v>2517</v>
      </c>
      <c r="BM43" s="1054">
        <f t="shared" si="71"/>
        <v>2664</v>
      </c>
      <c r="BN43" s="1054">
        <f t="shared" si="71"/>
        <v>2853</v>
      </c>
      <c r="BO43" s="1054">
        <f t="shared" si="71"/>
        <v>2925</v>
      </c>
      <c r="BP43" s="1054">
        <f t="shared" si="71"/>
        <v>2956</v>
      </c>
      <c r="BQ43" s="1054">
        <f t="shared" si="71"/>
        <v>2921</v>
      </c>
      <c r="BR43" s="1054">
        <f t="shared" si="71"/>
        <v>2876</v>
      </c>
      <c r="BS43" s="1054">
        <f t="shared" si="71"/>
        <v>2888</v>
      </c>
      <c r="BT43" s="1054">
        <f t="shared" si="71"/>
        <v>2859</v>
      </c>
      <c r="BU43" s="1054">
        <f t="shared" si="71"/>
        <v>2702</v>
      </c>
      <c r="BV43" s="1054">
        <f t="shared" si="71"/>
        <v>2629</v>
      </c>
      <c r="BW43" s="1055">
        <f t="shared" si="71"/>
        <v>2614</v>
      </c>
      <c r="BX43" s="1054">
        <f t="shared" ca="1" si="71"/>
        <v>2590.3593665156523</v>
      </c>
      <c r="BY43" s="1054">
        <f t="shared" ca="1" si="71"/>
        <v>2587.7657241087677</v>
      </c>
      <c r="BZ43" s="1054">
        <f t="shared" ca="1" si="71"/>
        <v>2582.502590475779</v>
      </c>
      <c r="CA43" s="1054">
        <f t="shared" ca="1" si="71"/>
        <v>2571.5174797049099</v>
      </c>
      <c r="CB43" s="1054">
        <f t="shared" ca="1" si="71"/>
        <v>2561.6218024010113</v>
      </c>
      <c r="CC43" s="610"/>
    </row>
    <row r="44" spans="1:81" s="731" customFormat="1" x14ac:dyDescent="0.55000000000000004">
      <c r="A44" s="91"/>
      <c r="B44" s="92"/>
      <c r="C44" s="610"/>
      <c r="D44" s="610"/>
      <c r="E44" s="610"/>
      <c r="F44" s="610"/>
      <c r="G44" s="610"/>
      <c r="H44" s="610"/>
      <c r="I44" s="610"/>
      <c r="J44" s="610"/>
      <c r="K44" s="610"/>
      <c r="L44" s="610"/>
      <c r="M44" s="610"/>
      <c r="N44" s="610"/>
      <c r="O44" s="610"/>
      <c r="P44" s="610"/>
      <c r="Q44" s="610"/>
      <c r="R44" s="610"/>
      <c r="S44" s="610"/>
      <c r="T44" s="610"/>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597"/>
      <c r="AZ44" s="610"/>
      <c r="BA44" s="610"/>
      <c r="BB44" s="610"/>
      <c r="BC44" s="610"/>
      <c r="BD44" s="610"/>
      <c r="BE44" s="610"/>
      <c r="BF44" s="610"/>
      <c r="BG44" s="610"/>
      <c r="BH44" s="1074"/>
      <c r="BI44" s="1074"/>
      <c r="BJ44" s="1074"/>
      <c r="BK44" s="1074"/>
      <c r="BL44" s="1074"/>
      <c r="BM44" s="1074"/>
      <c r="BN44" s="1074"/>
      <c r="BO44" s="1074"/>
      <c r="BP44" s="1074"/>
      <c r="BQ44" s="1074"/>
      <c r="BR44" s="1074"/>
      <c r="BS44" s="1074"/>
      <c r="BT44" s="1074"/>
      <c r="BU44" s="1074"/>
      <c r="BV44" s="1074"/>
      <c r="BW44" s="1075"/>
      <c r="BX44" s="1074"/>
      <c r="BY44" s="1074"/>
      <c r="BZ44" s="1074"/>
      <c r="CA44" s="1074"/>
      <c r="CB44" s="1074"/>
      <c r="CC44" s="610"/>
    </row>
    <row r="45" spans="1:81" s="729" customFormat="1" x14ac:dyDescent="0.55000000000000004">
      <c r="A45" s="57" t="s">
        <v>267</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281"/>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281"/>
      <c r="BX45" s="57"/>
      <c r="BY45" s="57"/>
      <c r="BZ45" s="57"/>
      <c r="CA45" s="57"/>
      <c r="CB45" s="57"/>
      <c r="CC45" s="123"/>
    </row>
    <row r="46" spans="1:81" s="728" customFormat="1" x14ac:dyDescent="0.55000000000000004">
      <c r="A46" s="90" t="str">
        <f>INDEX(MO_RIS_EBITDA_Adj,0,COLUMN())</f>
        <v>Adjusted EBITDA (No Adjustments)</v>
      </c>
      <c r="B46" s="95"/>
      <c r="C46" s="62">
        <f t="shared" ref="C46:AH46" si="72">INDEX(MO_RIS_EBITDA_Adj,0,COLUMN())</f>
        <v>776</v>
      </c>
      <c r="D46" s="62">
        <f t="shared" si="72"/>
        <v>1016</v>
      </c>
      <c r="E46" s="62">
        <f t="shared" si="72"/>
        <v>1249</v>
      </c>
      <c r="F46" s="62">
        <f t="shared" si="72"/>
        <v>1680</v>
      </c>
      <c r="G46" s="62">
        <f t="shared" si="72"/>
        <v>1613</v>
      </c>
      <c r="H46" s="62">
        <f t="shared" si="72"/>
        <v>1961</v>
      </c>
      <c r="I46" s="62">
        <f t="shared" si="72"/>
        <v>2039</v>
      </c>
      <c r="J46" s="62">
        <f t="shared" si="72"/>
        <v>2462</v>
      </c>
      <c r="K46" s="62">
        <f t="shared" si="72"/>
        <v>2093</v>
      </c>
      <c r="L46" s="62">
        <f t="shared" si="72"/>
        <v>2495</v>
      </c>
      <c r="M46" s="62">
        <f t="shared" si="72"/>
        <v>2702</v>
      </c>
      <c r="N46" s="62">
        <f t="shared" si="72"/>
        <v>3849</v>
      </c>
      <c r="O46" s="62">
        <f t="shared" si="72"/>
        <v>3308</v>
      </c>
      <c r="P46" s="62">
        <f t="shared" si="72"/>
        <v>4136</v>
      </c>
      <c r="Q46" s="62">
        <f t="shared" si="72"/>
        <v>4532</v>
      </c>
      <c r="R46" s="62">
        <f t="shared" si="72"/>
        <v>6011</v>
      </c>
      <c r="S46" s="62">
        <f t="shared" si="72"/>
        <v>4865</v>
      </c>
      <c r="T46" s="62">
        <f t="shared" si="72"/>
        <v>6162</v>
      </c>
      <c r="U46" s="62">
        <f t="shared" si="72"/>
        <v>6904</v>
      </c>
      <c r="V46" s="62">
        <f t="shared" si="72"/>
        <v>9019</v>
      </c>
      <c r="W46" s="62">
        <f t="shared" si="72"/>
        <v>7353</v>
      </c>
      <c r="X46" s="62">
        <f t="shared" si="72"/>
        <v>8083</v>
      </c>
      <c r="Y46" s="62">
        <f t="shared" si="72"/>
        <v>7928</v>
      </c>
      <c r="Z46" s="62">
        <f t="shared" si="72"/>
        <v>10016</v>
      </c>
      <c r="AA46" s="62">
        <f t="shared" si="72"/>
        <v>5682</v>
      </c>
      <c r="AB46" s="62">
        <f t="shared" si="72"/>
        <v>7431</v>
      </c>
      <c r="AC46" s="62">
        <f t="shared" si="72"/>
        <v>9850</v>
      </c>
      <c r="AD46" s="62">
        <f t="shared" si="72"/>
        <v>11600</v>
      </c>
      <c r="AE46" s="62">
        <f t="shared" si="72"/>
        <v>8825</v>
      </c>
      <c r="AF46" s="62">
        <f t="shared" si="72"/>
        <v>9362</v>
      </c>
      <c r="AG46" s="62">
        <f t="shared" si="72"/>
        <v>11460</v>
      </c>
      <c r="AH46" s="62">
        <f t="shared" si="72"/>
        <v>16422</v>
      </c>
      <c r="AI46" s="62">
        <f t="shared" ref="AI46:BF46" si="73">INDEX(MO_RIS_EBITDA_Adj,0,COLUMN())</f>
        <v>15180</v>
      </c>
      <c r="AJ46" s="62">
        <f t="shared" si="73"/>
        <v>16901</v>
      </c>
      <c r="AK46" s="62">
        <f t="shared" si="73"/>
        <v>14797</v>
      </c>
      <c r="AL46" s="62">
        <f t="shared" si="73"/>
        <v>17005</v>
      </c>
      <c r="AM46" s="62">
        <f t="shared" si="73"/>
        <v>13178</v>
      </c>
      <c r="AN46" s="62">
        <f t="shared" si="73"/>
        <v>13688</v>
      </c>
      <c r="AO46" s="62">
        <f t="shared" si="73"/>
        <v>10973</v>
      </c>
      <c r="AP46" s="62">
        <f t="shared" si="73"/>
        <v>11783</v>
      </c>
      <c r="AQ46" s="62">
        <f t="shared" si="73"/>
        <v>12802</v>
      </c>
      <c r="AR46" s="62">
        <f t="shared" si="73"/>
        <v>16075</v>
      </c>
      <c r="AS46" s="62">
        <f t="shared" si="73"/>
        <v>20099</v>
      </c>
      <c r="AT46" s="62">
        <f t="shared" si="73"/>
        <v>22980</v>
      </c>
      <c r="AU46" s="62">
        <f t="shared" si="73"/>
        <v>20754</v>
      </c>
      <c r="AV46" s="62">
        <f t="shared" si="73"/>
        <v>23100</v>
      </c>
      <c r="AW46" s="62">
        <f t="shared" si="73"/>
        <v>25627</v>
      </c>
      <c r="AX46" s="62">
        <f t="shared" si="73"/>
        <v>32087</v>
      </c>
      <c r="AY46" s="676">
        <f t="shared" si="73"/>
        <v>25602</v>
      </c>
      <c r="AZ46" s="62">
        <f t="shared" si="73"/>
        <v>23723.504305659051</v>
      </c>
      <c r="BA46" s="62">
        <f t="shared" si="73"/>
        <v>27618.031738947713</v>
      </c>
      <c r="BB46" s="62">
        <f t="shared" si="73"/>
        <v>31825.831918686912</v>
      </c>
      <c r="BC46" s="62">
        <f t="shared" si="73"/>
        <v>35218.558024609869</v>
      </c>
      <c r="BD46" s="62">
        <f t="shared" si="73"/>
        <v>31927.976918390981</v>
      </c>
      <c r="BE46" s="62">
        <f t="shared" si="73"/>
        <v>33611.383474714465</v>
      </c>
      <c r="BF46" s="62">
        <f t="shared" si="73"/>
        <v>39382.528947860861</v>
      </c>
      <c r="BG46" s="62"/>
      <c r="BH46" s="1052">
        <f t="shared" ref="BH46:CB46" si="74">INDEX(MO_RIS_EBITDA_Adj,0,COLUMN())</f>
        <v>367</v>
      </c>
      <c r="BI46" s="1052">
        <f t="shared" si="74"/>
        <v>1191</v>
      </c>
      <c r="BJ46" s="1052">
        <f t="shared" si="74"/>
        <v>2296</v>
      </c>
      <c r="BK46" s="1052">
        <f t="shared" si="74"/>
        <v>2759</v>
      </c>
      <c r="BL46" s="1052">
        <f t="shared" si="74"/>
        <v>4721</v>
      </c>
      <c r="BM46" s="1052">
        <f t="shared" si="74"/>
        <v>8074</v>
      </c>
      <c r="BN46" s="1052">
        <f t="shared" si="74"/>
        <v>11139</v>
      </c>
      <c r="BO46" s="1052">
        <f t="shared" si="74"/>
        <v>17987</v>
      </c>
      <c r="BP46" s="1052">
        <f t="shared" si="74"/>
        <v>26951</v>
      </c>
      <c r="BQ46" s="1052">
        <f t="shared" si="74"/>
        <v>33380</v>
      </c>
      <c r="BR46" s="1052">
        <f t="shared" si="74"/>
        <v>34563</v>
      </c>
      <c r="BS46" s="1052">
        <f t="shared" si="74"/>
        <v>46069</v>
      </c>
      <c r="BT46" s="1052">
        <f t="shared" si="74"/>
        <v>63884</v>
      </c>
      <c r="BU46" s="1052">
        <f t="shared" si="74"/>
        <v>49622</v>
      </c>
      <c r="BV46" s="1052">
        <f t="shared" si="74"/>
        <v>71956</v>
      </c>
      <c r="BW46" s="1053">
        <f t="shared" si="74"/>
        <v>101568</v>
      </c>
      <c r="BX46" s="1052">
        <f t="shared" si="74"/>
        <v>108769.36796329368</v>
      </c>
      <c r="BY46" s="1052">
        <f t="shared" si="74"/>
        <v>140140.44736557617</v>
      </c>
      <c r="BZ46" s="1052">
        <f t="shared" si="74"/>
        <v>163847.2020361232</v>
      </c>
      <c r="CA46" s="1052">
        <f t="shared" si="74"/>
        <v>182811.04422426727</v>
      </c>
      <c r="CB46" s="1052">
        <f t="shared" si="74"/>
        <v>202274.83682347482</v>
      </c>
      <c r="CC46" s="607"/>
    </row>
    <row r="47" spans="1:81" s="728" customFormat="1" x14ac:dyDescent="0.55000000000000004">
      <c r="A47" s="90" t="str">
        <f>INDEX(MO_RIS_EBIT_Adj,0,COLUMN())</f>
        <v>Adjusted EBIT (No Adjustments)</v>
      </c>
      <c r="B47" s="95"/>
      <c r="C47" s="62">
        <f t="shared" ref="C47:AH47" si="75">INDEX(MO_RIS_EBIT_Adj,0,COLUMN())</f>
        <v>373</v>
      </c>
      <c r="D47" s="62">
        <f t="shared" si="75"/>
        <v>562</v>
      </c>
      <c r="E47" s="62">
        <f t="shared" si="75"/>
        <v>736</v>
      </c>
      <c r="F47" s="62">
        <f t="shared" si="75"/>
        <v>1133</v>
      </c>
      <c r="G47" s="62">
        <f t="shared" si="75"/>
        <v>1075</v>
      </c>
      <c r="H47" s="62">
        <f t="shared" si="75"/>
        <v>1390</v>
      </c>
      <c r="I47" s="62">
        <f t="shared" si="75"/>
        <v>1397</v>
      </c>
      <c r="J47" s="62">
        <f t="shared" si="75"/>
        <v>1133</v>
      </c>
      <c r="K47" s="62">
        <f t="shared" si="75"/>
        <v>933</v>
      </c>
      <c r="L47" s="62">
        <f t="shared" si="75"/>
        <v>1273</v>
      </c>
      <c r="M47" s="62">
        <f t="shared" si="75"/>
        <v>1459</v>
      </c>
      <c r="N47" s="62">
        <f t="shared" si="75"/>
        <v>2560</v>
      </c>
      <c r="O47" s="62">
        <f t="shared" si="75"/>
        <v>2010</v>
      </c>
      <c r="P47" s="62">
        <f t="shared" si="75"/>
        <v>2734</v>
      </c>
      <c r="Q47" s="62">
        <f t="shared" si="75"/>
        <v>3117</v>
      </c>
      <c r="R47" s="62">
        <f t="shared" si="75"/>
        <v>4566</v>
      </c>
      <c r="S47" s="62">
        <f t="shared" si="75"/>
        <v>3327</v>
      </c>
      <c r="T47" s="62">
        <f t="shared" si="75"/>
        <v>4401</v>
      </c>
      <c r="U47" s="62">
        <f t="shared" si="75"/>
        <v>5122</v>
      </c>
      <c r="V47" s="62">
        <f t="shared" si="75"/>
        <v>7352</v>
      </c>
      <c r="W47" s="62">
        <f t="shared" si="75"/>
        <v>5449</v>
      </c>
      <c r="X47" s="62">
        <f t="shared" si="75"/>
        <v>5863</v>
      </c>
      <c r="Y47" s="62">
        <f t="shared" si="75"/>
        <v>5781</v>
      </c>
      <c r="Z47" s="62">
        <f t="shared" si="75"/>
        <v>7820</v>
      </c>
      <c r="AA47" s="62">
        <f t="shared" si="75"/>
        <v>3317</v>
      </c>
      <c r="AB47" s="62">
        <f t="shared" si="75"/>
        <v>4626</v>
      </c>
      <c r="AC47" s="62">
        <f t="shared" si="75"/>
        <v>7185</v>
      </c>
      <c r="AD47" s="62">
        <f t="shared" si="75"/>
        <v>8858</v>
      </c>
      <c r="AE47" s="62">
        <f t="shared" si="75"/>
        <v>5893</v>
      </c>
      <c r="AF47" s="62">
        <f t="shared" si="75"/>
        <v>5963</v>
      </c>
      <c r="AG47" s="62">
        <f t="shared" si="75"/>
        <v>8040</v>
      </c>
      <c r="AH47" s="62">
        <f t="shared" si="75"/>
        <v>12775</v>
      </c>
      <c r="AI47" s="62">
        <f t="shared" ref="AI47:BF47" si="76">INDEX(MO_RIS_EBIT_Adj,0,COLUMN())</f>
        <v>11378</v>
      </c>
      <c r="AJ47" s="62">
        <f t="shared" si="76"/>
        <v>12367</v>
      </c>
      <c r="AK47" s="62">
        <f t="shared" si="76"/>
        <v>10423</v>
      </c>
      <c r="AL47" s="62">
        <f t="shared" si="76"/>
        <v>12585</v>
      </c>
      <c r="AM47" s="62">
        <f t="shared" si="76"/>
        <v>8524</v>
      </c>
      <c r="AN47" s="62">
        <f t="shared" si="76"/>
        <v>8358</v>
      </c>
      <c r="AO47" s="62">
        <f t="shared" si="76"/>
        <v>5664</v>
      </c>
      <c r="AP47" s="62">
        <f t="shared" si="76"/>
        <v>6399</v>
      </c>
      <c r="AQ47" s="62">
        <f t="shared" si="76"/>
        <v>7227</v>
      </c>
      <c r="AR47" s="62">
        <f t="shared" si="76"/>
        <v>9392</v>
      </c>
      <c r="AS47" s="62">
        <f t="shared" si="76"/>
        <v>13748</v>
      </c>
      <c r="AT47" s="62">
        <f t="shared" si="76"/>
        <v>16384</v>
      </c>
      <c r="AU47" s="62">
        <f t="shared" si="76"/>
        <v>13818</v>
      </c>
      <c r="AV47" s="62">
        <f t="shared" si="76"/>
        <v>14847</v>
      </c>
      <c r="AW47" s="62">
        <f t="shared" si="76"/>
        <v>17350</v>
      </c>
      <c r="AX47" s="62">
        <f t="shared" si="76"/>
        <v>23365</v>
      </c>
      <c r="AY47" s="676">
        <f t="shared" si="76"/>
        <v>17555</v>
      </c>
      <c r="AZ47" s="62">
        <f t="shared" si="76"/>
        <v>15172.161394700146</v>
      </c>
      <c r="BA47" s="62">
        <f t="shared" si="76"/>
        <v>18420.017690773573</v>
      </c>
      <c r="BB47" s="62">
        <f t="shared" si="76"/>
        <v>21235.102343664115</v>
      </c>
      <c r="BC47" s="62">
        <f t="shared" si="76"/>
        <v>25243.034395265146</v>
      </c>
      <c r="BD47" s="62">
        <f t="shared" si="76"/>
        <v>21712.038203563468</v>
      </c>
      <c r="BE47" s="62">
        <f t="shared" si="76"/>
        <v>22877.481440944961</v>
      </c>
      <c r="BF47" s="62">
        <f t="shared" si="76"/>
        <v>27181.39670243677</v>
      </c>
      <c r="BG47" s="62"/>
      <c r="BH47" s="1052">
        <f t="shared" ref="BH47:CB47" si="77">INDEX(MO_RIS_EBIT_Adj,0,COLUMN())</f>
        <v>262</v>
      </c>
      <c r="BI47" s="1052">
        <f t="shared" si="77"/>
        <v>1032</v>
      </c>
      <c r="BJ47" s="1052">
        <f t="shared" si="77"/>
        <v>1756</v>
      </c>
      <c r="BK47" s="1052">
        <f t="shared" si="77"/>
        <v>538</v>
      </c>
      <c r="BL47" s="1052">
        <f t="shared" si="77"/>
        <v>2804</v>
      </c>
      <c r="BM47" s="1052">
        <f t="shared" si="77"/>
        <v>4994</v>
      </c>
      <c r="BN47" s="1052">
        <f t="shared" si="77"/>
        <v>6225</v>
      </c>
      <c r="BO47" s="1052">
        <f t="shared" si="77"/>
        <v>12427</v>
      </c>
      <c r="BP47" s="1052">
        <f t="shared" si="77"/>
        <v>20203</v>
      </c>
      <c r="BQ47" s="1052">
        <f t="shared" si="77"/>
        <v>24913</v>
      </c>
      <c r="BR47" s="1052">
        <f t="shared" si="77"/>
        <v>23986</v>
      </c>
      <c r="BS47" s="1052">
        <f t="shared" si="77"/>
        <v>32671</v>
      </c>
      <c r="BT47" s="1052">
        <f t="shared" si="77"/>
        <v>46753</v>
      </c>
      <c r="BU47" s="1052">
        <f t="shared" si="77"/>
        <v>28944</v>
      </c>
      <c r="BV47" s="1052">
        <f t="shared" si="77"/>
        <v>46751</v>
      </c>
      <c r="BW47" s="1053">
        <f t="shared" si="77"/>
        <v>69380</v>
      </c>
      <c r="BX47" s="1052">
        <f t="shared" si="77"/>
        <v>72382.281429137845</v>
      </c>
      <c r="BY47" s="1052">
        <f t="shared" si="77"/>
        <v>97013.95074221032</v>
      </c>
      <c r="BZ47" s="1052">
        <f t="shared" si="77"/>
        <v>116910.72203755559</v>
      </c>
      <c r="CA47" s="1052">
        <f t="shared" si="77"/>
        <v>132473.91806809115</v>
      </c>
      <c r="CB47" s="1052">
        <f t="shared" si="77"/>
        <v>148826.03605742412</v>
      </c>
      <c r="CC47" s="607"/>
    </row>
    <row r="48" spans="1:81" s="728" customFormat="1" x14ac:dyDescent="0.55000000000000004">
      <c r="A48" s="90" t="str">
        <f>INDEX(MO_RIS_NI_NONGAAP_Diluted,0,COLUMN())</f>
        <v>Adjusted Net Income</v>
      </c>
      <c r="B48" s="95"/>
      <c r="C48" s="62">
        <f t="shared" ref="C48:AH48" si="78">INDEX(MO_RIS_NI_NONGAAP_Diluted,0,COLUMN())</f>
        <v>312</v>
      </c>
      <c r="D48" s="62">
        <f t="shared" si="78"/>
        <v>488</v>
      </c>
      <c r="E48" s="62">
        <f t="shared" si="78"/>
        <v>666</v>
      </c>
      <c r="F48" s="62">
        <f t="shared" si="78"/>
        <v>814</v>
      </c>
      <c r="G48" s="62">
        <f t="shared" si="78"/>
        <v>926</v>
      </c>
      <c r="H48" s="62">
        <f t="shared" si="78"/>
        <v>1122</v>
      </c>
      <c r="I48" s="62">
        <f t="shared" si="78"/>
        <v>1149</v>
      </c>
      <c r="J48" s="62">
        <f t="shared" si="78"/>
        <v>1518</v>
      </c>
      <c r="K48" s="62">
        <f t="shared" si="78"/>
        <v>1189</v>
      </c>
      <c r="L48" s="62">
        <f t="shared" si="78"/>
        <v>1437</v>
      </c>
      <c r="M48" s="62">
        <f t="shared" si="78"/>
        <v>1628</v>
      </c>
      <c r="N48" s="62">
        <f t="shared" si="78"/>
        <v>2265</v>
      </c>
      <c r="O48" s="62">
        <f t="shared" si="78"/>
        <v>1738</v>
      </c>
      <c r="P48" s="62">
        <f t="shared" si="78"/>
        <v>2283</v>
      </c>
      <c r="Q48" s="62">
        <f t="shared" si="78"/>
        <v>2627</v>
      </c>
      <c r="R48" s="62">
        <f t="shared" si="78"/>
        <v>3569</v>
      </c>
      <c r="S48" s="62">
        <f t="shared" si="78"/>
        <v>3064</v>
      </c>
      <c r="T48" s="62">
        <f t="shared" si="78"/>
        <v>3894</v>
      </c>
      <c r="U48" s="62">
        <f t="shared" si="78"/>
        <v>4707</v>
      </c>
      <c r="V48" s="62">
        <f t="shared" si="78"/>
        <v>4269</v>
      </c>
      <c r="W48" s="62">
        <f t="shared" si="78"/>
        <v>4988</v>
      </c>
      <c r="X48" s="62">
        <f t="shared" si="78"/>
        <v>5106</v>
      </c>
      <c r="Y48" s="62">
        <f t="shared" si="78"/>
        <v>5137</v>
      </c>
      <c r="Z48" s="62">
        <f t="shared" si="78"/>
        <v>6881</v>
      </c>
      <c r="AA48" s="62">
        <f t="shared" si="78"/>
        <v>2429</v>
      </c>
      <c r="AB48" s="62">
        <f t="shared" si="78"/>
        <v>2616</v>
      </c>
      <c r="AC48" s="62">
        <f t="shared" si="78"/>
        <v>6091</v>
      </c>
      <c r="AD48" s="62">
        <f t="shared" si="78"/>
        <v>7349</v>
      </c>
      <c r="AE48" s="62">
        <f t="shared" si="78"/>
        <v>4902</v>
      </c>
      <c r="AF48" s="62">
        <f t="shared" si="78"/>
        <v>5178</v>
      </c>
      <c r="AG48" s="62">
        <f t="shared" si="78"/>
        <v>7846</v>
      </c>
      <c r="AH48" s="62">
        <f t="shared" si="78"/>
        <v>11219</v>
      </c>
      <c r="AI48" s="62">
        <f t="shared" ref="AI48:BF48" si="79">INDEX(MO_RIS_NI_NONGAAP_Diluted,0,COLUMN())</f>
        <v>9497</v>
      </c>
      <c r="AJ48" s="62">
        <f t="shared" si="79"/>
        <v>10394</v>
      </c>
      <c r="AK48" s="62">
        <f t="shared" si="79"/>
        <v>9194</v>
      </c>
      <c r="AL48" s="62">
        <f t="shared" si="79"/>
        <v>10286</v>
      </c>
      <c r="AM48" s="62">
        <f t="shared" si="79"/>
        <v>7465</v>
      </c>
      <c r="AN48" s="62">
        <f t="shared" si="79"/>
        <v>6687</v>
      </c>
      <c r="AO48" s="62">
        <f t="shared" si="79"/>
        <v>4395</v>
      </c>
      <c r="AP48" s="62">
        <f t="shared" si="79"/>
        <v>4652</v>
      </c>
      <c r="AQ48" s="62">
        <f t="shared" si="79"/>
        <v>5709</v>
      </c>
      <c r="AR48" s="62">
        <f t="shared" si="79"/>
        <v>7788</v>
      </c>
      <c r="AS48" s="62">
        <f t="shared" si="79"/>
        <v>11583</v>
      </c>
      <c r="AT48" s="62">
        <f t="shared" si="79"/>
        <v>14017</v>
      </c>
      <c r="AU48" s="62">
        <f t="shared" si="79"/>
        <v>12369</v>
      </c>
      <c r="AV48" s="62">
        <f t="shared" si="79"/>
        <v>13465</v>
      </c>
      <c r="AW48" s="62">
        <f t="shared" si="79"/>
        <v>15688</v>
      </c>
      <c r="AX48" s="62">
        <f t="shared" si="79"/>
        <v>20838</v>
      </c>
      <c r="AY48" s="676">
        <f t="shared" si="79"/>
        <v>16644</v>
      </c>
      <c r="AZ48" s="62">
        <f t="shared" si="79"/>
        <v>18234.971802922475</v>
      </c>
      <c r="BA48" s="62">
        <f t="shared" ca="1" si="79"/>
        <v>20232.044224739246</v>
      </c>
      <c r="BB48" s="62">
        <f t="shared" ca="1" si="79"/>
        <v>22652.906263751302</v>
      </c>
      <c r="BC48" s="62">
        <f t="shared" ca="1" si="79"/>
        <v>25130.728736840083</v>
      </c>
      <c r="BD48" s="62">
        <f t="shared" ca="1" si="79"/>
        <v>22170.063712214349</v>
      </c>
      <c r="BE48" s="62">
        <f t="shared" ca="1" si="79"/>
        <v>23869.583868061698</v>
      </c>
      <c r="BF48" s="62">
        <f t="shared" ca="1" si="79"/>
        <v>25876.93917073217</v>
      </c>
      <c r="BG48" s="62"/>
      <c r="BH48" s="1052">
        <f t="shared" ref="BH48:CB48" si="80">INDEX(MO_RIS_NI_NONGAAP_Diluted,0,COLUMN())</f>
        <v>229</v>
      </c>
      <c r="BI48" s="1052">
        <f t="shared" si="80"/>
        <v>606</v>
      </c>
      <c r="BJ48" s="1052">
        <f t="shared" si="80"/>
        <v>1164</v>
      </c>
      <c r="BK48" s="1052">
        <f t="shared" si="80"/>
        <v>1317</v>
      </c>
      <c r="BL48" s="1052">
        <f t="shared" si="80"/>
        <v>2334</v>
      </c>
      <c r="BM48" s="1052">
        <f t="shared" si="80"/>
        <v>4713</v>
      </c>
      <c r="BN48" s="1052">
        <f t="shared" si="80"/>
        <v>6518</v>
      </c>
      <c r="BO48" s="1052">
        <f t="shared" si="80"/>
        <v>10217</v>
      </c>
      <c r="BP48" s="1052">
        <f t="shared" si="80"/>
        <v>15934</v>
      </c>
      <c r="BQ48" s="1052">
        <f t="shared" si="80"/>
        <v>22112</v>
      </c>
      <c r="BR48" s="1052">
        <f t="shared" si="80"/>
        <v>18485</v>
      </c>
      <c r="BS48" s="1052">
        <f t="shared" si="80"/>
        <v>29146</v>
      </c>
      <c r="BT48" s="1052">
        <f t="shared" si="80"/>
        <v>39370</v>
      </c>
      <c r="BU48" s="1052">
        <f t="shared" si="80"/>
        <v>23200</v>
      </c>
      <c r="BV48" s="1052">
        <f t="shared" si="80"/>
        <v>39098</v>
      </c>
      <c r="BW48" s="1053">
        <f t="shared" si="80"/>
        <v>62360</v>
      </c>
      <c r="BX48" s="1052">
        <f t="shared" ca="1" si="80"/>
        <v>77763.922291413022</v>
      </c>
      <c r="BY48" s="1052">
        <f t="shared" ca="1" si="80"/>
        <v>97047.315487848275</v>
      </c>
      <c r="BZ48" s="1052">
        <f t="shared" ca="1" si="80"/>
        <v>110427.24601815702</v>
      </c>
      <c r="CA48" s="1052">
        <f t="shared" ca="1" si="80"/>
        <v>115223.62990630144</v>
      </c>
      <c r="CB48" s="1052">
        <f t="shared" ca="1" si="80"/>
        <v>131378.54683628524</v>
      </c>
      <c r="CC48" s="607"/>
    </row>
    <row r="49" spans="1:81" s="730" customFormat="1" x14ac:dyDescent="0.55000000000000004">
      <c r="A49" s="98" t="str">
        <f>INDEX(MO_RIS_EPS_WAD_Adj,0,COLUMN())</f>
        <v>Adjusted Earnings Per Share - WAD</v>
      </c>
      <c r="B49" s="99"/>
      <c r="C49" s="63">
        <f t="shared" ref="C49:AH49" si="81">INDEX(MO_RIS_EPS_WAD_Adj,0,COLUMN())</f>
        <v>0.12484993997599039</v>
      </c>
      <c r="D49" s="63">
        <f t="shared" si="81"/>
        <v>0.19504396482813749</v>
      </c>
      <c r="E49" s="63">
        <f t="shared" si="81"/>
        <v>0.26344936708860761</v>
      </c>
      <c r="F49" s="63">
        <f t="shared" si="81"/>
        <v>0.31821735731039874</v>
      </c>
      <c r="G49" s="63">
        <f t="shared" si="81"/>
        <v>0.35492525871981601</v>
      </c>
      <c r="H49" s="63">
        <f t="shared" si="81"/>
        <v>0.42906309751434035</v>
      </c>
      <c r="I49" s="63">
        <f t="shared" si="81"/>
        <v>0.43456883509833588</v>
      </c>
      <c r="J49" s="63">
        <f t="shared" si="81"/>
        <v>0.5390625</v>
      </c>
      <c r="K49" s="63">
        <f t="shared" si="81"/>
        <v>0.41925246826516221</v>
      </c>
      <c r="L49" s="63">
        <f t="shared" si="81"/>
        <v>0.50421052631578944</v>
      </c>
      <c r="M49" s="63">
        <f t="shared" si="81"/>
        <v>0.56863429968564438</v>
      </c>
      <c r="N49" s="63">
        <f t="shared" si="81"/>
        <v>0.78700486448922868</v>
      </c>
      <c r="O49" s="63">
        <f t="shared" si="81"/>
        <v>0.60180055401662047</v>
      </c>
      <c r="P49" s="63">
        <f t="shared" si="81"/>
        <v>0.78158165011982195</v>
      </c>
      <c r="Q49" s="63">
        <f t="shared" si="81"/>
        <v>0.90120068610634652</v>
      </c>
      <c r="R49" s="63">
        <f t="shared" si="81"/>
        <v>1.2147719537100068</v>
      </c>
      <c r="S49" s="63">
        <f t="shared" si="81"/>
        <v>1.0407608695652173</v>
      </c>
      <c r="T49" s="63">
        <f t="shared" si="81"/>
        <v>1.3195526940020332</v>
      </c>
      <c r="U49" s="63">
        <f t="shared" si="81"/>
        <v>1.5923545331529094</v>
      </c>
      <c r="V49" s="63">
        <f t="shared" si="81"/>
        <v>1.445159106296547</v>
      </c>
      <c r="W49" s="63">
        <f t="shared" si="81"/>
        <v>1.6937181663837011</v>
      </c>
      <c r="X49" s="63">
        <f t="shared" si="81"/>
        <v>1.7426621160409557</v>
      </c>
      <c r="Y49" s="63">
        <f t="shared" si="81"/>
        <v>1.7634740817027119</v>
      </c>
      <c r="Z49" s="63">
        <f t="shared" si="81"/>
        <v>2.3842688842688844</v>
      </c>
      <c r="AA49" s="63">
        <f t="shared" si="81"/>
        <v>0.84663645869640991</v>
      </c>
      <c r="AB49" s="63">
        <f t="shared" si="81"/>
        <v>0.90991304347826085</v>
      </c>
      <c r="AC49" s="63">
        <f t="shared" si="81"/>
        <v>2.1193458594293668</v>
      </c>
      <c r="AD49" s="63">
        <f t="shared" si="81"/>
        <v>2.559735283873215</v>
      </c>
      <c r="AE49" s="63">
        <f t="shared" si="81"/>
        <v>1.7092050209205021</v>
      </c>
      <c r="AF49" s="63">
        <f t="shared" si="81"/>
        <v>1.7985411601250434</v>
      </c>
      <c r="AG49" s="63">
        <f t="shared" si="81"/>
        <v>2.7139398132134209</v>
      </c>
      <c r="AH49" s="63">
        <f t="shared" si="81"/>
        <v>3.882006920415225</v>
      </c>
      <c r="AI49" s="63">
        <f t="shared" ref="AI49:BF49" si="82">INDEX(MO_RIS_EPS_WAD_Adj,0,COLUMN())</f>
        <v>3.2952810548230396</v>
      </c>
      <c r="AJ49" s="63">
        <f t="shared" si="82"/>
        <v>3.6127911018421965</v>
      </c>
      <c r="AK49" s="63">
        <f t="shared" si="82"/>
        <v>3.2158097236796084</v>
      </c>
      <c r="AL49" s="63">
        <f t="shared" si="82"/>
        <v>3.6748838871025367</v>
      </c>
      <c r="AM49" s="63">
        <f t="shared" si="82"/>
        <v>2.7224653537563821</v>
      </c>
      <c r="AN49" s="63">
        <f t="shared" si="82"/>
        <v>2.4647991153704387</v>
      </c>
      <c r="AO49" s="63">
        <f t="shared" si="82"/>
        <v>1.6356531447711202</v>
      </c>
      <c r="AP49" s="63">
        <f t="shared" si="82"/>
        <v>1.7621212121212122</v>
      </c>
      <c r="AQ49" s="63">
        <f t="shared" si="82"/>
        <v>2.1991525423728815</v>
      </c>
      <c r="AR49" s="63">
        <f t="shared" si="82"/>
        <v>2.9816232771822357</v>
      </c>
      <c r="AS49" s="63">
        <f t="shared" si="82"/>
        <v>4.3858386974630825</v>
      </c>
      <c r="AT49" s="63">
        <f t="shared" si="82"/>
        <v>5.3296577946768062</v>
      </c>
      <c r="AU49" s="63">
        <f t="shared" si="82"/>
        <v>4.7119999999999997</v>
      </c>
      <c r="AV49" s="63">
        <f t="shared" si="82"/>
        <v>5.1590038314176248</v>
      </c>
      <c r="AW49" s="63">
        <f t="shared" si="82"/>
        <v>6.0338461538461541</v>
      </c>
      <c r="AX49" s="63">
        <f t="shared" si="82"/>
        <v>8.0176991150442483</v>
      </c>
      <c r="AY49" s="693">
        <f t="shared" si="82"/>
        <v>6.4262548262548265</v>
      </c>
      <c r="AZ49" s="63">
        <f t="shared" ca="1" si="82"/>
        <v>7.0462126544188326</v>
      </c>
      <c r="BA49" s="63">
        <f t="shared" ca="1" si="82"/>
        <v>7.8072951401833093</v>
      </c>
      <c r="BB49" s="63">
        <f t="shared" ca="1" si="82"/>
        <v>8.750891183534069</v>
      </c>
      <c r="BC49" s="63">
        <f t="shared" ca="1" si="82"/>
        <v>9.7128277352638719</v>
      </c>
      <c r="BD49" s="63">
        <f t="shared" ca="1" si="82"/>
        <v>8.5676973685638131</v>
      </c>
      <c r="BE49" s="63">
        <f t="shared" ca="1" si="82"/>
        <v>9.2235604217152236</v>
      </c>
      <c r="BF49" s="63">
        <f t="shared" ca="1" si="82"/>
        <v>9.9982323916825209</v>
      </c>
      <c r="BG49" s="63"/>
      <c r="BH49" s="1076">
        <f t="shared" ref="BH49:CB49" si="83">INDEX(MO_RIS_EPS_WAD_Adj,0,COLUMN())</f>
        <v>0</v>
      </c>
      <c r="BI49" s="1076">
        <f t="shared" si="83"/>
        <v>0.42857142857142855</v>
      </c>
      <c r="BJ49" s="1076">
        <f t="shared" si="83"/>
        <v>0.49914236706689535</v>
      </c>
      <c r="BK49" s="1076">
        <f t="shared" si="83"/>
        <v>0.53126260588947161</v>
      </c>
      <c r="BL49" s="1076">
        <f t="shared" si="83"/>
        <v>0.92729439809296776</v>
      </c>
      <c r="BM49" s="1076">
        <f t="shared" si="83"/>
        <v>1.7691441441441442</v>
      </c>
      <c r="BN49" s="1076">
        <f t="shared" si="83"/>
        <v>2.2846126883981772</v>
      </c>
      <c r="BO49" s="1076">
        <f t="shared" si="83"/>
        <v>3.4929914529914532</v>
      </c>
      <c r="BP49" s="1076">
        <f t="shared" si="83"/>
        <v>5.3903924221921518</v>
      </c>
      <c r="BQ49" s="1076">
        <f t="shared" si="83"/>
        <v>7.5700102704553238</v>
      </c>
      <c r="BR49" s="1076">
        <f t="shared" si="83"/>
        <v>6.4273296244784426</v>
      </c>
      <c r="BS49" s="1076">
        <f t="shared" si="83"/>
        <v>10.092105263157896</v>
      </c>
      <c r="BT49" s="1076">
        <f t="shared" si="83"/>
        <v>13.770549143057012</v>
      </c>
      <c r="BU49" s="1076">
        <f t="shared" si="83"/>
        <v>8.5862324204293117</v>
      </c>
      <c r="BV49" s="1076">
        <f t="shared" si="83"/>
        <v>14.871814378090528</v>
      </c>
      <c r="BW49" s="1077">
        <f t="shared" si="83"/>
        <v>23.856159143075747</v>
      </c>
      <c r="BX49" s="1076">
        <f t="shared" ca="1" si="83"/>
        <v>30.020515028389646</v>
      </c>
      <c r="BY49" s="1076">
        <f t="shared" ca="1" si="83"/>
        <v>37.502357568041283</v>
      </c>
      <c r="BZ49" s="1076">
        <f t="shared" ca="1" si="83"/>
        <v>42.759781316545677</v>
      </c>
      <c r="CA49" s="1076">
        <f t="shared" ca="1" si="83"/>
        <v>44.807640164096313</v>
      </c>
      <c r="CB49" s="1076">
        <f t="shared" ca="1" si="83"/>
        <v>51.287253533345151</v>
      </c>
      <c r="CC49" s="63"/>
    </row>
    <row r="50" spans="1:81" x14ac:dyDescent="0.55000000000000004">
      <c r="A50" s="85"/>
      <c r="B50" s="96"/>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94"/>
      <c r="AZ50" s="64"/>
      <c r="BA50" s="64"/>
      <c r="BB50" s="64"/>
      <c r="BC50" s="64"/>
      <c r="BD50" s="64"/>
      <c r="BE50" s="64"/>
      <c r="BF50" s="64"/>
      <c r="BG50" s="64"/>
      <c r="BH50" s="1078"/>
      <c r="BI50" s="1078"/>
      <c r="BJ50" s="1078"/>
      <c r="BK50" s="1078"/>
      <c r="BL50" s="1078"/>
      <c r="BM50" s="1078"/>
      <c r="BN50" s="1078"/>
      <c r="BO50" s="1070"/>
      <c r="BP50" s="1070"/>
      <c r="BQ50" s="1070"/>
      <c r="BR50" s="1070"/>
      <c r="BS50" s="1070"/>
      <c r="BT50" s="1070"/>
      <c r="BU50" s="1070"/>
      <c r="BV50" s="1070"/>
      <c r="BW50" s="1071"/>
      <c r="BX50" s="1070"/>
      <c r="BY50" s="1070"/>
      <c r="BZ50" s="1070"/>
      <c r="CA50" s="1070"/>
      <c r="CB50" s="1070"/>
      <c r="CC50" s="85"/>
    </row>
    <row r="51" spans="1:81" s="729" customFormat="1" x14ac:dyDescent="0.55000000000000004">
      <c r="A51" s="608" t="s">
        <v>32</v>
      </c>
      <c r="B51" s="608"/>
      <c r="C51" s="608"/>
      <c r="D51" s="608"/>
      <c r="E51" s="608"/>
      <c r="F51" s="608"/>
      <c r="G51" s="608"/>
      <c r="H51" s="608"/>
      <c r="I51" s="608"/>
      <c r="J51" s="608"/>
      <c r="K51" s="608"/>
      <c r="L51" s="608"/>
      <c r="M51" s="608"/>
      <c r="N51" s="608"/>
      <c r="O51" s="608"/>
      <c r="P51" s="608"/>
      <c r="Q51" s="608"/>
      <c r="R51" s="608"/>
      <c r="S51" s="608"/>
      <c r="T51" s="608"/>
      <c r="U51" s="608"/>
      <c r="V51" s="608"/>
      <c r="W51" s="608"/>
      <c r="X51" s="608"/>
      <c r="Y51" s="608"/>
      <c r="Z51" s="608"/>
      <c r="AA51" s="608"/>
      <c r="AB51" s="608"/>
      <c r="AC51" s="608"/>
      <c r="AD51" s="608"/>
      <c r="AE51" s="608"/>
      <c r="AF51" s="608"/>
      <c r="AG51" s="608"/>
      <c r="AH51" s="608"/>
      <c r="AI51" s="608"/>
      <c r="AJ51" s="608"/>
      <c r="AK51" s="608"/>
      <c r="AL51" s="608"/>
      <c r="AM51" s="608"/>
      <c r="AN51" s="608"/>
      <c r="AO51" s="608"/>
      <c r="AP51" s="608"/>
      <c r="AQ51" s="608"/>
      <c r="AR51" s="608"/>
      <c r="AS51" s="608"/>
      <c r="AT51" s="608"/>
      <c r="AU51" s="608"/>
      <c r="AV51" s="608"/>
      <c r="AW51" s="608"/>
      <c r="AX51" s="608"/>
      <c r="AY51" s="609"/>
      <c r="AZ51" s="608"/>
      <c r="BA51" s="608"/>
      <c r="BB51" s="608"/>
      <c r="BC51" s="608"/>
      <c r="BD51" s="608"/>
      <c r="BE51" s="608"/>
      <c r="BF51" s="608"/>
      <c r="BG51" s="608"/>
      <c r="BH51" s="608"/>
      <c r="BI51" s="608"/>
      <c r="BJ51" s="608"/>
      <c r="BK51" s="608"/>
      <c r="BL51" s="608"/>
      <c r="BM51" s="608"/>
      <c r="BN51" s="608"/>
      <c r="BO51" s="608"/>
      <c r="BP51" s="608"/>
      <c r="BQ51" s="608"/>
      <c r="BR51" s="608"/>
      <c r="BS51" s="608"/>
      <c r="BT51" s="608"/>
      <c r="BU51" s="608"/>
      <c r="BV51" s="608"/>
      <c r="BW51" s="609"/>
      <c r="BX51" s="608"/>
      <c r="BY51" s="608"/>
      <c r="BZ51" s="608"/>
      <c r="CA51" s="608"/>
      <c r="CB51" s="608"/>
      <c r="CC51" s="607"/>
    </row>
    <row r="52" spans="1:81" s="734" customFormat="1" x14ac:dyDescent="0.55000000000000004">
      <c r="A52" s="100" t="str">
        <f>INDEX(MO_MA_COGS,0,COLUMN())</f>
        <v>COGS Margin, %</v>
      </c>
      <c r="B52" s="96"/>
      <c r="C52" s="65">
        <f t="shared" ref="C52:AH52" si="84">INDEX(MO_MA_COGS,0,COLUMN())</f>
        <v>0.2832647462277092</v>
      </c>
      <c r="D52" s="65">
        <f t="shared" si="84"/>
        <v>0.25648097076668508</v>
      </c>
      <c r="E52" s="65">
        <f t="shared" si="84"/>
        <v>0.25148809523809523</v>
      </c>
      <c r="F52" s="65">
        <f t="shared" si="84"/>
        <v>0.18994197292069631</v>
      </c>
      <c r="G52" s="65">
        <f t="shared" si="84"/>
        <v>0.18465227817745802</v>
      </c>
      <c r="H52" s="65">
        <f t="shared" si="84"/>
        <v>0.16254295532646049</v>
      </c>
      <c r="I52" s="65">
        <f t="shared" si="84"/>
        <v>0.17639712769278801</v>
      </c>
      <c r="J52" s="65">
        <f t="shared" si="84"/>
        <v>0.16956634640353155</v>
      </c>
      <c r="K52" s="65">
        <f t="shared" si="84"/>
        <v>0.18458933107535985</v>
      </c>
      <c r="L52" s="65">
        <f t="shared" si="84"/>
        <v>0.165264720435428</v>
      </c>
      <c r="M52" s="65">
        <f t="shared" si="84"/>
        <v>0.15996445234392356</v>
      </c>
      <c r="N52" s="65">
        <f t="shared" si="84"/>
        <v>0.14107173429207329</v>
      </c>
      <c r="O52" s="65">
        <f t="shared" si="84"/>
        <v>0.15570419918246006</v>
      </c>
      <c r="P52" s="65">
        <f t="shared" si="84"/>
        <v>0.14247980111870728</v>
      </c>
      <c r="Q52" s="65">
        <f t="shared" si="84"/>
        <v>0.14077877620881471</v>
      </c>
      <c r="R52" s="65">
        <f t="shared" si="84"/>
        <v>0.11885571574526053</v>
      </c>
      <c r="S52" s="65">
        <f t="shared" si="84"/>
        <v>0.14429780876494025</v>
      </c>
      <c r="T52" s="65">
        <f t="shared" si="84"/>
        <v>0.13271108250187749</v>
      </c>
      <c r="U52" s="65">
        <f t="shared" si="84"/>
        <v>0.14020139426800929</v>
      </c>
      <c r="V52" s="65">
        <f t="shared" si="84"/>
        <v>0.12419056429232192</v>
      </c>
      <c r="W52" s="65">
        <f t="shared" si="84"/>
        <v>0.1610396122346649</v>
      </c>
      <c r="X52" s="65">
        <f t="shared" si="84"/>
        <v>0.16733429068097649</v>
      </c>
      <c r="Y52" s="65">
        <f t="shared" si="84"/>
        <v>0.17614919501711954</v>
      </c>
      <c r="Z52" s="65">
        <f t="shared" si="84"/>
        <v>0.16530684639943241</v>
      </c>
      <c r="AA52" s="65">
        <f t="shared" si="84"/>
        <v>0.18677455727266698</v>
      </c>
      <c r="AB52" s="65">
        <f t="shared" si="84"/>
        <v>0.19584270993722611</v>
      </c>
      <c r="AC52" s="65">
        <f t="shared" si="84"/>
        <v>0.17873328801268978</v>
      </c>
      <c r="AD52" s="65">
        <f t="shared" si="84"/>
        <v>0.16563893368750593</v>
      </c>
      <c r="AE52" s="65">
        <f t="shared" si="84"/>
        <v>0.19501606810621863</v>
      </c>
      <c r="AF52" s="65">
        <f t="shared" si="84"/>
        <v>0.20490180339273292</v>
      </c>
      <c r="AG52" s="65">
        <f t="shared" si="84"/>
        <v>0.19534233814625057</v>
      </c>
      <c r="AH52" s="65">
        <f t="shared" si="84"/>
        <v>0.18559418637788544</v>
      </c>
      <c r="AI52" s="65">
        <f t="shared" ref="AI52:BF52" si="85">INDEX(MO_MA_COGS,0,COLUMN())</f>
        <v>0.19605670398532726</v>
      </c>
      <c r="AJ52" s="65">
        <f t="shared" si="85"/>
        <v>0.18567940296454241</v>
      </c>
      <c r="AK52" s="65">
        <f t="shared" si="85"/>
        <v>0.19893140296449499</v>
      </c>
      <c r="AL52" s="65">
        <f t="shared" si="85"/>
        <v>0.18853018918357042</v>
      </c>
      <c r="AM52" s="65">
        <f t="shared" si="85"/>
        <v>0.21517127705317471</v>
      </c>
      <c r="AN52" s="65">
        <f t="shared" si="85"/>
        <v>0.18014017070293525</v>
      </c>
      <c r="AO52" s="65">
        <f t="shared" si="85"/>
        <v>0.20624954896442232</v>
      </c>
      <c r="AP52" s="65">
        <f t="shared" si="85"/>
        <v>0.25916368723768068</v>
      </c>
      <c r="AQ52" s="65">
        <f t="shared" si="85"/>
        <v>0.21323093035433757</v>
      </c>
      <c r="AR52" s="65">
        <f t="shared" si="85"/>
        <v>0.18578705584549518</v>
      </c>
      <c r="AS52" s="65">
        <f t="shared" si="85"/>
        <v>0.18186610437532946</v>
      </c>
      <c r="AT52" s="65">
        <f t="shared" si="85"/>
        <v>0.19184263668320412</v>
      </c>
      <c r="AU52" s="65">
        <f t="shared" si="85"/>
        <v>0.18214236730215333</v>
      </c>
      <c r="AV52" s="65">
        <f t="shared" si="85"/>
        <v>0.18704409920401321</v>
      </c>
      <c r="AW52" s="65">
        <f t="shared" si="85"/>
        <v>0.18169947522727833</v>
      </c>
      <c r="AX52" s="65">
        <f t="shared" si="85"/>
        <v>0.18268058282525576</v>
      </c>
      <c r="AY52" s="695">
        <f t="shared" si="85"/>
        <v>0.17894786595453041</v>
      </c>
      <c r="AZ52" s="65">
        <f t="shared" si="85"/>
        <v>0.2300785914537179</v>
      </c>
      <c r="BA52" s="65">
        <f t="shared" si="85"/>
        <v>0.21045171377485775</v>
      </c>
      <c r="BB52" s="65">
        <f t="shared" si="85"/>
        <v>0.29129764930408575</v>
      </c>
      <c r="BC52" s="65">
        <f t="shared" si="85"/>
        <v>7.181823864395985E-2</v>
      </c>
      <c r="BD52" s="65">
        <f t="shared" si="85"/>
        <v>0.14042472906812686</v>
      </c>
      <c r="BE52" s="65">
        <f t="shared" si="85"/>
        <v>0.16898405936174254</v>
      </c>
      <c r="BF52" s="65">
        <f t="shared" si="85"/>
        <v>0.25029117638074988</v>
      </c>
      <c r="BG52" s="65"/>
      <c r="BH52" s="1079">
        <f t="shared" ref="BH52:CB52" si="86">INDEX(MO_MA_COGS,0,COLUMN())</f>
        <v>0.28700128700128702</v>
      </c>
      <c r="BI52" s="1079">
        <f t="shared" si="86"/>
        <v>0.24974670719351572</v>
      </c>
      <c r="BJ52" s="1079">
        <f t="shared" si="86"/>
        <v>0.23174346537321477</v>
      </c>
      <c r="BK52" s="1079">
        <f t="shared" si="86"/>
        <v>0.26802908233444683</v>
      </c>
      <c r="BL52" s="1079">
        <f t="shared" si="86"/>
        <v>0.2381859756097561</v>
      </c>
      <c r="BM52" s="1079">
        <f t="shared" si="86"/>
        <v>0.17270977057596662</v>
      </c>
      <c r="BN52" s="1079">
        <f t="shared" si="86"/>
        <v>0.15991744756804999</v>
      </c>
      <c r="BO52" s="1079">
        <f t="shared" si="86"/>
        <v>0.13709385628482523</v>
      </c>
      <c r="BP52" s="1079">
        <f t="shared" si="86"/>
        <v>0.13415984060216959</v>
      </c>
      <c r="BQ52" s="1079">
        <f t="shared" si="86"/>
        <v>0.16753823561015796</v>
      </c>
      <c r="BR52" s="1079">
        <f t="shared" si="86"/>
        <v>0.18063001258893588</v>
      </c>
      <c r="BS52" s="1079">
        <f t="shared" si="86"/>
        <v>0.19417204676321759</v>
      </c>
      <c r="BT52" s="1079">
        <f t="shared" si="86"/>
        <v>0.19205623722748433</v>
      </c>
      <c r="BU52" s="1079">
        <f t="shared" si="86"/>
        <v>0.21652702621581524</v>
      </c>
      <c r="BV52" s="1079">
        <f t="shared" si="86"/>
        <v>0.19242857778239017</v>
      </c>
      <c r="BW52" s="1080">
        <f t="shared" si="86"/>
        <v>0.18334842949282984</v>
      </c>
      <c r="BX52" s="1070">
        <f t="shared" si="86"/>
        <v>0.23211211508220714</v>
      </c>
      <c r="BY52" s="1070">
        <f t="shared" si="86"/>
        <v>0.1652824132658475</v>
      </c>
      <c r="BZ52" s="1070">
        <f t="shared" si="86"/>
        <v>0.1348377439193042</v>
      </c>
      <c r="CA52" s="1070">
        <f t="shared" si="86"/>
        <v>0.10468713297689461</v>
      </c>
      <c r="CB52" s="1070">
        <f t="shared" si="86"/>
        <v>7.4747643433330208E-2</v>
      </c>
      <c r="CC52" s="85"/>
    </row>
    <row r="53" spans="1:81" s="734" customFormat="1" x14ac:dyDescent="0.55000000000000004">
      <c r="A53" s="100" t="str">
        <f>INDEX(MO_MA_GA,0,COLUMN())</f>
        <v>G&amp;A Margin, %</v>
      </c>
      <c r="B53" s="96"/>
      <c r="C53" s="65">
        <f t="shared" ref="C53:AH53" si="87">INDEX(MO_MA_GA,0,COLUMN())</f>
        <v>0.12071330589849108</v>
      </c>
      <c r="D53" s="65">
        <f t="shared" si="87"/>
        <v>9.5421952564809703E-2</v>
      </c>
      <c r="E53" s="65">
        <f t="shared" si="87"/>
        <v>8.4821428571428575E-2</v>
      </c>
      <c r="F53" s="65">
        <f t="shared" si="87"/>
        <v>0.10096711798839458</v>
      </c>
      <c r="G53" s="65">
        <f t="shared" si="87"/>
        <v>7.4740207833733016E-2</v>
      </c>
      <c r="H53" s="65">
        <f t="shared" si="87"/>
        <v>6.7697594501718208E-2</v>
      </c>
      <c r="I53" s="65">
        <f t="shared" si="87"/>
        <v>8.0861692163596621E-2</v>
      </c>
      <c r="J53" s="65">
        <f t="shared" si="87"/>
        <v>8.5692028044663721E-2</v>
      </c>
      <c r="K53" s="65">
        <f t="shared" si="87"/>
        <v>7.7335591306802148E-2</v>
      </c>
      <c r="L53" s="65">
        <f t="shared" si="87"/>
        <v>7.5457694210786741E-2</v>
      </c>
      <c r="M53" s="65">
        <f t="shared" si="87"/>
        <v>7.6649633414796706E-2</v>
      </c>
      <c r="N53" s="65">
        <f t="shared" si="87"/>
        <v>6.3516521143639787E-2</v>
      </c>
      <c r="O53" s="65">
        <f t="shared" si="87"/>
        <v>6.7818654775176512E-2</v>
      </c>
      <c r="P53" s="65">
        <f t="shared" si="87"/>
        <v>6.4170292106898688E-2</v>
      </c>
      <c r="Q53" s="65">
        <f t="shared" si="87"/>
        <v>6.2615889316787909E-2</v>
      </c>
      <c r="R53" s="65">
        <f t="shared" si="87"/>
        <v>5.8462935634010671E-2</v>
      </c>
      <c r="S53" s="65">
        <f t="shared" si="87"/>
        <v>8.1548804780876491E-2</v>
      </c>
      <c r="T53" s="65">
        <f t="shared" si="87"/>
        <v>6.8662160712369913E-2</v>
      </c>
      <c r="U53" s="65">
        <f t="shared" si="87"/>
        <v>5.1897753679318356E-2</v>
      </c>
      <c r="V53" s="65">
        <f t="shared" si="87"/>
        <v>5.2883132901634287E-2</v>
      </c>
      <c r="W53" s="65">
        <f t="shared" si="87"/>
        <v>6.3262577302356682E-2</v>
      </c>
      <c r="X53" s="65">
        <f t="shared" si="87"/>
        <v>5.865013982314262E-2</v>
      </c>
      <c r="Y53" s="65">
        <f t="shared" si="87"/>
        <v>6.8696729074087567E-2</v>
      </c>
      <c r="Z53" s="65">
        <f t="shared" si="87"/>
        <v>5.7644554806669031E-2</v>
      </c>
      <c r="AA53" s="65">
        <f t="shared" si="87"/>
        <v>0.26954964515487168</v>
      </c>
      <c r="AB53" s="65">
        <f t="shared" si="87"/>
        <v>0.19092739547554186</v>
      </c>
      <c r="AC53" s="65">
        <f t="shared" si="87"/>
        <v>7.6365284387038296E-2</v>
      </c>
      <c r="AD53" s="65">
        <f t="shared" si="87"/>
        <v>8.675647471776872E-2</v>
      </c>
      <c r="AE53" s="65">
        <f t="shared" si="87"/>
        <v>8.9248463663528219E-2</v>
      </c>
      <c r="AF53" s="65">
        <f t="shared" si="87"/>
        <v>8.5246427998073526E-2</v>
      </c>
      <c r="AG53" s="65">
        <f t="shared" si="87"/>
        <v>8.3372147182114581E-2</v>
      </c>
      <c r="AH53" s="65">
        <f t="shared" si="87"/>
        <v>5.6960672556283842E-2</v>
      </c>
      <c r="AI53" s="65">
        <f t="shared" ref="AI53:BF53" si="88">INDEX(MO_MA_GA,0,COLUMN())</f>
        <v>6.1976997439914409E-2</v>
      </c>
      <c r="AJ53" s="65">
        <f t="shared" si="88"/>
        <v>6.7269663307769026E-2</v>
      </c>
      <c r="AK53" s="65">
        <f t="shared" si="88"/>
        <v>0.10155118924508789</v>
      </c>
      <c r="AL53" s="65">
        <f t="shared" si="88"/>
        <v>9.8155682931899857E-2</v>
      </c>
      <c r="AM53" s="65">
        <f t="shared" si="88"/>
        <v>8.4563566002579901E-2</v>
      </c>
      <c r="AN53" s="65">
        <f t="shared" si="88"/>
        <v>0.1036361113038651</v>
      </c>
      <c r="AO53" s="65">
        <f t="shared" si="88"/>
        <v>0.12210435159125352</v>
      </c>
      <c r="AP53" s="65">
        <f t="shared" si="88"/>
        <v>9.5911705269703093E-2</v>
      </c>
      <c r="AQ53" s="65">
        <f t="shared" si="88"/>
        <v>0.10071565718275441</v>
      </c>
      <c r="AR53" s="65">
        <f t="shared" si="88"/>
        <v>0.13012906653332917</v>
      </c>
      <c r="AS53" s="65">
        <f t="shared" si="88"/>
        <v>6.062203479177649E-2</v>
      </c>
      <c r="AT53" s="65">
        <f t="shared" si="88"/>
        <v>5.7066640073795215E-2</v>
      </c>
      <c r="AU53" s="65">
        <f t="shared" si="88"/>
        <v>9.4774379371828282E-2</v>
      </c>
      <c r="AV53" s="65">
        <f t="shared" si="88"/>
        <v>9.3624427324614165E-2</v>
      </c>
      <c r="AW53" s="65">
        <f t="shared" si="88"/>
        <v>4.5948409667643943E-2</v>
      </c>
      <c r="AX53" s="65">
        <f t="shared" si="88"/>
        <v>1.5728014880644826E-2</v>
      </c>
      <c r="AY53" s="695">
        <f t="shared" si="88"/>
        <v>5.3882875643994896E-2</v>
      </c>
      <c r="AZ53" s="65">
        <f t="shared" si="88"/>
        <v>8.362442732461417E-2</v>
      </c>
      <c r="BA53" s="65">
        <f t="shared" si="88"/>
        <v>4.4948409667643942E-2</v>
      </c>
      <c r="BB53" s="65">
        <f t="shared" si="88"/>
        <v>1.4728014880644826E-2</v>
      </c>
      <c r="BC53" s="65">
        <f t="shared" si="88"/>
        <v>5.0882875643994893E-2</v>
      </c>
      <c r="BD53" s="65">
        <f t="shared" si="88"/>
        <v>7.3624427324614175E-2</v>
      </c>
      <c r="BE53" s="65">
        <f t="shared" si="88"/>
        <v>4.3948409667643941E-2</v>
      </c>
      <c r="BF53" s="65">
        <f t="shared" si="88"/>
        <v>1.3728014880644825E-2</v>
      </c>
      <c r="BG53" s="65"/>
      <c r="BH53" s="1079">
        <f t="shared" ref="BH53:CB53" si="89">INDEX(MO_MA_GA,0,COLUMN())</f>
        <v>0.11583011583011583</v>
      </c>
      <c r="BI53" s="1079">
        <f t="shared" si="89"/>
        <v>6.9908814589665649E-2</v>
      </c>
      <c r="BJ53" s="1079">
        <f t="shared" si="89"/>
        <v>8.461331177580167E-2</v>
      </c>
      <c r="BK53" s="1079">
        <f t="shared" si="89"/>
        <v>0.17528001572018079</v>
      </c>
      <c r="BL53" s="1079">
        <f t="shared" si="89"/>
        <v>9.921239837398374E-2</v>
      </c>
      <c r="BM53" s="1079">
        <f t="shared" si="89"/>
        <v>7.8052302262153053E-2</v>
      </c>
      <c r="BN53" s="1079">
        <f t="shared" si="89"/>
        <v>7.2233377956269523E-2</v>
      </c>
      <c r="BO53" s="1079">
        <f t="shared" si="89"/>
        <v>6.2631159997105432E-2</v>
      </c>
      <c r="BP53" s="1079">
        <f t="shared" si="89"/>
        <v>6.1914249870858237E-2</v>
      </c>
      <c r="BQ53" s="1079">
        <f t="shared" si="89"/>
        <v>6.1803789534009099E-2</v>
      </c>
      <c r="BR53" s="1079">
        <f t="shared" si="89"/>
        <v>0.14802608314355631</v>
      </c>
      <c r="BS53" s="1079">
        <f t="shared" si="89"/>
        <v>7.6356656778921658E-2</v>
      </c>
      <c r="BT53" s="1079">
        <f t="shared" si="89"/>
        <v>8.3346759490880107E-2</v>
      </c>
      <c r="BU53" s="1079">
        <f t="shared" si="89"/>
        <v>0.10133008601394404</v>
      </c>
      <c r="BV53" s="1079">
        <f t="shared" si="89"/>
        <v>8.4565091696194278E-2</v>
      </c>
      <c r="BW53" s="1080">
        <f t="shared" si="89"/>
        <v>5.9209366508410285E-2</v>
      </c>
      <c r="BX53" s="1070">
        <f t="shared" si="89"/>
        <v>4.6856793353117328E-2</v>
      </c>
      <c r="BY53" s="1070">
        <f t="shared" si="89"/>
        <v>4.3062071658576132E-2</v>
      </c>
      <c r="BZ53" s="1070">
        <f t="shared" si="89"/>
        <v>4.0562071658576129E-2</v>
      </c>
      <c r="CA53" s="1070">
        <f t="shared" si="89"/>
        <v>3.8062071658576127E-2</v>
      </c>
      <c r="CB53" s="1070">
        <f t="shared" si="89"/>
        <v>3.5562071658576125E-2</v>
      </c>
      <c r="CC53" s="85"/>
    </row>
    <row r="54" spans="1:81" s="734" customFormat="1" x14ac:dyDescent="0.55000000000000004">
      <c r="A54" s="100" t="str">
        <f>INDEX(MO_MA_SM,0,COLUMN())</f>
        <v>S&amp;M Margin, %</v>
      </c>
      <c r="B54" s="96"/>
      <c r="C54" s="65">
        <f t="shared" ref="C54:AH54" si="90">INDEX(MO_MA_SM,0,COLUMN())</f>
        <v>0.1392318244170096</v>
      </c>
      <c r="D54" s="65">
        <f t="shared" si="90"/>
        <v>0.14837286265857694</v>
      </c>
      <c r="E54" s="65">
        <f t="shared" si="90"/>
        <v>0.11557539682539683</v>
      </c>
      <c r="F54" s="65">
        <f t="shared" si="90"/>
        <v>0.11295938104448743</v>
      </c>
      <c r="G54" s="65">
        <f t="shared" si="90"/>
        <v>0.12909672262190247</v>
      </c>
      <c r="H54" s="65">
        <f t="shared" si="90"/>
        <v>0.12302405498281786</v>
      </c>
      <c r="I54" s="65">
        <f t="shared" si="90"/>
        <v>0.11676553231345614</v>
      </c>
      <c r="J54" s="65">
        <f t="shared" si="90"/>
        <v>0.16203583484809139</v>
      </c>
      <c r="K54" s="65">
        <f t="shared" si="90"/>
        <v>0.17499294383290998</v>
      </c>
      <c r="L54" s="65">
        <f t="shared" si="90"/>
        <v>0.15487382483918852</v>
      </c>
      <c r="M54" s="65">
        <f t="shared" si="90"/>
        <v>0.15685403243723617</v>
      </c>
      <c r="N54" s="65">
        <f t="shared" si="90"/>
        <v>0.13216914911830166</v>
      </c>
      <c r="O54" s="65">
        <f t="shared" si="90"/>
        <v>0.15347454477889261</v>
      </c>
      <c r="P54" s="65">
        <f t="shared" si="90"/>
        <v>0.13999378495960224</v>
      </c>
      <c r="Q54" s="65">
        <f t="shared" si="90"/>
        <v>0.13207816288689203</v>
      </c>
      <c r="R54" s="65">
        <f t="shared" si="90"/>
        <v>0.12691565444431832</v>
      </c>
      <c r="S54" s="65">
        <f t="shared" si="90"/>
        <v>0.13159860557768924</v>
      </c>
      <c r="T54" s="65">
        <f t="shared" si="90"/>
        <v>0.12058791975109967</v>
      </c>
      <c r="U54" s="65">
        <f t="shared" si="90"/>
        <v>0.11328427575522851</v>
      </c>
      <c r="V54" s="65">
        <f t="shared" si="90"/>
        <v>0.1059204440333025</v>
      </c>
      <c r="W54" s="65">
        <f t="shared" si="90"/>
        <v>0.13329433394618084</v>
      </c>
      <c r="X54" s="65">
        <f t="shared" si="90"/>
        <v>0.14020104300506386</v>
      </c>
      <c r="Y54" s="65">
        <f t="shared" si="90"/>
        <v>0.14045312158519704</v>
      </c>
      <c r="Z54" s="65">
        <f t="shared" si="90"/>
        <v>0.14591462693626581</v>
      </c>
      <c r="AA54" s="65">
        <f t="shared" si="90"/>
        <v>0.13397890827087616</v>
      </c>
      <c r="AB54" s="65">
        <f t="shared" si="90"/>
        <v>0.14295866398199691</v>
      </c>
      <c r="AC54" s="65">
        <f t="shared" si="90"/>
        <v>0.13686834353047814</v>
      </c>
      <c r="AD54" s="65">
        <f t="shared" si="90"/>
        <v>0.14353476899724885</v>
      </c>
      <c r="AE54" s="65">
        <f t="shared" si="90"/>
        <v>0.15712916502226984</v>
      </c>
      <c r="AF54" s="65">
        <f t="shared" si="90"/>
        <v>0.15197731042971049</v>
      </c>
      <c r="AG54" s="65">
        <f t="shared" si="90"/>
        <v>0.12496506753609687</v>
      </c>
      <c r="AH54" s="65">
        <f t="shared" si="90"/>
        <v>0.11684240524365916</v>
      </c>
      <c r="AI54" s="65">
        <f t="shared" ref="AI54:BF54" si="91">INDEX(MO_MA_SM,0,COLUMN())</f>
        <v>0.10863169156700164</v>
      </c>
      <c r="AJ54" s="65">
        <f t="shared" si="91"/>
        <v>0.1120817140695395</v>
      </c>
      <c r="AK54" s="65">
        <f t="shared" si="91"/>
        <v>0.1225094794898311</v>
      </c>
      <c r="AL54" s="65">
        <f t="shared" si="91"/>
        <v>0.13029016067238872</v>
      </c>
      <c r="AM54" s="65">
        <f t="shared" si="91"/>
        <v>0.11867564855955282</v>
      </c>
      <c r="AN54" s="65">
        <f t="shared" si="91"/>
        <v>0.12473110818125044</v>
      </c>
      <c r="AO54" s="65">
        <f t="shared" si="91"/>
        <v>0.13639315869235766</v>
      </c>
      <c r="AP54" s="65">
        <f t="shared" si="91"/>
        <v>0.142204259288046</v>
      </c>
      <c r="AQ54" s="65">
        <f t="shared" si="91"/>
        <v>0.10626636411241054</v>
      </c>
      <c r="AR54" s="65">
        <f t="shared" si="91"/>
        <v>9.8565580174380454E-2</v>
      </c>
      <c r="AS54" s="65">
        <f t="shared" si="91"/>
        <v>8.4255842558425581E-2</v>
      </c>
      <c r="AT54" s="65">
        <f t="shared" si="91"/>
        <v>8.0426815586746775E-2</v>
      </c>
      <c r="AU54" s="65">
        <f t="shared" si="91"/>
        <v>7.0333287614867651E-2</v>
      </c>
      <c r="AV54" s="65">
        <f t="shared" si="91"/>
        <v>6.9642445803793099E-2</v>
      </c>
      <c r="AW54" s="65">
        <f t="shared" si="91"/>
        <v>6.9526226317475182E-2</v>
      </c>
      <c r="AX54" s="65">
        <f t="shared" si="91"/>
        <v>6.6962901725741444E-2</v>
      </c>
      <c r="AY54" s="695">
        <f t="shared" si="91"/>
        <v>6.5155740416883295E-2</v>
      </c>
      <c r="AZ54" s="65">
        <f t="shared" si="91"/>
        <v>6.8642445803793098E-2</v>
      </c>
      <c r="BA54" s="65">
        <f t="shared" si="91"/>
        <v>6.8526226317475181E-2</v>
      </c>
      <c r="BB54" s="65">
        <f t="shared" si="91"/>
        <v>6.5962901725741444E-2</v>
      </c>
      <c r="BC54" s="65">
        <f t="shared" si="91"/>
        <v>6.4155740416883295E-2</v>
      </c>
      <c r="BD54" s="65">
        <f t="shared" si="91"/>
        <v>6.7642445803793097E-2</v>
      </c>
      <c r="BE54" s="65">
        <f t="shared" si="91"/>
        <v>6.752622631747518E-2</v>
      </c>
      <c r="BF54" s="65">
        <f t="shared" si="91"/>
        <v>6.4962901725741443E-2</v>
      </c>
      <c r="BG54" s="65"/>
      <c r="BH54" s="1079">
        <f t="shared" ref="BH54:CB54" si="92">INDEX(MO_MA_SM,0,COLUMN())</f>
        <v>0.11196911196911197</v>
      </c>
      <c r="BI54" s="1079">
        <f t="shared" si="92"/>
        <v>8.4599797365754806E-2</v>
      </c>
      <c r="BJ54" s="1079">
        <f t="shared" si="92"/>
        <v>0.1059013742926435</v>
      </c>
      <c r="BK54" s="1079">
        <f t="shared" si="92"/>
        <v>0.17606602475928473</v>
      </c>
      <c r="BL54" s="1079">
        <f t="shared" si="92"/>
        <v>0.12665142276422764</v>
      </c>
      <c r="BM54" s="1079">
        <f t="shared" si="92"/>
        <v>0.13476656505695492</v>
      </c>
      <c r="BN54" s="1079">
        <f t="shared" si="92"/>
        <v>0.15199687639446677</v>
      </c>
      <c r="BO54" s="1079">
        <f t="shared" si="92"/>
        <v>0.13647876112598595</v>
      </c>
      <c r="BP54" s="1079">
        <f t="shared" si="92"/>
        <v>0.1162275846800974</v>
      </c>
      <c r="BQ54" s="1079">
        <f t="shared" si="92"/>
        <v>0.14051362871163006</v>
      </c>
      <c r="BR54" s="1079">
        <f t="shared" si="92"/>
        <v>0.139694753667058</v>
      </c>
      <c r="BS54" s="1079">
        <f t="shared" si="92"/>
        <v>0.13483394404699586</v>
      </c>
      <c r="BT54" s="1079">
        <f t="shared" si="92"/>
        <v>0.11908012448167965</v>
      </c>
      <c r="BU54" s="1079">
        <f t="shared" si="92"/>
        <v>0.13088183587887728</v>
      </c>
      <c r="BV54" s="1079">
        <f t="shared" si="92"/>
        <v>9.118471186490934E-2</v>
      </c>
      <c r="BW54" s="1080">
        <f t="shared" si="92"/>
        <v>6.8978304083257849E-2</v>
      </c>
      <c r="BX54" s="1070">
        <f t="shared" si="92"/>
        <v>6.7026517349629125E-2</v>
      </c>
      <c r="BY54" s="1070">
        <f t="shared" si="92"/>
        <v>6.6010113747450458E-2</v>
      </c>
      <c r="BZ54" s="1070">
        <f t="shared" si="92"/>
        <v>6.3510113747450456E-2</v>
      </c>
      <c r="CA54" s="1070">
        <f t="shared" si="92"/>
        <v>6.1010113747450453E-2</v>
      </c>
      <c r="CB54" s="1070">
        <f t="shared" si="92"/>
        <v>5.8510113747450451E-2</v>
      </c>
      <c r="CC54" s="85"/>
    </row>
    <row r="55" spans="1:81" s="734" customFormat="1" x14ac:dyDescent="0.55000000000000004">
      <c r="A55" s="132" t="str">
        <f>INDEX(MO_MA_RD,0,COLUMN())</f>
        <v>R&amp;D Margin, %</v>
      </c>
      <c r="B55" s="185"/>
      <c r="C55" s="169">
        <f t="shared" ref="C55:AH55" si="93">INDEX(MO_MA_RD,0,COLUMN())</f>
        <v>0.20096021947873799</v>
      </c>
      <c r="D55" s="169">
        <f t="shared" si="93"/>
        <v>0.18974076116933261</v>
      </c>
      <c r="E55" s="169">
        <f t="shared" si="93"/>
        <v>0.18303571428571427</v>
      </c>
      <c r="F55" s="169">
        <f t="shared" si="93"/>
        <v>0.15783365570599614</v>
      </c>
      <c r="G55" s="169">
        <f t="shared" si="93"/>
        <v>0.18185451638689049</v>
      </c>
      <c r="H55" s="169">
        <f t="shared" si="93"/>
        <v>0.16907216494845362</v>
      </c>
      <c r="I55" s="169">
        <f t="shared" si="93"/>
        <v>0.18982204183577897</v>
      </c>
      <c r="J55" s="169">
        <f t="shared" si="93"/>
        <v>0.28849649441703451</v>
      </c>
      <c r="K55" s="169">
        <f t="shared" si="93"/>
        <v>0.29974597798475866</v>
      </c>
      <c r="L55" s="169">
        <f t="shared" si="93"/>
        <v>0.28946066303809997</v>
      </c>
      <c r="M55" s="169">
        <f t="shared" si="93"/>
        <v>0.28238169295712062</v>
      </c>
      <c r="N55" s="169">
        <f t="shared" si="93"/>
        <v>0.22496147919876733</v>
      </c>
      <c r="O55" s="169">
        <f t="shared" si="93"/>
        <v>0.24953548866592346</v>
      </c>
      <c r="P55" s="169">
        <f t="shared" si="93"/>
        <v>0.22855811062771908</v>
      </c>
      <c r="Q55" s="169">
        <f t="shared" si="93"/>
        <v>0.21994009413778348</v>
      </c>
      <c r="R55" s="169">
        <f t="shared" si="93"/>
        <v>0.17743217164263822</v>
      </c>
      <c r="S55" s="169">
        <f t="shared" si="93"/>
        <v>0.22833665338645417</v>
      </c>
      <c r="T55" s="169">
        <f t="shared" si="93"/>
        <v>0.20587919751099668</v>
      </c>
      <c r="U55" s="169">
        <f t="shared" si="93"/>
        <v>0.19868319132455461</v>
      </c>
      <c r="V55" s="169">
        <f t="shared" si="93"/>
        <v>0.15024668516805428</v>
      </c>
      <c r="W55" s="169">
        <f t="shared" si="93"/>
        <v>0.18702991810128697</v>
      </c>
      <c r="X55" s="169">
        <f t="shared" si="93"/>
        <v>0.19068853450230519</v>
      </c>
      <c r="Y55" s="169">
        <f t="shared" si="93"/>
        <v>0.19356013695636337</v>
      </c>
      <c r="Z55" s="169">
        <f t="shared" si="93"/>
        <v>0.16879508099798984</v>
      </c>
      <c r="AA55" s="169">
        <f t="shared" si="93"/>
        <v>0.1896929097300524</v>
      </c>
      <c r="AB55" s="169">
        <f t="shared" si="93"/>
        <v>0.19631647518654508</v>
      </c>
      <c r="AC55" s="169">
        <f t="shared" si="93"/>
        <v>0.20099705415816904</v>
      </c>
      <c r="AD55" s="169">
        <f t="shared" si="93"/>
        <v>0.1839009581633621</v>
      </c>
      <c r="AE55" s="169">
        <f t="shared" si="93"/>
        <v>0.22636297006258105</v>
      </c>
      <c r="AF55" s="169">
        <f t="shared" si="93"/>
        <v>0.23877561941456626</v>
      </c>
      <c r="AG55" s="169">
        <f t="shared" si="93"/>
        <v>0.22184443409408477</v>
      </c>
      <c r="AH55" s="169">
        <f t="shared" si="93"/>
        <v>0.18552294100883443</v>
      </c>
      <c r="AI55" s="169">
        <f t="shared" ref="AI55:BF55" si="94">INDEX(MO_MA_RD,0,COLUMN())</f>
        <v>0.19857857934354819</v>
      </c>
      <c r="AJ55" s="169">
        <f t="shared" si="94"/>
        <v>0.2096502390205317</v>
      </c>
      <c r="AK55" s="169">
        <f t="shared" si="94"/>
        <v>0.21771802826611514</v>
      </c>
      <c r="AL55" s="169">
        <f t="shared" si="94"/>
        <v>0.20926019423242553</v>
      </c>
      <c r="AM55" s="169">
        <f t="shared" si="94"/>
        <v>0.27615737422961156</v>
      </c>
      <c r="AN55" s="169">
        <f t="shared" si="94"/>
        <v>0.30150579418499757</v>
      </c>
      <c r="AO55" s="169">
        <f t="shared" si="94"/>
        <v>0.33087969979071952</v>
      </c>
      <c r="AP55" s="169">
        <f t="shared" si="94"/>
        <v>0.30377739779263174</v>
      </c>
      <c r="AQ55" s="169">
        <f t="shared" si="94"/>
        <v>0.32749170884971202</v>
      </c>
      <c r="AR55" s="169">
        <f t="shared" si="94"/>
        <v>0.29200912528516515</v>
      </c>
      <c r="AS55" s="169">
        <f t="shared" si="94"/>
        <v>0.27063199203420607</v>
      </c>
      <c r="AT55" s="169">
        <f t="shared" si="94"/>
        <v>0.26219740220887039</v>
      </c>
      <c r="AU55" s="169">
        <f t="shared" si="94"/>
        <v>0.27370731038266355</v>
      </c>
      <c r="AV55" s="169">
        <f t="shared" si="94"/>
        <v>0.26968851577896652</v>
      </c>
      <c r="AW55" s="169">
        <f t="shared" si="94"/>
        <v>0.27537017418512405</v>
      </c>
      <c r="AX55" s="169">
        <f t="shared" si="94"/>
        <v>0.25173090833936135</v>
      </c>
      <c r="AY55" s="696">
        <f t="shared" si="94"/>
        <v>0.28713900836602541</v>
      </c>
      <c r="AZ55" s="169">
        <f t="shared" si="94"/>
        <v>0.26868851577896652</v>
      </c>
      <c r="BA55" s="169">
        <f t="shared" si="94"/>
        <v>0.27437017418512405</v>
      </c>
      <c r="BB55" s="169">
        <f t="shared" si="94"/>
        <v>0.25073090833936135</v>
      </c>
      <c r="BC55" s="169">
        <f t="shared" si="94"/>
        <v>0.2861390083660254</v>
      </c>
      <c r="BD55" s="169">
        <f t="shared" si="94"/>
        <v>0.26768851577896652</v>
      </c>
      <c r="BE55" s="169">
        <f t="shared" si="94"/>
        <v>0.27337017418512405</v>
      </c>
      <c r="BF55" s="169">
        <f t="shared" si="94"/>
        <v>0.24973090833936135</v>
      </c>
      <c r="BG55" s="169"/>
      <c r="BH55" s="1081">
        <f t="shared" ref="BH55:CB55" si="95">INDEX(MO_MA_RD,0,COLUMN())</f>
        <v>0.148005148005148</v>
      </c>
      <c r="BI55" s="1081">
        <f t="shared" si="95"/>
        <v>7.29483282674772E-2</v>
      </c>
      <c r="BJ55" s="1081">
        <f t="shared" si="95"/>
        <v>0.10455402856372946</v>
      </c>
      <c r="BK55" s="1081">
        <f t="shared" si="95"/>
        <v>0.27490666142660641</v>
      </c>
      <c r="BL55" s="1081">
        <f t="shared" si="95"/>
        <v>0.1797510162601626</v>
      </c>
      <c r="BM55" s="1081">
        <f t="shared" si="95"/>
        <v>0.21386170383442965</v>
      </c>
      <c r="BN55" s="1081">
        <f t="shared" si="95"/>
        <v>0.26863007585899151</v>
      </c>
      <c r="BO55" s="1081">
        <f t="shared" si="95"/>
        <v>0.21416166148057023</v>
      </c>
      <c r="BP55" s="1081">
        <f t="shared" si="95"/>
        <v>0.19073623102846038</v>
      </c>
      <c r="BQ55" s="1081">
        <f t="shared" si="95"/>
        <v>0.18397865253053475</v>
      </c>
      <c r="BR55" s="1081">
        <f t="shared" si="95"/>
        <v>0.19237025616362788</v>
      </c>
      <c r="BS55" s="1081">
        <f t="shared" si="95"/>
        <v>0.21458733205374281</v>
      </c>
      <c r="BT55" s="1081">
        <f t="shared" si="95"/>
        <v>0.20906647219937419</v>
      </c>
      <c r="BU55" s="1081">
        <f t="shared" si="95"/>
        <v>0.30304693462768739</v>
      </c>
      <c r="BV55" s="1081">
        <f t="shared" si="95"/>
        <v>0.28526634149234259</v>
      </c>
      <c r="BW55" s="1082">
        <f t="shared" si="95"/>
        <v>0.26670354587510109</v>
      </c>
      <c r="BX55" s="1083">
        <f t="shared" si="95"/>
        <v>0.26885084988880453</v>
      </c>
      <c r="BY55" s="1083">
        <f t="shared" si="95"/>
        <v>0.26776623552740958</v>
      </c>
      <c r="BZ55" s="1083">
        <f t="shared" si="95"/>
        <v>0.26526623552740958</v>
      </c>
      <c r="CA55" s="1083">
        <f t="shared" si="95"/>
        <v>0.26276623552740958</v>
      </c>
      <c r="CB55" s="1083">
        <f t="shared" si="95"/>
        <v>0.26026623552740957</v>
      </c>
      <c r="CC55" s="85"/>
    </row>
    <row r="56" spans="1:81" s="737" customFormat="1" x14ac:dyDescent="0.55000000000000004">
      <c r="A56" s="101" t="str">
        <f>INDEX(MO_MA_EBIT,0,COLUMN())</f>
        <v>EBIT Margin, %</v>
      </c>
      <c r="B56" s="49"/>
      <c r="C56" s="66">
        <f t="shared" ref="C56:AH56" si="96">INDEX(MO_MA_EBIT,0,COLUMN())</f>
        <v>0.25582990397805211</v>
      </c>
      <c r="D56" s="66">
        <f t="shared" si="96"/>
        <v>0.3099834528405957</v>
      </c>
      <c r="E56" s="66">
        <f t="shared" si="96"/>
        <v>0.36507936507936506</v>
      </c>
      <c r="F56" s="66">
        <f t="shared" si="96"/>
        <v>0.43829787234042555</v>
      </c>
      <c r="G56" s="66">
        <f t="shared" si="96"/>
        <v>0.42965627498001596</v>
      </c>
      <c r="H56" s="66">
        <f t="shared" si="96"/>
        <v>0.47766323024054985</v>
      </c>
      <c r="I56" s="66">
        <f t="shared" si="96"/>
        <v>0.43615360599438024</v>
      </c>
      <c r="J56" s="66">
        <f t="shared" si="96"/>
        <v>0.2942092962866788</v>
      </c>
      <c r="K56" s="66">
        <f t="shared" si="96"/>
        <v>0.26333615580016934</v>
      </c>
      <c r="L56" s="66">
        <f t="shared" si="96"/>
        <v>0.31494309747649679</v>
      </c>
      <c r="M56" s="66">
        <f t="shared" si="96"/>
        <v>0.32415018884692293</v>
      </c>
      <c r="N56" s="66">
        <f t="shared" si="96"/>
        <v>0.43828111624721794</v>
      </c>
      <c r="O56" s="66">
        <f t="shared" si="96"/>
        <v>0.37346711259754739</v>
      </c>
      <c r="P56" s="66">
        <f t="shared" si="96"/>
        <v>0.42479801118707272</v>
      </c>
      <c r="Q56" s="66">
        <f t="shared" si="96"/>
        <v>0.44458707744972187</v>
      </c>
      <c r="R56" s="66">
        <f t="shared" si="96"/>
        <v>0.5183335225337723</v>
      </c>
      <c r="S56" s="66">
        <f t="shared" si="96"/>
        <v>0.41421812749003983</v>
      </c>
      <c r="T56" s="66">
        <f t="shared" si="96"/>
        <v>0.47215963952365625</v>
      </c>
      <c r="U56" s="66">
        <f t="shared" si="96"/>
        <v>0.49593338497288925</v>
      </c>
      <c r="V56" s="66">
        <f t="shared" si="96"/>
        <v>0.56675917360468697</v>
      </c>
      <c r="W56" s="66">
        <f t="shared" si="96"/>
        <v>0.45537355841551064</v>
      </c>
      <c r="X56" s="66">
        <f t="shared" si="96"/>
        <v>0.44312599198851182</v>
      </c>
      <c r="Y56" s="66">
        <f t="shared" si="96"/>
        <v>0.42114081736723247</v>
      </c>
      <c r="Z56" s="66">
        <f t="shared" si="96"/>
        <v>0.46233889085964291</v>
      </c>
      <c r="AA56" s="66">
        <f t="shared" si="96"/>
        <v>0.22000397957153281</v>
      </c>
      <c r="AB56" s="66">
        <f t="shared" si="96"/>
        <v>0.27395475541869002</v>
      </c>
      <c r="AC56" s="66">
        <f t="shared" si="96"/>
        <v>0.40703602991162474</v>
      </c>
      <c r="AD56" s="66">
        <f t="shared" si="96"/>
        <v>0.42016886443411439</v>
      </c>
      <c r="AE56" s="66">
        <f t="shared" si="96"/>
        <v>0.33224333314540228</v>
      </c>
      <c r="AF56" s="66">
        <f t="shared" si="96"/>
        <v>0.31909883876491679</v>
      </c>
      <c r="AG56" s="66">
        <f t="shared" si="96"/>
        <v>0.37447601304145317</v>
      </c>
      <c r="AH56" s="66">
        <f t="shared" si="96"/>
        <v>0.45507979481333716</v>
      </c>
      <c r="AI56" s="66">
        <f t="shared" ref="AI56:BF56" si="97">INDEX(MO_MA_EBIT,0,COLUMN())</f>
        <v>0.43475602766420846</v>
      </c>
      <c r="AJ56" s="66">
        <f t="shared" si="97"/>
        <v>0.42531898063761736</v>
      </c>
      <c r="AK56" s="66">
        <f t="shared" si="97"/>
        <v>0.35928990003447087</v>
      </c>
      <c r="AL56" s="66">
        <f t="shared" si="97"/>
        <v>0.37376377297971547</v>
      </c>
      <c r="AM56" s="66">
        <f t="shared" si="97"/>
        <v>0.30543213415508097</v>
      </c>
      <c r="AN56" s="66">
        <f t="shared" si="97"/>
        <v>0.28998681562695161</v>
      </c>
      <c r="AO56" s="66">
        <f t="shared" si="97"/>
        <v>0.20437324096124701</v>
      </c>
      <c r="AP56" s="66">
        <f t="shared" si="97"/>
        <v>0.19894295041193844</v>
      </c>
      <c r="AQ56" s="66">
        <f t="shared" si="97"/>
        <v>0.25229533950078548</v>
      </c>
      <c r="AR56" s="66">
        <f t="shared" si="97"/>
        <v>0.29350917216163003</v>
      </c>
      <c r="AS56" s="66">
        <f t="shared" si="97"/>
        <v>0.40262402624026239</v>
      </c>
      <c r="AT56" s="66">
        <f t="shared" si="97"/>
        <v>0.4084665054473835</v>
      </c>
      <c r="AU56" s="66">
        <f t="shared" si="97"/>
        <v>0.37904265532848719</v>
      </c>
      <c r="AV56" s="66">
        <f t="shared" si="97"/>
        <v>0.38000051188861306</v>
      </c>
      <c r="AW56" s="66">
        <f t="shared" si="97"/>
        <v>0.4274557146024785</v>
      </c>
      <c r="AX56" s="66">
        <f t="shared" si="97"/>
        <v>0.48289759222899659</v>
      </c>
      <c r="AY56" s="697">
        <f t="shared" si="97"/>
        <v>0.41487450961856598</v>
      </c>
      <c r="AZ56" s="66">
        <f t="shared" si="97"/>
        <v>0.34896601963890833</v>
      </c>
      <c r="BA56" s="66">
        <f t="shared" si="97"/>
        <v>0.40170347605489909</v>
      </c>
      <c r="BB56" s="66">
        <f t="shared" si="97"/>
        <v>0.37728052575016663</v>
      </c>
      <c r="BC56" s="66">
        <f t="shared" si="97"/>
        <v>0.52700413692913661</v>
      </c>
      <c r="BD56" s="66">
        <f t="shared" si="97"/>
        <v>0.45061988202449937</v>
      </c>
      <c r="BE56" s="66">
        <f t="shared" si="97"/>
        <v>0.44617113046801427</v>
      </c>
      <c r="BF56" s="66">
        <f t="shared" si="97"/>
        <v>0.42128699867350244</v>
      </c>
      <c r="BG56" s="66"/>
      <c r="BH56" s="1084">
        <f t="shared" ref="BH56:CB56" si="98">INDEX(MO_MA_EBIT,0,COLUMN())</f>
        <v>0.33719433719433717</v>
      </c>
      <c r="BI56" s="1084">
        <f t="shared" si="98"/>
        <v>0.52279635258358659</v>
      </c>
      <c r="BJ56" s="1084">
        <f t="shared" si="98"/>
        <v>0.47318781999461063</v>
      </c>
      <c r="BK56" s="1084">
        <f t="shared" si="98"/>
        <v>0.10571821575948123</v>
      </c>
      <c r="BL56" s="1084">
        <f t="shared" si="98"/>
        <v>0.35619918699186992</v>
      </c>
      <c r="BM56" s="1084">
        <f t="shared" si="98"/>
        <v>0.40060965827049577</v>
      </c>
      <c r="BN56" s="1084">
        <f t="shared" si="98"/>
        <v>0.34722222222222221</v>
      </c>
      <c r="BO56" s="1084">
        <f t="shared" si="98"/>
        <v>0.44963456111151312</v>
      </c>
      <c r="BP56" s="1084">
        <f t="shared" si="98"/>
        <v>0.49696209381841439</v>
      </c>
      <c r="BQ56" s="1084">
        <f t="shared" si="98"/>
        <v>0.44616569361366809</v>
      </c>
      <c r="BR56" s="1084">
        <f t="shared" si="98"/>
        <v>0.33927889443682191</v>
      </c>
      <c r="BS56" s="1084">
        <f t="shared" si="98"/>
        <v>0.3800500203571221</v>
      </c>
      <c r="BT56" s="1084">
        <f t="shared" si="98"/>
        <v>0.39645040660058173</v>
      </c>
      <c r="BU56" s="1084">
        <f t="shared" si="98"/>
        <v>0.24821411726367604</v>
      </c>
      <c r="BV56" s="1084">
        <f t="shared" si="98"/>
        <v>0.34655527716416362</v>
      </c>
      <c r="BW56" s="1085">
        <f t="shared" si="98"/>
        <v>0.42176035404040096</v>
      </c>
      <c r="BX56" s="1084">
        <f t="shared" si="98"/>
        <v>0.3851537243262419</v>
      </c>
      <c r="BY56" s="1084">
        <f t="shared" si="98"/>
        <v>0.45787916580071619</v>
      </c>
      <c r="BZ56" s="1084">
        <f t="shared" si="98"/>
        <v>0.49582383514725958</v>
      </c>
      <c r="CA56" s="1084">
        <f t="shared" si="98"/>
        <v>0.53347444608966921</v>
      </c>
      <c r="CB56" s="1084">
        <f t="shared" si="98"/>
        <v>0.57091393563323367</v>
      </c>
      <c r="CC56" s="123"/>
    </row>
    <row r="57" spans="1:81" s="737" customFormat="1" x14ac:dyDescent="0.55000000000000004">
      <c r="A57" s="101" t="str">
        <f>INDEX(MO_MA_EBIT_Adj,0,COLUMN())</f>
        <v>Adjusted EBIT Margin (No Adjustments), %</v>
      </c>
      <c r="B57" s="49"/>
      <c r="C57" s="66">
        <f t="shared" ref="C57:AH57" si="99">INDEX(MO_MA_EBIT_Adj,0,COLUMN())</f>
        <v>0.25582990397805211</v>
      </c>
      <c r="D57" s="66">
        <f t="shared" si="99"/>
        <v>0.3099834528405957</v>
      </c>
      <c r="E57" s="66">
        <f t="shared" si="99"/>
        <v>0.36507936507936506</v>
      </c>
      <c r="F57" s="66">
        <f t="shared" si="99"/>
        <v>0.43829787234042555</v>
      </c>
      <c r="G57" s="66">
        <f t="shared" si="99"/>
        <v>0.42965627498001596</v>
      </c>
      <c r="H57" s="66">
        <f t="shared" si="99"/>
        <v>0.47766323024054985</v>
      </c>
      <c r="I57" s="66">
        <f t="shared" si="99"/>
        <v>0.43615360599438024</v>
      </c>
      <c r="J57" s="66">
        <f t="shared" si="99"/>
        <v>0.2942092962866788</v>
      </c>
      <c r="K57" s="66">
        <f t="shared" si="99"/>
        <v>0.26333615580016934</v>
      </c>
      <c r="L57" s="66">
        <f t="shared" si="99"/>
        <v>0.31494309747649679</v>
      </c>
      <c r="M57" s="66">
        <f t="shared" si="99"/>
        <v>0.32415018884692293</v>
      </c>
      <c r="N57" s="66">
        <f t="shared" si="99"/>
        <v>0.43828111624721794</v>
      </c>
      <c r="O57" s="66">
        <f t="shared" si="99"/>
        <v>0.37346711259754739</v>
      </c>
      <c r="P57" s="66">
        <f t="shared" si="99"/>
        <v>0.42479801118707272</v>
      </c>
      <c r="Q57" s="66">
        <f t="shared" si="99"/>
        <v>0.44458707744972187</v>
      </c>
      <c r="R57" s="66">
        <f t="shared" si="99"/>
        <v>0.5183335225337723</v>
      </c>
      <c r="S57" s="66">
        <f t="shared" si="99"/>
        <v>0.41421812749003983</v>
      </c>
      <c r="T57" s="66">
        <f t="shared" si="99"/>
        <v>0.47215963952365625</v>
      </c>
      <c r="U57" s="66">
        <f t="shared" si="99"/>
        <v>0.49593338497288925</v>
      </c>
      <c r="V57" s="66">
        <f t="shared" si="99"/>
        <v>0.56675917360468697</v>
      </c>
      <c r="W57" s="66">
        <f t="shared" si="99"/>
        <v>0.45537355841551064</v>
      </c>
      <c r="X57" s="66">
        <f t="shared" si="99"/>
        <v>0.44312599198851182</v>
      </c>
      <c r="Y57" s="66">
        <f t="shared" si="99"/>
        <v>0.42114081736723247</v>
      </c>
      <c r="Z57" s="66">
        <f t="shared" si="99"/>
        <v>0.46233889085964291</v>
      </c>
      <c r="AA57" s="66">
        <f t="shared" si="99"/>
        <v>0.22000397957153281</v>
      </c>
      <c r="AB57" s="66">
        <f t="shared" si="99"/>
        <v>0.27395475541869002</v>
      </c>
      <c r="AC57" s="66">
        <f t="shared" si="99"/>
        <v>0.40703602991162474</v>
      </c>
      <c r="AD57" s="66">
        <f t="shared" si="99"/>
        <v>0.42016886443411439</v>
      </c>
      <c r="AE57" s="66">
        <f t="shared" si="99"/>
        <v>0.33224333314540228</v>
      </c>
      <c r="AF57" s="66">
        <f t="shared" si="99"/>
        <v>0.31909883876491679</v>
      </c>
      <c r="AG57" s="66">
        <f t="shared" si="99"/>
        <v>0.37447601304145317</v>
      </c>
      <c r="AH57" s="66">
        <f t="shared" si="99"/>
        <v>0.45507979481333716</v>
      </c>
      <c r="AI57" s="66">
        <f t="shared" ref="AI57:BF57" si="100">INDEX(MO_MA_EBIT_Adj,0,COLUMN())</f>
        <v>0.43475602766420846</v>
      </c>
      <c r="AJ57" s="66">
        <f t="shared" si="100"/>
        <v>0.42531898063761736</v>
      </c>
      <c r="AK57" s="66">
        <f t="shared" si="100"/>
        <v>0.35928990003447087</v>
      </c>
      <c r="AL57" s="66">
        <f t="shared" si="100"/>
        <v>0.37376377297971547</v>
      </c>
      <c r="AM57" s="66">
        <f t="shared" si="100"/>
        <v>0.30543213415508097</v>
      </c>
      <c r="AN57" s="66">
        <f t="shared" si="100"/>
        <v>0.28998681562695161</v>
      </c>
      <c r="AO57" s="66">
        <f t="shared" si="100"/>
        <v>0.20437324096124701</v>
      </c>
      <c r="AP57" s="66">
        <f t="shared" si="100"/>
        <v>0.19894295041193844</v>
      </c>
      <c r="AQ57" s="66">
        <f t="shared" si="100"/>
        <v>0.25229533950078548</v>
      </c>
      <c r="AR57" s="66">
        <f t="shared" si="100"/>
        <v>0.29350917216163003</v>
      </c>
      <c r="AS57" s="66">
        <f t="shared" si="100"/>
        <v>0.40262402624026239</v>
      </c>
      <c r="AT57" s="66">
        <f t="shared" si="100"/>
        <v>0.4084665054473835</v>
      </c>
      <c r="AU57" s="66">
        <f t="shared" si="100"/>
        <v>0.37904265532848719</v>
      </c>
      <c r="AV57" s="66">
        <f t="shared" si="100"/>
        <v>0.38000051188861306</v>
      </c>
      <c r="AW57" s="66">
        <f t="shared" si="100"/>
        <v>0.4274557146024785</v>
      </c>
      <c r="AX57" s="66">
        <f t="shared" si="100"/>
        <v>0.48289759222899659</v>
      </c>
      <c r="AY57" s="697">
        <f t="shared" si="100"/>
        <v>0.41487450961856598</v>
      </c>
      <c r="AZ57" s="66">
        <f t="shared" si="100"/>
        <v>0.34896601963890833</v>
      </c>
      <c r="BA57" s="66">
        <f t="shared" si="100"/>
        <v>0.40170347605489909</v>
      </c>
      <c r="BB57" s="66">
        <f t="shared" si="100"/>
        <v>0.37728052575016663</v>
      </c>
      <c r="BC57" s="66">
        <f t="shared" si="100"/>
        <v>0.52700413692913661</v>
      </c>
      <c r="BD57" s="66">
        <f t="shared" si="100"/>
        <v>0.45061988202449937</v>
      </c>
      <c r="BE57" s="66">
        <f t="shared" si="100"/>
        <v>0.44617113046801427</v>
      </c>
      <c r="BF57" s="66">
        <f t="shared" si="100"/>
        <v>0.42128699867350244</v>
      </c>
      <c r="BG57" s="66"/>
      <c r="BH57" s="1084">
        <f t="shared" ref="BH57:CB57" si="101">INDEX(MO_MA_EBIT_Adj,0,COLUMN())</f>
        <v>0.33719433719433717</v>
      </c>
      <c r="BI57" s="1084">
        <f t="shared" si="101"/>
        <v>0.52279635258358659</v>
      </c>
      <c r="BJ57" s="1084">
        <f t="shared" si="101"/>
        <v>0.47318781999461063</v>
      </c>
      <c r="BK57" s="1084">
        <f t="shared" si="101"/>
        <v>0.10571821575948123</v>
      </c>
      <c r="BL57" s="1084">
        <f t="shared" si="101"/>
        <v>0.35619918699186992</v>
      </c>
      <c r="BM57" s="1084">
        <f t="shared" si="101"/>
        <v>0.40060965827049577</v>
      </c>
      <c r="BN57" s="1084">
        <f t="shared" si="101"/>
        <v>0.34722222222222221</v>
      </c>
      <c r="BO57" s="1084">
        <f t="shared" si="101"/>
        <v>0.44963456111151312</v>
      </c>
      <c r="BP57" s="1084">
        <f t="shared" si="101"/>
        <v>0.49696209381841439</v>
      </c>
      <c r="BQ57" s="1084">
        <f t="shared" si="101"/>
        <v>0.44616569361366809</v>
      </c>
      <c r="BR57" s="1084">
        <f t="shared" si="101"/>
        <v>0.33927889443682191</v>
      </c>
      <c r="BS57" s="1084">
        <f t="shared" si="101"/>
        <v>0.3800500203571221</v>
      </c>
      <c r="BT57" s="1084">
        <f t="shared" si="101"/>
        <v>0.39645040660058173</v>
      </c>
      <c r="BU57" s="1084">
        <f t="shared" si="101"/>
        <v>0.24821411726367604</v>
      </c>
      <c r="BV57" s="1084">
        <f t="shared" si="101"/>
        <v>0.34655527716416362</v>
      </c>
      <c r="BW57" s="1085">
        <f t="shared" si="101"/>
        <v>0.42176035404040096</v>
      </c>
      <c r="BX57" s="1084">
        <f t="shared" si="101"/>
        <v>0.3851537243262419</v>
      </c>
      <c r="BY57" s="1084">
        <f t="shared" si="101"/>
        <v>0.45787916580071619</v>
      </c>
      <c r="BZ57" s="1084">
        <f t="shared" si="101"/>
        <v>0.49582383514725958</v>
      </c>
      <c r="CA57" s="1084">
        <f t="shared" si="101"/>
        <v>0.53347444608966921</v>
      </c>
      <c r="CB57" s="1084">
        <f t="shared" si="101"/>
        <v>0.57091393563323367</v>
      </c>
      <c r="CC57" s="123"/>
    </row>
    <row r="58" spans="1:81" s="737" customFormat="1" x14ac:dyDescent="0.55000000000000004">
      <c r="A58" s="101" t="str">
        <f>INDEX(MO_MA_EBITDA,0,COLUMN())</f>
        <v>EBITDA Margin, %</v>
      </c>
      <c r="B58" s="49"/>
      <c r="C58" s="66">
        <f t="shared" ref="C58:AH58" si="102">INDEX(MO_MA_EBITDA,0,COLUMN())</f>
        <v>0.53223593964334703</v>
      </c>
      <c r="D58" s="66">
        <f t="shared" si="102"/>
        <v>0.56039713182570328</v>
      </c>
      <c r="E58" s="66">
        <f t="shared" si="102"/>
        <v>0.61954365079365081</v>
      </c>
      <c r="F58" s="66">
        <f t="shared" si="102"/>
        <v>0.6499032882011605</v>
      </c>
      <c r="G58" s="66">
        <f t="shared" si="102"/>
        <v>0.64468425259792161</v>
      </c>
      <c r="H58" s="66">
        <f t="shared" si="102"/>
        <v>0.67388316151202754</v>
      </c>
      <c r="I58" s="66">
        <f t="shared" si="102"/>
        <v>0.63659069622229159</v>
      </c>
      <c r="J58" s="66">
        <f t="shared" si="102"/>
        <v>0.63931446377564272</v>
      </c>
      <c r="K58" s="66">
        <f t="shared" si="102"/>
        <v>0.59074230877787182</v>
      </c>
      <c r="L58" s="66">
        <f t="shared" si="102"/>
        <v>0.61726867887184567</v>
      </c>
      <c r="M58" s="66">
        <f t="shared" si="102"/>
        <v>0.60031104199066876</v>
      </c>
      <c r="N58" s="66">
        <f t="shared" si="102"/>
        <v>0.65896250642013354</v>
      </c>
      <c r="O58" s="66">
        <f t="shared" si="102"/>
        <v>0.61464139725009292</v>
      </c>
      <c r="P58" s="66">
        <f t="shared" si="102"/>
        <v>0.64263517712865137</v>
      </c>
      <c r="Q58" s="66">
        <f t="shared" si="102"/>
        <v>0.64641277991727286</v>
      </c>
      <c r="R58" s="66">
        <f t="shared" si="102"/>
        <v>0.68237030309910318</v>
      </c>
      <c r="S58" s="66">
        <f t="shared" si="102"/>
        <v>0.60570219123505975</v>
      </c>
      <c r="T58" s="66">
        <f t="shared" si="102"/>
        <v>0.66108786610878656</v>
      </c>
      <c r="U58" s="66">
        <f t="shared" si="102"/>
        <v>0.66847405112316038</v>
      </c>
      <c r="V58" s="66">
        <f t="shared" si="102"/>
        <v>0.69526672833795866</v>
      </c>
      <c r="W58" s="66">
        <f t="shared" si="102"/>
        <v>0.61449105799766002</v>
      </c>
      <c r="X58" s="66">
        <f t="shared" si="102"/>
        <v>0.61091376313203838</v>
      </c>
      <c r="Y58" s="66">
        <f t="shared" si="102"/>
        <v>0.57754789830261533</v>
      </c>
      <c r="Z58" s="66">
        <f t="shared" si="102"/>
        <v>0.59217216507035597</v>
      </c>
      <c r="AA58" s="66">
        <f t="shared" si="102"/>
        <v>0.37686542415599922</v>
      </c>
      <c r="AB58" s="66">
        <f t="shared" si="102"/>
        <v>0.44006869596115122</v>
      </c>
      <c r="AC58" s="66">
        <f t="shared" si="102"/>
        <v>0.55801042374801724</v>
      </c>
      <c r="AD58" s="66">
        <f t="shared" si="102"/>
        <v>0.55023242576605635</v>
      </c>
      <c r="AE58" s="66">
        <f t="shared" si="102"/>
        <v>0.49754749957715511</v>
      </c>
      <c r="AF58" s="66">
        <f t="shared" si="102"/>
        <v>0.50098999304329217</v>
      </c>
      <c r="AG58" s="66">
        <f t="shared" si="102"/>
        <v>0.53376804843968328</v>
      </c>
      <c r="AH58" s="66">
        <f t="shared" si="102"/>
        <v>0.58499572527785693</v>
      </c>
      <c r="AI58" s="66">
        <f t="shared" ref="AI58:BF58" si="103">INDEX(MO_MA_EBITDA,0,COLUMN())</f>
        <v>0.58003133239081428</v>
      </c>
      <c r="AJ58" s="66">
        <f t="shared" si="103"/>
        <v>0.58124978505347868</v>
      </c>
      <c r="AK58" s="66">
        <f t="shared" si="103"/>
        <v>0.51006549465701478</v>
      </c>
      <c r="AL58" s="66">
        <f t="shared" si="103"/>
        <v>0.50503400552404143</v>
      </c>
      <c r="AM58" s="66">
        <f t="shared" si="103"/>
        <v>0.47219435287372796</v>
      </c>
      <c r="AN58" s="66">
        <f t="shared" si="103"/>
        <v>0.47491499548955657</v>
      </c>
      <c r="AO58" s="66">
        <f t="shared" si="103"/>
        <v>0.39593707151620122</v>
      </c>
      <c r="AP58" s="66">
        <f t="shared" si="103"/>
        <v>0.36632986165086273</v>
      </c>
      <c r="AQ58" s="66">
        <f t="shared" si="103"/>
        <v>0.44691918310350848</v>
      </c>
      <c r="AR58" s="66">
        <f t="shared" si="103"/>
        <v>0.50235944873277294</v>
      </c>
      <c r="AS58" s="66">
        <f t="shared" si="103"/>
        <v>0.58861945762314771</v>
      </c>
      <c r="AT58" s="66">
        <f t="shared" si="103"/>
        <v>0.57291017426641067</v>
      </c>
      <c r="AU58" s="66">
        <f t="shared" si="103"/>
        <v>0.56930462213688104</v>
      </c>
      <c r="AV58" s="66">
        <f t="shared" si="103"/>
        <v>0.5912313480586624</v>
      </c>
      <c r="AW58" s="66">
        <f t="shared" si="103"/>
        <v>0.63137795954568976</v>
      </c>
      <c r="AX58" s="66">
        <f t="shared" si="103"/>
        <v>0.66316007026971169</v>
      </c>
      <c r="AY58" s="697">
        <f t="shared" si="103"/>
        <v>0.60504797466559535</v>
      </c>
      <c r="AZ58" s="66">
        <f t="shared" si="103"/>
        <v>0.54565046166225273</v>
      </c>
      <c r="BA58" s="66">
        <f t="shared" si="103"/>
        <v>0.60229363172038886</v>
      </c>
      <c r="BB58" s="66">
        <f t="shared" si="103"/>
        <v>0.56544425378299257</v>
      </c>
      <c r="BC58" s="66">
        <f t="shared" si="103"/>
        <v>0.73526524129482684</v>
      </c>
      <c r="BD58" s="66">
        <f t="shared" si="103"/>
        <v>0.66264535173325956</v>
      </c>
      <c r="BE58" s="66">
        <f t="shared" si="103"/>
        <v>0.65551048528739864</v>
      </c>
      <c r="BF58" s="66">
        <f t="shared" si="103"/>
        <v>0.61039348353755651</v>
      </c>
      <c r="BG58" s="66"/>
      <c r="BH58" s="1084">
        <f t="shared" ref="BH58:CB58" si="104">INDEX(MO_MA_EBITDA,0,COLUMN())</f>
        <v>0.47232947232947231</v>
      </c>
      <c r="BI58" s="1084">
        <f t="shared" si="104"/>
        <v>0.60334346504559266</v>
      </c>
      <c r="BJ58" s="1084">
        <f t="shared" si="104"/>
        <v>0.61870115871732689</v>
      </c>
      <c r="BK58" s="1084">
        <f t="shared" si="104"/>
        <v>0.54214973472194927</v>
      </c>
      <c r="BL58" s="1084">
        <f t="shared" si="104"/>
        <v>0.59972052845528456</v>
      </c>
      <c r="BM58" s="1084">
        <f t="shared" si="104"/>
        <v>0.64768169420824639</v>
      </c>
      <c r="BN58" s="1084">
        <f t="shared" si="104"/>
        <v>0.62131860776439085</v>
      </c>
      <c r="BO58" s="1084">
        <f t="shared" si="104"/>
        <v>0.65080686012012445</v>
      </c>
      <c r="BP58" s="1084">
        <f t="shared" si="104"/>
        <v>0.6629523036430276</v>
      </c>
      <c r="BQ58" s="1084">
        <f t="shared" si="104"/>
        <v>0.597800780830259</v>
      </c>
      <c r="BR58" s="1084">
        <f t="shared" si="104"/>
        <v>0.48888920321937279</v>
      </c>
      <c r="BS58" s="1084">
        <f t="shared" si="104"/>
        <v>0.53590414703658462</v>
      </c>
      <c r="BT58" s="1084">
        <f t="shared" si="104"/>
        <v>0.541715778137693</v>
      </c>
      <c r="BU58" s="1084">
        <f t="shared" si="104"/>
        <v>0.42554176778807812</v>
      </c>
      <c r="BV58" s="1084">
        <f t="shared" si="104"/>
        <v>0.53339461238528707</v>
      </c>
      <c r="BW58" s="1085">
        <f t="shared" si="104"/>
        <v>0.61743089707661347</v>
      </c>
      <c r="BX58" s="1084">
        <f t="shared" si="104"/>
        <v>0.57877323478242537</v>
      </c>
      <c r="BY58" s="1084">
        <f t="shared" si="104"/>
        <v>0.66142436880235478</v>
      </c>
      <c r="BZ58" s="1084">
        <f t="shared" si="104"/>
        <v>0.69488364006170211</v>
      </c>
      <c r="CA58" s="1084">
        <f t="shared" si="104"/>
        <v>0.73618280472754993</v>
      </c>
      <c r="CB58" s="1084">
        <f t="shared" si="104"/>
        <v>0.77594973453369354</v>
      </c>
      <c r="CC58" s="123"/>
    </row>
    <row r="59" spans="1:81" s="737" customFormat="1" x14ac:dyDescent="0.55000000000000004">
      <c r="A59" s="101" t="str">
        <f>INDEX(MO_MA_EBITDA_Adj,0,COLUMN())</f>
        <v>Adjusted EBITDA Margin (No Adjustments), %</v>
      </c>
      <c r="B59" s="49"/>
      <c r="C59" s="66">
        <f t="shared" ref="C59:AH59" si="105">INDEX(SP_NGF_EBITDA,0,COLUMN())/INDEX(SP_GF_Rev,0,COLUMN())</f>
        <v>0.53223593964334703</v>
      </c>
      <c r="D59" s="66">
        <f t="shared" si="105"/>
        <v>0.56039713182570328</v>
      </c>
      <c r="E59" s="66">
        <f t="shared" si="105"/>
        <v>0.61954365079365081</v>
      </c>
      <c r="F59" s="66">
        <f t="shared" si="105"/>
        <v>0.6499032882011605</v>
      </c>
      <c r="G59" s="66">
        <f t="shared" si="105"/>
        <v>0.64468425259792161</v>
      </c>
      <c r="H59" s="66">
        <f t="shared" si="105"/>
        <v>0.67388316151202754</v>
      </c>
      <c r="I59" s="66">
        <f t="shared" si="105"/>
        <v>0.63659069622229159</v>
      </c>
      <c r="J59" s="66">
        <f t="shared" si="105"/>
        <v>0.63931446377564272</v>
      </c>
      <c r="K59" s="66">
        <f t="shared" si="105"/>
        <v>0.59074230877787182</v>
      </c>
      <c r="L59" s="66">
        <f t="shared" si="105"/>
        <v>0.61726867887184567</v>
      </c>
      <c r="M59" s="66">
        <f t="shared" si="105"/>
        <v>0.60031104199066876</v>
      </c>
      <c r="N59" s="66">
        <f t="shared" si="105"/>
        <v>0.65896250642013354</v>
      </c>
      <c r="O59" s="66">
        <f t="shared" si="105"/>
        <v>0.61464139725009292</v>
      </c>
      <c r="P59" s="66">
        <f t="shared" si="105"/>
        <v>0.64263517712865137</v>
      </c>
      <c r="Q59" s="66">
        <f t="shared" si="105"/>
        <v>0.64641277991727286</v>
      </c>
      <c r="R59" s="66">
        <f t="shared" si="105"/>
        <v>0.68237030309910318</v>
      </c>
      <c r="S59" s="66">
        <f t="shared" si="105"/>
        <v>0.60570219123505975</v>
      </c>
      <c r="T59" s="66">
        <f t="shared" si="105"/>
        <v>0.66108786610878656</v>
      </c>
      <c r="U59" s="66">
        <f t="shared" si="105"/>
        <v>0.66847405112316038</v>
      </c>
      <c r="V59" s="66">
        <f t="shared" si="105"/>
        <v>0.69526672833795866</v>
      </c>
      <c r="W59" s="66">
        <f t="shared" si="105"/>
        <v>0.61449105799766002</v>
      </c>
      <c r="X59" s="66">
        <f t="shared" si="105"/>
        <v>0.61091376313203838</v>
      </c>
      <c r="Y59" s="66">
        <f t="shared" si="105"/>
        <v>0.57754789830261533</v>
      </c>
      <c r="Z59" s="66">
        <f t="shared" si="105"/>
        <v>0.59217216507035597</v>
      </c>
      <c r="AA59" s="66">
        <f t="shared" si="105"/>
        <v>0.37686542415599922</v>
      </c>
      <c r="AB59" s="66">
        <f t="shared" si="105"/>
        <v>0.44006869596115122</v>
      </c>
      <c r="AC59" s="66">
        <f t="shared" si="105"/>
        <v>0.55801042374801724</v>
      </c>
      <c r="AD59" s="66">
        <f t="shared" si="105"/>
        <v>0.55023242576605635</v>
      </c>
      <c r="AE59" s="66">
        <f t="shared" si="105"/>
        <v>0.49754749957715511</v>
      </c>
      <c r="AF59" s="66">
        <f t="shared" si="105"/>
        <v>0.50098999304329217</v>
      </c>
      <c r="AG59" s="66">
        <f t="shared" si="105"/>
        <v>0.53376804843968328</v>
      </c>
      <c r="AH59" s="66">
        <f t="shared" si="105"/>
        <v>0.58499572527785693</v>
      </c>
      <c r="AI59" s="66">
        <f t="shared" ref="AI59:BF59" si="106">INDEX(SP_NGF_EBITDA,0,COLUMN())/INDEX(SP_GF_Rev,0,COLUMN())</f>
        <v>0.58003133239081428</v>
      </c>
      <c r="AJ59" s="66">
        <f t="shared" si="106"/>
        <v>0.58124978505347868</v>
      </c>
      <c r="AK59" s="66">
        <f t="shared" si="106"/>
        <v>0.51006549465701478</v>
      </c>
      <c r="AL59" s="66">
        <f t="shared" si="106"/>
        <v>0.50503400552404143</v>
      </c>
      <c r="AM59" s="66">
        <f t="shared" si="106"/>
        <v>0.47219435287372796</v>
      </c>
      <c r="AN59" s="66">
        <f t="shared" si="106"/>
        <v>0.47491499548955657</v>
      </c>
      <c r="AO59" s="66">
        <f t="shared" si="106"/>
        <v>0.39593707151620122</v>
      </c>
      <c r="AP59" s="66">
        <f t="shared" si="106"/>
        <v>0.36632986165086273</v>
      </c>
      <c r="AQ59" s="66">
        <f t="shared" si="106"/>
        <v>0.44691918310350848</v>
      </c>
      <c r="AR59" s="66">
        <f t="shared" si="106"/>
        <v>0.50235944873277294</v>
      </c>
      <c r="AS59" s="66">
        <f t="shared" si="106"/>
        <v>0.58861945762314771</v>
      </c>
      <c r="AT59" s="66">
        <f t="shared" si="106"/>
        <v>0.57291017426641067</v>
      </c>
      <c r="AU59" s="66">
        <f t="shared" si="106"/>
        <v>0.56930462213688104</v>
      </c>
      <c r="AV59" s="66">
        <f t="shared" si="106"/>
        <v>0.5912313480586624</v>
      </c>
      <c r="AW59" s="66">
        <f t="shared" si="106"/>
        <v>0.63137795954568976</v>
      </c>
      <c r="AX59" s="66">
        <f t="shared" si="106"/>
        <v>0.66316007026971169</v>
      </c>
      <c r="AY59" s="697">
        <f t="shared" si="106"/>
        <v>0.60504797466559535</v>
      </c>
      <c r="AZ59" s="66">
        <f t="shared" si="106"/>
        <v>0.54565046166225273</v>
      </c>
      <c r="BA59" s="66">
        <f t="shared" si="106"/>
        <v>0.60229363172038886</v>
      </c>
      <c r="BB59" s="66">
        <f t="shared" si="106"/>
        <v>0.56544425378299257</v>
      </c>
      <c r="BC59" s="66">
        <f t="shared" si="106"/>
        <v>0.73526524129482684</v>
      </c>
      <c r="BD59" s="66">
        <f t="shared" si="106"/>
        <v>0.66264535173325956</v>
      </c>
      <c r="BE59" s="66">
        <f t="shared" si="106"/>
        <v>0.65551048528739864</v>
      </c>
      <c r="BF59" s="66">
        <f t="shared" si="106"/>
        <v>0.61039348353755651</v>
      </c>
      <c r="BG59" s="66"/>
      <c r="BH59" s="1084">
        <f t="shared" ref="BH59:CB59" si="107">INDEX(SP_NGF_EBITDA,0,COLUMN())/INDEX(SP_GF_Rev,0,COLUMN())</f>
        <v>0.47232947232947231</v>
      </c>
      <c r="BI59" s="1084">
        <f t="shared" si="107"/>
        <v>0.60334346504559266</v>
      </c>
      <c r="BJ59" s="1084">
        <f t="shared" si="107"/>
        <v>0.61870115871732689</v>
      </c>
      <c r="BK59" s="1084">
        <f t="shared" si="107"/>
        <v>0.54214973472194927</v>
      </c>
      <c r="BL59" s="1084">
        <f t="shared" si="107"/>
        <v>0.59972052845528456</v>
      </c>
      <c r="BM59" s="1084">
        <f t="shared" si="107"/>
        <v>0.64768169420824639</v>
      </c>
      <c r="BN59" s="1084">
        <f t="shared" si="107"/>
        <v>0.62131860776439085</v>
      </c>
      <c r="BO59" s="1084">
        <f t="shared" si="107"/>
        <v>0.65080686012012445</v>
      </c>
      <c r="BP59" s="1084">
        <f t="shared" si="107"/>
        <v>0.6629523036430276</v>
      </c>
      <c r="BQ59" s="1084">
        <f t="shared" si="107"/>
        <v>0.597800780830259</v>
      </c>
      <c r="BR59" s="1084">
        <f t="shared" si="107"/>
        <v>0.48888920321937279</v>
      </c>
      <c r="BS59" s="1084">
        <f t="shared" si="107"/>
        <v>0.53590414703658462</v>
      </c>
      <c r="BT59" s="1084">
        <f t="shared" si="107"/>
        <v>0.541715778137693</v>
      </c>
      <c r="BU59" s="1084">
        <f t="shared" si="107"/>
        <v>0.42554176778807812</v>
      </c>
      <c r="BV59" s="1084">
        <f t="shared" si="107"/>
        <v>0.53339461238528707</v>
      </c>
      <c r="BW59" s="1085">
        <f t="shared" si="107"/>
        <v>0.61743089707661347</v>
      </c>
      <c r="BX59" s="1084">
        <f t="shared" si="107"/>
        <v>0.57877323478242537</v>
      </c>
      <c r="BY59" s="1084">
        <f t="shared" si="107"/>
        <v>0.66142436880235478</v>
      </c>
      <c r="BZ59" s="1084">
        <f t="shared" si="107"/>
        <v>0.69488364006170211</v>
      </c>
      <c r="CA59" s="1084">
        <f t="shared" si="107"/>
        <v>0.73618280472754993</v>
      </c>
      <c r="CB59" s="1084">
        <f t="shared" si="107"/>
        <v>0.77594973453369354</v>
      </c>
      <c r="CC59" s="123"/>
    </row>
    <row r="60" spans="1:81" s="729" customFormat="1" x14ac:dyDescent="0.55000000000000004">
      <c r="A60" s="98"/>
      <c r="B60" s="95"/>
      <c r="C60" s="607"/>
      <c r="D60" s="607"/>
      <c r="E60" s="607"/>
      <c r="F60" s="607"/>
      <c r="G60" s="607"/>
      <c r="H60" s="607"/>
      <c r="I60" s="607"/>
      <c r="J60" s="607"/>
      <c r="K60" s="607"/>
      <c r="L60" s="607"/>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79"/>
      <c r="AZ60" s="607"/>
      <c r="BA60" s="607"/>
      <c r="BB60" s="607"/>
      <c r="BC60" s="607"/>
      <c r="BD60" s="607"/>
      <c r="BE60" s="607"/>
      <c r="BF60" s="607"/>
      <c r="BG60" s="607"/>
      <c r="BH60" s="1060"/>
      <c r="BI60" s="1060"/>
      <c r="BJ60" s="1060"/>
      <c r="BK60" s="1060"/>
      <c r="BL60" s="1060"/>
      <c r="BM60" s="1060"/>
      <c r="BN60" s="1060"/>
      <c r="BO60" s="1060"/>
      <c r="BP60" s="1060"/>
      <c r="BQ60" s="1060"/>
      <c r="BR60" s="1060"/>
      <c r="BS60" s="1060"/>
      <c r="BT60" s="1060"/>
      <c r="BU60" s="1060"/>
      <c r="BV60" s="1060"/>
      <c r="BW60" s="1061"/>
      <c r="BX60" s="1060"/>
      <c r="BY60" s="1060"/>
      <c r="BZ60" s="1060"/>
      <c r="CA60" s="1060"/>
      <c r="CB60" s="1060"/>
      <c r="CC60" s="607"/>
    </row>
    <row r="61" spans="1:81" s="729" customFormat="1" x14ac:dyDescent="0.55000000000000004">
      <c r="A61" s="608" t="s">
        <v>268</v>
      </c>
      <c r="B61" s="608"/>
      <c r="C61" s="608"/>
      <c r="D61" s="608"/>
      <c r="E61" s="608"/>
      <c r="F61" s="608"/>
      <c r="G61" s="608"/>
      <c r="H61" s="608"/>
      <c r="I61" s="608"/>
      <c r="J61" s="608"/>
      <c r="K61" s="608"/>
      <c r="L61" s="608"/>
      <c r="M61" s="608"/>
      <c r="N61" s="608"/>
      <c r="O61" s="608"/>
      <c r="P61" s="608"/>
      <c r="Q61" s="608"/>
      <c r="R61" s="608"/>
      <c r="S61" s="608"/>
      <c r="T61" s="608"/>
      <c r="U61" s="608"/>
      <c r="V61" s="608"/>
      <c r="W61" s="608"/>
      <c r="X61" s="608"/>
      <c r="Y61" s="608"/>
      <c r="Z61" s="608"/>
      <c r="AA61" s="608"/>
      <c r="AB61" s="608"/>
      <c r="AC61" s="608"/>
      <c r="AD61" s="608"/>
      <c r="AE61" s="608"/>
      <c r="AF61" s="608"/>
      <c r="AG61" s="608"/>
      <c r="AH61" s="608"/>
      <c r="AI61" s="608"/>
      <c r="AJ61" s="608"/>
      <c r="AK61" s="608"/>
      <c r="AL61" s="608"/>
      <c r="AM61" s="608"/>
      <c r="AN61" s="608"/>
      <c r="AO61" s="608"/>
      <c r="AP61" s="608"/>
      <c r="AQ61" s="608"/>
      <c r="AR61" s="608"/>
      <c r="AS61" s="608"/>
      <c r="AT61" s="608"/>
      <c r="AU61" s="608"/>
      <c r="AV61" s="608"/>
      <c r="AW61" s="608"/>
      <c r="AX61" s="608"/>
      <c r="AY61" s="609"/>
      <c r="AZ61" s="608"/>
      <c r="BA61" s="608"/>
      <c r="BB61" s="608"/>
      <c r="BC61" s="608"/>
      <c r="BD61" s="608"/>
      <c r="BE61" s="608"/>
      <c r="BF61" s="608"/>
      <c r="BG61" s="608"/>
      <c r="BH61" s="608"/>
      <c r="BI61" s="608"/>
      <c r="BJ61" s="608"/>
      <c r="BK61" s="608"/>
      <c r="BL61" s="608"/>
      <c r="BM61" s="608"/>
      <c r="BN61" s="608"/>
      <c r="BO61" s="608"/>
      <c r="BP61" s="608"/>
      <c r="BQ61" s="608"/>
      <c r="BR61" s="608"/>
      <c r="BS61" s="608"/>
      <c r="BT61" s="608"/>
      <c r="BU61" s="608"/>
      <c r="BV61" s="608"/>
      <c r="BW61" s="609"/>
      <c r="BX61" s="608"/>
      <c r="BY61" s="608"/>
      <c r="BZ61" s="608"/>
      <c r="CA61" s="608"/>
      <c r="CB61" s="608"/>
      <c r="CC61" s="607"/>
    </row>
    <row r="62" spans="1:81" s="728" customFormat="1" hidden="1" outlineLevel="1" x14ac:dyDescent="0.55000000000000004">
      <c r="A62" s="90" t="str">
        <f>INDEX(MO_CFSum_CFO_BeforeWC,0,COLUMN())</f>
        <v>Operating Cash Flow before WC</v>
      </c>
      <c r="B62" s="95"/>
      <c r="C62" s="62">
        <f t="shared" ref="C62:AH62" si="108">INDEX(MO_CFSum_CFO_BeforeWC,0,COLUMN())</f>
        <v>629</v>
      </c>
      <c r="D62" s="62">
        <f t="shared" si="108"/>
        <v>877</v>
      </c>
      <c r="E62" s="62">
        <f t="shared" si="108"/>
        <v>1001</v>
      </c>
      <c r="F62" s="62">
        <f t="shared" si="108"/>
        <v>1039</v>
      </c>
      <c r="G62" s="62">
        <f t="shared" si="108"/>
        <v>1172</v>
      </c>
      <c r="H62" s="62">
        <f t="shared" si="108"/>
        <v>1305</v>
      </c>
      <c r="I62" s="62">
        <f t="shared" si="108"/>
        <v>1446</v>
      </c>
      <c r="J62" s="62">
        <f t="shared" si="108"/>
        <v>1796</v>
      </c>
      <c r="K62" s="62">
        <f t="shared" si="108"/>
        <v>1446</v>
      </c>
      <c r="L62" s="62">
        <f t="shared" si="108"/>
        <v>1876</v>
      </c>
      <c r="M62" s="62">
        <f t="shared" si="108"/>
        <v>1762</v>
      </c>
      <c r="N62" s="62">
        <f t="shared" si="108"/>
        <v>2731</v>
      </c>
      <c r="O62" s="62">
        <f t="shared" si="108"/>
        <v>2972</v>
      </c>
      <c r="P62" s="62">
        <f t="shared" si="108"/>
        <v>3590</v>
      </c>
      <c r="Q62" s="62">
        <f t="shared" si="108"/>
        <v>4023</v>
      </c>
      <c r="R62" s="62">
        <f t="shared" si="108"/>
        <v>4765</v>
      </c>
      <c r="S62" s="62">
        <f t="shared" si="108"/>
        <v>4523</v>
      </c>
      <c r="T62" s="62">
        <f t="shared" si="108"/>
        <v>5689</v>
      </c>
      <c r="U62" s="62">
        <f t="shared" si="108"/>
        <v>6400</v>
      </c>
      <c r="V62" s="62">
        <f t="shared" si="108"/>
        <v>5717</v>
      </c>
      <c r="W62" s="62">
        <f t="shared" si="108"/>
        <v>6853</v>
      </c>
      <c r="X62" s="62">
        <f t="shared" si="108"/>
        <v>7436</v>
      </c>
      <c r="Y62" s="62">
        <f t="shared" si="108"/>
        <v>7313</v>
      </c>
      <c r="Z62" s="62">
        <f t="shared" si="108"/>
        <v>9199</v>
      </c>
      <c r="AA62" s="62">
        <f t="shared" si="108"/>
        <v>4983</v>
      </c>
      <c r="AB62" s="62">
        <f t="shared" si="108"/>
        <v>5430</v>
      </c>
      <c r="AC62" s="62">
        <f t="shared" si="108"/>
        <v>8960</v>
      </c>
      <c r="AD62" s="62">
        <f t="shared" si="108"/>
        <v>9691</v>
      </c>
      <c r="AE62" s="62">
        <f t="shared" si="108"/>
        <v>8317</v>
      </c>
      <c r="AF62" s="62">
        <f t="shared" si="108"/>
        <v>8834</v>
      </c>
      <c r="AG62" s="62">
        <f t="shared" si="108"/>
        <v>9767</v>
      </c>
      <c r="AH62" s="62">
        <f t="shared" si="108"/>
        <v>14552</v>
      </c>
      <c r="AI62" s="62">
        <f t="shared" ref="AI62:BF62" si="109">INDEX(MO_CFSum_CFO_BeforeWC,0,COLUMN())</f>
        <v>13651</v>
      </c>
      <c r="AJ62" s="62">
        <f t="shared" si="109"/>
        <v>15137</v>
      </c>
      <c r="AK62" s="62">
        <f t="shared" si="109"/>
        <v>12707</v>
      </c>
      <c r="AL62" s="62">
        <f t="shared" si="109"/>
        <v>15488</v>
      </c>
      <c r="AM62" s="62">
        <f t="shared" si="109"/>
        <v>11335</v>
      </c>
      <c r="AN62" s="62">
        <f t="shared" si="109"/>
        <v>11753</v>
      </c>
      <c r="AO62" s="62">
        <f t="shared" si="109"/>
        <v>9124</v>
      </c>
      <c r="AP62" s="62">
        <f t="shared" si="109"/>
        <v>12580</v>
      </c>
      <c r="AQ62" s="62">
        <f t="shared" si="109"/>
        <v>11427</v>
      </c>
      <c r="AR62" s="62">
        <f t="shared" si="109"/>
        <v>13778</v>
      </c>
      <c r="AS62" s="62">
        <f t="shared" si="109"/>
        <v>21397</v>
      </c>
      <c r="AT62" s="62">
        <f t="shared" si="109"/>
        <v>20675</v>
      </c>
      <c r="AU62" s="62">
        <f t="shared" si="109"/>
        <v>19023</v>
      </c>
      <c r="AV62" s="62">
        <f t="shared" si="109"/>
        <v>20111</v>
      </c>
      <c r="AW62" s="62">
        <f t="shared" si="109"/>
        <v>22654</v>
      </c>
      <c r="AX62" s="62">
        <f t="shared" si="109"/>
        <v>28492</v>
      </c>
      <c r="AY62" s="676">
        <f t="shared" si="109"/>
        <v>23467</v>
      </c>
      <c r="AZ62" s="62">
        <f t="shared" si="109"/>
        <v>25521.461178418551</v>
      </c>
      <c r="BA62" s="62">
        <f t="shared" ca="1" si="109"/>
        <v>28026.679482758067</v>
      </c>
      <c r="BB62" s="62">
        <f t="shared" ca="1" si="109"/>
        <v>31672.335982328921</v>
      </c>
      <c r="BC62" s="62">
        <f t="shared" ca="1" si="109"/>
        <v>34528.534464188488</v>
      </c>
      <c r="BD62" s="62">
        <f t="shared" ca="1" si="109"/>
        <v>31876.345789979467</v>
      </c>
      <c r="BE62" s="62">
        <f t="shared" ca="1" si="109"/>
        <v>34054.759835898745</v>
      </c>
      <c r="BF62" s="62">
        <f t="shared" ca="1" si="109"/>
        <v>37483.199251311846</v>
      </c>
      <c r="BG62" s="62"/>
      <c r="BH62" s="1052">
        <f t="shared" ref="BH62:CB62" si="110">INDEX(MO_CFSum_CFO_BeforeWC,0,COLUMN())</f>
        <v>334</v>
      </c>
      <c r="BI62" s="1052">
        <f t="shared" si="110"/>
        <v>768</v>
      </c>
      <c r="BJ62" s="1052">
        <f t="shared" si="110"/>
        <v>1514</v>
      </c>
      <c r="BK62" s="1052">
        <f t="shared" si="110"/>
        <v>2111</v>
      </c>
      <c r="BL62" s="1052">
        <f t="shared" si="110"/>
        <v>3546</v>
      </c>
      <c r="BM62" s="1052">
        <f t="shared" si="110"/>
        <v>5719</v>
      </c>
      <c r="BN62" s="1052">
        <f t="shared" si="110"/>
        <v>7815</v>
      </c>
      <c r="BO62" s="1052">
        <f t="shared" si="110"/>
        <v>15350</v>
      </c>
      <c r="BP62" s="1052">
        <f t="shared" si="110"/>
        <v>22329</v>
      </c>
      <c r="BQ62" s="1052">
        <f t="shared" si="110"/>
        <v>30801</v>
      </c>
      <c r="BR62" s="1052">
        <f t="shared" si="110"/>
        <v>29064</v>
      </c>
      <c r="BS62" s="1052">
        <f t="shared" si="110"/>
        <v>41470</v>
      </c>
      <c r="BT62" s="1052">
        <f t="shared" si="110"/>
        <v>56983</v>
      </c>
      <c r="BU62" s="1052">
        <f t="shared" si="110"/>
        <v>44792</v>
      </c>
      <c r="BV62" s="1052">
        <f t="shared" si="110"/>
        <v>67277</v>
      </c>
      <c r="BW62" s="1053">
        <f t="shared" si="110"/>
        <v>90280</v>
      </c>
      <c r="BX62" s="1052">
        <f t="shared" ca="1" si="110"/>
        <v>108687.47664350554</v>
      </c>
      <c r="BY62" s="1052">
        <f t="shared" ca="1" si="110"/>
        <v>137942.83934137857</v>
      </c>
      <c r="BZ62" s="1052">
        <f t="shared" ca="1" si="110"/>
        <v>154825.16863699688</v>
      </c>
      <c r="CA62" s="1052">
        <f t="shared" ca="1" si="110"/>
        <v>162750.42362573851</v>
      </c>
      <c r="CB62" s="1052">
        <f t="shared" ca="1" si="110"/>
        <v>181622.99280145092</v>
      </c>
      <c r="CC62" s="607"/>
    </row>
    <row r="63" spans="1:81" s="728" customFormat="1" hidden="1" outlineLevel="1" x14ac:dyDescent="0.55000000000000004">
      <c r="A63" s="183" t="s">
        <v>271</v>
      </c>
      <c r="B63" s="184"/>
      <c r="C63" s="168">
        <f t="shared" ref="C63:AH63" ca="1" si="111">SUM(OFFSET(INDEX(MO_CFS_CFO_BeforeWC,0,COLUMN()),1,0,ROW(INDEX(MO_CFS_CFO,0,COLUMN()))-ROW(INDEX(MO_CFS_CFO_BeforeWC,0,COLUMN()))-1,1))</f>
        <v>90</v>
      </c>
      <c r="D63" s="168">
        <f t="shared" ca="1" si="111"/>
        <v>445</v>
      </c>
      <c r="E63" s="168">
        <f t="shared" ca="1" si="111"/>
        <v>-51</v>
      </c>
      <c r="F63" s="168">
        <f t="shared" ca="1" si="111"/>
        <v>192</v>
      </c>
      <c r="G63" s="168">
        <f t="shared" ca="1" si="111"/>
        <v>113</v>
      </c>
      <c r="H63" s="168">
        <f t="shared" ca="1" si="111"/>
        <v>36</v>
      </c>
      <c r="I63" s="168">
        <f t="shared" ca="1" si="111"/>
        <v>-198</v>
      </c>
      <c r="J63" s="168">
        <f t="shared" ca="1" si="111"/>
        <v>-213</v>
      </c>
      <c r="K63" s="168">
        <f t="shared" ca="1" si="111"/>
        <v>254</v>
      </c>
      <c r="L63" s="168">
        <f t="shared" ca="1" si="111"/>
        <v>4</v>
      </c>
      <c r="M63" s="168">
        <f t="shared" ca="1" si="111"/>
        <v>430</v>
      </c>
      <c r="N63" s="168">
        <f t="shared" ca="1" si="111"/>
        <v>96</v>
      </c>
      <c r="O63" s="168">
        <f t="shared" ca="1" si="111"/>
        <v>505</v>
      </c>
      <c r="P63" s="168">
        <f t="shared" ca="1" si="111"/>
        <v>75</v>
      </c>
      <c r="Q63" s="168">
        <f t="shared" ca="1" si="111"/>
        <v>13</v>
      </c>
      <c r="R63" s="168">
        <f t="shared" ca="1" si="111"/>
        <v>165</v>
      </c>
      <c r="S63" s="168">
        <f t="shared" ca="1" si="111"/>
        <v>535</v>
      </c>
      <c r="T63" s="168">
        <f t="shared" ca="1" si="111"/>
        <v>-329</v>
      </c>
      <c r="U63" s="168">
        <f t="shared" ca="1" si="111"/>
        <v>-273</v>
      </c>
      <c r="V63" s="168">
        <f t="shared" ca="1" si="111"/>
        <v>1954</v>
      </c>
      <c r="W63" s="168">
        <f t="shared" ca="1" si="111"/>
        <v>1007</v>
      </c>
      <c r="X63" s="168">
        <f t="shared" ca="1" si="111"/>
        <v>-1138</v>
      </c>
      <c r="Y63" s="168">
        <f t="shared" ca="1" si="111"/>
        <v>185</v>
      </c>
      <c r="Z63" s="168">
        <f t="shared" ca="1" si="111"/>
        <v>-1581</v>
      </c>
      <c r="AA63" s="168">
        <f t="shared" ca="1" si="111"/>
        <v>4325</v>
      </c>
      <c r="AB63" s="168">
        <f t="shared" ca="1" si="111"/>
        <v>3186</v>
      </c>
      <c r="AC63" s="168">
        <f t="shared" ca="1" si="111"/>
        <v>347</v>
      </c>
      <c r="AD63" s="168">
        <f t="shared" ca="1" si="111"/>
        <v>-608</v>
      </c>
      <c r="AE63" s="168">
        <f t="shared" ca="1" si="111"/>
        <v>2684</v>
      </c>
      <c r="AF63" s="168">
        <f t="shared" ca="1" si="111"/>
        <v>-4957</v>
      </c>
      <c r="AG63" s="168">
        <f t="shared" ca="1" si="111"/>
        <v>62</v>
      </c>
      <c r="AH63" s="168">
        <f t="shared" ca="1" si="111"/>
        <v>-512</v>
      </c>
      <c r="AI63" s="168">
        <f t="shared" ref="AI63:BF63" ca="1" si="112">SUM(OFFSET(INDEX(MO_CFS_CFO_BeforeWC,0,COLUMN()),1,0,ROW(INDEX(MO_CFS_CFO,0,COLUMN()))-ROW(INDEX(MO_CFS_CFO_BeforeWC,0,COLUMN()))-1,1))</f>
        <v>-1409</v>
      </c>
      <c r="AJ63" s="168">
        <f t="shared" ca="1" si="112"/>
        <v>-1890</v>
      </c>
      <c r="AK63" s="168">
        <f t="shared" ca="1" si="112"/>
        <v>1383</v>
      </c>
      <c r="AL63" s="168">
        <f t="shared" ca="1" si="112"/>
        <v>2616</v>
      </c>
      <c r="AM63" s="168">
        <f t="shared" ca="1" si="112"/>
        <v>2741</v>
      </c>
      <c r="AN63" s="168">
        <f t="shared" ca="1" si="112"/>
        <v>443</v>
      </c>
      <c r="AO63" s="168">
        <f t="shared" ca="1" si="112"/>
        <v>568</v>
      </c>
      <c r="AP63" s="168">
        <f t="shared" ca="1" si="112"/>
        <v>1931</v>
      </c>
      <c r="AQ63" s="168">
        <f t="shared" ca="1" si="112"/>
        <v>2571</v>
      </c>
      <c r="AR63" s="168">
        <f t="shared" ca="1" si="112"/>
        <v>3531</v>
      </c>
      <c r="AS63" s="168">
        <f t="shared" ca="1" si="112"/>
        <v>-995</v>
      </c>
      <c r="AT63" s="168">
        <f t="shared" ca="1" si="112"/>
        <v>-1271</v>
      </c>
      <c r="AU63" s="168">
        <f t="shared" ca="1" si="112"/>
        <v>223</v>
      </c>
      <c r="AV63" s="168">
        <f t="shared" ca="1" si="112"/>
        <v>-741</v>
      </c>
      <c r="AW63" s="168">
        <f t="shared" ca="1" si="112"/>
        <v>2070</v>
      </c>
      <c r="AX63" s="168">
        <f t="shared" ca="1" si="112"/>
        <v>-504</v>
      </c>
      <c r="AY63" s="686">
        <f t="shared" ca="1" si="112"/>
        <v>559</v>
      </c>
      <c r="AZ63" s="168">
        <f t="shared" ca="1" si="112"/>
        <v>-243.24455862814648</v>
      </c>
      <c r="BA63" s="168">
        <f t="shared" ca="1" si="112"/>
        <v>1678.2370823053825</v>
      </c>
      <c r="BB63" s="168">
        <f t="shared" ca="1" si="112"/>
        <v>-2356.7792590936479</v>
      </c>
      <c r="BC63" s="168">
        <f t="shared" ca="1" si="112"/>
        <v>2129.9382689661506</v>
      </c>
      <c r="BD63" s="168">
        <f t="shared" ca="1" si="112"/>
        <v>-291.16441544888221</v>
      </c>
      <c r="BE63" s="168">
        <f t="shared" ca="1" si="112"/>
        <v>1871.8179259834833</v>
      </c>
      <c r="BF63" s="168">
        <f t="shared" ca="1" si="112"/>
        <v>-2695.5491412316915</v>
      </c>
      <c r="BG63" s="168"/>
      <c r="BH63" s="1056">
        <f t="shared" ref="BH63:CB63" ca="1" si="113">SUM(OFFSET(INDEX(MO_CFS_CFO_BeforeWC,0,COLUMN()),1,0,ROW(INDEX(MO_CFS_CFO,0,COLUMN()))-ROW(INDEX(MO_CFS_CFO_BeforeWC,0,COLUMN()))-1,1))</f>
        <v>-179</v>
      </c>
      <c r="BI63" s="1056">
        <f t="shared" ca="1" si="113"/>
        <v>-70</v>
      </c>
      <c r="BJ63" s="1056">
        <f t="shared" ca="1" si="113"/>
        <v>35</v>
      </c>
      <c r="BK63" s="1056">
        <f t="shared" ca="1" si="113"/>
        <v>-499</v>
      </c>
      <c r="BL63" s="1056">
        <f t="shared" ca="1" si="113"/>
        <v>676</v>
      </c>
      <c r="BM63" s="1056">
        <f t="shared" ca="1" si="113"/>
        <v>-262</v>
      </c>
      <c r="BN63" s="1056">
        <f t="shared" ca="1" si="113"/>
        <v>784</v>
      </c>
      <c r="BO63" s="1056">
        <f t="shared" ca="1" si="113"/>
        <v>758</v>
      </c>
      <c r="BP63" s="1056">
        <f t="shared" ca="1" si="113"/>
        <v>1887</v>
      </c>
      <c r="BQ63" s="1056">
        <f t="shared" ca="1" si="113"/>
        <v>-1527</v>
      </c>
      <c r="BR63" s="1056">
        <f t="shared" ca="1" si="113"/>
        <v>7250</v>
      </c>
      <c r="BS63" s="1056">
        <f t="shared" ca="1" si="113"/>
        <v>-2723</v>
      </c>
      <c r="BT63" s="1056">
        <f t="shared" ca="1" si="113"/>
        <v>700</v>
      </c>
      <c r="BU63" s="1056">
        <f t="shared" ca="1" si="113"/>
        <v>5683</v>
      </c>
      <c r="BV63" s="1056">
        <f t="shared" ca="1" si="113"/>
        <v>3836</v>
      </c>
      <c r="BW63" s="1057">
        <f t="shared" ca="1" si="113"/>
        <v>1048</v>
      </c>
      <c r="BX63" s="1056">
        <f t="shared" ca="1" si="113"/>
        <v>-362.78673541641183</v>
      </c>
      <c r="BY63" s="1056">
        <f t="shared" ca="1" si="113"/>
        <v>1015.0426382690603</v>
      </c>
      <c r="BZ63" s="1056">
        <f t="shared" ca="1" si="113"/>
        <v>1013.6959264823163</v>
      </c>
      <c r="CA63" s="1056">
        <f t="shared" ca="1" si="113"/>
        <v>531.22164461223656</v>
      </c>
      <c r="CB63" s="1056">
        <f t="shared" ca="1" si="113"/>
        <v>523.82030533863144</v>
      </c>
      <c r="CC63" s="610"/>
    </row>
    <row r="64" spans="1:81" s="728" customFormat="1" collapsed="1" x14ac:dyDescent="0.55000000000000004">
      <c r="A64" s="90" t="s">
        <v>619</v>
      </c>
      <c r="B64" s="95"/>
      <c r="C64" s="62">
        <f t="shared" ref="C64:AH64" ca="1" si="114">SUM(C62:C63)</f>
        <v>719</v>
      </c>
      <c r="D64" s="62">
        <f t="shared" ca="1" si="114"/>
        <v>1322</v>
      </c>
      <c r="E64" s="62">
        <f t="shared" ca="1" si="114"/>
        <v>950</v>
      </c>
      <c r="F64" s="62">
        <f t="shared" ca="1" si="114"/>
        <v>1231</v>
      </c>
      <c r="G64" s="62">
        <f t="shared" ca="1" si="114"/>
        <v>1285</v>
      </c>
      <c r="H64" s="62">
        <f t="shared" ca="1" si="114"/>
        <v>1341</v>
      </c>
      <c r="I64" s="62">
        <f t="shared" ca="1" si="114"/>
        <v>1248</v>
      </c>
      <c r="J64" s="62">
        <f t="shared" ca="1" si="114"/>
        <v>1583</v>
      </c>
      <c r="K64" s="62">
        <f t="shared" ca="1" si="114"/>
        <v>1700</v>
      </c>
      <c r="L64" s="62">
        <f t="shared" ca="1" si="114"/>
        <v>1880</v>
      </c>
      <c r="M64" s="62">
        <f t="shared" ca="1" si="114"/>
        <v>2192</v>
      </c>
      <c r="N64" s="62">
        <f t="shared" ca="1" si="114"/>
        <v>2827</v>
      </c>
      <c r="O64" s="62">
        <f t="shared" ca="1" si="114"/>
        <v>3477</v>
      </c>
      <c r="P64" s="62">
        <f t="shared" ca="1" si="114"/>
        <v>3665</v>
      </c>
      <c r="Q64" s="62">
        <f t="shared" ca="1" si="114"/>
        <v>4036</v>
      </c>
      <c r="R64" s="62">
        <f t="shared" ca="1" si="114"/>
        <v>4930</v>
      </c>
      <c r="S64" s="62">
        <f t="shared" ca="1" si="114"/>
        <v>5058</v>
      </c>
      <c r="T64" s="62">
        <f t="shared" ca="1" si="114"/>
        <v>5360</v>
      </c>
      <c r="U64" s="62">
        <f t="shared" ca="1" si="114"/>
        <v>6127</v>
      </c>
      <c r="V64" s="62">
        <f t="shared" ca="1" si="114"/>
        <v>7671</v>
      </c>
      <c r="W64" s="62">
        <f t="shared" ca="1" si="114"/>
        <v>7860</v>
      </c>
      <c r="X64" s="62">
        <f t="shared" ca="1" si="114"/>
        <v>6298</v>
      </c>
      <c r="Y64" s="62">
        <f t="shared" ca="1" si="114"/>
        <v>7498</v>
      </c>
      <c r="Z64" s="62">
        <f t="shared" ca="1" si="114"/>
        <v>7618</v>
      </c>
      <c r="AA64" s="62">
        <f t="shared" ca="1" si="114"/>
        <v>9308</v>
      </c>
      <c r="AB64" s="62">
        <f t="shared" ca="1" si="114"/>
        <v>8616</v>
      </c>
      <c r="AC64" s="62">
        <f t="shared" ca="1" si="114"/>
        <v>9307</v>
      </c>
      <c r="AD64" s="62">
        <f t="shared" ca="1" si="114"/>
        <v>9083</v>
      </c>
      <c r="AE64" s="62">
        <f t="shared" ca="1" si="114"/>
        <v>11001</v>
      </c>
      <c r="AF64" s="62">
        <f t="shared" ca="1" si="114"/>
        <v>3877</v>
      </c>
      <c r="AG64" s="62">
        <f t="shared" ca="1" si="114"/>
        <v>9829</v>
      </c>
      <c r="AH64" s="62">
        <f t="shared" ca="1" si="114"/>
        <v>14040</v>
      </c>
      <c r="AI64" s="62">
        <f t="shared" ref="AI64:BF64" ca="1" si="115">SUM(AI62:AI63)</f>
        <v>12242</v>
      </c>
      <c r="AJ64" s="62">
        <f t="shared" ca="1" si="115"/>
        <v>13247</v>
      </c>
      <c r="AK64" s="62">
        <f t="shared" ca="1" si="115"/>
        <v>14090</v>
      </c>
      <c r="AL64" s="62">
        <f t="shared" ca="1" si="115"/>
        <v>18104</v>
      </c>
      <c r="AM64" s="62">
        <f t="shared" ca="1" si="115"/>
        <v>14076</v>
      </c>
      <c r="AN64" s="62">
        <f t="shared" ca="1" si="115"/>
        <v>12196</v>
      </c>
      <c r="AO64" s="62">
        <f t="shared" ca="1" si="115"/>
        <v>9692</v>
      </c>
      <c r="AP64" s="62">
        <f t="shared" ca="1" si="115"/>
        <v>14511</v>
      </c>
      <c r="AQ64" s="62">
        <f t="shared" ca="1" si="115"/>
        <v>13998</v>
      </c>
      <c r="AR64" s="62">
        <f t="shared" ca="1" si="115"/>
        <v>17309</v>
      </c>
      <c r="AS64" s="62">
        <f t="shared" ca="1" si="115"/>
        <v>20402</v>
      </c>
      <c r="AT64" s="62">
        <f t="shared" ca="1" si="115"/>
        <v>19404</v>
      </c>
      <c r="AU64" s="62">
        <f t="shared" ca="1" si="115"/>
        <v>19246</v>
      </c>
      <c r="AV64" s="62">
        <f t="shared" ca="1" si="115"/>
        <v>19370</v>
      </c>
      <c r="AW64" s="62">
        <f t="shared" ca="1" si="115"/>
        <v>24724</v>
      </c>
      <c r="AX64" s="62">
        <f t="shared" ca="1" si="115"/>
        <v>27988</v>
      </c>
      <c r="AY64" s="676">
        <f t="shared" ca="1" si="115"/>
        <v>24026</v>
      </c>
      <c r="AZ64" s="62">
        <f t="shared" ca="1" si="115"/>
        <v>25278.216619790404</v>
      </c>
      <c r="BA64" s="62">
        <f t="shared" ca="1" si="115"/>
        <v>29704.91656506345</v>
      </c>
      <c r="BB64" s="62">
        <f t="shared" ca="1" si="115"/>
        <v>29315.556723235273</v>
      </c>
      <c r="BC64" s="62">
        <f t="shared" ca="1" si="115"/>
        <v>36658.472733154638</v>
      </c>
      <c r="BD64" s="62">
        <f t="shared" ca="1" si="115"/>
        <v>31585.181374530584</v>
      </c>
      <c r="BE64" s="62">
        <f t="shared" ca="1" si="115"/>
        <v>35926.577761882232</v>
      </c>
      <c r="BF64" s="62">
        <f t="shared" ca="1" si="115"/>
        <v>34787.650110080154</v>
      </c>
      <c r="BG64" s="62"/>
      <c r="BH64" s="1052">
        <f t="shared" ref="BH64:CB64" ca="1" si="116">SUM(BH62:BH63)</f>
        <v>155</v>
      </c>
      <c r="BI64" s="1052">
        <f t="shared" ca="1" si="116"/>
        <v>698</v>
      </c>
      <c r="BJ64" s="1052">
        <f t="shared" ca="1" si="116"/>
        <v>1549</v>
      </c>
      <c r="BK64" s="1052">
        <f t="shared" ca="1" si="116"/>
        <v>1612</v>
      </c>
      <c r="BL64" s="1052">
        <f t="shared" ca="1" si="116"/>
        <v>4222</v>
      </c>
      <c r="BM64" s="1052">
        <f t="shared" ca="1" si="116"/>
        <v>5457</v>
      </c>
      <c r="BN64" s="1052">
        <f t="shared" ca="1" si="116"/>
        <v>8599</v>
      </c>
      <c r="BO64" s="1052">
        <f t="shared" ca="1" si="116"/>
        <v>16108</v>
      </c>
      <c r="BP64" s="1052">
        <f t="shared" ca="1" si="116"/>
        <v>24216</v>
      </c>
      <c r="BQ64" s="1052">
        <f t="shared" ca="1" si="116"/>
        <v>29274</v>
      </c>
      <c r="BR64" s="1052">
        <f t="shared" ca="1" si="116"/>
        <v>36314</v>
      </c>
      <c r="BS64" s="1052">
        <f t="shared" ca="1" si="116"/>
        <v>38747</v>
      </c>
      <c r="BT64" s="1052">
        <f t="shared" ca="1" si="116"/>
        <v>57683</v>
      </c>
      <c r="BU64" s="1052">
        <f t="shared" ca="1" si="116"/>
        <v>50475</v>
      </c>
      <c r="BV64" s="1052">
        <f t="shared" ca="1" si="116"/>
        <v>71113</v>
      </c>
      <c r="BW64" s="1053">
        <f t="shared" ca="1" si="116"/>
        <v>91328</v>
      </c>
      <c r="BX64" s="1052">
        <f t="shared" ca="1" si="116"/>
        <v>108324.68990808912</v>
      </c>
      <c r="BY64" s="1052">
        <f t="shared" ca="1" si="116"/>
        <v>138957.88197964762</v>
      </c>
      <c r="BZ64" s="1052">
        <f t="shared" ca="1" si="116"/>
        <v>155838.8645634792</v>
      </c>
      <c r="CA64" s="1052">
        <f t="shared" ca="1" si="116"/>
        <v>163281.64527035074</v>
      </c>
      <c r="CB64" s="1052">
        <f t="shared" ca="1" si="116"/>
        <v>182146.81310678954</v>
      </c>
      <c r="CC64" s="610"/>
    </row>
    <row r="65" spans="1:81" s="731" customFormat="1" x14ac:dyDescent="0.55000000000000004">
      <c r="A65" s="183" t="str">
        <f>INDEX(MO_CFSum_Capex,0,COLUMN())</f>
        <v>Capex</v>
      </c>
      <c r="B65" s="184"/>
      <c r="C65" s="168">
        <f t="shared" ref="C65:AH65" si="117">INDEX(MO_CFSum_Capex,0,COLUMN())</f>
        <v>-327</v>
      </c>
      <c r="D65" s="168">
        <f t="shared" si="117"/>
        <v>-268</v>
      </c>
      <c r="E65" s="168">
        <f t="shared" si="117"/>
        <v>-284</v>
      </c>
      <c r="F65" s="168">
        <f t="shared" si="117"/>
        <v>-483</v>
      </c>
      <c r="G65" s="168">
        <f t="shared" si="117"/>
        <v>-363</v>
      </c>
      <c r="H65" s="168">
        <f t="shared" si="117"/>
        <v>-469</v>
      </c>
      <c r="I65" s="168">
        <f t="shared" si="117"/>
        <v>-482</v>
      </c>
      <c r="J65" s="168">
        <f t="shared" si="117"/>
        <v>-517</v>
      </c>
      <c r="K65" s="168">
        <f t="shared" si="117"/>
        <v>-502</v>
      </c>
      <c r="L65" s="168">
        <f t="shared" si="117"/>
        <v>-549</v>
      </c>
      <c r="M65" s="168">
        <f t="shared" si="117"/>
        <v>-780</v>
      </c>
      <c r="N65" s="168">
        <f t="shared" si="117"/>
        <v>-692</v>
      </c>
      <c r="O65" s="168">
        <f t="shared" si="117"/>
        <v>-1132</v>
      </c>
      <c r="P65" s="168">
        <f t="shared" si="117"/>
        <v>-995</v>
      </c>
      <c r="Q65" s="168">
        <f t="shared" si="117"/>
        <v>-1095</v>
      </c>
      <c r="R65" s="168">
        <f t="shared" si="117"/>
        <v>-1269</v>
      </c>
      <c r="S65" s="168">
        <f t="shared" si="117"/>
        <v>-1271</v>
      </c>
      <c r="T65" s="168">
        <f t="shared" si="117"/>
        <v>-1444</v>
      </c>
      <c r="U65" s="168">
        <f t="shared" si="117"/>
        <v>-1755</v>
      </c>
      <c r="V65" s="168">
        <f t="shared" si="117"/>
        <v>-2263</v>
      </c>
      <c r="W65" s="168">
        <f t="shared" si="117"/>
        <v>-2812</v>
      </c>
      <c r="X65" s="168">
        <f t="shared" si="117"/>
        <v>-3460</v>
      </c>
      <c r="Y65" s="168">
        <f t="shared" si="117"/>
        <v>-3342</v>
      </c>
      <c r="Z65" s="168">
        <f t="shared" si="117"/>
        <v>-4301</v>
      </c>
      <c r="AA65" s="168">
        <f t="shared" si="117"/>
        <v>-3962</v>
      </c>
      <c r="AB65" s="168">
        <f t="shared" si="117"/>
        <v>-3775</v>
      </c>
      <c r="AC65" s="168">
        <f t="shared" si="117"/>
        <v>-3676</v>
      </c>
      <c r="AD65" s="168">
        <f t="shared" si="117"/>
        <v>-4241</v>
      </c>
      <c r="AE65" s="168">
        <f t="shared" si="117"/>
        <v>-3658</v>
      </c>
      <c r="AF65" s="168">
        <f t="shared" si="117"/>
        <v>-3364</v>
      </c>
      <c r="AG65" s="168">
        <f t="shared" si="117"/>
        <v>-3878</v>
      </c>
      <c r="AH65" s="168">
        <f t="shared" si="117"/>
        <v>-4819</v>
      </c>
      <c r="AI65" s="168">
        <f t="shared" ref="AI65:BF65" si="118">INDEX(MO_CFSum_Capex,0,COLUMN())</f>
        <v>-4423</v>
      </c>
      <c r="AJ65" s="168">
        <f t="shared" si="118"/>
        <v>-4735</v>
      </c>
      <c r="AK65" s="168">
        <f t="shared" si="118"/>
        <v>-4545</v>
      </c>
      <c r="AL65" s="168">
        <f t="shared" si="118"/>
        <v>-5541</v>
      </c>
      <c r="AM65" s="168">
        <f t="shared" si="118"/>
        <v>-5674</v>
      </c>
      <c r="AN65" s="168">
        <f t="shared" si="118"/>
        <v>-7791</v>
      </c>
      <c r="AO65" s="168">
        <f t="shared" si="118"/>
        <v>-9538</v>
      </c>
      <c r="AP65" s="168">
        <f t="shared" si="118"/>
        <v>-9278</v>
      </c>
      <c r="AQ65" s="168">
        <f t="shared" si="118"/>
        <v>-7106</v>
      </c>
      <c r="AR65" s="168">
        <f t="shared" si="118"/>
        <v>-6436</v>
      </c>
      <c r="AS65" s="168">
        <f t="shared" si="118"/>
        <v>-6810</v>
      </c>
      <c r="AT65" s="168">
        <f t="shared" si="118"/>
        <v>-7972</v>
      </c>
      <c r="AU65" s="168">
        <f t="shared" si="118"/>
        <v>-6715</v>
      </c>
      <c r="AV65" s="168">
        <f t="shared" si="118"/>
        <v>-8472</v>
      </c>
      <c r="AW65" s="168">
        <f t="shared" si="118"/>
        <v>-9202</v>
      </c>
      <c r="AX65" s="168">
        <f t="shared" si="118"/>
        <v>-14836</v>
      </c>
      <c r="AY65" s="686">
        <f t="shared" si="118"/>
        <v>-13692</v>
      </c>
      <c r="AZ65" s="168">
        <f t="shared" si="118"/>
        <v>-15625</v>
      </c>
      <c r="BA65" s="168">
        <f t="shared" si="118"/>
        <v>-15625</v>
      </c>
      <c r="BB65" s="168">
        <f t="shared" si="118"/>
        <v>-15625</v>
      </c>
      <c r="BC65" s="168">
        <f t="shared" si="118"/>
        <v>-10100</v>
      </c>
      <c r="BD65" s="168">
        <f t="shared" si="118"/>
        <v>-10100</v>
      </c>
      <c r="BE65" s="168">
        <f t="shared" si="118"/>
        <v>-10100</v>
      </c>
      <c r="BF65" s="168">
        <f t="shared" si="118"/>
        <v>-10100</v>
      </c>
      <c r="BG65" s="168"/>
      <c r="BH65" s="1056">
        <f t="shared" ref="BH65:CB65" si="119">INDEX(MO_CFSum_Capex,0,COLUMN())</f>
        <v>-33</v>
      </c>
      <c r="BI65" s="1056">
        <f t="shared" si="119"/>
        <v>-293</v>
      </c>
      <c r="BJ65" s="1056">
        <f t="shared" si="119"/>
        <v>-606</v>
      </c>
      <c r="BK65" s="1056">
        <f t="shared" si="119"/>
        <v>-1235</v>
      </c>
      <c r="BL65" s="1056">
        <f t="shared" si="119"/>
        <v>-1362</v>
      </c>
      <c r="BM65" s="1056">
        <f t="shared" si="119"/>
        <v>-1831</v>
      </c>
      <c r="BN65" s="1056">
        <f t="shared" si="119"/>
        <v>-2523</v>
      </c>
      <c r="BO65" s="1056">
        <f t="shared" si="119"/>
        <v>-4491</v>
      </c>
      <c r="BP65" s="1056">
        <f t="shared" si="119"/>
        <v>-6733</v>
      </c>
      <c r="BQ65" s="1056">
        <f t="shared" si="119"/>
        <v>-13915</v>
      </c>
      <c r="BR65" s="1056">
        <f t="shared" si="119"/>
        <v>-15654</v>
      </c>
      <c r="BS65" s="1056">
        <f t="shared" si="119"/>
        <v>-15719</v>
      </c>
      <c r="BT65" s="1056">
        <f t="shared" si="119"/>
        <v>-19244</v>
      </c>
      <c r="BU65" s="1056">
        <f t="shared" si="119"/>
        <v>-32281</v>
      </c>
      <c r="BV65" s="1056">
        <f t="shared" si="119"/>
        <v>-28324</v>
      </c>
      <c r="BW65" s="1057">
        <f t="shared" si="119"/>
        <v>-39225</v>
      </c>
      <c r="BX65" s="1056">
        <f t="shared" si="119"/>
        <v>-60567</v>
      </c>
      <c r="BY65" s="1056">
        <f t="shared" si="119"/>
        <v>-40400</v>
      </c>
      <c r="BZ65" s="1056">
        <f t="shared" si="119"/>
        <v>-40400</v>
      </c>
      <c r="CA65" s="1056">
        <f t="shared" si="119"/>
        <v>-40400</v>
      </c>
      <c r="CB65" s="1056">
        <f t="shared" si="119"/>
        <v>-40400</v>
      </c>
      <c r="CC65" s="610"/>
    </row>
    <row r="66" spans="1:81" s="728" customFormat="1" x14ac:dyDescent="0.55000000000000004">
      <c r="A66" s="93" t="s">
        <v>269</v>
      </c>
      <c r="B66" s="94"/>
      <c r="C66" s="60">
        <f t="shared" ref="C66:AH66" ca="1" si="120">SUM(C64:C65)</f>
        <v>392</v>
      </c>
      <c r="D66" s="60">
        <f t="shared" ca="1" si="120"/>
        <v>1054</v>
      </c>
      <c r="E66" s="60">
        <f t="shared" ca="1" si="120"/>
        <v>666</v>
      </c>
      <c r="F66" s="60">
        <f t="shared" ca="1" si="120"/>
        <v>748</v>
      </c>
      <c r="G66" s="60">
        <f t="shared" ca="1" si="120"/>
        <v>922</v>
      </c>
      <c r="H66" s="60">
        <f t="shared" ca="1" si="120"/>
        <v>872</v>
      </c>
      <c r="I66" s="60">
        <f t="shared" ca="1" si="120"/>
        <v>766</v>
      </c>
      <c r="J66" s="60">
        <f t="shared" ca="1" si="120"/>
        <v>1066</v>
      </c>
      <c r="K66" s="60">
        <f t="shared" ca="1" si="120"/>
        <v>1198</v>
      </c>
      <c r="L66" s="60">
        <f t="shared" ca="1" si="120"/>
        <v>1331</v>
      </c>
      <c r="M66" s="60">
        <f t="shared" ca="1" si="120"/>
        <v>1412</v>
      </c>
      <c r="N66" s="60">
        <f t="shared" ca="1" si="120"/>
        <v>2135</v>
      </c>
      <c r="O66" s="60">
        <f t="shared" ca="1" si="120"/>
        <v>2345</v>
      </c>
      <c r="P66" s="60">
        <f t="shared" ca="1" si="120"/>
        <v>2670</v>
      </c>
      <c r="Q66" s="60">
        <f t="shared" ca="1" si="120"/>
        <v>2941</v>
      </c>
      <c r="R66" s="60">
        <f t="shared" ca="1" si="120"/>
        <v>3661</v>
      </c>
      <c r="S66" s="60">
        <f t="shared" ca="1" si="120"/>
        <v>3787</v>
      </c>
      <c r="T66" s="60">
        <f t="shared" ca="1" si="120"/>
        <v>3916</v>
      </c>
      <c r="U66" s="60">
        <f t="shared" ca="1" si="120"/>
        <v>4372</v>
      </c>
      <c r="V66" s="60">
        <f t="shared" ca="1" si="120"/>
        <v>5408</v>
      </c>
      <c r="W66" s="60">
        <f t="shared" ca="1" si="120"/>
        <v>5048</v>
      </c>
      <c r="X66" s="60">
        <f t="shared" ca="1" si="120"/>
        <v>2838</v>
      </c>
      <c r="Y66" s="60">
        <f t="shared" ca="1" si="120"/>
        <v>4156</v>
      </c>
      <c r="Z66" s="60">
        <f t="shared" ca="1" si="120"/>
        <v>3317</v>
      </c>
      <c r="AA66" s="60">
        <f t="shared" ca="1" si="120"/>
        <v>5346</v>
      </c>
      <c r="AB66" s="60">
        <f t="shared" ca="1" si="120"/>
        <v>4841</v>
      </c>
      <c r="AC66" s="60">
        <f t="shared" ca="1" si="120"/>
        <v>5631</v>
      </c>
      <c r="AD66" s="60">
        <f t="shared" ca="1" si="120"/>
        <v>4842</v>
      </c>
      <c r="AE66" s="60">
        <f t="shared" ca="1" si="120"/>
        <v>7343</v>
      </c>
      <c r="AF66" s="60">
        <f t="shared" ca="1" si="120"/>
        <v>513</v>
      </c>
      <c r="AG66" s="60">
        <f t="shared" ca="1" si="120"/>
        <v>5951</v>
      </c>
      <c r="AH66" s="60">
        <f t="shared" ca="1" si="120"/>
        <v>9221</v>
      </c>
      <c r="AI66" s="60">
        <f t="shared" ref="AI66:BF66" ca="1" si="121">SUM(AI64:AI65)</f>
        <v>7819</v>
      </c>
      <c r="AJ66" s="60">
        <f t="shared" ca="1" si="121"/>
        <v>8512</v>
      </c>
      <c r="AK66" s="60">
        <f t="shared" ca="1" si="121"/>
        <v>9545</v>
      </c>
      <c r="AL66" s="60">
        <f t="shared" ca="1" si="121"/>
        <v>12563</v>
      </c>
      <c r="AM66" s="60">
        <f t="shared" ca="1" si="121"/>
        <v>8402</v>
      </c>
      <c r="AN66" s="60">
        <f t="shared" ca="1" si="121"/>
        <v>4405</v>
      </c>
      <c r="AO66" s="60">
        <f t="shared" ca="1" si="121"/>
        <v>154</v>
      </c>
      <c r="AP66" s="60">
        <f t="shared" ca="1" si="121"/>
        <v>5233</v>
      </c>
      <c r="AQ66" s="60">
        <f t="shared" ca="1" si="121"/>
        <v>6892</v>
      </c>
      <c r="AR66" s="60">
        <f t="shared" ca="1" si="121"/>
        <v>10873</v>
      </c>
      <c r="AS66" s="60">
        <f t="shared" ca="1" si="121"/>
        <v>13592</v>
      </c>
      <c r="AT66" s="60">
        <f t="shared" ca="1" si="121"/>
        <v>11432</v>
      </c>
      <c r="AU66" s="60">
        <f t="shared" ca="1" si="121"/>
        <v>12531</v>
      </c>
      <c r="AV66" s="60">
        <f t="shared" ca="1" si="121"/>
        <v>10898</v>
      </c>
      <c r="AW66" s="60">
        <f t="shared" ca="1" si="121"/>
        <v>15522</v>
      </c>
      <c r="AX66" s="60">
        <f t="shared" ca="1" si="121"/>
        <v>13152</v>
      </c>
      <c r="AY66" s="687">
        <f t="shared" ca="1" si="121"/>
        <v>10334</v>
      </c>
      <c r="AZ66" s="60">
        <f t="shared" ca="1" si="121"/>
        <v>9653.2166197904044</v>
      </c>
      <c r="BA66" s="60">
        <f t="shared" ca="1" si="121"/>
        <v>14079.91656506345</v>
      </c>
      <c r="BB66" s="60">
        <f t="shared" ca="1" si="121"/>
        <v>13690.556723235273</v>
      </c>
      <c r="BC66" s="60">
        <f t="shared" ca="1" si="121"/>
        <v>26558.472733154638</v>
      </c>
      <c r="BD66" s="60">
        <f t="shared" ca="1" si="121"/>
        <v>21485.181374530584</v>
      </c>
      <c r="BE66" s="60">
        <f t="shared" ca="1" si="121"/>
        <v>25826.577761882232</v>
      </c>
      <c r="BF66" s="60">
        <f t="shared" ca="1" si="121"/>
        <v>24687.650110080154</v>
      </c>
      <c r="BG66" s="60"/>
      <c r="BH66" s="1058">
        <f t="shared" ref="BH66:CB66" ca="1" si="122">SUM(BH64:BH65)</f>
        <v>122</v>
      </c>
      <c r="BI66" s="1058">
        <f t="shared" ca="1" si="122"/>
        <v>405</v>
      </c>
      <c r="BJ66" s="1058">
        <f t="shared" ca="1" si="122"/>
        <v>943</v>
      </c>
      <c r="BK66" s="1058">
        <f t="shared" ca="1" si="122"/>
        <v>377</v>
      </c>
      <c r="BL66" s="1058">
        <f t="shared" ca="1" si="122"/>
        <v>2860</v>
      </c>
      <c r="BM66" s="1058">
        <f t="shared" ca="1" si="122"/>
        <v>3626</v>
      </c>
      <c r="BN66" s="1058">
        <f t="shared" ca="1" si="122"/>
        <v>6076</v>
      </c>
      <c r="BO66" s="1058">
        <f t="shared" ca="1" si="122"/>
        <v>11617</v>
      </c>
      <c r="BP66" s="1058">
        <f t="shared" ca="1" si="122"/>
        <v>17483</v>
      </c>
      <c r="BQ66" s="1058">
        <f t="shared" ca="1" si="122"/>
        <v>15359</v>
      </c>
      <c r="BR66" s="1058">
        <f t="shared" ca="1" si="122"/>
        <v>20660</v>
      </c>
      <c r="BS66" s="1058">
        <f t="shared" ca="1" si="122"/>
        <v>23028</v>
      </c>
      <c r="BT66" s="1058">
        <f t="shared" ca="1" si="122"/>
        <v>38439</v>
      </c>
      <c r="BU66" s="1058">
        <f t="shared" ca="1" si="122"/>
        <v>18194</v>
      </c>
      <c r="BV66" s="1058">
        <f t="shared" ca="1" si="122"/>
        <v>42789</v>
      </c>
      <c r="BW66" s="1059">
        <f t="shared" ca="1" si="122"/>
        <v>52103</v>
      </c>
      <c r="BX66" s="1058">
        <f t="shared" ca="1" si="122"/>
        <v>47757.689908089116</v>
      </c>
      <c r="BY66" s="1058">
        <f t="shared" ca="1" si="122"/>
        <v>98557.881979647616</v>
      </c>
      <c r="BZ66" s="1058">
        <f t="shared" ca="1" si="122"/>
        <v>115438.8645634792</v>
      </c>
      <c r="CA66" s="1058">
        <f t="shared" ca="1" si="122"/>
        <v>122881.64527035074</v>
      </c>
      <c r="CB66" s="1058">
        <f t="shared" ca="1" si="122"/>
        <v>141746.81310678954</v>
      </c>
      <c r="CC66" s="607"/>
    </row>
    <row r="67" spans="1:81" s="731" customFormat="1" x14ac:dyDescent="0.55000000000000004">
      <c r="A67" s="183" t="str">
        <f>INDEX(MO_CFSum_Dividend,0,COLUMN())</f>
        <v>Dividend Paid</v>
      </c>
      <c r="B67" s="184"/>
      <c r="C67" s="168">
        <f t="shared" ref="C67:AH67" si="123">INDEX(MO_CFSum_Dividend,0,COLUMN())</f>
        <v>0</v>
      </c>
      <c r="D67" s="168">
        <f t="shared" si="123"/>
        <v>0</v>
      </c>
      <c r="E67" s="168">
        <f t="shared" si="123"/>
        <v>0</v>
      </c>
      <c r="F67" s="168">
        <f t="shared" si="123"/>
        <v>0</v>
      </c>
      <c r="G67" s="168">
        <f t="shared" si="123"/>
        <v>0</v>
      </c>
      <c r="H67" s="168">
        <f t="shared" si="123"/>
        <v>0</v>
      </c>
      <c r="I67" s="168">
        <f t="shared" si="123"/>
        <v>0</v>
      </c>
      <c r="J67" s="168">
        <f t="shared" si="123"/>
        <v>0</v>
      </c>
      <c r="K67" s="168">
        <f t="shared" si="123"/>
        <v>0</v>
      </c>
      <c r="L67" s="168">
        <f t="shared" si="123"/>
        <v>0</v>
      </c>
      <c r="M67" s="168">
        <f t="shared" si="123"/>
        <v>0</v>
      </c>
      <c r="N67" s="168">
        <f t="shared" si="123"/>
        <v>0</v>
      </c>
      <c r="O67" s="168">
        <f t="shared" si="123"/>
        <v>0</v>
      </c>
      <c r="P67" s="168">
        <f t="shared" si="123"/>
        <v>0</v>
      </c>
      <c r="Q67" s="168">
        <f t="shared" si="123"/>
        <v>0</v>
      </c>
      <c r="R67" s="168">
        <f t="shared" si="123"/>
        <v>0</v>
      </c>
      <c r="S67" s="168">
        <f t="shared" si="123"/>
        <v>0</v>
      </c>
      <c r="T67" s="168">
        <f t="shared" si="123"/>
        <v>0</v>
      </c>
      <c r="U67" s="168">
        <f t="shared" si="123"/>
        <v>0</v>
      </c>
      <c r="V67" s="168">
        <f t="shared" si="123"/>
        <v>0</v>
      </c>
      <c r="W67" s="168">
        <f t="shared" si="123"/>
        <v>0</v>
      </c>
      <c r="X67" s="168">
        <f t="shared" si="123"/>
        <v>0</v>
      </c>
      <c r="Y67" s="168">
        <f t="shared" si="123"/>
        <v>0</v>
      </c>
      <c r="Z67" s="168">
        <f t="shared" si="123"/>
        <v>0</v>
      </c>
      <c r="AA67" s="168">
        <f t="shared" si="123"/>
        <v>0</v>
      </c>
      <c r="AB67" s="168">
        <f t="shared" si="123"/>
        <v>0</v>
      </c>
      <c r="AC67" s="168">
        <f t="shared" si="123"/>
        <v>0</v>
      </c>
      <c r="AD67" s="168">
        <f t="shared" si="123"/>
        <v>0</v>
      </c>
      <c r="AE67" s="168">
        <f t="shared" si="123"/>
        <v>0</v>
      </c>
      <c r="AF67" s="168">
        <f t="shared" si="123"/>
        <v>0</v>
      </c>
      <c r="AG67" s="168">
        <f t="shared" si="123"/>
        <v>0</v>
      </c>
      <c r="AH67" s="168">
        <f t="shared" si="123"/>
        <v>0</v>
      </c>
      <c r="AI67" s="168">
        <f t="shared" ref="AI67:BF67" si="124">INDEX(MO_CFSum_Dividend,0,COLUMN())</f>
        <v>0</v>
      </c>
      <c r="AJ67" s="168">
        <f t="shared" si="124"/>
        <v>0</v>
      </c>
      <c r="AK67" s="168">
        <f t="shared" si="124"/>
        <v>0</v>
      </c>
      <c r="AL67" s="168">
        <f t="shared" si="124"/>
        <v>0</v>
      </c>
      <c r="AM67" s="168">
        <f t="shared" si="124"/>
        <v>0</v>
      </c>
      <c r="AN67" s="168">
        <f t="shared" si="124"/>
        <v>0</v>
      </c>
      <c r="AO67" s="168">
        <f t="shared" si="124"/>
        <v>0</v>
      </c>
      <c r="AP67" s="168">
        <f t="shared" si="124"/>
        <v>0</v>
      </c>
      <c r="AQ67" s="168">
        <f t="shared" si="124"/>
        <v>0</v>
      </c>
      <c r="AR67" s="168">
        <f t="shared" si="124"/>
        <v>0</v>
      </c>
      <c r="AS67" s="168">
        <f t="shared" si="124"/>
        <v>0</v>
      </c>
      <c r="AT67" s="168">
        <f t="shared" si="124"/>
        <v>0</v>
      </c>
      <c r="AU67" s="168">
        <f t="shared" si="124"/>
        <v>-1273</v>
      </c>
      <c r="AV67" s="168">
        <f t="shared" si="124"/>
        <v>-1266</v>
      </c>
      <c r="AW67" s="168">
        <f t="shared" si="124"/>
        <v>-1263</v>
      </c>
      <c r="AX67" s="168">
        <f t="shared" si="124"/>
        <v>-1270</v>
      </c>
      <c r="AY67" s="686">
        <f t="shared" si="124"/>
        <v>-1329</v>
      </c>
      <c r="AZ67" s="168">
        <f t="shared" ca="1" si="124"/>
        <v>-1259.3233550295859</v>
      </c>
      <c r="BA67" s="168">
        <f t="shared" ca="1" si="124"/>
        <v>-1257.9699974242603</v>
      </c>
      <c r="BB67" s="168">
        <f t="shared" ca="1" si="124"/>
        <v>-1256.6165044831741</v>
      </c>
      <c r="BC67" s="168">
        <f t="shared" ca="1" si="124"/>
        <v>-1256.0025211632083</v>
      </c>
      <c r="BD67" s="168">
        <f t="shared" ca="1" si="124"/>
        <v>-1256.1281214153246</v>
      </c>
      <c r="BE67" s="168">
        <f t="shared" ca="1" si="124"/>
        <v>-1256.2537342274659</v>
      </c>
      <c r="BF67" s="168">
        <f t="shared" ca="1" si="124"/>
        <v>-1256.3793596008886</v>
      </c>
      <c r="BG67" s="168"/>
      <c r="BH67" s="1056">
        <f t="shared" ref="BH67:CB67" si="125">INDEX(MO_CFSum_Dividend,0,COLUMN())</f>
        <v>0</v>
      </c>
      <c r="BI67" s="1056">
        <f t="shared" si="125"/>
        <v>0</v>
      </c>
      <c r="BJ67" s="1056">
        <f t="shared" si="125"/>
        <v>0</v>
      </c>
      <c r="BK67" s="1056">
        <f t="shared" si="125"/>
        <v>0</v>
      </c>
      <c r="BL67" s="1056">
        <f t="shared" si="125"/>
        <v>0</v>
      </c>
      <c r="BM67" s="1056">
        <f t="shared" si="125"/>
        <v>0</v>
      </c>
      <c r="BN67" s="1056">
        <f t="shared" si="125"/>
        <v>0</v>
      </c>
      <c r="BO67" s="1056">
        <f t="shared" si="125"/>
        <v>0</v>
      </c>
      <c r="BP67" s="1056">
        <f t="shared" si="125"/>
        <v>0</v>
      </c>
      <c r="BQ67" s="1056">
        <f t="shared" si="125"/>
        <v>0</v>
      </c>
      <c r="BR67" s="1056">
        <f t="shared" si="125"/>
        <v>0</v>
      </c>
      <c r="BS67" s="1056">
        <f t="shared" si="125"/>
        <v>0</v>
      </c>
      <c r="BT67" s="1056">
        <f t="shared" si="125"/>
        <v>0</v>
      </c>
      <c r="BU67" s="1056">
        <f t="shared" si="125"/>
        <v>0</v>
      </c>
      <c r="BV67" s="1056">
        <f t="shared" si="125"/>
        <v>0</v>
      </c>
      <c r="BW67" s="1057">
        <f t="shared" si="125"/>
        <v>-5072</v>
      </c>
      <c r="BX67" s="1056">
        <f t="shared" ca="1" si="125"/>
        <v>-5102.9098569370199</v>
      </c>
      <c r="BY67" s="1056">
        <f t="shared" ca="1" si="125"/>
        <v>-5024.7637364068869</v>
      </c>
      <c r="BZ67" s="1056">
        <f t="shared" ca="1" si="125"/>
        <v>-1253.6372291443367</v>
      </c>
      <c r="CA67" s="1056">
        <f t="shared" ca="1" si="125"/>
        <v>-1248.30467153939</v>
      </c>
      <c r="CB67" s="1056">
        <f t="shared" ca="1" si="125"/>
        <v>-1243.5009631049752</v>
      </c>
      <c r="CC67" s="610"/>
    </row>
    <row r="68" spans="1:81" s="728" customFormat="1" x14ac:dyDescent="0.55000000000000004">
      <c r="A68" s="93" t="s">
        <v>270</v>
      </c>
      <c r="B68" s="94"/>
      <c r="C68" s="60">
        <f t="shared" ref="C68:AH68" ca="1" si="126">SUM(C66:C67)</f>
        <v>392</v>
      </c>
      <c r="D68" s="60">
        <f t="shared" ca="1" si="126"/>
        <v>1054</v>
      </c>
      <c r="E68" s="60">
        <f t="shared" ca="1" si="126"/>
        <v>666</v>
      </c>
      <c r="F68" s="60">
        <f t="shared" ca="1" si="126"/>
        <v>748</v>
      </c>
      <c r="G68" s="60">
        <f t="shared" ca="1" si="126"/>
        <v>922</v>
      </c>
      <c r="H68" s="60">
        <f t="shared" ca="1" si="126"/>
        <v>872</v>
      </c>
      <c r="I68" s="60">
        <f t="shared" ca="1" si="126"/>
        <v>766</v>
      </c>
      <c r="J68" s="60">
        <f t="shared" ca="1" si="126"/>
        <v>1066</v>
      </c>
      <c r="K68" s="60">
        <f t="shared" ca="1" si="126"/>
        <v>1198</v>
      </c>
      <c r="L68" s="60">
        <f t="shared" ca="1" si="126"/>
        <v>1331</v>
      </c>
      <c r="M68" s="60">
        <f t="shared" ca="1" si="126"/>
        <v>1412</v>
      </c>
      <c r="N68" s="60">
        <f t="shared" ca="1" si="126"/>
        <v>2135</v>
      </c>
      <c r="O68" s="60">
        <f t="shared" ca="1" si="126"/>
        <v>2345</v>
      </c>
      <c r="P68" s="60">
        <f t="shared" ca="1" si="126"/>
        <v>2670</v>
      </c>
      <c r="Q68" s="60">
        <f t="shared" ca="1" si="126"/>
        <v>2941</v>
      </c>
      <c r="R68" s="60">
        <f t="shared" ca="1" si="126"/>
        <v>3661</v>
      </c>
      <c r="S68" s="60">
        <f t="shared" ca="1" si="126"/>
        <v>3787</v>
      </c>
      <c r="T68" s="60">
        <f t="shared" ca="1" si="126"/>
        <v>3916</v>
      </c>
      <c r="U68" s="60">
        <f t="shared" ca="1" si="126"/>
        <v>4372</v>
      </c>
      <c r="V68" s="60">
        <f t="shared" ca="1" si="126"/>
        <v>5408</v>
      </c>
      <c r="W68" s="60">
        <f t="shared" ca="1" si="126"/>
        <v>5048</v>
      </c>
      <c r="X68" s="60">
        <f t="shared" ca="1" si="126"/>
        <v>2838</v>
      </c>
      <c r="Y68" s="60">
        <f t="shared" ca="1" si="126"/>
        <v>4156</v>
      </c>
      <c r="Z68" s="60">
        <f t="shared" ca="1" si="126"/>
        <v>3317</v>
      </c>
      <c r="AA68" s="60">
        <f t="shared" ca="1" si="126"/>
        <v>5346</v>
      </c>
      <c r="AB68" s="60">
        <f t="shared" ca="1" si="126"/>
        <v>4841</v>
      </c>
      <c r="AC68" s="60">
        <f t="shared" ca="1" si="126"/>
        <v>5631</v>
      </c>
      <c r="AD68" s="60">
        <f t="shared" ca="1" si="126"/>
        <v>4842</v>
      </c>
      <c r="AE68" s="60">
        <f t="shared" ca="1" si="126"/>
        <v>7343</v>
      </c>
      <c r="AF68" s="60">
        <f t="shared" ca="1" si="126"/>
        <v>513</v>
      </c>
      <c r="AG68" s="60">
        <f t="shared" ca="1" si="126"/>
        <v>5951</v>
      </c>
      <c r="AH68" s="60">
        <f t="shared" ca="1" si="126"/>
        <v>9221</v>
      </c>
      <c r="AI68" s="60">
        <f t="shared" ref="AI68:BF68" ca="1" si="127">SUM(AI66:AI67)</f>
        <v>7819</v>
      </c>
      <c r="AJ68" s="60">
        <f t="shared" ca="1" si="127"/>
        <v>8512</v>
      </c>
      <c r="AK68" s="60">
        <f t="shared" ca="1" si="127"/>
        <v>9545</v>
      </c>
      <c r="AL68" s="60">
        <f t="shared" ca="1" si="127"/>
        <v>12563</v>
      </c>
      <c r="AM68" s="60">
        <f t="shared" ca="1" si="127"/>
        <v>8402</v>
      </c>
      <c r="AN68" s="60">
        <f t="shared" ca="1" si="127"/>
        <v>4405</v>
      </c>
      <c r="AO68" s="60">
        <f t="shared" ca="1" si="127"/>
        <v>154</v>
      </c>
      <c r="AP68" s="60">
        <f t="shared" ca="1" si="127"/>
        <v>5233</v>
      </c>
      <c r="AQ68" s="60">
        <f t="shared" ca="1" si="127"/>
        <v>6892</v>
      </c>
      <c r="AR68" s="60">
        <f t="shared" ca="1" si="127"/>
        <v>10873</v>
      </c>
      <c r="AS68" s="60">
        <f t="shared" ca="1" si="127"/>
        <v>13592</v>
      </c>
      <c r="AT68" s="60">
        <f t="shared" ca="1" si="127"/>
        <v>11432</v>
      </c>
      <c r="AU68" s="60">
        <f t="shared" ca="1" si="127"/>
        <v>11258</v>
      </c>
      <c r="AV68" s="60">
        <f t="shared" ca="1" si="127"/>
        <v>9632</v>
      </c>
      <c r="AW68" s="60">
        <f t="shared" ca="1" si="127"/>
        <v>14259</v>
      </c>
      <c r="AX68" s="60">
        <f t="shared" ca="1" si="127"/>
        <v>11882</v>
      </c>
      <c r="AY68" s="687">
        <f t="shared" ca="1" si="127"/>
        <v>9005</v>
      </c>
      <c r="AZ68" s="60">
        <f t="shared" ca="1" si="127"/>
        <v>8393.8932647608181</v>
      </c>
      <c r="BA68" s="60">
        <f t="shared" ca="1" si="127"/>
        <v>12821.946567639188</v>
      </c>
      <c r="BB68" s="60">
        <f t="shared" ca="1" si="127"/>
        <v>12433.940218752099</v>
      </c>
      <c r="BC68" s="60">
        <f t="shared" ca="1" si="127"/>
        <v>25302.470211991429</v>
      </c>
      <c r="BD68" s="60">
        <f t="shared" ca="1" si="127"/>
        <v>20229.05325311526</v>
      </c>
      <c r="BE68" s="60">
        <f t="shared" ca="1" si="127"/>
        <v>24570.324027654766</v>
      </c>
      <c r="BF68" s="60">
        <f t="shared" ca="1" si="127"/>
        <v>23431.270750479267</v>
      </c>
      <c r="BG68" s="60"/>
      <c r="BH68" s="1058">
        <f t="shared" ref="BH68:CB68" ca="1" si="128">SUM(BH66:BH67)</f>
        <v>122</v>
      </c>
      <c r="BI68" s="1058">
        <f t="shared" ca="1" si="128"/>
        <v>405</v>
      </c>
      <c r="BJ68" s="1058">
        <f t="shared" ca="1" si="128"/>
        <v>943</v>
      </c>
      <c r="BK68" s="1058">
        <f t="shared" ca="1" si="128"/>
        <v>377</v>
      </c>
      <c r="BL68" s="1058">
        <f t="shared" ca="1" si="128"/>
        <v>2860</v>
      </c>
      <c r="BM68" s="1058">
        <f t="shared" ca="1" si="128"/>
        <v>3626</v>
      </c>
      <c r="BN68" s="1058">
        <f t="shared" ca="1" si="128"/>
        <v>6076</v>
      </c>
      <c r="BO68" s="1058">
        <f t="shared" ca="1" si="128"/>
        <v>11617</v>
      </c>
      <c r="BP68" s="1058">
        <f t="shared" ca="1" si="128"/>
        <v>17483</v>
      </c>
      <c r="BQ68" s="1058">
        <f t="shared" ca="1" si="128"/>
        <v>15359</v>
      </c>
      <c r="BR68" s="1058">
        <f t="shared" ca="1" si="128"/>
        <v>20660</v>
      </c>
      <c r="BS68" s="1058">
        <f t="shared" ca="1" si="128"/>
        <v>23028</v>
      </c>
      <c r="BT68" s="1058">
        <f t="shared" ca="1" si="128"/>
        <v>38439</v>
      </c>
      <c r="BU68" s="1058">
        <f t="shared" ca="1" si="128"/>
        <v>18194</v>
      </c>
      <c r="BV68" s="1058">
        <f t="shared" ca="1" si="128"/>
        <v>42789</v>
      </c>
      <c r="BW68" s="1059">
        <f t="shared" ca="1" si="128"/>
        <v>47031</v>
      </c>
      <c r="BX68" s="1058">
        <f t="shared" ca="1" si="128"/>
        <v>42654.780051152098</v>
      </c>
      <c r="BY68" s="1058">
        <f t="shared" ca="1" si="128"/>
        <v>93533.118243240722</v>
      </c>
      <c r="BZ68" s="1058">
        <f t="shared" ca="1" si="128"/>
        <v>114185.22733433486</v>
      </c>
      <c r="CA68" s="1058">
        <f t="shared" ca="1" si="128"/>
        <v>121633.34059881135</v>
      </c>
      <c r="CB68" s="1058">
        <f t="shared" ca="1" si="128"/>
        <v>140503.31214368457</v>
      </c>
      <c r="CC68" s="607"/>
    </row>
    <row r="69" spans="1:81" s="731" customFormat="1" x14ac:dyDescent="0.55000000000000004">
      <c r="A69" s="91" t="str">
        <f>INDEX(MO_CFSum_Acquisition,0,COLUMN())</f>
        <v>Acquisitions</v>
      </c>
      <c r="B69" s="92"/>
      <c r="C69" s="59">
        <f t="shared" ref="C69:AH69" si="129">INDEX(MO_CFSum_Acquisition,0,COLUMN())</f>
        <v>-99</v>
      </c>
      <c r="D69" s="59">
        <f t="shared" si="129"/>
        <v>-122</v>
      </c>
      <c r="E69" s="59">
        <f t="shared" si="129"/>
        <v>-16</v>
      </c>
      <c r="F69" s="59">
        <f t="shared" si="129"/>
        <v>-131</v>
      </c>
      <c r="G69" s="59">
        <f t="shared" si="129"/>
        <v>0</v>
      </c>
      <c r="H69" s="59">
        <f t="shared" si="129"/>
        <v>-19</v>
      </c>
      <c r="I69" s="59">
        <f t="shared" si="129"/>
        <v>-735</v>
      </c>
      <c r="J69" s="59">
        <f t="shared" si="129"/>
        <v>-4221</v>
      </c>
      <c r="K69" s="59">
        <f t="shared" si="129"/>
        <v>-257</v>
      </c>
      <c r="L69" s="59">
        <f t="shared" si="129"/>
        <v>-25</v>
      </c>
      <c r="M69" s="59">
        <f t="shared" si="129"/>
        <v>-27</v>
      </c>
      <c r="N69" s="59">
        <f t="shared" si="129"/>
        <v>-4</v>
      </c>
      <c r="O69" s="59">
        <f t="shared" si="129"/>
        <v>-1</v>
      </c>
      <c r="P69" s="59">
        <f t="shared" si="129"/>
        <v>-19</v>
      </c>
      <c r="Q69" s="59">
        <f t="shared" si="129"/>
        <v>-61</v>
      </c>
      <c r="R69" s="59">
        <f t="shared" si="129"/>
        <v>-42</v>
      </c>
      <c r="S69" s="59">
        <f t="shared" si="129"/>
        <v>0</v>
      </c>
      <c r="T69" s="59">
        <f t="shared" si="129"/>
        <v>-8</v>
      </c>
      <c r="U69" s="59">
        <f t="shared" si="129"/>
        <v>-98</v>
      </c>
      <c r="V69" s="59">
        <f t="shared" si="129"/>
        <v>-16</v>
      </c>
      <c r="W69" s="59">
        <f t="shared" si="129"/>
        <v>-49</v>
      </c>
      <c r="X69" s="59">
        <f t="shared" si="129"/>
        <v>-16</v>
      </c>
      <c r="Y69" s="59">
        <f t="shared" si="129"/>
        <v>-72</v>
      </c>
      <c r="Z69" s="59">
        <f t="shared" si="129"/>
        <v>0</v>
      </c>
      <c r="AA69" s="59">
        <f t="shared" si="129"/>
        <v>0</v>
      </c>
      <c r="AB69" s="59">
        <f t="shared" si="129"/>
        <v>0</v>
      </c>
      <c r="AC69" s="59">
        <f t="shared" si="129"/>
        <v>0</v>
      </c>
      <c r="AD69" s="59">
        <f t="shared" si="129"/>
        <v>-508</v>
      </c>
      <c r="AE69" s="59">
        <f t="shared" si="129"/>
        <v>-33</v>
      </c>
      <c r="AF69" s="59">
        <f t="shared" si="129"/>
        <v>-339</v>
      </c>
      <c r="AG69" s="59">
        <f t="shared" si="129"/>
        <v>-12</v>
      </c>
      <c r="AH69" s="59">
        <f t="shared" si="129"/>
        <v>-4</v>
      </c>
      <c r="AI69" s="59">
        <f t="shared" ref="AI69:BF69" si="130">INDEX(MO_CFSum_Acquisition,0,COLUMN())</f>
        <v>0</v>
      </c>
      <c r="AJ69" s="59">
        <f t="shared" si="130"/>
        <v>-259</v>
      </c>
      <c r="AK69" s="59">
        <f t="shared" si="130"/>
        <v>-71</v>
      </c>
      <c r="AL69" s="59">
        <f t="shared" si="130"/>
        <v>-521</v>
      </c>
      <c r="AM69" s="59">
        <f t="shared" si="130"/>
        <v>-853</v>
      </c>
      <c r="AN69" s="59">
        <f t="shared" si="130"/>
        <v>-363</v>
      </c>
      <c r="AO69" s="59">
        <f t="shared" si="130"/>
        <v>-34</v>
      </c>
      <c r="AP69" s="59">
        <f t="shared" si="130"/>
        <v>-62</v>
      </c>
      <c r="AQ69" s="59">
        <f t="shared" si="130"/>
        <v>-444</v>
      </c>
      <c r="AR69" s="59">
        <f t="shared" si="130"/>
        <v>-83</v>
      </c>
      <c r="AS69" s="59">
        <f t="shared" si="130"/>
        <v>-38</v>
      </c>
      <c r="AT69" s="59">
        <f t="shared" si="130"/>
        <v>-64</v>
      </c>
      <c r="AU69" s="59">
        <f t="shared" si="130"/>
        <v>-72</v>
      </c>
      <c r="AV69" s="59">
        <f t="shared" si="130"/>
        <v>-57</v>
      </c>
      <c r="AW69" s="59">
        <f t="shared" si="130"/>
        <v>-132</v>
      </c>
      <c r="AX69" s="59">
        <f t="shared" si="130"/>
        <v>-9</v>
      </c>
      <c r="AY69" s="675">
        <f t="shared" si="130"/>
        <v>-90</v>
      </c>
      <c r="AZ69" s="59">
        <f t="shared" si="130"/>
        <v>0</v>
      </c>
      <c r="BA69" s="59">
        <f t="shared" si="130"/>
        <v>0</v>
      </c>
      <c r="BB69" s="59">
        <f t="shared" si="130"/>
        <v>0</v>
      </c>
      <c r="BC69" s="59">
        <f t="shared" si="130"/>
        <v>0</v>
      </c>
      <c r="BD69" s="59">
        <f t="shared" si="130"/>
        <v>0</v>
      </c>
      <c r="BE69" s="59">
        <f t="shared" si="130"/>
        <v>0</v>
      </c>
      <c r="BF69" s="59">
        <f t="shared" si="130"/>
        <v>0</v>
      </c>
      <c r="BG69" s="59"/>
      <c r="BH69" s="1054">
        <f t="shared" ref="BH69:CB69" si="131">INDEX(MO_CFSum_Acquisition,0,COLUMN())</f>
        <v>3</v>
      </c>
      <c r="BI69" s="1054">
        <f t="shared" si="131"/>
        <v>-22</v>
      </c>
      <c r="BJ69" s="1054">
        <f t="shared" si="131"/>
        <v>-24</v>
      </c>
      <c r="BK69" s="1054">
        <f t="shared" si="131"/>
        <v>-911</v>
      </c>
      <c r="BL69" s="1054">
        <f t="shared" si="131"/>
        <v>-368</v>
      </c>
      <c r="BM69" s="1054">
        <f t="shared" si="131"/>
        <v>-4975</v>
      </c>
      <c r="BN69" s="1054">
        <f t="shared" si="131"/>
        <v>-313</v>
      </c>
      <c r="BO69" s="1054">
        <f t="shared" si="131"/>
        <v>-123</v>
      </c>
      <c r="BP69" s="1054">
        <f t="shared" si="131"/>
        <v>-122</v>
      </c>
      <c r="BQ69" s="1054">
        <f t="shared" si="131"/>
        <v>-137</v>
      </c>
      <c r="BR69" s="1054">
        <f t="shared" si="131"/>
        <v>-508</v>
      </c>
      <c r="BS69" s="1054">
        <f t="shared" si="131"/>
        <v>-388</v>
      </c>
      <c r="BT69" s="1054">
        <f t="shared" si="131"/>
        <v>-851</v>
      </c>
      <c r="BU69" s="1054">
        <f t="shared" si="131"/>
        <v>-1312</v>
      </c>
      <c r="BV69" s="1054">
        <f t="shared" si="131"/>
        <v>-629</v>
      </c>
      <c r="BW69" s="1055">
        <f t="shared" si="131"/>
        <v>-270</v>
      </c>
      <c r="BX69" s="1054">
        <f t="shared" si="131"/>
        <v>-90</v>
      </c>
      <c r="BY69" s="1054">
        <f t="shared" si="131"/>
        <v>0</v>
      </c>
      <c r="BZ69" s="1054">
        <f t="shared" si="131"/>
        <v>0</v>
      </c>
      <c r="CA69" s="1054">
        <f t="shared" si="131"/>
        <v>0</v>
      </c>
      <c r="CB69" s="1054">
        <f t="shared" si="131"/>
        <v>0</v>
      </c>
      <c r="CC69" s="610"/>
    </row>
    <row r="70" spans="1:81" s="731" customFormat="1" x14ac:dyDescent="0.55000000000000004">
      <c r="A70" s="91" t="str">
        <f>INDEX(MO_CFSum_Divestiture,0,COLUMN())</f>
        <v>Divestiture</v>
      </c>
      <c r="B70" s="92"/>
      <c r="C70" s="59">
        <f t="shared" ref="C70:AH70" si="132">INDEX(MO_CFSum_Divestiture,0,COLUMN())</f>
        <v>0</v>
      </c>
      <c r="D70" s="59">
        <f t="shared" si="132"/>
        <v>0</v>
      </c>
      <c r="E70" s="59">
        <f t="shared" si="132"/>
        <v>0</v>
      </c>
      <c r="F70" s="59">
        <f t="shared" si="132"/>
        <v>0</v>
      </c>
      <c r="G70" s="59">
        <f t="shared" si="132"/>
        <v>0</v>
      </c>
      <c r="H70" s="59">
        <f t="shared" si="132"/>
        <v>0</v>
      </c>
      <c r="I70" s="59">
        <f t="shared" si="132"/>
        <v>0</v>
      </c>
      <c r="J70" s="59">
        <f t="shared" si="132"/>
        <v>0</v>
      </c>
      <c r="K70" s="59">
        <f t="shared" si="132"/>
        <v>0</v>
      </c>
      <c r="L70" s="59">
        <f t="shared" si="132"/>
        <v>0</v>
      </c>
      <c r="M70" s="59">
        <f t="shared" si="132"/>
        <v>0</v>
      </c>
      <c r="N70" s="59">
        <f t="shared" si="132"/>
        <v>0</v>
      </c>
      <c r="O70" s="59">
        <f t="shared" si="132"/>
        <v>0</v>
      </c>
      <c r="P70" s="59">
        <f t="shared" si="132"/>
        <v>0</v>
      </c>
      <c r="Q70" s="59">
        <f t="shared" si="132"/>
        <v>0</v>
      </c>
      <c r="R70" s="59">
        <f t="shared" si="132"/>
        <v>0</v>
      </c>
      <c r="S70" s="59">
        <f t="shared" si="132"/>
        <v>0</v>
      </c>
      <c r="T70" s="59">
        <f t="shared" si="132"/>
        <v>0</v>
      </c>
      <c r="U70" s="59">
        <f t="shared" si="132"/>
        <v>0</v>
      </c>
      <c r="V70" s="59">
        <f t="shared" si="132"/>
        <v>0</v>
      </c>
      <c r="W70" s="59">
        <f t="shared" si="132"/>
        <v>0</v>
      </c>
      <c r="X70" s="59">
        <f t="shared" si="132"/>
        <v>0</v>
      </c>
      <c r="Y70" s="59">
        <f t="shared" si="132"/>
        <v>0</v>
      </c>
      <c r="Z70" s="59">
        <f t="shared" si="132"/>
        <v>0</v>
      </c>
      <c r="AA70" s="59">
        <f t="shared" si="132"/>
        <v>0</v>
      </c>
      <c r="AB70" s="59">
        <f t="shared" si="132"/>
        <v>0</v>
      </c>
      <c r="AC70" s="59">
        <f t="shared" si="132"/>
        <v>0</v>
      </c>
      <c r="AD70" s="59">
        <f t="shared" si="132"/>
        <v>0</v>
      </c>
      <c r="AE70" s="59">
        <f t="shared" si="132"/>
        <v>0</v>
      </c>
      <c r="AF70" s="59">
        <f t="shared" si="132"/>
        <v>0</v>
      </c>
      <c r="AG70" s="59">
        <f t="shared" si="132"/>
        <v>0</v>
      </c>
      <c r="AH70" s="59">
        <f t="shared" si="132"/>
        <v>0</v>
      </c>
      <c r="AI70" s="59">
        <f t="shared" ref="AI70:BF70" si="133">INDEX(MO_CFSum_Divestiture,0,COLUMN())</f>
        <v>0</v>
      </c>
      <c r="AJ70" s="59">
        <f t="shared" si="133"/>
        <v>0</v>
      </c>
      <c r="AK70" s="59">
        <f t="shared" si="133"/>
        <v>0</v>
      </c>
      <c r="AL70" s="59">
        <f t="shared" si="133"/>
        <v>0</v>
      </c>
      <c r="AM70" s="59">
        <f t="shared" si="133"/>
        <v>126</v>
      </c>
      <c r="AN70" s="59">
        <f t="shared" si="133"/>
        <v>44</v>
      </c>
      <c r="AO70" s="59">
        <f t="shared" si="133"/>
        <v>20</v>
      </c>
      <c r="AP70" s="59">
        <f t="shared" si="133"/>
        <v>55</v>
      </c>
      <c r="AQ70" s="59">
        <f t="shared" si="133"/>
        <v>19</v>
      </c>
      <c r="AR70" s="59">
        <f t="shared" si="133"/>
        <v>82</v>
      </c>
      <c r="AS70" s="59">
        <f t="shared" si="133"/>
        <v>47</v>
      </c>
      <c r="AT70" s="59">
        <f t="shared" si="133"/>
        <v>73</v>
      </c>
      <c r="AU70" s="59">
        <f t="shared" si="133"/>
        <v>0</v>
      </c>
      <c r="AV70" s="59">
        <f t="shared" si="133"/>
        <v>0</v>
      </c>
      <c r="AW70" s="59">
        <f t="shared" si="133"/>
        <v>0</v>
      </c>
      <c r="AX70" s="59">
        <f t="shared" si="133"/>
        <v>0</v>
      </c>
      <c r="AY70" s="675">
        <f t="shared" si="133"/>
        <v>0</v>
      </c>
      <c r="AZ70" s="59">
        <f t="shared" si="133"/>
        <v>0</v>
      </c>
      <c r="BA70" s="59">
        <f t="shared" si="133"/>
        <v>0</v>
      </c>
      <c r="BB70" s="59">
        <f t="shared" si="133"/>
        <v>0</v>
      </c>
      <c r="BC70" s="59">
        <f t="shared" si="133"/>
        <v>0</v>
      </c>
      <c r="BD70" s="59">
        <f t="shared" si="133"/>
        <v>0</v>
      </c>
      <c r="BE70" s="59">
        <f t="shared" si="133"/>
        <v>0</v>
      </c>
      <c r="BF70" s="59">
        <f t="shared" si="133"/>
        <v>0</v>
      </c>
      <c r="BG70" s="59"/>
      <c r="BH70" s="1054">
        <f t="shared" ref="BH70:CB70" si="134">INDEX(MO_CFSum_Divestiture,0,COLUMN())</f>
        <v>0</v>
      </c>
      <c r="BI70" s="1054">
        <f t="shared" si="134"/>
        <v>0</v>
      </c>
      <c r="BJ70" s="1054">
        <f t="shared" si="134"/>
        <v>0</v>
      </c>
      <c r="BK70" s="1054">
        <f t="shared" si="134"/>
        <v>0</v>
      </c>
      <c r="BL70" s="1054">
        <f t="shared" si="134"/>
        <v>0</v>
      </c>
      <c r="BM70" s="1054">
        <f t="shared" si="134"/>
        <v>0</v>
      </c>
      <c r="BN70" s="1054">
        <f t="shared" si="134"/>
        <v>0</v>
      </c>
      <c r="BO70" s="1054">
        <f t="shared" si="134"/>
        <v>0</v>
      </c>
      <c r="BP70" s="1054">
        <f t="shared" si="134"/>
        <v>0</v>
      </c>
      <c r="BQ70" s="1054">
        <f t="shared" si="134"/>
        <v>0</v>
      </c>
      <c r="BR70" s="1054">
        <f t="shared" si="134"/>
        <v>0</v>
      </c>
      <c r="BS70" s="1054">
        <f t="shared" si="134"/>
        <v>0</v>
      </c>
      <c r="BT70" s="1054">
        <f t="shared" si="134"/>
        <v>0</v>
      </c>
      <c r="BU70" s="1054">
        <f t="shared" si="134"/>
        <v>245</v>
      </c>
      <c r="BV70" s="1054">
        <f t="shared" si="134"/>
        <v>221</v>
      </c>
      <c r="BW70" s="1055">
        <f t="shared" si="134"/>
        <v>0</v>
      </c>
      <c r="BX70" s="1054">
        <f t="shared" si="134"/>
        <v>0</v>
      </c>
      <c r="BY70" s="1054">
        <f t="shared" si="134"/>
        <v>0</v>
      </c>
      <c r="BZ70" s="1054">
        <f t="shared" si="134"/>
        <v>0</v>
      </c>
      <c r="CA70" s="1054">
        <f t="shared" si="134"/>
        <v>0</v>
      </c>
      <c r="CB70" s="1054">
        <f t="shared" si="134"/>
        <v>0</v>
      </c>
      <c r="CC70" s="610"/>
    </row>
    <row r="71" spans="1:81" s="731" customFormat="1" x14ac:dyDescent="0.55000000000000004">
      <c r="A71" s="91" t="s">
        <v>272</v>
      </c>
      <c r="B71" s="92"/>
      <c r="C71" s="59">
        <f t="shared" ref="C71:AH71" si="135">INDEX(MO_CFSum_NetShares,0,COLUMN())</f>
        <v>8</v>
      </c>
      <c r="D71" s="59">
        <f t="shared" si="135"/>
        <v>2</v>
      </c>
      <c r="E71" s="59">
        <f t="shared" si="135"/>
        <v>10</v>
      </c>
      <c r="F71" s="59">
        <f t="shared" si="135"/>
        <v>1484</v>
      </c>
      <c r="G71" s="59">
        <f t="shared" si="135"/>
        <v>1</v>
      </c>
      <c r="H71" s="59">
        <f t="shared" si="135"/>
        <v>1</v>
      </c>
      <c r="I71" s="59">
        <f t="shared" si="135"/>
        <v>5</v>
      </c>
      <c r="J71" s="59">
        <f t="shared" si="135"/>
        <v>11</v>
      </c>
      <c r="K71" s="59">
        <f t="shared" si="135"/>
        <v>0</v>
      </c>
      <c r="L71" s="59">
        <f t="shared" si="135"/>
        <v>0</v>
      </c>
      <c r="M71" s="59">
        <f t="shared" si="135"/>
        <v>0</v>
      </c>
      <c r="N71" s="59">
        <f t="shared" si="135"/>
        <v>0</v>
      </c>
      <c r="O71" s="59">
        <f t="shared" si="135"/>
        <v>0</v>
      </c>
      <c r="P71" s="59">
        <f t="shared" si="135"/>
        <v>0</v>
      </c>
      <c r="Q71" s="59">
        <f t="shared" si="135"/>
        <v>0</v>
      </c>
      <c r="R71" s="59">
        <f t="shared" si="135"/>
        <v>0</v>
      </c>
      <c r="S71" s="59">
        <f t="shared" si="135"/>
        <v>-228</v>
      </c>
      <c r="T71" s="59">
        <f t="shared" si="135"/>
        <v>-150</v>
      </c>
      <c r="U71" s="59">
        <f t="shared" si="135"/>
        <v>-640</v>
      </c>
      <c r="V71" s="59">
        <f t="shared" si="135"/>
        <v>-958</v>
      </c>
      <c r="W71" s="59">
        <f t="shared" si="135"/>
        <v>-1774</v>
      </c>
      <c r="X71" s="59">
        <f t="shared" si="135"/>
        <v>-3349</v>
      </c>
      <c r="Y71" s="59">
        <f t="shared" si="135"/>
        <v>-4256</v>
      </c>
      <c r="Z71" s="59">
        <f t="shared" si="135"/>
        <v>-3500</v>
      </c>
      <c r="AA71" s="59">
        <f t="shared" si="135"/>
        <v>-613</v>
      </c>
      <c r="AB71" s="59">
        <f t="shared" si="135"/>
        <v>-1145</v>
      </c>
      <c r="AC71" s="59">
        <f t="shared" si="135"/>
        <v>-1148</v>
      </c>
      <c r="AD71" s="59">
        <f t="shared" si="135"/>
        <v>-1296</v>
      </c>
      <c r="AE71" s="59">
        <f t="shared" si="135"/>
        <v>-1250</v>
      </c>
      <c r="AF71" s="59">
        <f t="shared" si="135"/>
        <v>-1368</v>
      </c>
      <c r="AG71" s="59">
        <f t="shared" si="135"/>
        <v>-1725</v>
      </c>
      <c r="AH71" s="59">
        <f t="shared" si="135"/>
        <v>-1929</v>
      </c>
      <c r="AI71" s="59">
        <f t="shared" ref="AI71:BF71" si="136">INDEX(MO_CFSum_NetShares,0,COLUMN())</f>
        <v>-3939</v>
      </c>
      <c r="AJ71" s="59">
        <f t="shared" si="136"/>
        <v>-7079</v>
      </c>
      <c r="AK71" s="59">
        <f t="shared" si="136"/>
        <v>-13458</v>
      </c>
      <c r="AL71" s="59">
        <f t="shared" si="136"/>
        <v>-20061</v>
      </c>
      <c r="AM71" s="59">
        <f t="shared" si="136"/>
        <v>-9506</v>
      </c>
      <c r="AN71" s="59">
        <f t="shared" si="136"/>
        <v>-5233</v>
      </c>
      <c r="AO71" s="59">
        <f t="shared" si="136"/>
        <v>-6354</v>
      </c>
      <c r="AP71" s="59">
        <f t="shared" si="136"/>
        <v>-6863</v>
      </c>
      <c r="AQ71" s="59">
        <f t="shared" si="136"/>
        <v>-9365</v>
      </c>
      <c r="AR71" s="59">
        <f t="shared" si="136"/>
        <v>-898</v>
      </c>
      <c r="AS71" s="59">
        <f t="shared" si="136"/>
        <v>-3569</v>
      </c>
      <c r="AT71" s="59">
        <f t="shared" si="136"/>
        <v>-5942</v>
      </c>
      <c r="AU71" s="59">
        <f t="shared" si="136"/>
        <v>-15008</v>
      </c>
      <c r="AV71" s="59">
        <f t="shared" si="136"/>
        <v>-6299</v>
      </c>
      <c r="AW71" s="59">
        <f t="shared" si="136"/>
        <v>-8818</v>
      </c>
      <c r="AX71" s="59">
        <f t="shared" si="136"/>
        <v>0</v>
      </c>
      <c r="AY71" s="675">
        <f t="shared" si="136"/>
        <v>-12754</v>
      </c>
      <c r="AZ71" s="59">
        <f t="shared" si="136"/>
        <v>-2000</v>
      </c>
      <c r="BA71" s="59">
        <f t="shared" si="136"/>
        <v>-2000</v>
      </c>
      <c r="BB71" s="59">
        <f t="shared" si="136"/>
        <v>-2000</v>
      </c>
      <c r="BC71" s="59">
        <f t="shared" si="136"/>
        <v>0</v>
      </c>
      <c r="BD71" s="59">
        <f t="shared" si="136"/>
        <v>0</v>
      </c>
      <c r="BE71" s="59">
        <f t="shared" si="136"/>
        <v>0</v>
      </c>
      <c r="BF71" s="59">
        <f t="shared" si="136"/>
        <v>0</v>
      </c>
      <c r="BG71" s="59"/>
      <c r="BH71" s="1054">
        <f t="shared" ref="BH71:CB71" si="137">INDEX(MO_CFSum_NetShares,0,COLUMN())</f>
        <v>9</v>
      </c>
      <c r="BI71" s="1054">
        <f t="shared" si="137"/>
        <v>506</v>
      </c>
      <c r="BJ71" s="1054">
        <f t="shared" si="137"/>
        <v>1026</v>
      </c>
      <c r="BK71" s="1054">
        <f t="shared" si="137"/>
        <v>6777</v>
      </c>
      <c r="BL71" s="1054">
        <f t="shared" si="137"/>
        <v>1504</v>
      </c>
      <c r="BM71" s="1054">
        <f t="shared" si="137"/>
        <v>18</v>
      </c>
      <c r="BN71" s="1054">
        <f t="shared" si="137"/>
        <v>0</v>
      </c>
      <c r="BO71" s="1054">
        <f t="shared" si="137"/>
        <v>0</v>
      </c>
      <c r="BP71" s="1054">
        <f t="shared" si="137"/>
        <v>-1976</v>
      </c>
      <c r="BQ71" s="1054">
        <f t="shared" si="137"/>
        <v>-12879</v>
      </c>
      <c r="BR71" s="1054">
        <f t="shared" si="137"/>
        <v>-4202</v>
      </c>
      <c r="BS71" s="1054">
        <f t="shared" si="137"/>
        <v>-6272</v>
      </c>
      <c r="BT71" s="1054">
        <f t="shared" si="137"/>
        <v>-44537</v>
      </c>
      <c r="BU71" s="1054">
        <f t="shared" si="137"/>
        <v>-27956</v>
      </c>
      <c r="BV71" s="1054">
        <f t="shared" si="137"/>
        <v>-19774</v>
      </c>
      <c r="BW71" s="1055">
        <f t="shared" si="137"/>
        <v>-30125</v>
      </c>
      <c r="BX71" s="1054">
        <f t="shared" si="137"/>
        <v>-18754</v>
      </c>
      <c r="BY71" s="1054">
        <f t="shared" si="137"/>
        <v>0</v>
      </c>
      <c r="BZ71" s="1054">
        <f t="shared" si="137"/>
        <v>-10000</v>
      </c>
      <c r="CA71" s="1054">
        <f t="shared" si="137"/>
        <v>-10000</v>
      </c>
      <c r="CB71" s="1054">
        <f t="shared" si="137"/>
        <v>-10000</v>
      </c>
      <c r="CC71" s="610"/>
    </row>
    <row r="72" spans="1:81" s="731" customFormat="1" x14ac:dyDescent="0.55000000000000004">
      <c r="A72" s="91" t="s">
        <v>273</v>
      </c>
      <c r="B72" s="92"/>
      <c r="C72" s="59">
        <f t="shared" ref="C72:AH72" si="138">INDEX(MO_CFSum_NetDebtIssuance,0,COLUMN())</f>
        <v>0</v>
      </c>
      <c r="D72" s="59">
        <f t="shared" si="138"/>
        <v>0</v>
      </c>
      <c r="E72" s="59">
        <f t="shared" si="138"/>
        <v>-1500</v>
      </c>
      <c r="F72" s="59">
        <f t="shared" si="138"/>
        <v>0</v>
      </c>
      <c r="G72" s="59">
        <f t="shared" si="138"/>
        <v>0</v>
      </c>
      <c r="H72" s="59">
        <f t="shared" si="138"/>
        <v>0</v>
      </c>
      <c r="I72" s="59">
        <f t="shared" si="138"/>
        <v>0</v>
      </c>
      <c r="J72" s="59">
        <f t="shared" si="138"/>
        <v>0</v>
      </c>
      <c r="K72" s="59">
        <f t="shared" si="138"/>
        <v>0</v>
      </c>
      <c r="L72" s="59">
        <f t="shared" si="138"/>
        <v>0</v>
      </c>
      <c r="M72" s="59">
        <f t="shared" si="138"/>
        <v>0</v>
      </c>
      <c r="N72" s="59">
        <f t="shared" si="138"/>
        <v>0</v>
      </c>
      <c r="O72" s="59">
        <f t="shared" si="138"/>
        <v>0</v>
      </c>
      <c r="P72" s="59">
        <f t="shared" si="138"/>
        <v>0</v>
      </c>
      <c r="Q72" s="59">
        <f t="shared" si="138"/>
        <v>0</v>
      </c>
      <c r="R72" s="59">
        <f t="shared" si="138"/>
        <v>0</v>
      </c>
      <c r="S72" s="59">
        <f t="shared" si="138"/>
        <v>0</v>
      </c>
      <c r="T72" s="59">
        <f t="shared" si="138"/>
        <v>0</v>
      </c>
      <c r="U72" s="59">
        <f t="shared" si="138"/>
        <v>0</v>
      </c>
      <c r="V72" s="59">
        <f t="shared" si="138"/>
        <v>0</v>
      </c>
      <c r="W72" s="59">
        <f t="shared" si="138"/>
        <v>0</v>
      </c>
      <c r="X72" s="59">
        <f t="shared" si="138"/>
        <v>0</v>
      </c>
      <c r="Y72" s="59">
        <f t="shared" si="138"/>
        <v>0</v>
      </c>
      <c r="Z72" s="59">
        <f t="shared" si="138"/>
        <v>0</v>
      </c>
      <c r="AA72" s="59">
        <f t="shared" si="138"/>
        <v>0</v>
      </c>
      <c r="AB72" s="59">
        <f t="shared" si="138"/>
        <v>0</v>
      </c>
      <c r="AC72" s="59">
        <f t="shared" si="138"/>
        <v>0</v>
      </c>
      <c r="AD72" s="59">
        <f t="shared" si="138"/>
        <v>0</v>
      </c>
      <c r="AE72" s="59">
        <f t="shared" si="138"/>
        <v>0</v>
      </c>
      <c r="AF72" s="59">
        <f t="shared" si="138"/>
        <v>0</v>
      </c>
      <c r="AG72" s="59">
        <f t="shared" si="138"/>
        <v>0</v>
      </c>
      <c r="AH72" s="59">
        <f t="shared" si="138"/>
        <v>0</v>
      </c>
      <c r="AI72" s="59">
        <f t="shared" ref="AI72:BF72" si="139">INDEX(MO_CFSum_NetDebtIssuance,0,COLUMN())</f>
        <v>0</v>
      </c>
      <c r="AJ72" s="59">
        <f t="shared" si="139"/>
        <v>0</v>
      </c>
      <c r="AK72" s="59">
        <f t="shared" si="139"/>
        <v>0</v>
      </c>
      <c r="AL72" s="59">
        <f t="shared" si="139"/>
        <v>0</v>
      </c>
      <c r="AM72" s="59">
        <f t="shared" si="139"/>
        <v>0</v>
      </c>
      <c r="AN72" s="59">
        <f t="shared" si="139"/>
        <v>0</v>
      </c>
      <c r="AO72" s="59">
        <f t="shared" si="139"/>
        <v>9921</v>
      </c>
      <c r="AP72" s="59">
        <f t="shared" si="139"/>
        <v>0</v>
      </c>
      <c r="AQ72" s="59">
        <f t="shared" si="139"/>
        <v>0</v>
      </c>
      <c r="AR72" s="59">
        <f t="shared" si="139"/>
        <v>8455</v>
      </c>
      <c r="AS72" s="59">
        <f t="shared" si="139"/>
        <v>0</v>
      </c>
      <c r="AT72" s="59">
        <f t="shared" si="139"/>
        <v>0</v>
      </c>
      <c r="AU72" s="59">
        <f t="shared" si="139"/>
        <v>0</v>
      </c>
      <c r="AV72" s="59">
        <f t="shared" si="139"/>
        <v>0</v>
      </c>
      <c r="AW72" s="59">
        <f t="shared" si="139"/>
        <v>10432</v>
      </c>
      <c r="AX72" s="59">
        <f t="shared" si="139"/>
        <v>0</v>
      </c>
      <c r="AY72" s="675">
        <f t="shared" si="139"/>
        <v>0</v>
      </c>
      <c r="AZ72" s="59">
        <f t="shared" si="139"/>
        <v>0</v>
      </c>
      <c r="BA72" s="59">
        <f t="shared" si="139"/>
        <v>0</v>
      </c>
      <c r="BB72" s="59">
        <f t="shared" si="139"/>
        <v>0</v>
      </c>
      <c r="BC72" s="59">
        <f t="shared" si="139"/>
        <v>0</v>
      </c>
      <c r="BD72" s="59">
        <f t="shared" si="139"/>
        <v>0</v>
      </c>
      <c r="BE72" s="59">
        <f t="shared" si="139"/>
        <v>0</v>
      </c>
      <c r="BF72" s="59">
        <f t="shared" si="139"/>
        <v>0</v>
      </c>
      <c r="BG72" s="59"/>
      <c r="BH72" s="1054">
        <f t="shared" ref="BH72:CB72" si="140">INDEX(MO_CFSum_NetDebtIssuance,0,COLUMN())</f>
        <v>0</v>
      </c>
      <c r="BI72" s="1054">
        <f t="shared" si="140"/>
        <v>250</v>
      </c>
      <c r="BJ72" s="1054">
        <f t="shared" si="140"/>
        <v>-250</v>
      </c>
      <c r="BK72" s="1054">
        <f t="shared" si="140"/>
        <v>1496</v>
      </c>
      <c r="BL72" s="1054">
        <f t="shared" si="140"/>
        <v>-1500</v>
      </c>
      <c r="BM72" s="1054">
        <f t="shared" si="140"/>
        <v>0</v>
      </c>
      <c r="BN72" s="1054">
        <f t="shared" si="140"/>
        <v>0</v>
      </c>
      <c r="BO72" s="1054">
        <f t="shared" si="140"/>
        <v>0</v>
      </c>
      <c r="BP72" s="1054">
        <f t="shared" si="140"/>
        <v>0</v>
      </c>
      <c r="BQ72" s="1054">
        <f t="shared" si="140"/>
        <v>0</v>
      </c>
      <c r="BR72" s="1054">
        <f t="shared" si="140"/>
        <v>0</v>
      </c>
      <c r="BS72" s="1054">
        <f t="shared" si="140"/>
        <v>0</v>
      </c>
      <c r="BT72" s="1054">
        <f t="shared" si="140"/>
        <v>0</v>
      </c>
      <c r="BU72" s="1054">
        <f t="shared" si="140"/>
        <v>9921</v>
      </c>
      <c r="BV72" s="1054">
        <f t="shared" si="140"/>
        <v>8455</v>
      </c>
      <c r="BW72" s="1055">
        <f t="shared" si="140"/>
        <v>10432</v>
      </c>
      <c r="BX72" s="1054">
        <f t="shared" si="140"/>
        <v>0</v>
      </c>
      <c r="BY72" s="1054">
        <f t="shared" si="140"/>
        <v>0</v>
      </c>
      <c r="BZ72" s="1054">
        <f t="shared" si="140"/>
        <v>0</v>
      </c>
      <c r="CA72" s="1054">
        <f t="shared" si="140"/>
        <v>0</v>
      </c>
      <c r="CB72" s="1054">
        <f t="shared" si="140"/>
        <v>0</v>
      </c>
      <c r="CC72" s="610"/>
    </row>
    <row r="73" spans="1:81" s="731" customFormat="1" x14ac:dyDescent="0.55000000000000004">
      <c r="A73" s="183" t="s">
        <v>264</v>
      </c>
      <c r="B73" s="184"/>
      <c r="C73" s="168">
        <f>Model!C859+Model!C856+Model!C852+Model!C850+Model!C845+Model!C846+Model!C840+Model!C838+Model!C835+Model!C834+Model!C833+Model!C831+Model!C851+Model!C854+Model!C836</f>
        <v>-360</v>
      </c>
      <c r="D73" s="168">
        <f>Model!D859+Model!D856+Model!D852+Model!D850+Model!D845+Model!D846+Model!D840+Model!D838+Model!D835+Model!D834+Model!D833+Model!D831+Model!D851+Model!D854+Model!D836</f>
        <v>-258</v>
      </c>
      <c r="E73" s="168">
        <f>Model!E859+Model!E856+Model!E852+Model!E850+Model!E845+Model!E846+Model!E840+Model!E838+Model!E835+Model!E834+Model!E833+Model!E831+Model!E851+Model!E854+Model!E836</f>
        <v>939</v>
      </c>
      <c r="F73" s="168">
        <f>Model!F859+Model!F856+Model!F852+Model!F850+Model!F845+Model!F846+Model!F840+Model!F838+Model!F835+Model!F834+Model!F833+Model!F831+Model!F851+Model!F854+Model!F836</f>
        <v>-1878</v>
      </c>
      <c r="G73" s="168">
        <f>Model!G859+Model!G856+Model!G852+Model!G850+Model!G845+Model!G846+Model!G840+Model!G838+Model!G835+Model!G834+Model!G833+Model!G831+Model!G851+Model!G854+Model!G836</f>
        <v>-1248</v>
      </c>
      <c r="H73" s="168">
        <f>Model!H859+Model!H856+Model!H852+Model!H850+Model!H845+Model!H846+Model!H840+Model!H838+Model!H835+Model!H834+Model!H833+Model!H831+Model!H851+Model!H854+Model!H836</f>
        <v>532</v>
      </c>
      <c r="I73" s="168">
        <f>Model!I859+Model!I856+Model!I852+Model!I850+Model!I845+Model!I846+Model!I840+Model!I838+Model!I835+Model!I834+Model!I833+Model!I831+Model!I851+Model!I854+Model!I836</f>
        <v>4579</v>
      </c>
      <c r="J73" s="168">
        <f>Model!J859+Model!J856+Model!J852+Model!J850+Model!J845+Model!J846+Model!J840+Model!J838+Model!J835+Model!J834+Model!J833+Model!J831+Model!J851+Model!J854+Model!J836</f>
        <v>-1540</v>
      </c>
      <c r="K73" s="168">
        <f>Model!K859+Model!K856+Model!K852+Model!K850+Model!K845+Model!K846+Model!K840+Model!K838+Model!K835+Model!K834+Model!K833+Model!K831+Model!K851+Model!K854+Model!K836</f>
        <v>-1837</v>
      </c>
      <c r="L73" s="168">
        <f>Model!L859+Model!L856+Model!L852+Model!L850+Model!L845+Model!L846+Model!L840+Model!L838+Model!L835+Model!L834+Model!L833+Model!L831+Model!L851+Model!L854+Model!L836</f>
        <v>398</v>
      </c>
      <c r="M73" s="168">
        <f>Model!M859+Model!M856+Model!M852+Model!M850+Model!M845+Model!M846+Model!M840+Model!M838+Model!M835+Model!M834+Model!M833+Model!M831+Model!M851+Model!M854+Model!M836</f>
        <v>-2200</v>
      </c>
      <c r="N73" s="168">
        <f>Model!N859+Model!N856+Model!N852+Model!N850+Model!N845+Model!N846+Model!N840+Model!N838+Model!N835+Model!N834+Model!N833+Model!N831+Model!N851+Model!N854+Model!N836</f>
        <v>-1532</v>
      </c>
      <c r="O73" s="168">
        <f>Model!O859+Model!O856+Model!O852+Model!O850+Model!O845+Model!O846+Model!O840+Model!O838+Model!O835+Model!O834+Model!O833+Model!O831+Model!O851+Model!O854+Model!O836</f>
        <v>-795</v>
      </c>
      <c r="P73" s="168">
        <f>Model!P859+Model!P856+Model!P852+Model!P850+Model!P845+Model!P846+Model!P840+Model!P838+Model!P835+Model!P834+Model!P833+Model!P831+Model!P851+Model!P854+Model!P836</f>
        <v>-3999</v>
      </c>
      <c r="Q73" s="168">
        <f>Model!Q859+Model!Q856+Model!Q852+Model!Q850+Model!Q845+Model!Q846+Model!Q840+Model!Q838+Model!Q835+Model!Q834+Model!Q833+Model!Q831+Model!Q851+Model!Q854+Model!Q836</f>
        <v>-1950</v>
      </c>
      <c r="R73" s="168">
        <f>Model!R859+Model!R856+Model!R852+Model!R850+Model!R845+Model!R846+Model!R840+Model!R838+Model!R835+Model!R834+Model!R833+Model!R831+Model!R851+Model!R854+Model!R836</f>
        <v>-754</v>
      </c>
      <c r="S73" s="168">
        <f>Model!S859+Model!S856+Model!S852+Model!S850+Model!S845+Model!S846+Model!S840+Model!S838+Model!S835+Model!S834+Model!S833+Model!S831+Model!S851+Model!S854+Model!S836</f>
        <v>-5358</v>
      </c>
      <c r="T73" s="168">
        <f>Model!T859+Model!T856+Model!T852+Model!T850+Model!T845+Model!T846+Model!T840+Model!T838+Model!T835+Model!T834+Model!T833+Model!T831+Model!T851+Model!T854+Model!T836</f>
        <v>-4610</v>
      </c>
      <c r="U73" s="168">
        <f>Model!U859+Model!U856+Model!U852+Model!U850+Model!U845+Model!U846+Model!U840+Model!U838+Model!U835+Model!U834+Model!U833+Model!U831+Model!U851+Model!U854+Model!U836</f>
        <v>-2685</v>
      </c>
      <c r="V73" s="168">
        <f>Model!V859+Model!V856+Model!V852+Model!V850+Model!V845+Model!V846+Model!V840+Model!V838+Model!V835+Model!V834+Model!V833+Model!V831+Model!V851+Model!V854+Model!V836</f>
        <v>-3556</v>
      </c>
      <c r="W73" s="168">
        <f>Model!W859+Model!W856+Model!W852+Model!W850+Model!W845+Model!W846+Model!W840+Model!W838+Model!W835+Model!W834+Model!W833+Model!W831+Model!W851+Model!W854+Model!W836</f>
        <v>781</v>
      </c>
      <c r="X73" s="168">
        <f>Model!X859+Model!X856+Model!X852+Model!X850+Model!X845+Model!X846+Model!X840+Model!X838+Model!X835+Model!X834+Model!X833+Model!X831+Model!X851+Model!X854+Model!X836</f>
        <v>-15</v>
      </c>
      <c r="Y73" s="168">
        <f>Model!Y859+Model!Y856+Model!Y852+Model!Y850+Model!Y845+Model!Y846+Model!Y840+Model!Y838+Model!Y835+Model!Y834+Model!Y833+Model!Y831+Model!Y851+Model!Y854+Model!Y836</f>
        <v>-1752</v>
      </c>
      <c r="Z73" s="168">
        <f>Model!Z859+Model!Z856+Model!Z852+Model!Z850+Model!Z845+Model!Z846+Model!Z840+Model!Z838+Model!Z835+Model!Z834+Model!Z833+Model!Z831+Model!Z851+Model!Z854+Model!Z836</f>
        <v>563</v>
      </c>
      <c r="AA73" s="168">
        <f>Model!AA859+Model!AA856+Model!AA852+Model!AA850+Model!AA845+Model!AA846+Model!AA840+Model!AA838+Model!AA835+Model!AA834+Model!AA833+Model!AA831+Model!AA854+Model!AA836</f>
        <v>-3660</v>
      </c>
      <c r="AB73" s="168">
        <f>Model!AB859+Model!AB856+Model!AB852+Model!AB850+Model!AB845+Model!AB846+Model!AB840+Model!AB838+Model!AB835+Model!AB834+Model!AB833+Model!AB831+Model!AB854+Model!AB836</f>
        <v>-895</v>
      </c>
      <c r="AC73" s="168">
        <f>Model!AC859+Model!AC856+Model!AC852+Model!AC850+Model!AC845+Model!AC846+Model!AC840+Model!AC838+Model!AC835+Model!AC834+Model!AC833+Model!AC831+Model!AC854+Model!AC836</f>
        <v>-2401</v>
      </c>
      <c r="AD73" s="168">
        <f>Model!AD859+Model!AD856+Model!AD852+Model!AD850+Model!AD845+Model!AD846+Model!AD840+Model!AD838+Model!AD835+Model!AD834+Model!AD833+Model!AD831+Model!AD854+Model!AD836</f>
        <v>161</v>
      </c>
      <c r="AE73" s="168">
        <f>Model!AE859+Model!AE856+Model!AE852+Model!AE850+Model!AE845+Model!AE846+Model!AE840+Model!AE838+Model!AE835+Model!AE834+Model!AE833+Model!AE831+Model!AE854+Model!AE836</f>
        <v>-1412</v>
      </c>
      <c r="AF73" s="168">
        <f>Model!AF859+Model!AF856+Model!AF852+Model!AF850+Model!AF845+Model!AF846+Model!AF840+Model!AF838+Model!AF835+Model!AF834+Model!AF833+Model!AF831+Model!AF854+Model!AF836</f>
        <v>-1164</v>
      </c>
      <c r="AG73" s="168">
        <f>Model!AG859+Model!AG856+Model!AG852+Model!AG850+Model!AG845+Model!AG846+Model!AG840+Model!AG838+Model!AG835+Model!AG834+Model!AG833+Model!AG831+Model!AG854+Model!AG836</f>
        <v>-13804</v>
      </c>
      <c r="AH73" s="168">
        <f>Model!AH859+Model!AH856+Model!AH852+Model!AH850+Model!AH845+Model!AH846+Model!AH840+Model!AH838+Model!AH835+Model!AH834+Model!AH833+Model!AH831+Model!AH854+Model!AH836</f>
        <v>-1313</v>
      </c>
      <c r="AI73" s="168">
        <f>Model!AI859+Model!AI856+Model!AI852+Model!AI850+Model!AI845+Model!AI846+Model!AI840+Model!AI838+Model!AI835+Model!AI834+Model!AI833+Model!AI831+Model!AI854+Model!AI836</f>
        <v>-1943</v>
      </c>
      <c r="AJ73" s="168">
        <f>Model!AJ859+Model!AJ856+Model!AJ852+Model!AJ850+Model!AJ845+Model!AJ846+Model!AJ840+Model!AJ838+Model!AJ835+Model!AJ834+Model!AJ833+Model!AJ831+Model!AJ854+Model!AJ836</f>
        <v>-4554</v>
      </c>
      <c r="AK73" s="168">
        <f>Model!AK859+Model!AK856+Model!AK852+Model!AK850+Model!AK845+Model!AK846+Model!AK840+Model!AK838+Model!AK835+Model!AK834+Model!AK833+Model!AK831+Model!AK854+Model!AK836</f>
        <v>2277</v>
      </c>
      <c r="AL73" s="168">
        <f>Model!AL859+Model!AL856+Model!AL852+Model!AL850+Model!AL845+Model!AL846+Model!AL840+Model!AL838+Model!AL835+Model!AL834+Model!AL833+Model!AL831+Model!AL854+Model!AL836</f>
        <v>10080</v>
      </c>
      <c r="AM73" s="168">
        <f>Model!AM859+Model!AM856+Model!AM852+Model!AM850+Model!AM845+Model!AM846+Model!AM840+Model!AM838+Model!AM835+Model!AM834+Model!AM833+Model!AM831+Model!AM854+Model!AM836</f>
        <v>319</v>
      </c>
      <c r="AN73" s="168">
        <f>Model!AN859+Model!AN856+Model!AN852+Model!AN850+Model!AN845+Model!AN846+Model!AN840+Model!AN838+Model!AN835+Model!AN834+Model!AN833+Model!AN831+Model!AN854+Model!AN836</f>
        <v>-728</v>
      </c>
      <c r="AO73" s="168">
        <f>Model!AO859+Model!AO856+Model!AO852+Model!AO850+Model!AO845+Model!AO846+Model!AO840+Model!AO838+Model!AO835+Model!AO834+Model!AO833+Model!AO831+Model!AO854+Model!AO836</f>
        <v>-1934</v>
      </c>
      <c r="AP73" s="168">
        <f>Model!AP859+Model!AP856+Model!AP852+Model!AP850+Model!AP845+Model!AP846+Model!AP840+Model!AP838+Model!AP835+Model!AP834+Model!AP833+Model!AP831+Model!AP854+Model!AP836</f>
        <v>1982</v>
      </c>
      <c r="AQ73" s="168">
        <f>Model!AQ859+Model!AQ856+Model!AQ852+Model!AQ850+Model!AQ845+Model!AQ846+Model!AQ840+Model!AQ838+Model!AQ835+Model!AQ834+Model!AQ833+Model!AQ831+Model!AQ854+Model!AQ836</f>
        <v>-278</v>
      </c>
      <c r="AR73" s="168">
        <f>Model!AR859+Model!AR856+Model!AR852+Model!AR850+Model!AR845+Model!AR846+Model!AR840+Model!AR838+Model!AR835+Model!AR834+Model!AR833+Model!AR831+Model!AR854+Model!AR836</f>
        <v>-1045</v>
      </c>
      <c r="AS73" s="168">
        <f>Model!AS859+Model!AS856+Model!AS852+Model!AS850+Model!AS845+Model!AS846+Model!AS840+Model!AS838+Model!AS835+Model!AS834+Model!AS833+Model!AS831+Model!AS854+Model!AS836</f>
        <v>-1936</v>
      </c>
      <c r="AT73" s="168">
        <f>Model!AT859+Model!AT856+Model!AT852+Model!AT850+Model!AT845+Model!AT846+Model!AT840+Model!AT838+Model!AT835+Model!AT834+Model!AT833+Model!AT831+Model!AT854+Model!AT836</f>
        <v>-572</v>
      </c>
      <c r="AU73" s="168">
        <f>Model!AU859+Model!AU856+Model!AU852+Model!AU850+Model!AU845+Model!AU846+Model!AU840+Model!AU838+Model!AU835+Model!AU834+Model!AU833+Model!AU831+Model!AU854+Model!AU836</f>
        <v>-5721</v>
      </c>
      <c r="AV73" s="168">
        <f>Model!AV859+Model!AV856+Model!AV852+Model!AV850+Model!AV845+Model!AV846+Model!AV840+Model!AV838+Model!AV835+Model!AV834+Model!AV833+Model!AV831+Model!AV854+Model!AV836</f>
        <v>-3534</v>
      </c>
      <c r="AW73" s="168">
        <f>Model!AW859+Model!AW856+Model!AW852+Model!AW850+Model!AW845+Model!AW846+Model!AW840+Model!AW838+Model!AW835+Model!AW834+Model!AW833+Model!AW831+Model!AW854+Model!AW836</f>
        <v>-3640</v>
      </c>
      <c r="AX73" s="168">
        <f>Model!AX859+Model!AX856+Model!AX852+Model!AX850+Model!AX845+Model!AX846+Model!AX840+Model!AX838+Model!AX835+Model!AX834+Model!AX833+Model!AX831+Model!AX854+Model!AX836</f>
        <v>-11562</v>
      </c>
      <c r="AY73" s="686">
        <f>Model!AY859+Model!AY856+Model!AY852+Model!AY850+Model!AY845+Model!AY846+Model!AY840+Model!AY838+Model!AY835+Model!AY834+Model!AY833+Model!AY831+Model!AY854+Model!AY836</f>
        <v>-11528</v>
      </c>
      <c r="AZ73" s="168">
        <f>Model!AZ859+Model!AZ856+Model!AZ852+Model!AZ850+Model!AZ845+Model!AZ846+Model!AZ840+Model!AZ838+Model!AZ835+Model!AZ834+Model!AZ833+Model!AZ831+Model!AZ854+Model!AZ836</f>
        <v>0</v>
      </c>
      <c r="BA73" s="168">
        <f>Model!BA859+Model!BA856+Model!BA852+Model!BA850+Model!BA845+Model!BA846+Model!BA840+Model!BA838+Model!BA835+Model!BA834+Model!BA833+Model!BA831+Model!BA854+Model!BA836</f>
        <v>0</v>
      </c>
      <c r="BB73" s="168">
        <f>Model!BB859+Model!BB856+Model!BB852+Model!BB850+Model!BB845+Model!BB846+Model!BB840+Model!BB838+Model!BB835+Model!BB834+Model!BB833+Model!BB831+Model!BB854+Model!BB836</f>
        <v>0</v>
      </c>
      <c r="BC73" s="168">
        <f>Model!BC859+Model!BC856+Model!BC852+Model!BC850+Model!BC845+Model!BC846+Model!BC840+Model!BC838+Model!BC835+Model!BC834+Model!BC833+Model!BC831+Model!BC854+Model!BC836</f>
        <v>0</v>
      </c>
      <c r="BD73" s="168">
        <f>Model!BD859+Model!BD856+Model!BD852+Model!BD850+Model!BD845+Model!BD846+Model!BD840+Model!BD838+Model!BD835+Model!BD834+Model!BD833+Model!BD831+Model!BD854+Model!BD836</f>
        <v>0</v>
      </c>
      <c r="BE73" s="168">
        <f>Model!BE859+Model!BE856+Model!BE852+Model!BE850+Model!BE845+Model!BE846+Model!BE840+Model!BE838+Model!BE835+Model!BE834+Model!BE833+Model!BE831+Model!BE854+Model!BE836</f>
        <v>0</v>
      </c>
      <c r="BF73" s="168">
        <f>Model!BF859+Model!BF856+Model!BF852+Model!BF850+Model!BF845+Model!BF846+Model!BF840+Model!BF838+Model!BF835+Model!BF834+Model!BF833+Model!BF831+Model!BF854+Model!BF836</f>
        <v>0</v>
      </c>
      <c r="BG73" s="168"/>
      <c r="BH73" s="1056">
        <f>Model!BH859+Model!BH856+Model!BH852+Model!BH850+Model!BH845+Model!BH846+Model!BH840+Model!BH838+Model!BH835+Model!BH834+Model!BH833+Model!BH831+Model!BH851+Model!BH854+Model!BH836</f>
        <v>202</v>
      </c>
      <c r="BI73" s="1056">
        <f>Model!BI859+Model!BI856+Model!BI852+Model!BI850+Model!BI845+Model!BI846+Model!BI840+Model!BI838+Model!BI835+Model!BI834+Model!BI833+Model!BI831+Model!BI851+Model!BI854+Model!BI836</f>
        <v>13</v>
      </c>
      <c r="BJ73" s="1056">
        <f>Model!BJ859+Model!BJ856+Model!BJ852+Model!BJ850+Model!BJ845+Model!BJ846+Model!BJ840+Model!BJ838+Model!BJ835+Model!BJ834+Model!BJ833+Model!BJ831+Model!BJ851+Model!BJ854+Model!BJ836</f>
        <v>-1968</v>
      </c>
      <c r="BK73" s="1056">
        <f>Model!BK859+Model!BK856+Model!BK852+Model!BK850+Model!BK845+Model!BK846+Model!BK840+Model!BK838+Model!BK835+Model!BK834+Model!BK833+Model!BK831+Model!BK851+Model!BK854+Model!BK836</f>
        <v>-6867</v>
      </c>
      <c r="BL73" s="1056">
        <f>Model!BL859+Model!BL856+Model!BL852+Model!BL850+Model!BL845+Model!BL846+Model!BL840+Model!BL838+Model!BL835+Model!BL834+Model!BL833+Model!BL831+Model!BL851+Model!BL854+Model!BL836</f>
        <v>-1557</v>
      </c>
      <c r="BM73" s="1056">
        <f>Model!BM859+Model!BM856+Model!BM852+Model!BM850+Model!BM845+Model!BM846+Model!BM840+Model!BM838+Model!BM835+Model!BM834+Model!BM833+Model!BM831+Model!BM851+Model!BM854+Model!BM836</f>
        <v>2323</v>
      </c>
      <c r="BN73" s="1056">
        <f>Model!BN859+Model!BN856+Model!BN852+Model!BN850+Model!BN845+Model!BN846+Model!BN840+Model!BN838+Model!BN835+Model!BN834+Model!BN833+Model!BN831+Model!BN851+Model!BN854+Model!BN836</f>
        <v>-5171</v>
      </c>
      <c r="BO73" s="1056">
        <f>Model!BO859+Model!BO856+Model!BO852+Model!BO850+Model!BO845+Model!BO846+Model!BO840+Model!BO838+Model!BO835+Model!BO834+Model!BO833+Model!BO831+Model!BO851+Model!BO854+Model!BO836</f>
        <v>-7498</v>
      </c>
      <c r="BP73" s="1056">
        <f>Model!BP859+Model!BP856+Model!BP852+Model!BP850+Model!BP845+Model!BP846+Model!BP840+Model!BP838+Model!BP835+Model!BP834+Model!BP833+Model!BP831+Model!BP851+Model!BP854+Model!BP836</f>
        <v>-16209</v>
      </c>
      <c r="BQ73" s="1056">
        <f>Model!BQ859+Model!BQ856+Model!BQ852+Model!BQ850+Model!BQ845+Model!BQ846+Model!BQ840+Model!BQ838+Model!BQ835+Model!BQ834+Model!BQ833+Model!BQ831+Model!BQ851+Model!BQ854+Model!BQ836</f>
        <v>-423</v>
      </c>
      <c r="BR73" s="1056">
        <f>Model!BR859+Model!BR856+Model!BR852+Model!BR850+Model!BR845+Model!BR846+Model!BR840+Model!BR838+Model!BR835+Model!BR834+Model!BR833+Model!BR831+Model!BR854+Model!BR836</f>
        <v>-6795</v>
      </c>
      <c r="BS73" s="1056">
        <f>Model!BS859+Model!BS856+Model!BS852+Model!BS850+Model!BS845+Model!BS846+Model!BS840+Model!BS838+Model!BS835+Model!BS834+Model!BS833+Model!BS831+Model!BS854+Model!BS836</f>
        <v>-17693</v>
      </c>
      <c r="BT73" s="1056">
        <f>Model!BT859+Model!BT856+Model!BT852+Model!BT850+Model!BT845+Model!BT846+Model!BT840+Model!BT838+Model!BT835+Model!BT834+Model!BT833+Model!BT831+Model!BT854+Model!BT836</f>
        <v>5860</v>
      </c>
      <c r="BU73" s="1056">
        <f>Model!BU859+Model!BU856+Model!BU852+Model!BU850+Model!BU845+Model!BU846+Model!BU840+Model!BU838+Model!BU835+Model!BU834+Model!BU833+Model!BU831+Model!BU854+Model!BU836</f>
        <v>-361</v>
      </c>
      <c r="BV73" s="1056">
        <f>Model!BV859+Model!BV856+Model!BV852+Model!BV850+Model!BV845+Model!BV846+Model!BV840+Model!BV838+Model!BV835+Model!BV834+Model!BV833+Model!BV831+Model!BV854+Model!BV836</f>
        <v>-3831</v>
      </c>
      <c r="BW73" s="1057">
        <f>Model!BW859+Model!BW856+Model!BW852+Model!BW850+Model!BW845+Model!BW846+Model!BW840+Model!BW838+Model!BW835+Model!BW834+Model!BW833+Model!BW831+Model!BW854+Model!BW836</f>
        <v>-24457</v>
      </c>
      <c r="BX73" s="1056">
        <f>Model!BX859+Model!BX856+Model!BX852+Model!BX850+Model!BX845+Model!BX846+Model!BX840+Model!BX838+Model!BX835+Model!BX834+Model!BX833+Model!BX831+Model!BX854+Model!BX836</f>
        <v>-11528</v>
      </c>
      <c r="BY73" s="1056">
        <f>Model!BY859+Model!BY856+Model!BY852+Model!BY850+Model!BY845+Model!BY846+Model!BY840+Model!BY838+Model!BY835+Model!BY834+Model!BY833+Model!BY831+Model!BY854+Model!BY836</f>
        <v>0</v>
      </c>
      <c r="BZ73" s="1056">
        <f>Model!BZ859+Model!BZ856+Model!BZ852+Model!BZ850+Model!BZ845+Model!BZ846+Model!BZ840+Model!BZ838+Model!BZ835+Model!BZ834+Model!BZ833+Model!BZ831+Model!BZ854+Model!BZ836</f>
        <v>0</v>
      </c>
      <c r="CA73" s="1056">
        <f>Model!CA859+Model!CA856+Model!CA852+Model!CA850+Model!CA845+Model!CA846+Model!CA840+Model!CA838+Model!CA835+Model!CA834+Model!CA833+Model!CA831+Model!CA854+Model!CA836</f>
        <v>0</v>
      </c>
      <c r="CB73" s="1056">
        <f>Model!CB859+Model!CB856+Model!CB852+Model!CB850+Model!CB845+Model!CB846+Model!CB840+Model!CB838+Model!CB835+Model!CB834+Model!CB833+Model!CB831+Model!CB854+Model!CB836</f>
        <v>0</v>
      </c>
      <c r="CC73" s="610"/>
    </row>
    <row r="74" spans="1:81" s="728" customFormat="1" x14ac:dyDescent="0.55000000000000004">
      <c r="A74" s="93" t="s">
        <v>274</v>
      </c>
      <c r="B74" s="94"/>
      <c r="C74" s="60">
        <f t="shared" ref="C74:AH74" ca="1" si="141">SUM(C68:C73)</f>
        <v>-59</v>
      </c>
      <c r="D74" s="60">
        <f t="shared" ca="1" si="141"/>
        <v>676</v>
      </c>
      <c r="E74" s="60">
        <f t="shared" ca="1" si="141"/>
        <v>99</v>
      </c>
      <c r="F74" s="60">
        <f t="shared" ca="1" si="141"/>
        <v>223</v>
      </c>
      <c r="G74" s="60">
        <f t="shared" ca="1" si="141"/>
        <v>-325</v>
      </c>
      <c r="H74" s="60">
        <f t="shared" ca="1" si="141"/>
        <v>1386</v>
      </c>
      <c r="I74" s="60">
        <f t="shared" ca="1" si="141"/>
        <v>4615</v>
      </c>
      <c r="J74" s="60">
        <f t="shared" ca="1" si="141"/>
        <v>-4684</v>
      </c>
      <c r="K74" s="60">
        <f t="shared" ca="1" si="141"/>
        <v>-896</v>
      </c>
      <c r="L74" s="60">
        <f t="shared" ca="1" si="141"/>
        <v>1704</v>
      </c>
      <c r="M74" s="60">
        <f t="shared" ca="1" si="141"/>
        <v>-815</v>
      </c>
      <c r="N74" s="60">
        <f t="shared" ca="1" si="141"/>
        <v>599</v>
      </c>
      <c r="O74" s="60">
        <f t="shared" ca="1" si="141"/>
        <v>1549</v>
      </c>
      <c r="P74" s="60">
        <f t="shared" ca="1" si="141"/>
        <v>-1348</v>
      </c>
      <c r="Q74" s="60">
        <f t="shared" ca="1" si="141"/>
        <v>930</v>
      </c>
      <c r="R74" s="60">
        <f t="shared" ca="1" si="141"/>
        <v>2865</v>
      </c>
      <c r="S74" s="60">
        <f t="shared" ca="1" si="141"/>
        <v>-1799</v>
      </c>
      <c r="T74" s="60">
        <f t="shared" ca="1" si="141"/>
        <v>-852</v>
      </c>
      <c r="U74" s="60">
        <f t="shared" ca="1" si="141"/>
        <v>949</v>
      </c>
      <c r="V74" s="60">
        <f t="shared" ca="1" si="141"/>
        <v>878</v>
      </c>
      <c r="W74" s="60">
        <f t="shared" ca="1" si="141"/>
        <v>4006</v>
      </c>
      <c r="X74" s="60">
        <f t="shared" ca="1" si="141"/>
        <v>-542</v>
      </c>
      <c r="Y74" s="60">
        <f t="shared" ca="1" si="141"/>
        <v>-1924</v>
      </c>
      <c r="Z74" s="60">
        <f t="shared" ca="1" si="141"/>
        <v>380</v>
      </c>
      <c r="AA74" s="60">
        <f t="shared" ca="1" si="141"/>
        <v>1073</v>
      </c>
      <c r="AB74" s="60">
        <f t="shared" ca="1" si="141"/>
        <v>2801</v>
      </c>
      <c r="AC74" s="60">
        <f t="shared" ca="1" si="141"/>
        <v>2082</v>
      </c>
      <c r="AD74" s="60">
        <f t="shared" ca="1" si="141"/>
        <v>3199</v>
      </c>
      <c r="AE74" s="60">
        <f t="shared" ca="1" si="141"/>
        <v>4648</v>
      </c>
      <c r="AF74" s="60">
        <f t="shared" ca="1" si="141"/>
        <v>-2358</v>
      </c>
      <c r="AG74" s="60">
        <f t="shared" ca="1" si="141"/>
        <v>-9590</v>
      </c>
      <c r="AH74" s="60">
        <f t="shared" ca="1" si="141"/>
        <v>5975</v>
      </c>
      <c r="AI74" s="60">
        <f t="shared" ref="AI74:BF74" ca="1" si="142">SUM(AI68:AI73)</f>
        <v>1937</v>
      </c>
      <c r="AJ74" s="60">
        <f t="shared" ca="1" si="142"/>
        <v>-3380</v>
      </c>
      <c r="AK74" s="60">
        <f t="shared" ca="1" si="142"/>
        <v>-1707</v>
      </c>
      <c r="AL74" s="60">
        <f t="shared" ca="1" si="142"/>
        <v>2061</v>
      </c>
      <c r="AM74" s="60">
        <f t="shared" ca="1" si="142"/>
        <v>-1512</v>
      </c>
      <c r="AN74" s="60">
        <f t="shared" ca="1" si="142"/>
        <v>-1875</v>
      </c>
      <c r="AO74" s="60">
        <f t="shared" ca="1" si="142"/>
        <v>1773</v>
      </c>
      <c r="AP74" s="60">
        <f t="shared" ca="1" si="142"/>
        <v>345</v>
      </c>
      <c r="AQ74" s="60">
        <f t="shared" ca="1" si="142"/>
        <v>-3176</v>
      </c>
      <c r="AR74" s="60">
        <f t="shared" ca="1" si="142"/>
        <v>17384</v>
      </c>
      <c r="AS74" s="60">
        <f t="shared" ca="1" si="142"/>
        <v>8096</v>
      </c>
      <c r="AT74" s="60">
        <f t="shared" ca="1" si="142"/>
        <v>4927</v>
      </c>
      <c r="AU74" s="60">
        <f t="shared" ca="1" si="142"/>
        <v>-9543</v>
      </c>
      <c r="AV74" s="60">
        <f t="shared" ca="1" si="142"/>
        <v>-258</v>
      </c>
      <c r="AW74" s="60">
        <f t="shared" ca="1" si="142"/>
        <v>12101</v>
      </c>
      <c r="AX74" s="60">
        <f t="shared" ca="1" si="142"/>
        <v>311</v>
      </c>
      <c r="AY74" s="687">
        <f t="shared" ca="1" si="142"/>
        <v>-15367</v>
      </c>
      <c r="AZ74" s="60">
        <f t="shared" ca="1" si="142"/>
        <v>6393.8932647608181</v>
      </c>
      <c r="BA74" s="60">
        <f t="shared" ca="1" si="142"/>
        <v>10821.946567639188</v>
      </c>
      <c r="BB74" s="60">
        <f t="shared" ca="1" si="142"/>
        <v>10433.940218752099</v>
      </c>
      <c r="BC74" s="60">
        <f t="shared" ca="1" si="142"/>
        <v>25302.470211991429</v>
      </c>
      <c r="BD74" s="60">
        <f t="shared" ca="1" si="142"/>
        <v>20229.05325311526</v>
      </c>
      <c r="BE74" s="60">
        <f t="shared" ca="1" si="142"/>
        <v>24570.324027654766</v>
      </c>
      <c r="BF74" s="60">
        <f t="shared" ca="1" si="142"/>
        <v>23431.270750479267</v>
      </c>
      <c r="BG74" s="60"/>
      <c r="BH74" s="1058">
        <f t="shared" ref="BH74:CB74" ca="1" si="143">SUM(BH68:BH73)</f>
        <v>336</v>
      </c>
      <c r="BI74" s="1058">
        <f t="shared" ca="1" si="143"/>
        <v>1152</v>
      </c>
      <c r="BJ74" s="1058">
        <f t="shared" ca="1" si="143"/>
        <v>-273</v>
      </c>
      <c r="BK74" s="1058">
        <f t="shared" ca="1" si="143"/>
        <v>872</v>
      </c>
      <c r="BL74" s="1058">
        <f t="shared" ca="1" si="143"/>
        <v>939</v>
      </c>
      <c r="BM74" s="1058">
        <f t="shared" ca="1" si="143"/>
        <v>992</v>
      </c>
      <c r="BN74" s="1058">
        <f t="shared" ca="1" si="143"/>
        <v>592</v>
      </c>
      <c r="BO74" s="1058">
        <f t="shared" ca="1" si="143"/>
        <v>3996</v>
      </c>
      <c r="BP74" s="1058">
        <f t="shared" ca="1" si="143"/>
        <v>-824</v>
      </c>
      <c r="BQ74" s="1058">
        <f t="shared" ca="1" si="143"/>
        <v>1920</v>
      </c>
      <c r="BR74" s="1058">
        <f t="shared" ca="1" si="143"/>
        <v>9155</v>
      </c>
      <c r="BS74" s="1058">
        <f t="shared" ca="1" si="143"/>
        <v>-1325</v>
      </c>
      <c r="BT74" s="1058">
        <f t="shared" ca="1" si="143"/>
        <v>-1089</v>
      </c>
      <c r="BU74" s="1058">
        <f t="shared" ca="1" si="143"/>
        <v>-1269</v>
      </c>
      <c r="BV74" s="1058">
        <f t="shared" ca="1" si="143"/>
        <v>27231</v>
      </c>
      <c r="BW74" s="1059">
        <f t="shared" ca="1" si="143"/>
        <v>2611</v>
      </c>
      <c r="BX74" s="1058">
        <f t="shared" ca="1" si="143"/>
        <v>12282.780051152098</v>
      </c>
      <c r="BY74" s="1058">
        <f t="shared" ca="1" si="143"/>
        <v>93533.118243240722</v>
      </c>
      <c r="BZ74" s="1058">
        <f t="shared" ca="1" si="143"/>
        <v>104185.22733433486</v>
      </c>
      <c r="CA74" s="1058">
        <f t="shared" ca="1" si="143"/>
        <v>111633.34059881135</v>
      </c>
      <c r="CB74" s="1058">
        <f t="shared" ca="1" si="143"/>
        <v>130503.31214368457</v>
      </c>
      <c r="CC74" s="607"/>
    </row>
    <row r="75" spans="1:81" s="728" customFormat="1" x14ac:dyDescent="0.55000000000000004">
      <c r="A75" s="90"/>
      <c r="B75" s="95"/>
      <c r="C75" s="607"/>
      <c r="D75" s="607"/>
      <c r="E75" s="607"/>
      <c r="F75" s="607"/>
      <c r="G75" s="607"/>
      <c r="H75" s="607"/>
      <c r="I75" s="607"/>
      <c r="J75" s="607"/>
      <c r="K75" s="607"/>
      <c r="L75" s="607"/>
      <c r="M75" s="607"/>
      <c r="N75" s="607"/>
      <c r="O75" s="607"/>
      <c r="P75" s="607"/>
      <c r="Q75" s="607"/>
      <c r="R75" s="607"/>
      <c r="S75" s="607"/>
      <c r="T75" s="607"/>
      <c r="U75" s="607"/>
      <c r="V75" s="607"/>
      <c r="W75" s="607"/>
      <c r="X75" s="607"/>
      <c r="Y75" s="607"/>
      <c r="Z75" s="607"/>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79"/>
      <c r="AZ75" s="607"/>
      <c r="BA75" s="607"/>
      <c r="BB75" s="607"/>
      <c r="BC75" s="607"/>
      <c r="BD75" s="607"/>
      <c r="BE75" s="607"/>
      <c r="BF75" s="607"/>
      <c r="BG75" s="607"/>
      <c r="BH75" s="1060"/>
      <c r="BI75" s="1060"/>
      <c r="BJ75" s="1060"/>
      <c r="BK75" s="1060"/>
      <c r="BL75" s="1060"/>
      <c r="BM75" s="1060"/>
      <c r="BN75" s="1060"/>
      <c r="BO75" s="1060"/>
      <c r="BP75" s="1060"/>
      <c r="BQ75" s="1060"/>
      <c r="BR75" s="1060"/>
      <c r="BS75" s="1060"/>
      <c r="BT75" s="1060"/>
      <c r="BU75" s="1060"/>
      <c r="BV75" s="1060"/>
      <c r="BW75" s="1061"/>
      <c r="BX75" s="1060"/>
      <c r="BY75" s="1060"/>
      <c r="BZ75" s="1060"/>
      <c r="CA75" s="1060"/>
      <c r="CB75" s="1060"/>
      <c r="CC75" s="607"/>
    </row>
    <row r="76" spans="1:81" s="730" customFormat="1" x14ac:dyDescent="0.55000000000000004">
      <c r="A76" s="98" t="s">
        <v>275</v>
      </c>
      <c r="B76" s="99"/>
      <c r="C76" s="63">
        <f t="shared" ref="C76:AH76" ca="1" si="144">INDEX(SP_CFA_CFO,0,COLUMN())/INDEX(SP_GF_ShareCount,0,COLUMN())</f>
        <v>0.28771508603441376</v>
      </c>
      <c r="D76" s="63">
        <f t="shared" ca="1" si="144"/>
        <v>0.52837729816147083</v>
      </c>
      <c r="E76" s="63">
        <f t="shared" ca="1" si="144"/>
        <v>0.37579113924050633</v>
      </c>
      <c r="F76" s="63">
        <f t="shared" ca="1" si="144"/>
        <v>0.48123534010946051</v>
      </c>
      <c r="G76" s="63">
        <f t="shared" ca="1" si="144"/>
        <v>0.49252587198160214</v>
      </c>
      <c r="H76" s="63">
        <f t="shared" ca="1" si="144"/>
        <v>0.51281070745697899</v>
      </c>
      <c r="I76" s="63">
        <f t="shared" ca="1" si="144"/>
        <v>0.47201210287443268</v>
      </c>
      <c r="J76" s="63">
        <f t="shared" ca="1" si="144"/>
        <v>0.56214488636363635</v>
      </c>
      <c r="K76" s="63">
        <f t="shared" ca="1" si="144"/>
        <v>0.59943582510578275</v>
      </c>
      <c r="L76" s="63">
        <f t="shared" ca="1" si="144"/>
        <v>0.6596491228070176</v>
      </c>
      <c r="M76" s="63">
        <f t="shared" ca="1" si="144"/>
        <v>0.76563045756199788</v>
      </c>
      <c r="N76" s="63">
        <f t="shared" ca="1" si="144"/>
        <v>0.98227936066712995</v>
      </c>
      <c r="O76" s="63">
        <f t="shared" ca="1" si="144"/>
        <v>1.2039473684210527</v>
      </c>
      <c r="P76" s="63">
        <f t="shared" ca="1" si="144"/>
        <v>1.2547072920232798</v>
      </c>
      <c r="Q76" s="63">
        <f t="shared" ca="1" si="144"/>
        <v>1.3845626072041166</v>
      </c>
      <c r="R76" s="63">
        <f t="shared" ca="1" si="144"/>
        <v>1.6780122532334922</v>
      </c>
      <c r="S76" s="63">
        <f t="shared" ca="1" si="144"/>
        <v>1.7180706521739131</v>
      </c>
      <c r="T76" s="63">
        <f t="shared" ca="1" si="144"/>
        <v>1.8163334462893934</v>
      </c>
      <c r="U76" s="63">
        <f t="shared" ca="1" si="144"/>
        <v>2.0727334235453316</v>
      </c>
      <c r="V76" s="63">
        <f t="shared" ca="1" si="144"/>
        <v>2.5968178740690591</v>
      </c>
      <c r="W76" s="63">
        <f t="shared" ca="1" si="144"/>
        <v>2.6689303904923598</v>
      </c>
      <c r="X76" s="63">
        <f t="shared" ca="1" si="144"/>
        <v>2.1494880546075086</v>
      </c>
      <c r="Y76" s="63">
        <f t="shared" ca="1" si="144"/>
        <v>2.5739787161002403</v>
      </c>
      <c r="Z76" s="63">
        <f t="shared" ca="1" si="144"/>
        <v>2.6396396396396398</v>
      </c>
      <c r="AA76" s="63">
        <f t="shared" ca="1" si="144"/>
        <v>3.244336005576856</v>
      </c>
      <c r="AB76" s="63">
        <f t="shared" ca="1" si="144"/>
        <v>2.9968695652173913</v>
      </c>
      <c r="AC76" s="63">
        <f t="shared" ca="1" si="144"/>
        <v>3.2383437717466945</v>
      </c>
      <c r="AD76" s="63">
        <f t="shared" ca="1" si="144"/>
        <v>3.1637060257749914</v>
      </c>
      <c r="AE76" s="63">
        <f t="shared" ca="1" si="144"/>
        <v>3.8357740585774058</v>
      </c>
      <c r="AF76" s="63">
        <f t="shared" ca="1" si="144"/>
        <v>1.3466481417158735</v>
      </c>
      <c r="AG76" s="63">
        <f t="shared" ca="1" si="144"/>
        <v>3.3998616395710828</v>
      </c>
      <c r="AH76" s="63">
        <f t="shared" ca="1" si="144"/>
        <v>4.8581314878892732</v>
      </c>
      <c r="AI76" s="63">
        <f t="shared" ref="AI76:BF76" ca="1" si="145">INDEX(SP_CFA_CFO,0,COLUMN())/INDEX(SP_GF_ShareCount,0,COLUMN())</f>
        <v>4.2477446217904236</v>
      </c>
      <c r="AJ76" s="63">
        <f t="shared" ca="1" si="145"/>
        <v>4.6044490789016335</v>
      </c>
      <c r="AK76" s="63">
        <f t="shared" ca="1" si="145"/>
        <v>4.9282966072053167</v>
      </c>
      <c r="AL76" s="63">
        <f t="shared" ca="1" si="145"/>
        <v>6.4680242943908537</v>
      </c>
      <c r="AM76" s="63">
        <f t="shared" ca="1" si="145"/>
        <v>5.1334792122538291</v>
      </c>
      <c r="AN76" s="63">
        <f t="shared" ca="1" si="145"/>
        <v>4.4953925543678581</v>
      </c>
      <c r="AO76" s="63">
        <f t="shared" ca="1" si="145"/>
        <v>3.6069966505396351</v>
      </c>
      <c r="AP76" s="63">
        <f t="shared" ca="1" si="145"/>
        <v>5.4965909090909095</v>
      </c>
      <c r="AQ76" s="63">
        <f t="shared" ca="1" si="145"/>
        <v>5.3921417565485363</v>
      </c>
      <c r="AR76" s="63">
        <f t="shared" ca="1" si="145"/>
        <v>6.6267228177641657</v>
      </c>
      <c r="AS76" s="63">
        <f t="shared" ca="1" si="145"/>
        <v>7.7251041272245358</v>
      </c>
      <c r="AT76" s="63">
        <f t="shared" ca="1" si="145"/>
        <v>7.3779467680608368</v>
      </c>
      <c r="AU76" s="63">
        <f t="shared" ca="1" si="145"/>
        <v>7.3318095238095236</v>
      </c>
      <c r="AV76" s="63">
        <f t="shared" ca="1" si="145"/>
        <v>7.421455938697318</v>
      </c>
      <c r="AW76" s="63">
        <f t="shared" ca="1" si="145"/>
        <v>9.5092307692307685</v>
      </c>
      <c r="AX76" s="63">
        <f t="shared" ca="1" si="145"/>
        <v>10.768757214313197</v>
      </c>
      <c r="AY76" s="693">
        <f t="shared" ca="1" si="145"/>
        <v>9.2764478764478771</v>
      </c>
      <c r="AZ76" s="63">
        <f t="shared" ca="1" si="145"/>
        <v>9.767807252598077</v>
      </c>
      <c r="BA76" s="63">
        <f t="shared" ca="1" si="145"/>
        <v>11.46275918349321</v>
      </c>
      <c r="BB76" s="63">
        <f t="shared" ca="1" si="145"/>
        <v>11.324694671970541</v>
      </c>
      <c r="BC76" s="63">
        <f t="shared" ca="1" si="145"/>
        <v>14.168209542329775</v>
      </c>
      <c r="BD76" s="63">
        <f t="shared" ca="1" si="145"/>
        <v>12.206201969509257</v>
      </c>
      <c r="BE76" s="63">
        <f t="shared" ca="1" si="145"/>
        <v>13.882561278144303</v>
      </c>
      <c r="BF76" s="63">
        <f t="shared" ca="1" si="145"/>
        <v>13.44111866810406</v>
      </c>
      <c r="BG76" s="63"/>
      <c r="BH76" s="1076"/>
      <c r="BI76" s="1076"/>
      <c r="BJ76" s="1076"/>
      <c r="BK76" s="1076">
        <f t="shared" ref="BK76:CB76" ca="1" si="146">INDEX(SP_CFA_CFO,0,COLUMN())/INDEX(SP_GF_ShareCount,0,COLUMN())</f>
        <v>0.65026220250100852</v>
      </c>
      <c r="BL76" s="1076">
        <f t="shared" ca="1" si="146"/>
        <v>1.6773937226857369</v>
      </c>
      <c r="BM76" s="1076">
        <f t="shared" ca="1" si="146"/>
        <v>2.0484234234234235</v>
      </c>
      <c r="BN76" s="1076">
        <f t="shared" ca="1" si="146"/>
        <v>3.0140203294777428</v>
      </c>
      <c r="BO76" s="1076">
        <f t="shared" ca="1" si="146"/>
        <v>5.5070085470085468</v>
      </c>
      <c r="BP76" s="1076">
        <f t="shared" ca="1" si="146"/>
        <v>8.1921515561569684</v>
      </c>
      <c r="BQ76" s="1076">
        <f t="shared" ca="1" si="146"/>
        <v>10.021910304690175</v>
      </c>
      <c r="BR76" s="1076">
        <f t="shared" ca="1" si="146"/>
        <v>12.626564673157162</v>
      </c>
      <c r="BS76" s="1076">
        <f t="shared" ca="1" si="146"/>
        <v>13.416551246537397</v>
      </c>
      <c r="BT76" s="1076">
        <f t="shared" ca="1" si="146"/>
        <v>20.175935641832808</v>
      </c>
      <c r="BU76" s="1076">
        <f t="shared" ca="1" si="146"/>
        <v>18.680606957809029</v>
      </c>
      <c r="BV76" s="1076">
        <f t="shared" ca="1" si="146"/>
        <v>27.0494484594903</v>
      </c>
      <c r="BW76" s="1077">
        <f t="shared" ca="1" si="146"/>
        <v>34.938026013771996</v>
      </c>
      <c r="BX76" s="1076">
        <f t="shared" ca="1" si="146"/>
        <v>41.818402229571326</v>
      </c>
      <c r="BY76" s="1076">
        <f t="shared" ca="1" si="146"/>
        <v>53.698014733348792</v>
      </c>
      <c r="BZ76" s="1076">
        <f t="shared" ca="1" si="146"/>
        <v>60.344127102993042</v>
      </c>
      <c r="CA76" s="1076">
        <f t="shared" ca="1" si="146"/>
        <v>63.49622219526497</v>
      </c>
      <c r="CB76" s="1076">
        <f t="shared" ca="1" si="146"/>
        <v>71.106052008170408</v>
      </c>
      <c r="CC76" s="63"/>
    </row>
    <row r="77" spans="1:81" s="730" customFormat="1" x14ac:dyDescent="0.55000000000000004">
      <c r="A77" s="98" t="s">
        <v>276</v>
      </c>
      <c r="B77" s="99"/>
      <c r="C77" s="63">
        <f t="shared" ref="C77:AH77" ca="1" si="147">INDEX(SP_CFA_FCF_PreDiv,0,COLUMN())/INDEX(SP_GF_ShareCount,0,COLUMN())</f>
        <v>0.15686274509803921</v>
      </c>
      <c r="D77" s="63">
        <f t="shared" ca="1" si="147"/>
        <v>0.42126298960831338</v>
      </c>
      <c r="E77" s="63">
        <f t="shared" ca="1" si="147"/>
        <v>0.26344936708860761</v>
      </c>
      <c r="F77" s="63">
        <f t="shared" ca="1" si="147"/>
        <v>0.29241594996090697</v>
      </c>
      <c r="G77" s="63">
        <f t="shared" ca="1" si="147"/>
        <v>0.35339210425450363</v>
      </c>
      <c r="H77" s="63">
        <f t="shared" ca="1" si="147"/>
        <v>0.33346080305927345</v>
      </c>
      <c r="I77" s="63">
        <f t="shared" ca="1" si="147"/>
        <v>0.2897125567322239</v>
      </c>
      <c r="J77" s="63">
        <f t="shared" ca="1" si="147"/>
        <v>0.37855113636363635</v>
      </c>
      <c r="K77" s="63">
        <f t="shared" ca="1" si="147"/>
        <v>0.422425952045134</v>
      </c>
      <c r="L77" s="63">
        <f t="shared" ca="1" si="147"/>
        <v>0.46701754385964911</v>
      </c>
      <c r="M77" s="63">
        <f t="shared" ca="1" si="147"/>
        <v>0.49318896262661543</v>
      </c>
      <c r="N77" s="63">
        <f t="shared" ca="1" si="147"/>
        <v>0.74183460736622653</v>
      </c>
      <c r="O77" s="63">
        <f t="shared" ca="1" si="147"/>
        <v>0.81198060941828254</v>
      </c>
      <c r="P77" s="63">
        <f t="shared" ca="1" si="147"/>
        <v>0.91407052379322151</v>
      </c>
      <c r="Q77" s="63">
        <f t="shared" ca="1" si="147"/>
        <v>1.0089193825042881</v>
      </c>
      <c r="R77" s="63">
        <f t="shared" ca="1" si="147"/>
        <v>1.2460857726344452</v>
      </c>
      <c r="S77" s="63">
        <f t="shared" ca="1" si="147"/>
        <v>1.2863451086956521</v>
      </c>
      <c r="T77" s="63">
        <f t="shared" ca="1" si="147"/>
        <v>1.3270077939681464</v>
      </c>
      <c r="U77" s="63">
        <f t="shared" ca="1" si="147"/>
        <v>1.4790257104194857</v>
      </c>
      <c r="V77" s="63">
        <f t="shared" ca="1" si="147"/>
        <v>1.8307379823967502</v>
      </c>
      <c r="W77" s="63">
        <f t="shared" ca="1" si="147"/>
        <v>1.7140916808149407</v>
      </c>
      <c r="X77" s="63">
        <f t="shared" ca="1" si="147"/>
        <v>0.96860068259385668</v>
      </c>
      <c r="Y77" s="63">
        <f t="shared" ca="1" si="147"/>
        <v>1.4267078613113628</v>
      </c>
      <c r="Z77" s="63">
        <f t="shared" ca="1" si="147"/>
        <v>1.1493416493416493</v>
      </c>
      <c r="AA77" s="63">
        <f t="shared" ca="1" si="147"/>
        <v>1.8633670268386198</v>
      </c>
      <c r="AB77" s="63">
        <f t="shared" ca="1" si="147"/>
        <v>1.6838260869565218</v>
      </c>
      <c r="AC77" s="63">
        <f t="shared" ca="1" si="147"/>
        <v>1.9592901878914406</v>
      </c>
      <c r="AD77" s="63">
        <f t="shared" ca="1" si="147"/>
        <v>1.6865203761755485</v>
      </c>
      <c r="AE77" s="63">
        <f t="shared" ca="1" si="147"/>
        <v>2.5603207810320781</v>
      </c>
      <c r="AF77" s="63">
        <f t="shared" ca="1" si="147"/>
        <v>0.17818687044112538</v>
      </c>
      <c r="AG77" s="63">
        <f t="shared" ca="1" si="147"/>
        <v>2.0584572812175717</v>
      </c>
      <c r="AH77" s="63">
        <f t="shared" ca="1" si="147"/>
        <v>3.1906574394463667</v>
      </c>
      <c r="AI77" s="63">
        <f t="shared" ref="AI77:BF77" ca="1" si="148">INDEX(SP_CFA_FCF_PreDiv,0,COLUMN())/INDEX(SP_GF_ShareCount,0,COLUMN())</f>
        <v>2.7130464954892437</v>
      </c>
      <c r="AJ77" s="63">
        <f t="shared" ca="1" si="148"/>
        <v>2.9586374695863746</v>
      </c>
      <c r="AK77" s="63">
        <f t="shared" ca="1" si="148"/>
        <v>3.3385799230500175</v>
      </c>
      <c r="AL77" s="63">
        <f t="shared" ca="1" si="148"/>
        <v>4.4883887102536617</v>
      </c>
      <c r="AM77" s="63">
        <f t="shared" ca="1" si="148"/>
        <v>3.0641867250182351</v>
      </c>
      <c r="AN77" s="63">
        <f t="shared" ca="1" si="148"/>
        <v>1.623663840766679</v>
      </c>
      <c r="AO77" s="63">
        <f t="shared" ca="1" si="148"/>
        <v>5.7312988462969852E-2</v>
      </c>
      <c r="AP77" s="63">
        <f t="shared" ca="1" si="148"/>
        <v>1.9821969696969697</v>
      </c>
      <c r="AQ77" s="63">
        <f t="shared" ca="1" si="148"/>
        <v>2.6548536209553157</v>
      </c>
      <c r="AR77" s="63">
        <f t="shared" ca="1" si="148"/>
        <v>4.1627105666156199</v>
      </c>
      <c r="AS77" s="63">
        <f t="shared" ca="1" si="148"/>
        <v>5.1465354032563422</v>
      </c>
      <c r="AT77" s="63">
        <f t="shared" ca="1" si="148"/>
        <v>4.346768060836502</v>
      </c>
      <c r="AU77" s="63">
        <f t="shared" ca="1" si="148"/>
        <v>4.773714285714286</v>
      </c>
      <c r="AV77" s="63">
        <f t="shared" ca="1" si="148"/>
        <v>4.1754789272030655</v>
      </c>
      <c r="AW77" s="63">
        <f t="shared" ca="1" si="148"/>
        <v>5.97</v>
      </c>
      <c r="AX77" s="63">
        <f t="shared" ca="1" si="148"/>
        <v>5.0604078491727584</v>
      </c>
      <c r="AY77" s="693">
        <f t="shared" ca="1" si="148"/>
        <v>3.9899613899613899</v>
      </c>
      <c r="AZ77" s="63">
        <f t="shared" ca="1" si="148"/>
        <v>3.7301191269904872</v>
      </c>
      <c r="BA77" s="63">
        <f t="shared" ca="1" si="148"/>
        <v>5.4332653167192788</v>
      </c>
      <c r="BB77" s="63">
        <f t="shared" ca="1" si="148"/>
        <v>5.2887064790773159</v>
      </c>
      <c r="BC77" s="63">
        <f t="shared" ca="1" si="148"/>
        <v>10.264639488574936</v>
      </c>
      <c r="BD77" s="63">
        <f t="shared" ca="1" si="148"/>
        <v>8.3030222337279955</v>
      </c>
      <c r="BE77" s="63">
        <f t="shared" ca="1" si="148"/>
        <v>9.9797718213087272</v>
      </c>
      <c r="BF77" s="63">
        <f t="shared" ca="1" si="148"/>
        <v>9.5387194511901754</v>
      </c>
      <c r="BG77" s="63"/>
      <c r="BH77" s="1076"/>
      <c r="BI77" s="1076"/>
      <c r="BJ77" s="1076"/>
      <c r="BK77" s="1076">
        <f t="shared" ref="BK77:CB77" ca="1" si="149">INDEX(SP_CFA_FCF_PreDiv,0,COLUMN())/INDEX(SP_GF_ShareCount,0,COLUMN())</f>
        <v>0.15207745058491326</v>
      </c>
      <c r="BL77" s="1076">
        <f t="shared" ca="1" si="149"/>
        <v>1.1362733412793007</v>
      </c>
      <c r="BM77" s="1076">
        <f t="shared" ca="1" si="149"/>
        <v>1.3611111111111112</v>
      </c>
      <c r="BN77" s="1076">
        <f t="shared" ca="1" si="149"/>
        <v>2.12968804766912</v>
      </c>
      <c r="BO77" s="1076">
        <f t="shared" ca="1" si="149"/>
        <v>3.9716239316239315</v>
      </c>
      <c r="BP77" s="1076">
        <f t="shared" ca="1" si="149"/>
        <v>5.9144113667117724</v>
      </c>
      <c r="BQ77" s="1076">
        <f t="shared" ca="1" si="149"/>
        <v>5.2581307771311199</v>
      </c>
      <c r="BR77" s="1076">
        <f t="shared" ca="1" si="149"/>
        <v>7.1835883171070929</v>
      </c>
      <c r="BS77" s="1076">
        <f t="shared" ca="1" si="149"/>
        <v>7.9736842105263159</v>
      </c>
      <c r="BT77" s="1076">
        <f t="shared" ca="1" si="149"/>
        <v>13.444910807974816</v>
      </c>
      <c r="BU77" s="1076">
        <f t="shared" ca="1" si="149"/>
        <v>6.7335307179866764</v>
      </c>
      <c r="BV77" s="1076">
        <f t="shared" ca="1" si="149"/>
        <v>16.275770254849753</v>
      </c>
      <c r="BW77" s="1077">
        <f t="shared" ca="1" si="149"/>
        <v>19.932287681713849</v>
      </c>
      <c r="BX77" s="1076">
        <f t="shared" ca="1" si="149"/>
        <v>18.436704391456313</v>
      </c>
      <c r="BY77" s="1076">
        <f t="shared" ca="1" si="149"/>
        <v>38.086091434568011</v>
      </c>
      <c r="BZ77" s="1076">
        <f t="shared" ca="1" si="149"/>
        <v>44.700386744708631</v>
      </c>
      <c r="CA77" s="1076">
        <f t="shared" ca="1" si="149"/>
        <v>47.785654283964583</v>
      </c>
      <c r="CB77" s="1076">
        <f t="shared" ca="1" si="149"/>
        <v>55.33479336174063</v>
      </c>
      <c r="CC77" s="63"/>
    </row>
    <row r="78" spans="1:81" s="730" customFormat="1" x14ac:dyDescent="0.55000000000000004">
      <c r="A78" s="98" t="s">
        <v>109</v>
      </c>
      <c r="B78" s="99"/>
      <c r="C78" s="63">
        <f t="shared" ref="C78:AH78" si="150">INDEX(MO_CFSum_DPS,0,COLUMN())</f>
        <v>0</v>
      </c>
      <c r="D78" s="63">
        <f t="shared" si="150"/>
        <v>0</v>
      </c>
      <c r="E78" s="63">
        <f t="shared" si="150"/>
        <v>0</v>
      </c>
      <c r="F78" s="63">
        <f t="shared" si="150"/>
        <v>0</v>
      </c>
      <c r="G78" s="63">
        <f t="shared" si="150"/>
        <v>0</v>
      </c>
      <c r="H78" s="63">
        <f t="shared" si="150"/>
        <v>0</v>
      </c>
      <c r="I78" s="63">
        <f t="shared" si="150"/>
        <v>0</v>
      </c>
      <c r="J78" s="63">
        <f t="shared" si="150"/>
        <v>0</v>
      </c>
      <c r="K78" s="63">
        <f t="shared" si="150"/>
        <v>0</v>
      </c>
      <c r="L78" s="63">
        <f t="shared" si="150"/>
        <v>0</v>
      </c>
      <c r="M78" s="63">
        <f t="shared" si="150"/>
        <v>0</v>
      </c>
      <c r="N78" s="63">
        <f t="shared" si="150"/>
        <v>0</v>
      </c>
      <c r="O78" s="63">
        <f t="shared" si="150"/>
        <v>0</v>
      </c>
      <c r="P78" s="63">
        <f t="shared" si="150"/>
        <v>0</v>
      </c>
      <c r="Q78" s="63">
        <f t="shared" si="150"/>
        <v>0</v>
      </c>
      <c r="R78" s="63">
        <f t="shared" si="150"/>
        <v>0</v>
      </c>
      <c r="S78" s="63">
        <f t="shared" si="150"/>
        <v>0</v>
      </c>
      <c r="T78" s="63">
        <f t="shared" si="150"/>
        <v>0</v>
      </c>
      <c r="U78" s="63">
        <f t="shared" si="150"/>
        <v>0</v>
      </c>
      <c r="V78" s="63">
        <f t="shared" si="150"/>
        <v>0</v>
      </c>
      <c r="W78" s="63">
        <f t="shared" si="150"/>
        <v>0</v>
      </c>
      <c r="X78" s="63">
        <f t="shared" si="150"/>
        <v>0</v>
      </c>
      <c r="Y78" s="63">
        <f t="shared" si="150"/>
        <v>0</v>
      </c>
      <c r="Z78" s="63">
        <f t="shared" si="150"/>
        <v>0</v>
      </c>
      <c r="AA78" s="63">
        <f t="shared" si="150"/>
        <v>0</v>
      </c>
      <c r="AB78" s="63">
        <f t="shared" si="150"/>
        <v>0</v>
      </c>
      <c r="AC78" s="63">
        <f t="shared" si="150"/>
        <v>0</v>
      </c>
      <c r="AD78" s="63">
        <f t="shared" si="150"/>
        <v>0</v>
      </c>
      <c r="AE78" s="63">
        <f t="shared" si="150"/>
        <v>0</v>
      </c>
      <c r="AF78" s="63">
        <f t="shared" si="150"/>
        <v>0</v>
      </c>
      <c r="AG78" s="63">
        <f t="shared" si="150"/>
        <v>0</v>
      </c>
      <c r="AH78" s="63">
        <f t="shared" si="150"/>
        <v>0</v>
      </c>
      <c r="AI78" s="63">
        <f t="shared" ref="AI78:BF78" si="151">INDEX(MO_CFSum_DPS,0,COLUMN())</f>
        <v>0</v>
      </c>
      <c r="AJ78" s="63">
        <f t="shared" si="151"/>
        <v>0</v>
      </c>
      <c r="AK78" s="63">
        <f t="shared" si="151"/>
        <v>0</v>
      </c>
      <c r="AL78" s="63">
        <f t="shared" si="151"/>
        <v>0</v>
      </c>
      <c r="AM78" s="63">
        <f t="shared" si="151"/>
        <v>0</v>
      </c>
      <c r="AN78" s="63">
        <f t="shared" si="151"/>
        <v>0</v>
      </c>
      <c r="AO78" s="63">
        <f t="shared" si="151"/>
        <v>0</v>
      </c>
      <c r="AP78" s="63">
        <f t="shared" si="151"/>
        <v>0</v>
      </c>
      <c r="AQ78" s="63">
        <f t="shared" si="151"/>
        <v>0</v>
      </c>
      <c r="AR78" s="63">
        <f t="shared" si="151"/>
        <v>0</v>
      </c>
      <c r="AS78" s="63">
        <f t="shared" si="151"/>
        <v>0</v>
      </c>
      <c r="AT78" s="63">
        <f t="shared" si="151"/>
        <v>0</v>
      </c>
      <c r="AU78" s="63">
        <f t="shared" si="151"/>
        <v>0.5</v>
      </c>
      <c r="AV78" s="63">
        <f t="shared" si="151"/>
        <v>0.5</v>
      </c>
      <c r="AW78" s="63">
        <f t="shared" si="151"/>
        <v>0.5</v>
      </c>
      <c r="AX78" s="63">
        <f t="shared" si="151"/>
        <v>0.5</v>
      </c>
      <c r="AY78" s="693">
        <f t="shared" si="151"/>
        <v>0.52500000000000002</v>
      </c>
      <c r="AZ78" s="63">
        <f t="shared" si="151"/>
        <v>0.5</v>
      </c>
      <c r="BA78" s="63">
        <f t="shared" si="151"/>
        <v>0.5</v>
      </c>
      <c r="BB78" s="63">
        <f t="shared" si="151"/>
        <v>0.5</v>
      </c>
      <c r="BC78" s="63">
        <f t="shared" si="151"/>
        <v>0.5</v>
      </c>
      <c r="BD78" s="63">
        <f t="shared" si="151"/>
        <v>0.5</v>
      </c>
      <c r="BE78" s="63">
        <f t="shared" si="151"/>
        <v>0.5</v>
      </c>
      <c r="BF78" s="63">
        <f t="shared" si="151"/>
        <v>0.5</v>
      </c>
      <c r="BG78" s="63"/>
      <c r="BH78" s="1076"/>
      <c r="BI78" s="1076"/>
      <c r="BJ78" s="1076"/>
      <c r="BK78" s="1076">
        <f t="shared" ref="BK78:CB78" si="152">INDEX(MO_CFSum_DPS,0,COLUMN())</f>
        <v>0</v>
      </c>
      <c r="BL78" s="1076">
        <f t="shared" si="152"/>
        <v>0</v>
      </c>
      <c r="BM78" s="1076">
        <f t="shared" si="152"/>
        <v>0</v>
      </c>
      <c r="BN78" s="1076">
        <f t="shared" si="152"/>
        <v>0</v>
      </c>
      <c r="BO78" s="1076">
        <f t="shared" si="152"/>
        <v>0</v>
      </c>
      <c r="BP78" s="1076">
        <f t="shared" si="152"/>
        <v>0</v>
      </c>
      <c r="BQ78" s="1076">
        <f t="shared" si="152"/>
        <v>0</v>
      </c>
      <c r="BR78" s="1076">
        <f t="shared" si="152"/>
        <v>0</v>
      </c>
      <c r="BS78" s="1076">
        <f t="shared" si="152"/>
        <v>0</v>
      </c>
      <c r="BT78" s="1076">
        <f t="shared" si="152"/>
        <v>0</v>
      </c>
      <c r="BU78" s="1076">
        <f t="shared" si="152"/>
        <v>0</v>
      </c>
      <c r="BV78" s="1076">
        <f t="shared" si="152"/>
        <v>0</v>
      </c>
      <c r="BW78" s="1077">
        <f t="shared" si="152"/>
        <v>2</v>
      </c>
      <c r="BX78" s="1076">
        <f t="shared" si="152"/>
        <v>2.0249999999999999</v>
      </c>
      <c r="BY78" s="1076">
        <f t="shared" si="152"/>
        <v>2</v>
      </c>
      <c r="BZ78" s="1076">
        <f t="shared" si="152"/>
        <v>0.5</v>
      </c>
      <c r="CA78" s="1076">
        <f t="shared" si="152"/>
        <v>0.5</v>
      </c>
      <c r="CB78" s="1076">
        <f t="shared" si="152"/>
        <v>0.5</v>
      </c>
      <c r="CC78" s="63"/>
    </row>
    <row r="79" spans="1:81" s="738" customFormat="1" x14ac:dyDescent="0.55000000000000004">
      <c r="A79" s="102" t="s">
        <v>277</v>
      </c>
      <c r="B79" s="103"/>
      <c r="C79" s="67">
        <f t="shared" ref="C79:AH79" ca="1" si="153">C78/C77</f>
        <v>0</v>
      </c>
      <c r="D79" s="67">
        <f t="shared" ca="1" si="153"/>
        <v>0</v>
      </c>
      <c r="E79" s="67">
        <f t="shared" ca="1" si="153"/>
        <v>0</v>
      </c>
      <c r="F79" s="67">
        <f t="shared" ca="1" si="153"/>
        <v>0</v>
      </c>
      <c r="G79" s="67">
        <f t="shared" ca="1" si="153"/>
        <v>0</v>
      </c>
      <c r="H79" s="67">
        <f t="shared" ca="1" si="153"/>
        <v>0</v>
      </c>
      <c r="I79" s="67">
        <f t="shared" ca="1" si="153"/>
        <v>0</v>
      </c>
      <c r="J79" s="67">
        <f t="shared" ca="1" si="153"/>
        <v>0</v>
      </c>
      <c r="K79" s="67">
        <f t="shared" ca="1" si="153"/>
        <v>0</v>
      </c>
      <c r="L79" s="67">
        <f t="shared" ca="1" si="153"/>
        <v>0</v>
      </c>
      <c r="M79" s="67">
        <f t="shared" ca="1" si="153"/>
        <v>0</v>
      </c>
      <c r="N79" s="67">
        <f t="shared" ca="1" si="153"/>
        <v>0</v>
      </c>
      <c r="O79" s="67">
        <f t="shared" ca="1" si="153"/>
        <v>0</v>
      </c>
      <c r="P79" s="67">
        <f t="shared" ca="1" si="153"/>
        <v>0</v>
      </c>
      <c r="Q79" s="67">
        <f t="shared" ca="1" si="153"/>
        <v>0</v>
      </c>
      <c r="R79" s="67">
        <f t="shared" ca="1" si="153"/>
        <v>0</v>
      </c>
      <c r="S79" s="67">
        <f t="shared" ca="1" si="153"/>
        <v>0</v>
      </c>
      <c r="T79" s="67">
        <f t="shared" ca="1" si="153"/>
        <v>0</v>
      </c>
      <c r="U79" s="67">
        <f t="shared" ca="1" si="153"/>
        <v>0</v>
      </c>
      <c r="V79" s="67">
        <f t="shared" ca="1" si="153"/>
        <v>0</v>
      </c>
      <c r="W79" s="67">
        <f t="shared" ca="1" si="153"/>
        <v>0</v>
      </c>
      <c r="X79" s="67">
        <f t="shared" ca="1" si="153"/>
        <v>0</v>
      </c>
      <c r="Y79" s="67">
        <f t="shared" ca="1" si="153"/>
        <v>0</v>
      </c>
      <c r="Z79" s="67">
        <f t="shared" ca="1" si="153"/>
        <v>0</v>
      </c>
      <c r="AA79" s="67">
        <f t="shared" ca="1" si="153"/>
        <v>0</v>
      </c>
      <c r="AB79" s="67">
        <f t="shared" ca="1" si="153"/>
        <v>0</v>
      </c>
      <c r="AC79" s="67">
        <f t="shared" ca="1" si="153"/>
        <v>0</v>
      </c>
      <c r="AD79" s="67">
        <f t="shared" ca="1" si="153"/>
        <v>0</v>
      </c>
      <c r="AE79" s="67">
        <f t="shared" ca="1" si="153"/>
        <v>0</v>
      </c>
      <c r="AF79" s="67">
        <f t="shared" ca="1" si="153"/>
        <v>0</v>
      </c>
      <c r="AG79" s="67">
        <f t="shared" ca="1" si="153"/>
        <v>0</v>
      </c>
      <c r="AH79" s="67">
        <f t="shared" ca="1" si="153"/>
        <v>0</v>
      </c>
      <c r="AI79" s="67">
        <f t="shared" ref="AI79:BF79" ca="1" si="154">AI78/AI77</f>
        <v>0</v>
      </c>
      <c r="AJ79" s="67">
        <f t="shared" ca="1" si="154"/>
        <v>0</v>
      </c>
      <c r="AK79" s="67">
        <f t="shared" ca="1" si="154"/>
        <v>0</v>
      </c>
      <c r="AL79" s="67">
        <f t="shared" ca="1" si="154"/>
        <v>0</v>
      </c>
      <c r="AM79" s="67">
        <f t="shared" ca="1" si="154"/>
        <v>0</v>
      </c>
      <c r="AN79" s="67">
        <f t="shared" ca="1" si="154"/>
        <v>0</v>
      </c>
      <c r="AO79" s="67">
        <f t="shared" ca="1" si="154"/>
        <v>0</v>
      </c>
      <c r="AP79" s="67">
        <f t="shared" ca="1" si="154"/>
        <v>0</v>
      </c>
      <c r="AQ79" s="67">
        <f t="shared" ca="1" si="154"/>
        <v>0</v>
      </c>
      <c r="AR79" s="67">
        <f t="shared" ca="1" si="154"/>
        <v>0</v>
      </c>
      <c r="AS79" s="67">
        <f t="shared" ca="1" si="154"/>
        <v>0</v>
      </c>
      <c r="AT79" s="67">
        <f t="shared" ca="1" si="154"/>
        <v>0</v>
      </c>
      <c r="AU79" s="67">
        <f t="shared" ca="1" si="154"/>
        <v>0.10474024419439788</v>
      </c>
      <c r="AV79" s="67">
        <f t="shared" ca="1" si="154"/>
        <v>0.11974674252156359</v>
      </c>
      <c r="AW79" s="67">
        <f t="shared" ca="1" si="154"/>
        <v>8.3752093802345065E-2</v>
      </c>
      <c r="AX79" s="67">
        <f t="shared" ca="1" si="154"/>
        <v>9.8806265206812655E-2</v>
      </c>
      <c r="AY79" s="698">
        <f t="shared" ca="1" si="154"/>
        <v>0.13158022063092703</v>
      </c>
      <c r="AZ79" s="67">
        <f t="shared" ca="1" si="154"/>
        <v>0.13404397633900961</v>
      </c>
      <c r="BA79" s="67">
        <f t="shared" ca="1" si="154"/>
        <v>9.2025691891282541E-2</v>
      </c>
      <c r="BB79" s="67">
        <f t="shared" ca="1" si="154"/>
        <v>9.4541075776856415E-2</v>
      </c>
      <c r="BC79" s="67">
        <f t="shared" ca="1" si="154"/>
        <v>4.8710916789286691E-2</v>
      </c>
      <c r="BD79" s="67">
        <f t="shared" ca="1" si="154"/>
        <v>6.0219036626077263E-2</v>
      </c>
      <c r="BE79" s="67">
        <f t="shared" ca="1" si="154"/>
        <v>5.0101345897749297E-2</v>
      </c>
      <c r="BF79" s="67">
        <f t="shared" ca="1" si="154"/>
        <v>5.2417937497638997E-2</v>
      </c>
      <c r="BG79" s="67"/>
      <c r="BH79" s="1086"/>
      <c r="BI79" s="1086"/>
      <c r="BJ79" s="1086"/>
      <c r="BK79" s="1086">
        <f t="shared" ref="BK79:CB79" ca="1" si="155">BK78/BK77</f>
        <v>0</v>
      </c>
      <c r="BL79" s="1086">
        <f t="shared" ca="1" si="155"/>
        <v>0</v>
      </c>
      <c r="BM79" s="1086">
        <f t="shared" ca="1" si="155"/>
        <v>0</v>
      </c>
      <c r="BN79" s="1086">
        <f t="shared" ca="1" si="155"/>
        <v>0</v>
      </c>
      <c r="BO79" s="1086">
        <f t="shared" ca="1" si="155"/>
        <v>0</v>
      </c>
      <c r="BP79" s="1086">
        <f t="shared" ca="1" si="155"/>
        <v>0</v>
      </c>
      <c r="BQ79" s="1086">
        <f t="shared" ca="1" si="155"/>
        <v>0</v>
      </c>
      <c r="BR79" s="1086">
        <f t="shared" ca="1" si="155"/>
        <v>0</v>
      </c>
      <c r="BS79" s="1086">
        <f t="shared" ca="1" si="155"/>
        <v>0</v>
      </c>
      <c r="BT79" s="1086">
        <f t="shared" ca="1" si="155"/>
        <v>0</v>
      </c>
      <c r="BU79" s="1086">
        <f t="shared" ca="1" si="155"/>
        <v>0</v>
      </c>
      <c r="BV79" s="1086">
        <f t="shared" ca="1" si="155"/>
        <v>0</v>
      </c>
      <c r="BW79" s="1087">
        <f t="shared" ca="1" si="155"/>
        <v>0.10033971172485269</v>
      </c>
      <c r="BX79" s="1086">
        <f t="shared" ca="1" si="155"/>
        <v>0.10983524804673865</v>
      </c>
      <c r="BY79" s="1086">
        <f t="shared" ca="1" si="155"/>
        <v>5.2512608268979355E-2</v>
      </c>
      <c r="BZ79" s="1086">
        <f t="shared" ca="1" si="155"/>
        <v>1.1185585548858524E-2</v>
      </c>
      <c r="CA79" s="1086">
        <f t="shared" ca="1" si="155"/>
        <v>1.0463391314656224E-2</v>
      </c>
      <c r="CB79" s="1086">
        <f t="shared" ca="1" si="155"/>
        <v>9.0359061563914343E-3</v>
      </c>
      <c r="CC79" s="124"/>
    </row>
    <row r="80" spans="1:81" s="738" customFormat="1" x14ac:dyDescent="0.55000000000000004">
      <c r="A80" s="102" t="s">
        <v>278</v>
      </c>
      <c r="B80" s="103"/>
      <c r="C80" s="67">
        <f t="shared" ref="C80:AH80" si="156">C78/C49</f>
        <v>0</v>
      </c>
      <c r="D80" s="67">
        <f t="shared" si="156"/>
        <v>0</v>
      </c>
      <c r="E80" s="67">
        <f t="shared" si="156"/>
        <v>0</v>
      </c>
      <c r="F80" s="67">
        <f t="shared" si="156"/>
        <v>0</v>
      </c>
      <c r="G80" s="67">
        <f t="shared" si="156"/>
        <v>0</v>
      </c>
      <c r="H80" s="67">
        <f t="shared" si="156"/>
        <v>0</v>
      </c>
      <c r="I80" s="67">
        <f t="shared" si="156"/>
        <v>0</v>
      </c>
      <c r="J80" s="67">
        <f t="shared" si="156"/>
        <v>0</v>
      </c>
      <c r="K80" s="67">
        <f t="shared" si="156"/>
        <v>0</v>
      </c>
      <c r="L80" s="67">
        <f t="shared" si="156"/>
        <v>0</v>
      </c>
      <c r="M80" s="67">
        <f t="shared" si="156"/>
        <v>0</v>
      </c>
      <c r="N80" s="67">
        <f t="shared" si="156"/>
        <v>0</v>
      </c>
      <c r="O80" s="67">
        <f t="shared" si="156"/>
        <v>0</v>
      </c>
      <c r="P80" s="67">
        <f t="shared" si="156"/>
        <v>0</v>
      </c>
      <c r="Q80" s="67">
        <f t="shared" si="156"/>
        <v>0</v>
      </c>
      <c r="R80" s="67">
        <f t="shared" si="156"/>
        <v>0</v>
      </c>
      <c r="S80" s="67">
        <f t="shared" si="156"/>
        <v>0</v>
      </c>
      <c r="T80" s="67">
        <f t="shared" si="156"/>
        <v>0</v>
      </c>
      <c r="U80" s="67">
        <f t="shared" si="156"/>
        <v>0</v>
      </c>
      <c r="V80" s="67">
        <f t="shared" si="156"/>
        <v>0</v>
      </c>
      <c r="W80" s="67">
        <f t="shared" si="156"/>
        <v>0</v>
      </c>
      <c r="X80" s="67">
        <f t="shared" si="156"/>
        <v>0</v>
      </c>
      <c r="Y80" s="67">
        <f t="shared" si="156"/>
        <v>0</v>
      </c>
      <c r="Z80" s="67">
        <f t="shared" si="156"/>
        <v>0</v>
      </c>
      <c r="AA80" s="67">
        <f t="shared" si="156"/>
        <v>0</v>
      </c>
      <c r="AB80" s="67">
        <f t="shared" si="156"/>
        <v>0</v>
      </c>
      <c r="AC80" s="67">
        <f t="shared" si="156"/>
        <v>0</v>
      </c>
      <c r="AD80" s="67">
        <f t="shared" si="156"/>
        <v>0</v>
      </c>
      <c r="AE80" s="67">
        <f t="shared" si="156"/>
        <v>0</v>
      </c>
      <c r="AF80" s="67">
        <f t="shared" si="156"/>
        <v>0</v>
      </c>
      <c r="AG80" s="67">
        <f t="shared" si="156"/>
        <v>0</v>
      </c>
      <c r="AH80" s="67">
        <f t="shared" si="156"/>
        <v>0</v>
      </c>
      <c r="AI80" s="67">
        <f t="shared" ref="AI80:BF80" si="157">AI78/AI49</f>
        <v>0</v>
      </c>
      <c r="AJ80" s="67">
        <f t="shared" si="157"/>
        <v>0</v>
      </c>
      <c r="AK80" s="67">
        <f t="shared" si="157"/>
        <v>0</v>
      </c>
      <c r="AL80" s="67">
        <f t="shared" si="157"/>
        <v>0</v>
      </c>
      <c r="AM80" s="67">
        <f t="shared" si="157"/>
        <v>0</v>
      </c>
      <c r="AN80" s="67">
        <f t="shared" si="157"/>
        <v>0</v>
      </c>
      <c r="AO80" s="67">
        <f t="shared" si="157"/>
        <v>0</v>
      </c>
      <c r="AP80" s="67">
        <f t="shared" si="157"/>
        <v>0</v>
      </c>
      <c r="AQ80" s="67">
        <f t="shared" si="157"/>
        <v>0</v>
      </c>
      <c r="AR80" s="67">
        <f t="shared" si="157"/>
        <v>0</v>
      </c>
      <c r="AS80" s="67">
        <f t="shared" si="157"/>
        <v>0</v>
      </c>
      <c r="AT80" s="67">
        <f t="shared" si="157"/>
        <v>0</v>
      </c>
      <c r="AU80" s="67">
        <f t="shared" si="157"/>
        <v>0.10611205432937182</v>
      </c>
      <c r="AV80" s="67">
        <f t="shared" si="157"/>
        <v>9.6917935388043067E-2</v>
      </c>
      <c r="AW80" s="67">
        <f t="shared" si="157"/>
        <v>8.2865884752677199E-2</v>
      </c>
      <c r="AX80" s="67">
        <f t="shared" si="157"/>
        <v>6.2362030905077262E-2</v>
      </c>
      <c r="AY80" s="698">
        <f t="shared" si="157"/>
        <v>8.1696106705118968E-2</v>
      </c>
      <c r="AZ80" s="67">
        <f t="shared" ca="1" si="157"/>
        <v>7.0960106446182711E-2</v>
      </c>
      <c r="BA80" s="67">
        <f t="shared" ca="1" si="157"/>
        <v>6.4042666637073031E-2</v>
      </c>
      <c r="BB80" s="67">
        <f t="shared" ca="1" si="157"/>
        <v>5.713703776145846E-2</v>
      </c>
      <c r="BC80" s="67">
        <f t="shared" ca="1" si="157"/>
        <v>5.1478314413492099E-2</v>
      </c>
      <c r="BD80" s="67">
        <f t="shared" ca="1" si="157"/>
        <v>5.8358737300243137E-2</v>
      </c>
      <c r="BE80" s="67">
        <f t="shared" ca="1" si="157"/>
        <v>5.420900142019338E-2</v>
      </c>
      <c r="BF80" s="67">
        <f t="shared" ca="1" si="157"/>
        <v>5.0008839604083165E-2</v>
      </c>
      <c r="BG80" s="67"/>
      <c r="BH80" s="1086"/>
      <c r="BI80" s="1086"/>
      <c r="BJ80" s="1086"/>
      <c r="BK80" s="1086">
        <f t="shared" ref="BK80:CB80" si="158">BK78/BK49</f>
        <v>0</v>
      </c>
      <c r="BL80" s="1086">
        <f t="shared" si="158"/>
        <v>0</v>
      </c>
      <c r="BM80" s="1086">
        <f t="shared" si="158"/>
        <v>0</v>
      </c>
      <c r="BN80" s="1086">
        <f t="shared" si="158"/>
        <v>0</v>
      </c>
      <c r="BO80" s="1086">
        <f t="shared" si="158"/>
        <v>0</v>
      </c>
      <c r="BP80" s="1086">
        <f t="shared" si="158"/>
        <v>0</v>
      </c>
      <c r="BQ80" s="1086">
        <f t="shared" si="158"/>
        <v>0</v>
      </c>
      <c r="BR80" s="1086">
        <f t="shared" si="158"/>
        <v>0</v>
      </c>
      <c r="BS80" s="1086">
        <f t="shared" si="158"/>
        <v>0</v>
      </c>
      <c r="BT80" s="1086">
        <f t="shared" si="158"/>
        <v>0</v>
      </c>
      <c r="BU80" s="1086">
        <f t="shared" si="158"/>
        <v>0</v>
      </c>
      <c r="BV80" s="1086">
        <f t="shared" si="158"/>
        <v>0</v>
      </c>
      <c r="BW80" s="1087">
        <f t="shared" si="158"/>
        <v>8.3835792174470819E-2</v>
      </c>
      <c r="BX80" s="1086">
        <f t="shared" ca="1" si="158"/>
        <v>6.7453872729532072E-2</v>
      </c>
      <c r="BY80" s="1086">
        <f t="shared" ca="1" si="158"/>
        <v>5.332998055845848E-2</v>
      </c>
      <c r="BZ80" s="1086">
        <f t="shared" ca="1" si="158"/>
        <v>1.1693230989619855E-2</v>
      </c>
      <c r="CA80" s="1086">
        <f t="shared" ca="1" si="158"/>
        <v>1.1158811268990739E-2</v>
      </c>
      <c r="CB80" s="1086">
        <f t="shared" ca="1" si="158"/>
        <v>9.7490110222985087E-3</v>
      </c>
      <c r="CC80" s="124"/>
    </row>
    <row r="81" spans="1:81" s="730" customFormat="1" x14ac:dyDescent="0.55000000000000004">
      <c r="A81" s="98"/>
      <c r="B81" s="99"/>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93"/>
      <c r="AZ81" s="63"/>
      <c r="BA81" s="63"/>
      <c r="BB81" s="63"/>
      <c r="BC81" s="63"/>
      <c r="BD81" s="63"/>
      <c r="BE81" s="63"/>
      <c r="BF81" s="63"/>
      <c r="BG81" s="63"/>
      <c r="BH81" s="1076"/>
      <c r="BI81" s="1076"/>
      <c r="BJ81" s="1076"/>
      <c r="BK81" s="1076"/>
      <c r="BL81" s="1076"/>
      <c r="BM81" s="1076"/>
      <c r="BN81" s="1076"/>
      <c r="BO81" s="1076"/>
      <c r="BP81" s="1076"/>
      <c r="BQ81" s="1076"/>
      <c r="BR81" s="1076"/>
      <c r="BS81" s="1076"/>
      <c r="BT81" s="1076"/>
      <c r="BU81" s="1076"/>
      <c r="BV81" s="1076"/>
      <c r="BW81" s="1077"/>
      <c r="BX81" s="1076"/>
      <c r="BY81" s="1076"/>
      <c r="BZ81" s="1076"/>
      <c r="CA81" s="1076"/>
      <c r="CB81" s="1076"/>
      <c r="CC81" s="63"/>
    </row>
    <row r="82" spans="1:81" s="729" customFormat="1" x14ac:dyDescent="0.55000000000000004">
      <c r="A82" s="608" t="s">
        <v>839</v>
      </c>
      <c r="B82" s="608"/>
      <c r="C82" s="608"/>
      <c r="D82" s="608"/>
      <c r="E82" s="608"/>
      <c r="F82" s="608"/>
      <c r="G82" s="608"/>
      <c r="H82" s="608"/>
      <c r="I82" s="608"/>
      <c r="J82" s="608"/>
      <c r="K82" s="608"/>
      <c r="L82" s="608"/>
      <c r="M82" s="608"/>
      <c r="N82" s="608"/>
      <c r="O82" s="608"/>
      <c r="P82" s="608"/>
      <c r="Q82" s="608"/>
      <c r="R82" s="608"/>
      <c r="S82" s="608"/>
      <c r="T82" s="608"/>
      <c r="U82" s="608"/>
      <c r="V82" s="608"/>
      <c r="W82" s="608"/>
      <c r="X82" s="608"/>
      <c r="Y82" s="608"/>
      <c r="Z82" s="608"/>
      <c r="AA82" s="608"/>
      <c r="AB82" s="608"/>
      <c r="AC82" s="608"/>
      <c r="AD82" s="608"/>
      <c r="AE82" s="608"/>
      <c r="AF82" s="608"/>
      <c r="AG82" s="608"/>
      <c r="AH82" s="608"/>
      <c r="AI82" s="608"/>
      <c r="AJ82" s="608"/>
      <c r="AK82" s="608"/>
      <c r="AL82" s="608"/>
      <c r="AM82" s="608"/>
      <c r="AN82" s="608"/>
      <c r="AO82" s="608"/>
      <c r="AP82" s="608"/>
      <c r="AQ82" s="608"/>
      <c r="AR82" s="608"/>
      <c r="AS82" s="608"/>
      <c r="AT82" s="608"/>
      <c r="AU82" s="608"/>
      <c r="AV82" s="608"/>
      <c r="AW82" s="608"/>
      <c r="AX82" s="608"/>
      <c r="AY82" s="609"/>
      <c r="AZ82" s="608"/>
      <c r="BA82" s="608"/>
      <c r="BB82" s="608"/>
      <c r="BC82" s="608"/>
      <c r="BD82" s="608"/>
      <c r="BE82" s="608"/>
      <c r="BF82" s="608"/>
      <c r="BG82" s="608"/>
      <c r="BH82" s="608"/>
      <c r="BI82" s="608"/>
      <c r="BJ82" s="608"/>
      <c r="BK82" s="608"/>
      <c r="BL82" s="608"/>
      <c r="BM82" s="608"/>
      <c r="BN82" s="608"/>
      <c r="BO82" s="608"/>
      <c r="BP82" s="608"/>
      <c r="BQ82" s="608"/>
      <c r="BR82" s="608"/>
      <c r="BS82" s="608"/>
      <c r="BT82" s="608"/>
      <c r="BU82" s="608"/>
      <c r="BV82" s="608"/>
      <c r="BW82" s="609"/>
      <c r="BX82" s="608"/>
      <c r="BY82" s="608"/>
      <c r="BZ82" s="608"/>
      <c r="CA82" s="608"/>
      <c r="CB82" s="608"/>
      <c r="CC82" s="607"/>
    </row>
    <row r="83" spans="1:81" s="739" customFormat="1" x14ac:dyDescent="0.55000000000000004">
      <c r="A83" s="104" t="s">
        <v>117</v>
      </c>
      <c r="B83" s="105"/>
      <c r="C83" s="591"/>
      <c r="D83" s="591"/>
      <c r="E83" s="591"/>
      <c r="F83" s="591">
        <f t="shared" ref="F83:AK83" si="159">INDEX(MO_BSS_Debt_Net,0,COLUMN())/INDEX(SP_BSR_EBITDA_LTM,0,COLUMN())</f>
        <v>-2.324295700063546</v>
      </c>
      <c r="G83" s="591">
        <f t="shared" si="159"/>
        <v>-2.2016912558474271</v>
      </c>
      <c r="H83" s="591">
        <f t="shared" si="159"/>
        <v>-2.0959557127479624</v>
      </c>
      <c r="I83" s="591">
        <f t="shared" si="159"/>
        <v>-1.9158096805155629</v>
      </c>
      <c r="J83" s="591">
        <f t="shared" si="159"/>
        <v>-1.3580185758513932</v>
      </c>
      <c r="K83" s="591">
        <f t="shared" si="159"/>
        <v>-1.4292226767971947</v>
      </c>
      <c r="L83" s="591">
        <f t="shared" si="159"/>
        <v>-1.5376829134118164</v>
      </c>
      <c r="M83" s="591">
        <f t="shared" si="159"/>
        <v>-1.6107465135356851</v>
      </c>
      <c r="N83" s="591">
        <f t="shared" si="159"/>
        <v>-1.6446718735972707</v>
      </c>
      <c r="O83" s="591">
        <f t="shared" si="159"/>
        <v>-1.6691759753925854</v>
      </c>
      <c r="P83" s="68">
        <f t="shared" si="159"/>
        <v>-1.6643801357627723</v>
      </c>
      <c r="Q83" s="68">
        <f t="shared" si="159"/>
        <v>-1.6518167456556083</v>
      </c>
      <c r="R83" s="68">
        <f t="shared" si="159"/>
        <v>-1.6372380052259965</v>
      </c>
      <c r="S83" s="68">
        <f t="shared" si="159"/>
        <v>-1.6529881293491608</v>
      </c>
      <c r="T83" s="68">
        <f t="shared" si="159"/>
        <v>-1.6435790449698655</v>
      </c>
      <c r="U83" s="68">
        <f t="shared" si="159"/>
        <v>-1.5992398295881713</v>
      </c>
      <c r="V83" s="68">
        <f t="shared" si="159"/>
        <v>-1.547717996289425</v>
      </c>
      <c r="W83" s="68">
        <f t="shared" si="159"/>
        <v>-1.4975202119709219</v>
      </c>
      <c r="X83" s="68">
        <f t="shared" si="159"/>
        <v>-1.3528811505468925</v>
      </c>
      <c r="Y83" s="68">
        <f t="shared" si="159"/>
        <v>-1.2757619738751815</v>
      </c>
      <c r="Z83" s="68">
        <f t="shared" si="159"/>
        <v>-1.2348412222887957</v>
      </c>
      <c r="AA83" s="68">
        <f t="shared" si="159"/>
        <v>-1.2032545964868018</v>
      </c>
      <c r="AB83" s="68">
        <f t="shared" si="159"/>
        <v>-1.3171587725794507</v>
      </c>
      <c r="AC83" s="68">
        <f t="shared" si="159"/>
        <v>-1.3110767458079384</v>
      </c>
      <c r="AD83" s="68">
        <f t="shared" si="159"/>
        <v>-1.2941874258600237</v>
      </c>
      <c r="AE83" s="68">
        <f t="shared" si="159"/>
        <v>-1.3327852331193974</v>
      </c>
      <c r="AF83" s="68">
        <f t="shared" si="159"/>
        <v>-1.216842848853344</v>
      </c>
      <c r="AG83" s="68">
        <f t="shared" si="159"/>
        <v>-1.0998618081315004</v>
      </c>
      <c r="AH83" s="68">
        <f t="shared" si="159"/>
        <v>-1.1217521543771301</v>
      </c>
      <c r="AI83" s="68">
        <f t="shared" si="159"/>
        <v>-1.0106630550892721</v>
      </c>
      <c r="AJ83" s="68">
        <f t="shared" si="159"/>
        <v>-0.87383886730150262</v>
      </c>
      <c r="AK83" s="68">
        <f t="shared" si="159"/>
        <v>-0.72263823064770927</v>
      </c>
      <c r="AL83" s="68">
        <f t="shared" ref="AL83:BF83" si="160">INDEX(MO_BSS_Debt_Net,0,COLUMN())/INDEX(SP_BSR_EBITDA_LTM,0,COLUMN())</f>
        <v>-0.53831222704005766</v>
      </c>
      <c r="AM83" s="68">
        <f t="shared" si="160"/>
        <v>-0.48971412873095133</v>
      </c>
      <c r="AN83" s="68">
        <f t="shared" si="160"/>
        <v>-0.42985954864662168</v>
      </c>
      <c r="AO83" s="68">
        <f t="shared" si="160"/>
        <v>-0.30666982714608709</v>
      </c>
      <c r="AP83" s="68">
        <f t="shared" si="160"/>
        <v>-0.30353472250211599</v>
      </c>
      <c r="AQ83" s="68">
        <f t="shared" si="160"/>
        <v>-0.21794663525971653</v>
      </c>
      <c r="AR83" s="68">
        <f t="shared" si="160"/>
        <v>-0.35339802064571108</v>
      </c>
      <c r="AS83" s="68">
        <f t="shared" si="160"/>
        <v>-0.42653763228492897</v>
      </c>
      <c r="AT83" s="68">
        <f t="shared" si="160"/>
        <v>-0.40488631941742176</v>
      </c>
      <c r="AU83" s="68">
        <f t="shared" si="160"/>
        <v>-0.26860890023527056</v>
      </c>
      <c r="AV83" s="68">
        <f t="shared" si="160"/>
        <v>-0.24237056123681455</v>
      </c>
      <c r="AW83" s="68">
        <f t="shared" si="160"/>
        <v>-0.25013789597776359</v>
      </c>
      <c r="AX83" s="68">
        <f t="shared" si="160"/>
        <v>-0.29836168872085694</v>
      </c>
      <c r="AY83" s="699">
        <f t="shared" si="160"/>
        <v>-0.20703653585926929</v>
      </c>
      <c r="AZ83" s="68">
        <f t="shared" ca="1" si="160"/>
        <v>-0.2655645076941745</v>
      </c>
      <c r="BA83" s="68">
        <f t="shared" ca="1" si="160"/>
        <v>-0.35997108017833512</v>
      </c>
      <c r="BB83" s="68">
        <f t="shared" ca="1" si="160"/>
        <v>-0.45676260680229547</v>
      </c>
      <c r="BC83" s="68">
        <f t="shared" ca="1" si="160"/>
        <v>-0.6333882143288323</v>
      </c>
      <c r="BD83" s="68">
        <f t="shared" ca="1" si="160"/>
        <v>-0.75213684899307054</v>
      </c>
      <c r="BE83" s="68">
        <f t="shared" ca="1" si="160"/>
        <v>-0.9034563228147402</v>
      </c>
      <c r="BF83" s="68">
        <f t="shared" ca="1" si="160"/>
        <v>-1.0219383553186219</v>
      </c>
      <c r="BG83" s="68"/>
      <c r="BH83" s="1088">
        <f t="shared" ref="BH83:CB83" si="161">INDEX(MO_BSS_Debt_Net,0,COLUMN())/INDEX(SP_BSR_EBITDA_LTM,0,COLUMN())</f>
        <v>0</v>
      </c>
      <c r="BI83" s="1088">
        <f t="shared" si="161"/>
        <v>-1.1015952980688497</v>
      </c>
      <c r="BJ83" s="1088">
        <f t="shared" si="161"/>
        <v>-1.4072299651567943</v>
      </c>
      <c r="BK83" s="1088">
        <f t="shared" si="161"/>
        <v>-2.6350126857557088</v>
      </c>
      <c r="BL83" s="1088">
        <f t="shared" si="161"/>
        <v>-2.324295700063546</v>
      </c>
      <c r="BM83" s="1088">
        <f t="shared" si="161"/>
        <v>-1.3581867723557097</v>
      </c>
      <c r="BN83" s="1088">
        <f t="shared" si="161"/>
        <v>-1.6446718735972707</v>
      </c>
      <c r="BO83" s="1088">
        <f t="shared" si="161"/>
        <v>-1.6372380052259965</v>
      </c>
      <c r="BP83" s="1088">
        <f t="shared" si="161"/>
        <v>-1.5476605691811065</v>
      </c>
      <c r="BQ83" s="1088">
        <f t="shared" si="161"/>
        <v>-1.2348412222887957</v>
      </c>
      <c r="BR83" s="1088">
        <f t="shared" si="161"/>
        <v>-1.2941874258600237</v>
      </c>
      <c r="BS83" s="1088">
        <f t="shared" si="161"/>
        <v>-1.1217521543771301</v>
      </c>
      <c r="BT83" s="1088">
        <f t="shared" si="161"/>
        <v>-0.53830380063865757</v>
      </c>
      <c r="BU83" s="1088">
        <f t="shared" si="161"/>
        <v>-0.30353472250211599</v>
      </c>
      <c r="BV83" s="1088">
        <f t="shared" si="161"/>
        <v>-0.40488631941742176</v>
      </c>
      <c r="BW83" s="1089">
        <f t="shared" si="161"/>
        <v>-0.29836168872085694</v>
      </c>
      <c r="BX83" s="1088">
        <f t="shared" ca="1" si="161"/>
        <v>-0.45676260680229547</v>
      </c>
      <c r="BY83" s="1088">
        <f t="shared" ca="1" si="161"/>
        <v>-1.0219383553186219</v>
      </c>
      <c r="BZ83" s="1088">
        <f t="shared" ca="1" si="161"/>
        <v>-1.5099441586691462</v>
      </c>
      <c r="CA83" s="1088">
        <f t="shared" ca="1" si="161"/>
        <v>-1.9639593863217979</v>
      </c>
      <c r="CB83" s="1088">
        <f t="shared" ca="1" si="161"/>
        <v>-2.4201565852624674</v>
      </c>
      <c r="CC83" s="68"/>
    </row>
    <row r="84" spans="1:81" s="739" customFormat="1" x14ac:dyDescent="0.55000000000000004">
      <c r="A84" s="104" t="s">
        <v>118</v>
      </c>
      <c r="B84" s="105"/>
      <c r="C84" s="591"/>
      <c r="D84" s="591"/>
      <c r="E84" s="591"/>
      <c r="F84" s="591">
        <f t="shared" ref="F84:AK84" ca="1" si="162">INDEX(MO_BSS_Debt_Net,0,COLUMN())/INDEX(SP_BSR_CashFlow_LTM,0,COLUMN())</f>
        <v>-2.5990052108005686</v>
      </c>
      <c r="G84" s="591">
        <f t="shared" ca="1" si="162"/>
        <v>-2.5557644110275688</v>
      </c>
      <c r="H84" s="591">
        <f t="shared" ca="1" si="162"/>
        <v>-2.8354483045558561</v>
      </c>
      <c r="I84" s="591">
        <f t="shared" ca="1" si="162"/>
        <v>-2.73692458374143</v>
      </c>
      <c r="J84" s="591">
        <f t="shared" ca="1" si="162"/>
        <v>-2.0095290452629651</v>
      </c>
      <c r="K84" s="591">
        <f t="shared" ca="1" si="162"/>
        <v>-2.0822547683923704</v>
      </c>
      <c r="L84" s="591">
        <f t="shared" ca="1" si="162"/>
        <v>-2.1800031196381218</v>
      </c>
      <c r="M84" s="591">
        <f t="shared" ca="1" si="162"/>
        <v>-2.1356900067980966</v>
      </c>
      <c r="N84" s="591">
        <f t="shared" ca="1" si="162"/>
        <v>-2.1304802884056286</v>
      </c>
      <c r="O84" s="591">
        <f t="shared" ca="1" si="162"/>
        <v>-1.9873747108712414</v>
      </c>
      <c r="P84" s="68">
        <f t="shared" ca="1" si="162"/>
        <v>-1.9153852479236906</v>
      </c>
      <c r="Q84" s="68">
        <f t="shared" ca="1" si="162"/>
        <v>-1.8664762584791146</v>
      </c>
      <c r="R84" s="68">
        <f t="shared" ca="1" si="162"/>
        <v>-1.8282220014899428</v>
      </c>
      <c r="S84" s="68">
        <f t="shared" ca="1" si="162"/>
        <v>-1.8263327491661485</v>
      </c>
      <c r="T84" s="68">
        <f t="shared" ca="1" si="162"/>
        <v>-1.8289310771770533</v>
      </c>
      <c r="U84" s="68">
        <f t="shared" ca="1" si="162"/>
        <v>-1.7829569266589056</v>
      </c>
      <c r="V84" s="68">
        <f t="shared" ca="1" si="162"/>
        <v>-1.7224562272877437</v>
      </c>
      <c r="W84" s="68">
        <f t="shared" ca="1" si="162"/>
        <v>-1.6316529720926789</v>
      </c>
      <c r="X84" s="68">
        <f t="shared" ca="1" si="162"/>
        <v>-1.5175633137787952</v>
      </c>
      <c r="Y84" s="68">
        <f t="shared" ca="1" si="162"/>
        <v>-1.4087018788147441</v>
      </c>
      <c r="Z84" s="68">
        <f t="shared" ca="1" si="162"/>
        <v>-1.4080412652866023</v>
      </c>
      <c r="AA84" s="68">
        <f t="shared" ca="1" si="162"/>
        <v>-1.2419113338975327</v>
      </c>
      <c r="AB84" s="68">
        <f t="shared" ca="1" si="162"/>
        <v>-1.2381053268765134</v>
      </c>
      <c r="AC84" s="68">
        <f t="shared" ca="1" si="162"/>
        <v>-1.2407242675543058</v>
      </c>
      <c r="AD84" s="68">
        <f t="shared" ca="1" si="162"/>
        <v>-1.2317838850030292</v>
      </c>
      <c r="AE84" s="68">
        <f t="shared" ca="1" si="162"/>
        <v>-1.3222301155050384</v>
      </c>
      <c r="AF84" s="68">
        <f t="shared" ca="1" si="162"/>
        <v>-1.4498016111578693</v>
      </c>
      <c r="AG84" s="68">
        <f t="shared" ca="1" si="162"/>
        <v>-1.3425865640722108</v>
      </c>
      <c r="AH84" s="68">
        <f t="shared" ca="1" si="162"/>
        <v>-1.3337290628951919</v>
      </c>
      <c r="AI84" s="68">
        <f t="shared" ca="1" si="162"/>
        <v>-1.3249724917475243</v>
      </c>
      <c r="AJ84" s="68">
        <f t="shared" ca="1" si="162"/>
        <v>-1.0615908262085174</v>
      </c>
      <c r="AK84" s="68">
        <f t="shared" ca="1" si="162"/>
        <v>-0.85311177008150096</v>
      </c>
      <c r="AL84" s="68">
        <f t="shared" ref="AL84:BF84" ca="1" si="163">INDEX(MO_BSS_Debt_Net,0,COLUMN())/INDEX(SP_BSR_CashFlow_LTM,0,COLUMN())</f>
        <v>-0.59617218244543457</v>
      </c>
      <c r="AM84" s="68">
        <f t="shared" ca="1" si="163"/>
        <v>-0.50916544852731149</v>
      </c>
      <c r="AN84" s="68">
        <f t="shared" ca="1" si="163"/>
        <v>-0.43134471316662676</v>
      </c>
      <c r="AO84" s="68">
        <f t="shared" ca="1" si="163"/>
        <v>-0.31107124361914629</v>
      </c>
      <c r="AP84" s="68">
        <f t="shared" ca="1" si="163"/>
        <v>-0.29840515106488358</v>
      </c>
      <c r="AQ84" s="68">
        <f t="shared" ca="1" si="163"/>
        <v>-0.21296902593408337</v>
      </c>
      <c r="AR84" s="68">
        <f t="shared" ca="1" si="163"/>
        <v>-0.32871554674833364</v>
      </c>
      <c r="AS84" s="68">
        <f t="shared" ca="1" si="163"/>
        <v>-0.39136212624584715</v>
      </c>
      <c r="AT84" s="68">
        <f t="shared" ca="1" si="163"/>
        <v>-0.40968599271581846</v>
      </c>
      <c r="AU84" s="68">
        <f t="shared" ca="1" si="163"/>
        <v>-0.28108589463207656</v>
      </c>
      <c r="AV84" s="68">
        <f t="shared" ca="1" si="163"/>
        <v>-0.26867460661549053</v>
      </c>
      <c r="AW84" s="68">
        <f t="shared" ca="1" si="163"/>
        <v>-0.27951271391279126</v>
      </c>
      <c r="AX84" s="68">
        <f t="shared" ca="1" si="163"/>
        <v>-0.33181499649614576</v>
      </c>
      <c r="AY84" s="699">
        <f t="shared" ca="1" si="163"/>
        <v>-0.22924210263453615</v>
      </c>
      <c r="AZ84" s="68">
        <f t="shared" ca="1" si="163"/>
        <v>-0.27864092794876694</v>
      </c>
      <c r="BA84" s="68">
        <f t="shared" ca="1" si="163"/>
        <v>-0.36681206929715937</v>
      </c>
      <c r="BB84" s="68">
        <f t="shared" ca="1" si="163"/>
        <v>-0.45863763924277917</v>
      </c>
      <c r="BC84" s="68">
        <f t="shared" ca="1" si="163"/>
        <v>-0.61992401793968288</v>
      </c>
      <c r="BD84" s="68">
        <f t="shared" ca="1" si="163"/>
        <v>-0.74815508081080351</v>
      </c>
      <c r="BE84" s="68">
        <f t="shared" ca="1" si="163"/>
        <v>-0.89735116229722789</v>
      </c>
      <c r="BF84" s="68">
        <f t="shared" ca="1" si="163"/>
        <v>-1.0306352993734367</v>
      </c>
      <c r="BG84" s="68"/>
      <c r="BH84" s="1088">
        <f t="shared" ref="BH84:CB84" ca="1" si="164">INDEX(MO_BSS_Debt_Net,0,COLUMN())/INDEX(SP_BSR_CashFlow_LTM,0,COLUMN())</f>
        <v>0</v>
      </c>
      <c r="BI84" s="1088">
        <f t="shared" ca="1" si="164"/>
        <v>-1.8796561604584527</v>
      </c>
      <c r="BJ84" s="1088">
        <f t="shared" ca="1" si="164"/>
        <v>-2.0858618463524854</v>
      </c>
      <c r="BK84" s="1088">
        <f t="shared" ca="1" si="164"/>
        <v>-4.5099255583126547</v>
      </c>
      <c r="BL84" s="1088">
        <f t="shared" ca="1" si="164"/>
        <v>-2.5990052108005686</v>
      </c>
      <c r="BM84" s="1088">
        <f t="shared" ca="1" si="164"/>
        <v>-2.0095290452629651</v>
      </c>
      <c r="BN84" s="1088">
        <f t="shared" ca="1" si="164"/>
        <v>-2.1304802884056286</v>
      </c>
      <c r="BO84" s="1088">
        <f t="shared" ca="1" si="164"/>
        <v>-1.8282220014899428</v>
      </c>
      <c r="BP84" s="1088">
        <f t="shared" ca="1" si="164"/>
        <v>-1.7224562272877437</v>
      </c>
      <c r="BQ84" s="1088">
        <f t="shared" ca="1" si="164"/>
        <v>-1.4080412652866023</v>
      </c>
      <c r="BR84" s="1088">
        <f t="shared" ca="1" si="164"/>
        <v>-1.2317838850030292</v>
      </c>
      <c r="BS84" s="1088">
        <f t="shared" ca="1" si="164"/>
        <v>-1.3337290628951919</v>
      </c>
      <c r="BT84" s="1088">
        <f t="shared" ca="1" si="164"/>
        <v>-0.59617218244543457</v>
      </c>
      <c r="BU84" s="1088">
        <f t="shared" ca="1" si="164"/>
        <v>-0.29840515106488358</v>
      </c>
      <c r="BV84" s="1088">
        <f t="shared" ca="1" si="164"/>
        <v>-0.40968599271581846</v>
      </c>
      <c r="BW84" s="1089">
        <f t="shared" ca="1" si="164"/>
        <v>-0.33181499649614576</v>
      </c>
      <c r="BX84" s="1088">
        <f t="shared" ca="1" si="164"/>
        <v>-0.45863763924277923</v>
      </c>
      <c r="BY84" s="1088">
        <f t="shared" ca="1" si="164"/>
        <v>-1.0306352993734367</v>
      </c>
      <c r="BZ84" s="1088">
        <f t="shared" ca="1" si="164"/>
        <v>-1.5875380401526988</v>
      </c>
      <c r="CA84" s="1088">
        <f t="shared" ca="1" si="164"/>
        <v>-2.1988599247213343</v>
      </c>
      <c r="CB84" s="1088">
        <f t="shared" ca="1" si="164"/>
        <v>-2.6875945289485608</v>
      </c>
      <c r="CC84" s="68"/>
    </row>
    <row r="85" spans="1:81" s="740" customFormat="1" x14ac:dyDescent="0.55000000000000004">
      <c r="A85" s="106" t="s">
        <v>279</v>
      </c>
      <c r="B85" s="107"/>
      <c r="C85" s="69"/>
      <c r="D85" s="69"/>
      <c r="E85" s="69"/>
      <c r="F85" s="69">
        <f t="shared" ref="F85:AK85" si="165">INDEX(MO_BSS_Debt_Net,0,COLUMN())/SUM(INDEX(MO_BS_SE,0,COLUMN()),INDEX(MO_BSS_Debt,0,COLUMN()),IFERROR(INDEX(MO_BSS_OL,0,COLUMN()),0))</f>
        <v>-0.68813495547472725</v>
      </c>
      <c r="G85" s="69">
        <f t="shared" si="165"/>
        <v>-0.71440247533422852</v>
      </c>
      <c r="H85" s="69">
        <f t="shared" si="165"/>
        <v>-0.72997000856898031</v>
      </c>
      <c r="I85" s="69">
        <f t="shared" si="165"/>
        <v>-0.6493772076594162</v>
      </c>
      <c r="J85" s="69">
        <f t="shared" si="165"/>
        <v>-0.30185251452008038</v>
      </c>
      <c r="K85" s="69">
        <f t="shared" si="165"/>
        <v>-0.32443548173110093</v>
      </c>
      <c r="L85" s="69">
        <f t="shared" si="165"/>
        <v>-0.35292038079846466</v>
      </c>
      <c r="M85" s="69">
        <f t="shared" si="165"/>
        <v>-0.37808693977759594</v>
      </c>
      <c r="N85" s="69">
        <f t="shared" si="165"/>
        <v>-0.4132455111431923</v>
      </c>
      <c r="O85" s="69">
        <f t="shared" si="165"/>
        <v>-0.42440520293076478</v>
      </c>
      <c r="P85" s="69">
        <f t="shared" si="165"/>
        <v>-0.45145847465839711</v>
      </c>
      <c r="Q85" s="69">
        <f t="shared" si="165"/>
        <v>-0.47422942254313238</v>
      </c>
      <c r="R85" s="69">
        <f t="shared" si="165"/>
        <v>-0.49749974659593876</v>
      </c>
      <c r="S85" s="69">
        <f t="shared" si="165"/>
        <v>-0.51948929053836757</v>
      </c>
      <c r="T85" s="69">
        <f t="shared" si="165"/>
        <v>-0.53326514342443709</v>
      </c>
      <c r="U85" s="69">
        <f t="shared" si="165"/>
        <v>-0.53770643747893498</v>
      </c>
      <c r="V85" s="69">
        <f t="shared" si="165"/>
        <v>-0.56103137988082907</v>
      </c>
      <c r="W85" s="69">
        <f t="shared" si="165"/>
        <v>-0.56794640556557585</v>
      </c>
      <c r="X85" s="69">
        <f t="shared" si="165"/>
        <v>-0.53444105716661205</v>
      </c>
      <c r="Y85" s="69">
        <f t="shared" si="165"/>
        <v>-0.51421423414901302</v>
      </c>
      <c r="Z85" s="69">
        <f t="shared" si="165"/>
        <v>-0.48996160566762159</v>
      </c>
      <c r="AA85" s="69">
        <f t="shared" si="165"/>
        <v>-0.40708021253440879</v>
      </c>
      <c r="AB85" s="69">
        <f t="shared" si="165"/>
        <v>-0.42359068881249223</v>
      </c>
      <c r="AC85" s="69">
        <f t="shared" si="165"/>
        <v>-0.41925318284511931</v>
      </c>
      <c r="AD85" s="69">
        <f t="shared" si="165"/>
        <v>-0.40161432239760098</v>
      </c>
      <c r="AE85" s="69">
        <f t="shared" si="165"/>
        <v>-0.43454275041505258</v>
      </c>
      <c r="AF85" s="69">
        <f t="shared" si="165"/>
        <v>-0.39868076277701087</v>
      </c>
      <c r="AG85" s="69">
        <f t="shared" si="165"/>
        <v>-0.35346365711703431</v>
      </c>
      <c r="AH85" s="69">
        <f t="shared" si="165"/>
        <v>-0.37193401658222019</v>
      </c>
      <c r="AI85" s="69">
        <f t="shared" si="165"/>
        <v>-0.36471835397291957</v>
      </c>
      <c r="AJ85" s="69">
        <f t="shared" si="165"/>
        <v>-0.34877590958105353</v>
      </c>
      <c r="AK85" s="69">
        <f t="shared" si="165"/>
        <v>-0.31330821917808221</v>
      </c>
      <c r="AL85" s="69">
        <f t="shared" ref="AL85:BF85" si="166">INDEX(MO_BSS_Debt_Net,0,COLUMN())/SUM(INDEX(MO_BS_SE,0,COLUMN()),INDEX(MO_BSS_Debt,0,COLUMN()),IFERROR(INDEX(MO_BSS_OL,0,COLUMN()),0))</f>
        <v>-0.24784507610701106</v>
      </c>
      <c r="AM85" s="69">
        <f t="shared" si="166"/>
        <v>-0.22074431275995951</v>
      </c>
      <c r="AN85" s="69">
        <f t="shared" si="166"/>
        <v>-0.17780644979342047</v>
      </c>
      <c r="AO85" s="69">
        <f t="shared" si="166"/>
        <v>-0.11213115191274317</v>
      </c>
      <c r="AP85" s="69">
        <f t="shared" si="166"/>
        <v>-9.8894316629898102E-2</v>
      </c>
      <c r="AQ85" s="69">
        <f t="shared" si="166"/>
        <v>-7.0440375401982017E-2</v>
      </c>
      <c r="AR85" s="69">
        <f t="shared" si="166"/>
        <v>-0.10717705035506399</v>
      </c>
      <c r="AS85" s="69">
        <f t="shared" si="166"/>
        <v>-0.14470936400692389</v>
      </c>
      <c r="AT85" s="69">
        <f t="shared" si="166"/>
        <v>-0.15301309860190543</v>
      </c>
      <c r="AU85" s="69">
        <f t="shared" si="166"/>
        <v>-0.11468139900193415</v>
      </c>
      <c r="AV85" s="69">
        <f t="shared" si="166"/>
        <v>-0.10818776507799584</v>
      </c>
      <c r="AW85" s="69">
        <f t="shared" si="166"/>
        <v>-0.10828932089747911</v>
      </c>
      <c r="AX85" s="69">
        <f t="shared" si="166"/>
        <v>-0.13079150787450852</v>
      </c>
      <c r="AY85" s="700">
        <f t="shared" si="166"/>
        <v>-9.3933864283643434E-2</v>
      </c>
      <c r="AZ85" s="69">
        <f t="shared" ca="1" si="166"/>
        <v>-0.11196965754501634</v>
      </c>
      <c r="BA85" s="69">
        <f t="shared" ca="1" si="166"/>
        <v>-0.14249611503234907</v>
      </c>
      <c r="BB85" s="69">
        <f t="shared" ca="1" si="166"/>
        <v>-0.16535475894458193</v>
      </c>
      <c r="BC85" s="69">
        <f t="shared" ca="1" si="166"/>
        <v>-0.2278323192921364</v>
      </c>
      <c r="BD85" s="69">
        <f t="shared" ca="1" si="166"/>
        <v>-0.26831794639715045</v>
      </c>
      <c r="BE85" s="69">
        <f t="shared" ca="1" si="166"/>
        <v>-0.31308337890722787</v>
      </c>
      <c r="BF85" s="69">
        <f t="shared" ca="1" si="166"/>
        <v>-0.34620907479854507</v>
      </c>
      <c r="BG85" s="69"/>
      <c r="BH85" s="1090"/>
      <c r="BI85" s="1090">
        <f t="shared" ref="BI85:CB85" si="167">INDEX(MO_BSS_Debt_Net,0,COLUMN())/SUM(INDEX(MO_BS_SE,0,COLUMN()),INDEX(MO_BSS_Debt,0,COLUMN()),IFERROR(INDEX(MO_BSS_OL,0,COLUMN()),0))</f>
        <v>-0.49791271347248578</v>
      </c>
      <c r="BJ85" s="1090">
        <f t="shared" si="167"/>
        <v>-0.57944763271162125</v>
      </c>
      <c r="BK85" s="1090">
        <f t="shared" si="167"/>
        <v>-0.51520090709375665</v>
      </c>
      <c r="BL85" s="1090">
        <f t="shared" si="167"/>
        <v>-0.68813495547472725</v>
      </c>
      <c r="BM85" s="1090">
        <f t="shared" si="167"/>
        <v>-0.30185251452008038</v>
      </c>
      <c r="BN85" s="1090">
        <f t="shared" si="167"/>
        <v>-0.4132455111431923</v>
      </c>
      <c r="BO85" s="1090">
        <f t="shared" si="167"/>
        <v>-0.49749974659593876</v>
      </c>
      <c r="BP85" s="1090">
        <f t="shared" si="167"/>
        <v>-0.56103137988082907</v>
      </c>
      <c r="BQ85" s="1090">
        <f t="shared" si="167"/>
        <v>-0.48996160566762159</v>
      </c>
      <c r="BR85" s="1090">
        <f t="shared" si="167"/>
        <v>-0.40161432239760098</v>
      </c>
      <c r="BS85" s="1090">
        <f t="shared" si="167"/>
        <v>-0.37193401658222019</v>
      </c>
      <c r="BT85" s="1090">
        <f t="shared" si="167"/>
        <v>-0.24784507610701106</v>
      </c>
      <c r="BU85" s="1090">
        <f t="shared" si="167"/>
        <v>-9.8894316629898102E-2</v>
      </c>
      <c r="BV85" s="1090">
        <f t="shared" si="167"/>
        <v>-0.15301309860190543</v>
      </c>
      <c r="BW85" s="1091">
        <f t="shared" si="167"/>
        <v>-0.13079150787450852</v>
      </c>
      <c r="BX85" s="1090">
        <f t="shared" ca="1" si="167"/>
        <v>-0.16535475894458193</v>
      </c>
      <c r="BY85" s="1090">
        <f t="shared" ca="1" si="167"/>
        <v>-0.34620907479854507</v>
      </c>
      <c r="BZ85" s="1090">
        <f t="shared" ca="1" si="167"/>
        <v>-0.46120719081116457</v>
      </c>
      <c r="CA85" s="1090">
        <f t="shared" ca="1" si="167"/>
        <v>-0.53971633502262961</v>
      </c>
      <c r="CB85" s="1090">
        <f t="shared" ca="1" si="167"/>
        <v>-0.60330181433811469</v>
      </c>
      <c r="CC85" s="125"/>
    </row>
    <row r="86" spans="1:81" s="735" customFormat="1" hidden="1" outlineLevel="1" x14ac:dyDescent="0.55000000000000004">
      <c r="A86" s="448" t="s">
        <v>280</v>
      </c>
      <c r="B86" s="331"/>
      <c r="C86" s="62"/>
      <c r="D86" s="62"/>
      <c r="E86" s="62"/>
      <c r="F86" s="62">
        <f t="shared" ref="F86:AK86" si="168">SUM(F46,E46,D46,C46)</f>
        <v>4721</v>
      </c>
      <c r="G86" s="62">
        <f t="shared" si="168"/>
        <v>5558</v>
      </c>
      <c r="H86" s="62">
        <f t="shared" si="168"/>
        <v>6503</v>
      </c>
      <c r="I86" s="62">
        <f t="shared" si="168"/>
        <v>7293</v>
      </c>
      <c r="J86" s="62">
        <f t="shared" si="168"/>
        <v>8075</v>
      </c>
      <c r="K86" s="62">
        <f t="shared" si="168"/>
        <v>8555</v>
      </c>
      <c r="L86" s="62">
        <f t="shared" si="168"/>
        <v>9089</v>
      </c>
      <c r="M86" s="62">
        <f t="shared" si="168"/>
        <v>9752</v>
      </c>
      <c r="N86" s="62">
        <f t="shared" si="168"/>
        <v>11139</v>
      </c>
      <c r="O86" s="62">
        <f t="shared" si="168"/>
        <v>12354</v>
      </c>
      <c r="P86" s="62">
        <f t="shared" si="168"/>
        <v>13995</v>
      </c>
      <c r="Q86" s="62">
        <f t="shared" si="168"/>
        <v>15825</v>
      </c>
      <c r="R86" s="62">
        <f t="shared" si="168"/>
        <v>17987</v>
      </c>
      <c r="S86" s="62">
        <f t="shared" si="168"/>
        <v>19544</v>
      </c>
      <c r="T86" s="62">
        <f t="shared" si="168"/>
        <v>21570</v>
      </c>
      <c r="U86" s="62">
        <f t="shared" si="168"/>
        <v>23942</v>
      </c>
      <c r="V86" s="62">
        <f t="shared" si="168"/>
        <v>26950</v>
      </c>
      <c r="W86" s="62">
        <f t="shared" si="168"/>
        <v>29438</v>
      </c>
      <c r="X86" s="62">
        <f t="shared" si="168"/>
        <v>31359</v>
      </c>
      <c r="Y86" s="62">
        <f t="shared" si="168"/>
        <v>32383</v>
      </c>
      <c r="Z86" s="62">
        <f t="shared" si="168"/>
        <v>33380</v>
      </c>
      <c r="AA86" s="62">
        <f t="shared" si="168"/>
        <v>31709</v>
      </c>
      <c r="AB86" s="62">
        <f t="shared" si="168"/>
        <v>31057</v>
      </c>
      <c r="AC86" s="62">
        <f t="shared" si="168"/>
        <v>32979</v>
      </c>
      <c r="AD86" s="62">
        <f t="shared" si="168"/>
        <v>34563</v>
      </c>
      <c r="AE86" s="62">
        <f t="shared" si="168"/>
        <v>37706</v>
      </c>
      <c r="AF86" s="62">
        <f t="shared" si="168"/>
        <v>39637</v>
      </c>
      <c r="AG86" s="62">
        <f t="shared" si="168"/>
        <v>41247</v>
      </c>
      <c r="AH86" s="62">
        <f t="shared" si="168"/>
        <v>46069</v>
      </c>
      <c r="AI86" s="62">
        <f t="shared" si="168"/>
        <v>52424</v>
      </c>
      <c r="AJ86" s="62">
        <f t="shared" si="168"/>
        <v>59963</v>
      </c>
      <c r="AK86" s="62">
        <f t="shared" si="168"/>
        <v>63300</v>
      </c>
      <c r="AL86" s="62">
        <f t="shared" ref="AL86:BF86" si="169">SUM(AL46,AK46,AJ46,AI46)</f>
        <v>63883</v>
      </c>
      <c r="AM86" s="62">
        <f t="shared" si="169"/>
        <v>61881</v>
      </c>
      <c r="AN86" s="62">
        <f t="shared" si="169"/>
        <v>58668</v>
      </c>
      <c r="AO86" s="62">
        <f t="shared" si="169"/>
        <v>54844</v>
      </c>
      <c r="AP86" s="62">
        <f t="shared" si="169"/>
        <v>49622</v>
      </c>
      <c r="AQ86" s="62">
        <f t="shared" si="169"/>
        <v>49246</v>
      </c>
      <c r="AR86" s="62">
        <f t="shared" si="169"/>
        <v>51633</v>
      </c>
      <c r="AS86" s="62">
        <f t="shared" si="169"/>
        <v>60759</v>
      </c>
      <c r="AT86" s="62">
        <f t="shared" si="169"/>
        <v>71956</v>
      </c>
      <c r="AU86" s="62">
        <f t="shared" si="169"/>
        <v>79908</v>
      </c>
      <c r="AV86" s="62">
        <f t="shared" si="169"/>
        <v>86933</v>
      </c>
      <c r="AW86" s="62">
        <f t="shared" si="169"/>
        <v>92461</v>
      </c>
      <c r="AX86" s="62">
        <f t="shared" si="169"/>
        <v>101568</v>
      </c>
      <c r="AY86" s="676">
        <f t="shared" si="169"/>
        <v>106416</v>
      </c>
      <c r="AZ86" s="62">
        <f t="shared" si="169"/>
        <v>107039.50430565905</v>
      </c>
      <c r="BA86" s="62">
        <f t="shared" si="169"/>
        <v>109030.53604460676</v>
      </c>
      <c r="BB86" s="62">
        <f t="shared" si="169"/>
        <v>108769.36796329368</v>
      </c>
      <c r="BC86" s="62">
        <f t="shared" si="169"/>
        <v>118385.92598790355</v>
      </c>
      <c r="BD86" s="62">
        <f t="shared" si="169"/>
        <v>126590.39860063548</v>
      </c>
      <c r="BE86" s="62">
        <f t="shared" si="169"/>
        <v>132583.75033640224</v>
      </c>
      <c r="BF86" s="62">
        <f t="shared" si="169"/>
        <v>140140.44736557617</v>
      </c>
      <c r="BG86" s="62"/>
      <c r="BH86" s="1052">
        <f t="shared" ref="BH86:CB86" si="170">BH46</f>
        <v>367</v>
      </c>
      <c r="BI86" s="1052">
        <f t="shared" si="170"/>
        <v>1191</v>
      </c>
      <c r="BJ86" s="1052">
        <f t="shared" si="170"/>
        <v>2296</v>
      </c>
      <c r="BK86" s="1052">
        <f t="shared" si="170"/>
        <v>2759</v>
      </c>
      <c r="BL86" s="1052">
        <f t="shared" si="170"/>
        <v>4721</v>
      </c>
      <c r="BM86" s="1052">
        <f t="shared" si="170"/>
        <v>8074</v>
      </c>
      <c r="BN86" s="1052">
        <f t="shared" si="170"/>
        <v>11139</v>
      </c>
      <c r="BO86" s="1052">
        <f t="shared" si="170"/>
        <v>17987</v>
      </c>
      <c r="BP86" s="1052">
        <f t="shared" si="170"/>
        <v>26951</v>
      </c>
      <c r="BQ86" s="1052">
        <f t="shared" si="170"/>
        <v>33380</v>
      </c>
      <c r="BR86" s="1052">
        <f t="shared" si="170"/>
        <v>34563</v>
      </c>
      <c r="BS86" s="1052">
        <f t="shared" si="170"/>
        <v>46069</v>
      </c>
      <c r="BT86" s="1052">
        <f t="shared" si="170"/>
        <v>63884</v>
      </c>
      <c r="BU86" s="1052">
        <f t="shared" si="170"/>
        <v>49622</v>
      </c>
      <c r="BV86" s="1052">
        <f t="shared" si="170"/>
        <v>71956</v>
      </c>
      <c r="BW86" s="1053">
        <f t="shared" si="170"/>
        <v>101568</v>
      </c>
      <c r="BX86" s="1052">
        <f t="shared" si="170"/>
        <v>108769.36796329368</v>
      </c>
      <c r="BY86" s="1052">
        <f t="shared" si="170"/>
        <v>140140.44736557617</v>
      </c>
      <c r="BZ86" s="1052">
        <f t="shared" si="170"/>
        <v>163847.2020361232</v>
      </c>
      <c r="CA86" s="1052">
        <f t="shared" si="170"/>
        <v>182811.04422426727</v>
      </c>
      <c r="CB86" s="1052">
        <f t="shared" si="170"/>
        <v>202274.83682347482</v>
      </c>
      <c r="CC86" s="62"/>
    </row>
    <row r="87" spans="1:81" s="735" customFormat="1" hidden="1" outlineLevel="1" x14ac:dyDescent="0.55000000000000004">
      <c r="A87" s="448" t="s">
        <v>281</v>
      </c>
      <c r="B87" s="331"/>
      <c r="C87" s="62"/>
      <c r="D87" s="62"/>
      <c r="E87" s="62"/>
      <c r="F87" s="62">
        <f t="shared" ref="F87:AK87" ca="1" si="171">SUM(F64,E64,D64,C64)</f>
        <v>4222</v>
      </c>
      <c r="G87" s="62">
        <f t="shared" ca="1" si="171"/>
        <v>4788</v>
      </c>
      <c r="H87" s="62">
        <f t="shared" ca="1" si="171"/>
        <v>4807</v>
      </c>
      <c r="I87" s="62">
        <f t="shared" ca="1" si="171"/>
        <v>5105</v>
      </c>
      <c r="J87" s="62">
        <f t="shared" ca="1" si="171"/>
        <v>5457</v>
      </c>
      <c r="K87" s="62">
        <f t="shared" ca="1" si="171"/>
        <v>5872</v>
      </c>
      <c r="L87" s="62">
        <f t="shared" ca="1" si="171"/>
        <v>6411</v>
      </c>
      <c r="M87" s="62">
        <f t="shared" ca="1" si="171"/>
        <v>7355</v>
      </c>
      <c r="N87" s="62">
        <f t="shared" ca="1" si="171"/>
        <v>8599</v>
      </c>
      <c r="O87" s="62">
        <f t="shared" ca="1" si="171"/>
        <v>10376</v>
      </c>
      <c r="P87" s="62">
        <f t="shared" ca="1" si="171"/>
        <v>12161</v>
      </c>
      <c r="Q87" s="62">
        <f t="shared" ca="1" si="171"/>
        <v>14005</v>
      </c>
      <c r="R87" s="62">
        <f t="shared" ca="1" si="171"/>
        <v>16108</v>
      </c>
      <c r="S87" s="62">
        <f t="shared" ca="1" si="171"/>
        <v>17689</v>
      </c>
      <c r="T87" s="62">
        <f t="shared" ca="1" si="171"/>
        <v>19384</v>
      </c>
      <c r="U87" s="62">
        <f t="shared" ca="1" si="171"/>
        <v>21475</v>
      </c>
      <c r="V87" s="62">
        <f t="shared" ca="1" si="171"/>
        <v>24216</v>
      </c>
      <c r="W87" s="62">
        <f t="shared" ca="1" si="171"/>
        <v>27018</v>
      </c>
      <c r="X87" s="62">
        <f t="shared" ca="1" si="171"/>
        <v>27956</v>
      </c>
      <c r="Y87" s="62">
        <f t="shared" ca="1" si="171"/>
        <v>29327</v>
      </c>
      <c r="Z87" s="62">
        <f t="shared" ca="1" si="171"/>
        <v>29274</v>
      </c>
      <c r="AA87" s="62">
        <f t="shared" ca="1" si="171"/>
        <v>30722</v>
      </c>
      <c r="AB87" s="62">
        <f t="shared" ca="1" si="171"/>
        <v>33040</v>
      </c>
      <c r="AC87" s="62">
        <f t="shared" ca="1" si="171"/>
        <v>34849</v>
      </c>
      <c r="AD87" s="62">
        <f t="shared" ca="1" si="171"/>
        <v>36314</v>
      </c>
      <c r="AE87" s="62">
        <f t="shared" ca="1" si="171"/>
        <v>38007</v>
      </c>
      <c r="AF87" s="62">
        <f t="shared" ca="1" si="171"/>
        <v>33268</v>
      </c>
      <c r="AG87" s="62">
        <f t="shared" ca="1" si="171"/>
        <v>33790</v>
      </c>
      <c r="AH87" s="62">
        <f t="shared" ca="1" si="171"/>
        <v>38747</v>
      </c>
      <c r="AI87" s="62">
        <f t="shared" ca="1" si="171"/>
        <v>39988</v>
      </c>
      <c r="AJ87" s="62">
        <f t="shared" ca="1" si="171"/>
        <v>49358</v>
      </c>
      <c r="AK87" s="62">
        <f t="shared" ca="1" si="171"/>
        <v>53619</v>
      </c>
      <c r="AL87" s="62">
        <f t="shared" ref="AL87:BF87" ca="1" si="172">SUM(AL64,AK64,AJ64,AI64)</f>
        <v>57683</v>
      </c>
      <c r="AM87" s="62">
        <f t="shared" ca="1" si="172"/>
        <v>59517</v>
      </c>
      <c r="AN87" s="62">
        <f t="shared" ca="1" si="172"/>
        <v>58466</v>
      </c>
      <c r="AO87" s="62">
        <f t="shared" ca="1" si="172"/>
        <v>54068</v>
      </c>
      <c r="AP87" s="62">
        <f t="shared" ca="1" si="172"/>
        <v>50475</v>
      </c>
      <c r="AQ87" s="62">
        <f t="shared" ca="1" si="172"/>
        <v>50397</v>
      </c>
      <c r="AR87" s="62">
        <f t="shared" ca="1" si="172"/>
        <v>55510</v>
      </c>
      <c r="AS87" s="62">
        <f t="shared" ca="1" si="172"/>
        <v>66220</v>
      </c>
      <c r="AT87" s="62">
        <f t="shared" ca="1" si="172"/>
        <v>71113</v>
      </c>
      <c r="AU87" s="62">
        <f t="shared" ca="1" si="172"/>
        <v>76361</v>
      </c>
      <c r="AV87" s="62">
        <f t="shared" ca="1" si="172"/>
        <v>78422</v>
      </c>
      <c r="AW87" s="62">
        <f t="shared" ca="1" si="172"/>
        <v>82744</v>
      </c>
      <c r="AX87" s="62">
        <f t="shared" ca="1" si="172"/>
        <v>91328</v>
      </c>
      <c r="AY87" s="676">
        <f t="shared" ca="1" si="172"/>
        <v>96108</v>
      </c>
      <c r="AZ87" s="62">
        <f t="shared" ca="1" si="172"/>
        <v>102016.2166197904</v>
      </c>
      <c r="BA87" s="62">
        <f t="shared" ca="1" si="172"/>
        <v>106997.13318485385</v>
      </c>
      <c r="BB87" s="62">
        <f t="shared" ca="1" si="172"/>
        <v>108324.68990808913</v>
      </c>
      <c r="BC87" s="62">
        <f t="shared" ca="1" si="172"/>
        <v>120957.16264124376</v>
      </c>
      <c r="BD87" s="62">
        <f t="shared" ca="1" si="172"/>
        <v>127264.12739598396</v>
      </c>
      <c r="BE87" s="62">
        <f t="shared" ca="1" si="172"/>
        <v>133485.78859280271</v>
      </c>
      <c r="BF87" s="62">
        <f t="shared" ca="1" si="172"/>
        <v>138957.88197964762</v>
      </c>
      <c r="BG87" s="62"/>
      <c r="BH87" s="1052">
        <f t="shared" ref="BH87:CB87" ca="1" si="173">BH64</f>
        <v>155</v>
      </c>
      <c r="BI87" s="1052">
        <f t="shared" ca="1" si="173"/>
        <v>698</v>
      </c>
      <c r="BJ87" s="1052">
        <f t="shared" ca="1" si="173"/>
        <v>1549</v>
      </c>
      <c r="BK87" s="1052">
        <f t="shared" ca="1" si="173"/>
        <v>1612</v>
      </c>
      <c r="BL87" s="1052">
        <f t="shared" ca="1" si="173"/>
        <v>4222</v>
      </c>
      <c r="BM87" s="1052">
        <f t="shared" ca="1" si="173"/>
        <v>5457</v>
      </c>
      <c r="BN87" s="1052">
        <f t="shared" ca="1" si="173"/>
        <v>8599</v>
      </c>
      <c r="BO87" s="1052">
        <f t="shared" ca="1" si="173"/>
        <v>16108</v>
      </c>
      <c r="BP87" s="1052">
        <f t="shared" ca="1" si="173"/>
        <v>24216</v>
      </c>
      <c r="BQ87" s="1052">
        <f t="shared" ca="1" si="173"/>
        <v>29274</v>
      </c>
      <c r="BR87" s="1052">
        <f t="shared" ca="1" si="173"/>
        <v>36314</v>
      </c>
      <c r="BS87" s="1052">
        <f t="shared" ca="1" si="173"/>
        <v>38747</v>
      </c>
      <c r="BT87" s="1052">
        <f t="shared" ca="1" si="173"/>
        <v>57683</v>
      </c>
      <c r="BU87" s="1052">
        <f t="shared" ca="1" si="173"/>
        <v>50475</v>
      </c>
      <c r="BV87" s="1052">
        <f t="shared" ca="1" si="173"/>
        <v>71113</v>
      </c>
      <c r="BW87" s="1053">
        <f t="shared" ca="1" si="173"/>
        <v>91328</v>
      </c>
      <c r="BX87" s="1052">
        <f t="shared" ca="1" si="173"/>
        <v>108324.68990808912</v>
      </c>
      <c r="BY87" s="1052">
        <f t="shared" ca="1" si="173"/>
        <v>138957.88197964762</v>
      </c>
      <c r="BZ87" s="1052">
        <f t="shared" ca="1" si="173"/>
        <v>155838.8645634792</v>
      </c>
      <c r="CA87" s="1052">
        <f t="shared" ca="1" si="173"/>
        <v>163281.64527035074</v>
      </c>
      <c r="CB87" s="1052">
        <f t="shared" ca="1" si="173"/>
        <v>182146.81310678954</v>
      </c>
      <c r="CC87" s="62"/>
    </row>
    <row r="88" spans="1:81" s="729" customFormat="1" collapsed="1" x14ac:dyDescent="0.55000000000000004">
      <c r="A88" s="90"/>
      <c r="B88" s="95"/>
      <c r="C88" s="607"/>
      <c r="D88" s="607"/>
      <c r="E88" s="607"/>
      <c r="F88" s="607"/>
      <c r="G88" s="607"/>
      <c r="H88" s="607"/>
      <c r="I88" s="607"/>
      <c r="J88" s="607"/>
      <c r="K88" s="607"/>
      <c r="L88" s="607"/>
      <c r="M88" s="607"/>
      <c r="N88" s="607"/>
      <c r="O88" s="607"/>
      <c r="P88" s="607"/>
      <c r="Q88" s="607"/>
      <c r="R88" s="607"/>
      <c r="S88" s="607"/>
      <c r="T88" s="607"/>
      <c r="U88" s="607"/>
      <c r="V88" s="607"/>
      <c r="W88" s="607"/>
      <c r="X88" s="607"/>
      <c r="Y88" s="607"/>
      <c r="Z88" s="607"/>
      <c r="AA88" s="607"/>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79"/>
      <c r="AZ88" s="607"/>
      <c r="BA88" s="607"/>
      <c r="BB88" s="607"/>
      <c r="BC88" s="607"/>
      <c r="BD88" s="607"/>
      <c r="BE88" s="607"/>
      <c r="BF88" s="607"/>
      <c r="BG88" s="607"/>
      <c r="BH88" s="1060"/>
      <c r="BI88" s="1060"/>
      <c r="BJ88" s="1060"/>
      <c r="BK88" s="1060"/>
      <c r="BL88" s="1060"/>
      <c r="BM88" s="1060"/>
      <c r="BN88" s="1060"/>
      <c r="BO88" s="1060"/>
      <c r="BP88" s="1060"/>
      <c r="BQ88" s="1060"/>
      <c r="BR88" s="1060"/>
      <c r="BS88" s="1060"/>
      <c r="BT88" s="1060"/>
      <c r="BU88" s="1060"/>
      <c r="BV88" s="1060"/>
      <c r="BW88" s="1061"/>
      <c r="BX88" s="1060"/>
      <c r="BY88" s="1060"/>
      <c r="BZ88" s="1060"/>
      <c r="CA88" s="1060"/>
      <c r="CB88" s="1060"/>
      <c r="CC88" s="607"/>
    </row>
    <row r="89" spans="1:81" s="729" customFormat="1" x14ac:dyDescent="0.55000000000000004">
      <c r="A89" s="608" t="s">
        <v>355</v>
      </c>
      <c r="B89" s="608"/>
      <c r="C89" s="608"/>
      <c r="D89" s="608"/>
      <c r="E89" s="608"/>
      <c r="F89" s="608"/>
      <c r="G89" s="608"/>
      <c r="H89" s="608"/>
      <c r="I89" s="608"/>
      <c r="J89" s="608"/>
      <c r="K89" s="608"/>
      <c r="L89" s="608"/>
      <c r="M89" s="608"/>
      <c r="N89" s="608"/>
      <c r="O89" s="608"/>
      <c r="P89" s="608"/>
      <c r="Q89" s="608"/>
      <c r="R89" s="608"/>
      <c r="S89" s="608"/>
      <c r="T89" s="608"/>
      <c r="U89" s="608"/>
      <c r="V89" s="608"/>
      <c r="W89" s="608"/>
      <c r="X89" s="608"/>
      <c r="Y89" s="608"/>
      <c r="Z89" s="608"/>
      <c r="AA89" s="608"/>
      <c r="AB89" s="608"/>
      <c r="AC89" s="608"/>
      <c r="AD89" s="608"/>
      <c r="AE89" s="608"/>
      <c r="AF89" s="608"/>
      <c r="AG89" s="608"/>
      <c r="AH89" s="608"/>
      <c r="AI89" s="608"/>
      <c r="AJ89" s="608"/>
      <c r="AK89" s="608"/>
      <c r="AL89" s="608"/>
      <c r="AM89" s="608"/>
      <c r="AN89" s="608"/>
      <c r="AO89" s="608"/>
      <c r="AP89" s="608"/>
      <c r="AQ89" s="608"/>
      <c r="AR89" s="608"/>
      <c r="AS89" s="608"/>
      <c r="AT89" s="608"/>
      <c r="AU89" s="608"/>
      <c r="AV89" s="608"/>
      <c r="AW89" s="608"/>
      <c r="AX89" s="608"/>
      <c r="AY89" s="609"/>
      <c r="AZ89" s="608"/>
      <c r="BA89" s="608"/>
      <c r="BB89" s="608"/>
      <c r="BC89" s="608"/>
      <c r="BD89" s="608"/>
      <c r="BE89" s="608"/>
      <c r="BF89" s="608"/>
      <c r="BG89" s="608"/>
      <c r="BH89" s="608"/>
      <c r="BI89" s="608"/>
      <c r="BJ89" s="608"/>
      <c r="BK89" s="608"/>
      <c r="BL89" s="608"/>
      <c r="BM89" s="608"/>
      <c r="BN89" s="608"/>
      <c r="BO89" s="608"/>
      <c r="BP89" s="608"/>
      <c r="BQ89" s="608"/>
      <c r="BR89" s="608"/>
      <c r="BS89" s="608"/>
      <c r="BT89" s="608"/>
      <c r="BU89" s="608"/>
      <c r="BV89" s="608"/>
      <c r="BW89" s="609"/>
      <c r="BX89" s="608"/>
      <c r="BY89" s="608"/>
      <c r="BZ89" s="608"/>
      <c r="CA89" s="608"/>
      <c r="CB89" s="608"/>
      <c r="CC89" s="607"/>
    </row>
    <row r="90" spans="1:81" s="741" customFormat="1" hidden="1" outlineLevel="1" x14ac:dyDescent="0.55000000000000004">
      <c r="A90" s="446" t="s">
        <v>282</v>
      </c>
      <c r="B90" s="447"/>
      <c r="C90" s="59">
        <f t="shared" ref="C90:AH90" si="174">INDEX(SP_NGF_NI,0,COLUMN())</f>
        <v>312</v>
      </c>
      <c r="D90" s="59">
        <f t="shared" si="174"/>
        <v>488</v>
      </c>
      <c r="E90" s="59">
        <f t="shared" si="174"/>
        <v>666</v>
      </c>
      <c r="F90" s="59">
        <f t="shared" si="174"/>
        <v>814</v>
      </c>
      <c r="G90" s="59">
        <f t="shared" si="174"/>
        <v>926</v>
      </c>
      <c r="H90" s="59">
        <f t="shared" si="174"/>
        <v>1122</v>
      </c>
      <c r="I90" s="59">
        <f t="shared" si="174"/>
        <v>1149</v>
      </c>
      <c r="J90" s="59">
        <f t="shared" si="174"/>
        <v>1518</v>
      </c>
      <c r="K90" s="59">
        <f t="shared" si="174"/>
        <v>1189</v>
      </c>
      <c r="L90" s="59">
        <f t="shared" si="174"/>
        <v>1437</v>
      </c>
      <c r="M90" s="59">
        <f t="shared" si="174"/>
        <v>1628</v>
      </c>
      <c r="N90" s="59">
        <f t="shared" si="174"/>
        <v>2265</v>
      </c>
      <c r="O90" s="59">
        <f t="shared" si="174"/>
        <v>1738</v>
      </c>
      <c r="P90" s="59">
        <f t="shared" si="174"/>
        <v>2283</v>
      </c>
      <c r="Q90" s="59">
        <f t="shared" si="174"/>
        <v>2627</v>
      </c>
      <c r="R90" s="59">
        <f t="shared" si="174"/>
        <v>3569</v>
      </c>
      <c r="S90" s="59">
        <f t="shared" si="174"/>
        <v>3064</v>
      </c>
      <c r="T90" s="59">
        <f t="shared" si="174"/>
        <v>3894</v>
      </c>
      <c r="U90" s="59">
        <f t="shared" si="174"/>
        <v>4707</v>
      </c>
      <c r="V90" s="59">
        <f t="shared" si="174"/>
        <v>4269</v>
      </c>
      <c r="W90" s="59">
        <f t="shared" si="174"/>
        <v>4988</v>
      </c>
      <c r="X90" s="59">
        <f t="shared" si="174"/>
        <v>5106</v>
      </c>
      <c r="Y90" s="59">
        <f t="shared" si="174"/>
        <v>5137</v>
      </c>
      <c r="Z90" s="59">
        <f t="shared" si="174"/>
        <v>6881</v>
      </c>
      <c r="AA90" s="59">
        <f t="shared" si="174"/>
        <v>2429</v>
      </c>
      <c r="AB90" s="59">
        <f t="shared" si="174"/>
        <v>2616</v>
      </c>
      <c r="AC90" s="59">
        <f t="shared" si="174"/>
        <v>6091</v>
      </c>
      <c r="AD90" s="59">
        <f t="shared" si="174"/>
        <v>7349</v>
      </c>
      <c r="AE90" s="59">
        <f t="shared" si="174"/>
        <v>4902</v>
      </c>
      <c r="AF90" s="59">
        <f t="shared" si="174"/>
        <v>5178</v>
      </c>
      <c r="AG90" s="59">
        <f t="shared" si="174"/>
        <v>7846</v>
      </c>
      <c r="AH90" s="59">
        <f t="shared" si="174"/>
        <v>11219</v>
      </c>
      <c r="AI90" s="59">
        <f t="shared" ref="AI90:BF90" si="175">INDEX(SP_NGF_NI,0,COLUMN())</f>
        <v>9497</v>
      </c>
      <c r="AJ90" s="59">
        <f t="shared" si="175"/>
        <v>10394</v>
      </c>
      <c r="AK90" s="59">
        <f t="shared" si="175"/>
        <v>9194</v>
      </c>
      <c r="AL90" s="59">
        <f t="shared" si="175"/>
        <v>10286</v>
      </c>
      <c r="AM90" s="59">
        <f t="shared" si="175"/>
        <v>7465</v>
      </c>
      <c r="AN90" s="59">
        <f t="shared" si="175"/>
        <v>6687</v>
      </c>
      <c r="AO90" s="59">
        <f t="shared" si="175"/>
        <v>4395</v>
      </c>
      <c r="AP90" s="59">
        <f t="shared" si="175"/>
        <v>4652</v>
      </c>
      <c r="AQ90" s="59">
        <f t="shared" si="175"/>
        <v>5709</v>
      </c>
      <c r="AR90" s="59">
        <f t="shared" si="175"/>
        <v>7788</v>
      </c>
      <c r="AS90" s="59">
        <f t="shared" si="175"/>
        <v>11583</v>
      </c>
      <c r="AT90" s="59">
        <f t="shared" si="175"/>
        <v>14017</v>
      </c>
      <c r="AU90" s="59">
        <f t="shared" si="175"/>
        <v>12369</v>
      </c>
      <c r="AV90" s="59">
        <f t="shared" si="175"/>
        <v>13465</v>
      </c>
      <c r="AW90" s="59">
        <f t="shared" si="175"/>
        <v>15688</v>
      </c>
      <c r="AX90" s="59">
        <f t="shared" si="175"/>
        <v>20838</v>
      </c>
      <c r="AY90" s="675">
        <f t="shared" si="175"/>
        <v>16644</v>
      </c>
      <c r="AZ90" s="59">
        <f t="shared" si="175"/>
        <v>18234.971802922475</v>
      </c>
      <c r="BA90" s="59">
        <f t="shared" ca="1" si="175"/>
        <v>20232.044224739246</v>
      </c>
      <c r="BB90" s="59">
        <f t="shared" ca="1" si="175"/>
        <v>22652.906263751302</v>
      </c>
      <c r="BC90" s="59">
        <f t="shared" ca="1" si="175"/>
        <v>25130.728736840083</v>
      </c>
      <c r="BD90" s="59">
        <f t="shared" ca="1" si="175"/>
        <v>22170.063712214349</v>
      </c>
      <c r="BE90" s="59">
        <f t="shared" ca="1" si="175"/>
        <v>23869.583868061698</v>
      </c>
      <c r="BF90" s="59">
        <f t="shared" ca="1" si="175"/>
        <v>25876.93917073217</v>
      </c>
      <c r="BG90" s="59"/>
      <c r="BH90" s="1054">
        <f t="shared" ref="BH90:CB90" si="176">INDEX(SP_NGF_NI,0,COLUMN())</f>
        <v>229</v>
      </c>
      <c r="BI90" s="1054">
        <f t="shared" si="176"/>
        <v>606</v>
      </c>
      <c r="BJ90" s="1054">
        <f t="shared" si="176"/>
        <v>1164</v>
      </c>
      <c r="BK90" s="1054">
        <f t="shared" si="176"/>
        <v>1317</v>
      </c>
      <c r="BL90" s="1054">
        <f t="shared" si="176"/>
        <v>2334</v>
      </c>
      <c r="BM90" s="1054">
        <f t="shared" si="176"/>
        <v>4713</v>
      </c>
      <c r="BN90" s="1054">
        <f t="shared" si="176"/>
        <v>6518</v>
      </c>
      <c r="BO90" s="1054">
        <f t="shared" si="176"/>
        <v>10217</v>
      </c>
      <c r="BP90" s="1054">
        <f t="shared" si="176"/>
        <v>15934</v>
      </c>
      <c r="BQ90" s="1054">
        <f t="shared" si="176"/>
        <v>22112</v>
      </c>
      <c r="BR90" s="1054">
        <f t="shared" si="176"/>
        <v>18485</v>
      </c>
      <c r="BS90" s="1054">
        <f t="shared" si="176"/>
        <v>29146</v>
      </c>
      <c r="BT90" s="1054">
        <f t="shared" si="176"/>
        <v>39370</v>
      </c>
      <c r="BU90" s="1054">
        <f t="shared" si="176"/>
        <v>23200</v>
      </c>
      <c r="BV90" s="1054">
        <f t="shared" si="176"/>
        <v>39098</v>
      </c>
      <c r="BW90" s="1055">
        <f t="shared" si="176"/>
        <v>62360</v>
      </c>
      <c r="BX90" s="1054">
        <f t="shared" ca="1" si="176"/>
        <v>77763.922291413022</v>
      </c>
      <c r="BY90" s="1054">
        <f t="shared" ca="1" si="176"/>
        <v>97047.315487848275</v>
      </c>
      <c r="BZ90" s="1054">
        <f t="shared" ca="1" si="176"/>
        <v>110427.24601815702</v>
      </c>
      <c r="CA90" s="1054">
        <f t="shared" ca="1" si="176"/>
        <v>115223.62990630144</v>
      </c>
      <c r="CB90" s="1054">
        <f t="shared" ca="1" si="176"/>
        <v>131378.54683628524</v>
      </c>
      <c r="CC90" s="59"/>
    </row>
    <row r="91" spans="1:81" s="741" customFormat="1" hidden="1" outlineLevel="1" x14ac:dyDescent="0.55000000000000004">
      <c r="A91" s="446" t="s">
        <v>283</v>
      </c>
      <c r="B91" s="447"/>
      <c r="C91" s="59"/>
      <c r="D91" s="59"/>
      <c r="E91" s="59"/>
      <c r="F91" s="59">
        <f t="shared" ref="F91:AK91" si="177">SUM(F90,E90,D90,C90)</f>
        <v>2280</v>
      </c>
      <c r="G91" s="59">
        <f t="shared" si="177"/>
        <v>2894</v>
      </c>
      <c r="H91" s="59">
        <f t="shared" si="177"/>
        <v>3528</v>
      </c>
      <c r="I91" s="59">
        <f t="shared" si="177"/>
        <v>4011</v>
      </c>
      <c r="J91" s="59">
        <f t="shared" si="177"/>
        <v>4715</v>
      </c>
      <c r="K91" s="59">
        <f t="shared" si="177"/>
        <v>4978</v>
      </c>
      <c r="L91" s="59">
        <f t="shared" si="177"/>
        <v>5293</v>
      </c>
      <c r="M91" s="59">
        <f t="shared" si="177"/>
        <v>5772</v>
      </c>
      <c r="N91" s="59">
        <f t="shared" si="177"/>
        <v>6519</v>
      </c>
      <c r="O91" s="59">
        <f t="shared" si="177"/>
        <v>7068</v>
      </c>
      <c r="P91" s="59">
        <f t="shared" si="177"/>
        <v>7914</v>
      </c>
      <c r="Q91" s="59">
        <f t="shared" si="177"/>
        <v>8913</v>
      </c>
      <c r="R91" s="59">
        <f t="shared" si="177"/>
        <v>10217</v>
      </c>
      <c r="S91" s="59">
        <f t="shared" si="177"/>
        <v>11543</v>
      </c>
      <c r="T91" s="59">
        <f t="shared" si="177"/>
        <v>13154</v>
      </c>
      <c r="U91" s="59">
        <f t="shared" si="177"/>
        <v>15234</v>
      </c>
      <c r="V91" s="59">
        <f t="shared" si="177"/>
        <v>15934</v>
      </c>
      <c r="W91" s="59">
        <f t="shared" si="177"/>
        <v>17858</v>
      </c>
      <c r="X91" s="59">
        <f t="shared" si="177"/>
        <v>19070</v>
      </c>
      <c r="Y91" s="59">
        <f t="shared" si="177"/>
        <v>19500</v>
      </c>
      <c r="Z91" s="59">
        <f t="shared" si="177"/>
        <v>22112</v>
      </c>
      <c r="AA91" s="59">
        <f t="shared" si="177"/>
        <v>19553</v>
      </c>
      <c r="AB91" s="59">
        <f t="shared" si="177"/>
        <v>17063</v>
      </c>
      <c r="AC91" s="59">
        <f t="shared" si="177"/>
        <v>18017</v>
      </c>
      <c r="AD91" s="59">
        <f t="shared" si="177"/>
        <v>18485</v>
      </c>
      <c r="AE91" s="59">
        <f t="shared" si="177"/>
        <v>20958</v>
      </c>
      <c r="AF91" s="59">
        <f t="shared" si="177"/>
        <v>23520</v>
      </c>
      <c r="AG91" s="59">
        <f t="shared" si="177"/>
        <v>25275</v>
      </c>
      <c r="AH91" s="59">
        <f t="shared" si="177"/>
        <v>29145</v>
      </c>
      <c r="AI91" s="59">
        <f t="shared" si="177"/>
        <v>33740</v>
      </c>
      <c r="AJ91" s="59">
        <f t="shared" si="177"/>
        <v>38956</v>
      </c>
      <c r="AK91" s="59">
        <f t="shared" si="177"/>
        <v>40304</v>
      </c>
      <c r="AL91" s="59">
        <f t="shared" ref="AL91:BF91" si="178">SUM(AL90,AK90,AJ90,AI90)</f>
        <v>39371</v>
      </c>
      <c r="AM91" s="59">
        <f t="shared" si="178"/>
        <v>37339</v>
      </c>
      <c r="AN91" s="59">
        <f t="shared" si="178"/>
        <v>33632</v>
      </c>
      <c r="AO91" s="59">
        <f t="shared" si="178"/>
        <v>28833</v>
      </c>
      <c r="AP91" s="59">
        <f t="shared" si="178"/>
        <v>23199</v>
      </c>
      <c r="AQ91" s="59">
        <f t="shared" si="178"/>
        <v>21443</v>
      </c>
      <c r="AR91" s="59">
        <f t="shared" si="178"/>
        <v>22544</v>
      </c>
      <c r="AS91" s="59">
        <f t="shared" si="178"/>
        <v>29732</v>
      </c>
      <c r="AT91" s="59">
        <f t="shared" si="178"/>
        <v>39097</v>
      </c>
      <c r="AU91" s="59">
        <f t="shared" si="178"/>
        <v>45757</v>
      </c>
      <c r="AV91" s="59">
        <f t="shared" si="178"/>
        <v>51434</v>
      </c>
      <c r="AW91" s="59">
        <f t="shared" si="178"/>
        <v>55539</v>
      </c>
      <c r="AX91" s="59">
        <f t="shared" si="178"/>
        <v>62360</v>
      </c>
      <c r="AY91" s="675">
        <f t="shared" si="178"/>
        <v>66635</v>
      </c>
      <c r="AZ91" s="59">
        <f t="shared" si="178"/>
        <v>71404.971802922475</v>
      </c>
      <c r="BA91" s="59">
        <f t="shared" ca="1" si="178"/>
        <v>75949.016027661724</v>
      </c>
      <c r="BB91" s="59">
        <f t="shared" ca="1" si="178"/>
        <v>77763.922291413022</v>
      </c>
      <c r="BC91" s="59">
        <f t="shared" ca="1" si="178"/>
        <v>86250.651028253109</v>
      </c>
      <c r="BD91" s="59">
        <f t="shared" ca="1" si="178"/>
        <v>90185.742937544986</v>
      </c>
      <c r="BE91" s="59">
        <f t="shared" ca="1" si="178"/>
        <v>93823.282580867424</v>
      </c>
      <c r="BF91" s="59">
        <f t="shared" ca="1" si="178"/>
        <v>97047.315487848304</v>
      </c>
      <c r="BG91" s="59"/>
      <c r="BH91" s="1054">
        <f t="shared" ref="BH91:CB91" si="179">BH90</f>
        <v>229</v>
      </c>
      <c r="BI91" s="1054">
        <f t="shared" si="179"/>
        <v>606</v>
      </c>
      <c r="BJ91" s="1054">
        <f t="shared" si="179"/>
        <v>1164</v>
      </c>
      <c r="BK91" s="1054">
        <f t="shared" si="179"/>
        <v>1317</v>
      </c>
      <c r="BL91" s="1054">
        <f t="shared" si="179"/>
        <v>2334</v>
      </c>
      <c r="BM91" s="1054">
        <f t="shared" si="179"/>
        <v>4713</v>
      </c>
      <c r="BN91" s="1054">
        <f t="shared" si="179"/>
        <v>6518</v>
      </c>
      <c r="BO91" s="1054">
        <f t="shared" si="179"/>
        <v>10217</v>
      </c>
      <c r="BP91" s="1054">
        <f t="shared" si="179"/>
        <v>15934</v>
      </c>
      <c r="BQ91" s="1054">
        <f t="shared" si="179"/>
        <v>22112</v>
      </c>
      <c r="BR91" s="1054">
        <f t="shared" si="179"/>
        <v>18485</v>
      </c>
      <c r="BS91" s="1054">
        <f t="shared" si="179"/>
        <v>29146</v>
      </c>
      <c r="BT91" s="1054">
        <f t="shared" si="179"/>
        <v>39370</v>
      </c>
      <c r="BU91" s="1054">
        <f t="shared" si="179"/>
        <v>23200</v>
      </c>
      <c r="BV91" s="1054">
        <f t="shared" si="179"/>
        <v>39098</v>
      </c>
      <c r="BW91" s="1055">
        <f t="shared" si="179"/>
        <v>62360</v>
      </c>
      <c r="BX91" s="1054">
        <f t="shared" ca="1" si="179"/>
        <v>77763.922291413022</v>
      </c>
      <c r="BY91" s="1054">
        <f t="shared" ca="1" si="179"/>
        <v>97047.315487848275</v>
      </c>
      <c r="BZ91" s="1054">
        <f t="shared" ca="1" si="179"/>
        <v>110427.24601815702</v>
      </c>
      <c r="CA91" s="1054">
        <f t="shared" ca="1" si="179"/>
        <v>115223.62990630144</v>
      </c>
      <c r="CB91" s="1054">
        <f t="shared" ca="1" si="179"/>
        <v>131378.54683628524</v>
      </c>
      <c r="CC91" s="59"/>
    </row>
    <row r="92" spans="1:81" s="741" customFormat="1" hidden="1" outlineLevel="1" x14ac:dyDescent="0.55000000000000004">
      <c r="A92" s="446" t="s">
        <v>284</v>
      </c>
      <c r="B92" s="447"/>
      <c r="C92" s="59">
        <f t="shared" ref="C92:AH92" si="180">INDEX(MO_BS_SE,0,COLUMN())</f>
        <v>11824</v>
      </c>
      <c r="D92" s="59">
        <f t="shared" si="180"/>
        <v>12349</v>
      </c>
      <c r="E92" s="59">
        <f t="shared" si="180"/>
        <v>13048</v>
      </c>
      <c r="F92" s="59">
        <f t="shared" si="180"/>
        <v>15470</v>
      </c>
      <c r="G92" s="59">
        <f t="shared" si="180"/>
        <v>16737</v>
      </c>
      <c r="H92" s="59">
        <f t="shared" si="180"/>
        <v>18346</v>
      </c>
      <c r="I92" s="59">
        <f t="shared" si="180"/>
        <v>21238</v>
      </c>
      <c r="J92" s="59">
        <f t="shared" si="180"/>
        <v>36096</v>
      </c>
      <c r="K92" s="59">
        <f t="shared" si="180"/>
        <v>37501</v>
      </c>
      <c r="L92" s="59">
        <f t="shared" si="180"/>
        <v>39452</v>
      </c>
      <c r="M92" s="59">
        <f t="shared" si="180"/>
        <v>41420</v>
      </c>
      <c r="N92" s="59">
        <f t="shared" si="180"/>
        <v>44218</v>
      </c>
      <c r="O92" s="59">
        <f t="shared" si="180"/>
        <v>48588</v>
      </c>
      <c r="P92" s="59">
        <f t="shared" si="180"/>
        <v>51595</v>
      </c>
      <c r="Q92" s="59">
        <f t="shared" si="180"/>
        <v>55121</v>
      </c>
      <c r="R92" s="59">
        <f t="shared" si="180"/>
        <v>59194</v>
      </c>
      <c r="S92" s="59">
        <f t="shared" si="180"/>
        <v>62188</v>
      </c>
      <c r="T92" s="59">
        <f t="shared" si="180"/>
        <v>66481</v>
      </c>
      <c r="U92" s="59">
        <f t="shared" si="180"/>
        <v>71208</v>
      </c>
      <c r="V92" s="59">
        <f t="shared" si="180"/>
        <v>74347</v>
      </c>
      <c r="W92" s="59">
        <f t="shared" si="180"/>
        <v>77620</v>
      </c>
      <c r="X92" s="59">
        <f t="shared" si="180"/>
        <v>79382</v>
      </c>
      <c r="Y92" s="59">
        <f t="shared" si="180"/>
        <v>80342</v>
      </c>
      <c r="Z92" s="59">
        <f t="shared" si="180"/>
        <v>84127</v>
      </c>
      <c r="AA92" s="59">
        <f t="shared" si="180"/>
        <v>86516</v>
      </c>
      <c r="AB92" s="59">
        <f t="shared" si="180"/>
        <v>88762</v>
      </c>
      <c r="AC92" s="59">
        <f t="shared" si="180"/>
        <v>93999</v>
      </c>
      <c r="AD92" s="59">
        <f t="shared" si="180"/>
        <v>101054</v>
      </c>
      <c r="AE92" s="59">
        <f t="shared" si="180"/>
        <v>105304</v>
      </c>
      <c r="AF92" s="59">
        <f t="shared" si="180"/>
        <v>110447</v>
      </c>
      <c r="AG92" s="59">
        <f t="shared" si="180"/>
        <v>117731</v>
      </c>
      <c r="AH92" s="59">
        <f t="shared" si="180"/>
        <v>128290</v>
      </c>
      <c r="AI92" s="59">
        <f t="shared" ref="AI92:BF92" si="181">INDEX(MO_BS_SE,0,COLUMN())</f>
        <v>133657</v>
      </c>
      <c r="AJ92" s="59">
        <f t="shared" si="181"/>
        <v>138227</v>
      </c>
      <c r="AK92" s="59">
        <f t="shared" si="181"/>
        <v>133360</v>
      </c>
      <c r="AL92" s="59">
        <f t="shared" si="181"/>
        <v>124879</v>
      </c>
      <c r="AM92" s="59">
        <f t="shared" si="181"/>
        <v>123228</v>
      </c>
      <c r="AN92" s="59">
        <f t="shared" si="181"/>
        <v>125767</v>
      </c>
      <c r="AO92" s="59">
        <f t="shared" si="181"/>
        <v>124094</v>
      </c>
      <c r="AP92" s="59">
        <f t="shared" si="181"/>
        <v>125713</v>
      </c>
      <c r="AQ92" s="59">
        <f t="shared" si="181"/>
        <v>124795</v>
      </c>
      <c r="AR92" s="59">
        <f t="shared" si="181"/>
        <v>134033</v>
      </c>
      <c r="AS92" s="59">
        <f t="shared" si="181"/>
        <v>142873</v>
      </c>
      <c r="AT92" s="59">
        <f t="shared" si="181"/>
        <v>153168</v>
      </c>
      <c r="AU92" s="59">
        <f t="shared" si="181"/>
        <v>149529</v>
      </c>
      <c r="AV92" s="59">
        <f t="shared" si="181"/>
        <v>156763</v>
      </c>
      <c r="AW92" s="59">
        <f t="shared" si="181"/>
        <v>164529</v>
      </c>
      <c r="AX92" s="59">
        <f t="shared" si="181"/>
        <v>182637</v>
      </c>
      <c r="AY92" s="675">
        <f t="shared" si="181"/>
        <v>185029</v>
      </c>
      <c r="AZ92" s="59">
        <f t="shared" ca="1" si="181"/>
        <v>204352.39594789289</v>
      </c>
      <c r="BA92" s="59">
        <f t="shared" ca="1" si="181"/>
        <v>225911.94647520786</v>
      </c>
      <c r="BB92" s="59">
        <f t="shared" ca="1" si="181"/>
        <v>250936.701234476</v>
      </c>
      <c r="BC92" s="59">
        <f t="shared" ca="1" si="181"/>
        <v>279601.33945015282</v>
      </c>
      <c r="BD92" s="59">
        <f t="shared" ca="1" si="181"/>
        <v>305333.53519095189</v>
      </c>
      <c r="BE92" s="59">
        <f t="shared" ca="1" si="181"/>
        <v>333074.37803878612</v>
      </c>
      <c r="BF92" s="59">
        <f t="shared" ca="1" si="181"/>
        <v>364146.92824791733</v>
      </c>
      <c r="BG92" s="59"/>
      <c r="BH92" s="1054"/>
      <c r="BI92" s="1054">
        <f t="shared" ref="BI92:CB92" si="182">INDEX(MO_BS_SE,0,COLUMN())</f>
        <v>2162</v>
      </c>
      <c r="BJ92" s="1054">
        <f t="shared" si="182"/>
        <v>4899</v>
      </c>
      <c r="BK92" s="1054">
        <f t="shared" si="182"/>
        <v>11755</v>
      </c>
      <c r="BL92" s="1054">
        <f t="shared" si="182"/>
        <v>15470</v>
      </c>
      <c r="BM92" s="1054">
        <f t="shared" si="182"/>
        <v>36096</v>
      </c>
      <c r="BN92" s="1054">
        <f t="shared" si="182"/>
        <v>44218</v>
      </c>
      <c r="BO92" s="1054">
        <f t="shared" si="182"/>
        <v>59194</v>
      </c>
      <c r="BP92" s="1054">
        <f t="shared" si="182"/>
        <v>74347</v>
      </c>
      <c r="BQ92" s="1054">
        <f t="shared" si="182"/>
        <v>84127</v>
      </c>
      <c r="BR92" s="1054">
        <f t="shared" si="182"/>
        <v>101054</v>
      </c>
      <c r="BS92" s="1054">
        <f t="shared" si="182"/>
        <v>128290</v>
      </c>
      <c r="BT92" s="1054">
        <f t="shared" si="182"/>
        <v>124879</v>
      </c>
      <c r="BU92" s="1054">
        <f t="shared" si="182"/>
        <v>125713</v>
      </c>
      <c r="BV92" s="1054">
        <f t="shared" si="182"/>
        <v>153168</v>
      </c>
      <c r="BW92" s="1055">
        <f t="shared" si="182"/>
        <v>182637</v>
      </c>
      <c r="BX92" s="1054">
        <f t="shared" ca="1" si="182"/>
        <v>250936.701234476</v>
      </c>
      <c r="BY92" s="1054">
        <f t="shared" ca="1" si="182"/>
        <v>364146.92824791733</v>
      </c>
      <c r="BZ92" s="1054">
        <f t="shared" ca="1" si="182"/>
        <v>486899.62173398439</v>
      </c>
      <c r="CA92" s="1054">
        <f t="shared" ca="1" si="182"/>
        <v>615707.23632002017</v>
      </c>
      <c r="CB92" s="1054">
        <f t="shared" ca="1" si="182"/>
        <v>761910.31570377713</v>
      </c>
      <c r="CC92" s="59"/>
    </row>
    <row r="93" spans="1:81" s="741" customFormat="1" hidden="1" outlineLevel="1" x14ac:dyDescent="0.55000000000000004">
      <c r="A93" s="446" t="s">
        <v>285</v>
      </c>
      <c r="B93" s="447"/>
      <c r="C93" s="59"/>
      <c r="D93" s="59"/>
      <c r="E93" s="59"/>
      <c r="F93" s="59">
        <f t="shared" ref="F93:AK93" si="183">AVERAGE(F92,E92,D92,C92)</f>
        <v>13172.75</v>
      </c>
      <c r="G93" s="59">
        <f t="shared" si="183"/>
        <v>14401</v>
      </c>
      <c r="H93" s="59">
        <f t="shared" si="183"/>
        <v>15900.25</v>
      </c>
      <c r="I93" s="59">
        <f t="shared" si="183"/>
        <v>17947.75</v>
      </c>
      <c r="J93" s="59">
        <f t="shared" si="183"/>
        <v>23104.25</v>
      </c>
      <c r="K93" s="59">
        <f t="shared" si="183"/>
        <v>28295.25</v>
      </c>
      <c r="L93" s="59">
        <f t="shared" si="183"/>
        <v>33571.75</v>
      </c>
      <c r="M93" s="59">
        <f t="shared" si="183"/>
        <v>38617.25</v>
      </c>
      <c r="N93" s="59">
        <f t="shared" si="183"/>
        <v>40647.75</v>
      </c>
      <c r="O93" s="59">
        <f t="shared" si="183"/>
        <v>43419.5</v>
      </c>
      <c r="P93" s="59">
        <f t="shared" si="183"/>
        <v>46455.25</v>
      </c>
      <c r="Q93" s="59">
        <f t="shared" si="183"/>
        <v>49880.5</v>
      </c>
      <c r="R93" s="59">
        <f t="shared" si="183"/>
        <v>53624.5</v>
      </c>
      <c r="S93" s="59">
        <f t="shared" si="183"/>
        <v>57024.5</v>
      </c>
      <c r="T93" s="59">
        <f t="shared" si="183"/>
        <v>60746</v>
      </c>
      <c r="U93" s="59">
        <f t="shared" si="183"/>
        <v>64767.75</v>
      </c>
      <c r="V93" s="59">
        <f t="shared" si="183"/>
        <v>68556</v>
      </c>
      <c r="W93" s="59">
        <f t="shared" si="183"/>
        <v>72414</v>
      </c>
      <c r="X93" s="59">
        <f t="shared" si="183"/>
        <v>75639.25</v>
      </c>
      <c r="Y93" s="59">
        <f t="shared" si="183"/>
        <v>77922.75</v>
      </c>
      <c r="Z93" s="59">
        <f t="shared" si="183"/>
        <v>80367.75</v>
      </c>
      <c r="AA93" s="59">
        <f t="shared" si="183"/>
        <v>82591.75</v>
      </c>
      <c r="AB93" s="59">
        <f t="shared" si="183"/>
        <v>84936.75</v>
      </c>
      <c r="AC93" s="59">
        <f t="shared" si="183"/>
        <v>88351</v>
      </c>
      <c r="AD93" s="59">
        <f t="shared" si="183"/>
        <v>92582.75</v>
      </c>
      <c r="AE93" s="59">
        <f t="shared" si="183"/>
        <v>97279.75</v>
      </c>
      <c r="AF93" s="59">
        <f t="shared" si="183"/>
        <v>102701</v>
      </c>
      <c r="AG93" s="59">
        <f t="shared" si="183"/>
        <v>108634</v>
      </c>
      <c r="AH93" s="59">
        <f t="shared" si="183"/>
        <v>115443</v>
      </c>
      <c r="AI93" s="59">
        <f t="shared" si="183"/>
        <v>122531.25</v>
      </c>
      <c r="AJ93" s="59">
        <f t="shared" si="183"/>
        <v>129476.25</v>
      </c>
      <c r="AK93" s="59">
        <f t="shared" si="183"/>
        <v>133383.5</v>
      </c>
      <c r="AL93" s="59">
        <f t="shared" ref="AL93:BF93" si="184">AVERAGE(AL92,AK92,AJ92,AI92)</f>
        <v>132530.75</v>
      </c>
      <c r="AM93" s="59">
        <f t="shared" si="184"/>
        <v>129923.5</v>
      </c>
      <c r="AN93" s="59">
        <f t="shared" si="184"/>
        <v>126808.5</v>
      </c>
      <c r="AO93" s="59">
        <f t="shared" si="184"/>
        <v>124492</v>
      </c>
      <c r="AP93" s="59">
        <f t="shared" si="184"/>
        <v>124700.5</v>
      </c>
      <c r="AQ93" s="59">
        <f t="shared" si="184"/>
        <v>125092.25</v>
      </c>
      <c r="AR93" s="59">
        <f t="shared" si="184"/>
        <v>127158.75</v>
      </c>
      <c r="AS93" s="59">
        <f t="shared" si="184"/>
        <v>131853.5</v>
      </c>
      <c r="AT93" s="59">
        <f t="shared" si="184"/>
        <v>138717.25</v>
      </c>
      <c r="AU93" s="59">
        <f t="shared" si="184"/>
        <v>144900.75</v>
      </c>
      <c r="AV93" s="59">
        <f t="shared" si="184"/>
        <v>150583.25</v>
      </c>
      <c r="AW93" s="59">
        <f t="shared" si="184"/>
        <v>155997.25</v>
      </c>
      <c r="AX93" s="59">
        <f t="shared" si="184"/>
        <v>163364.5</v>
      </c>
      <c r="AY93" s="675">
        <f t="shared" si="184"/>
        <v>172239.5</v>
      </c>
      <c r="AZ93" s="59">
        <f t="shared" ca="1" si="184"/>
        <v>184136.84898697323</v>
      </c>
      <c r="BA93" s="59">
        <f t="shared" ca="1" si="184"/>
        <v>199482.58560577518</v>
      </c>
      <c r="BB93" s="59">
        <f t="shared" ca="1" si="184"/>
        <v>216557.5109143942</v>
      </c>
      <c r="BC93" s="59">
        <f t="shared" ca="1" si="184"/>
        <v>240200.59577693237</v>
      </c>
      <c r="BD93" s="59">
        <f t="shared" ca="1" si="184"/>
        <v>265445.88058769715</v>
      </c>
      <c r="BE93" s="59">
        <f t="shared" ca="1" si="184"/>
        <v>292236.48847859172</v>
      </c>
      <c r="BF93" s="59">
        <f t="shared" ca="1" si="184"/>
        <v>320539.04523195204</v>
      </c>
      <c r="BG93" s="59"/>
      <c r="BH93" s="1054"/>
      <c r="BI93" s="1054">
        <f>BI92</f>
        <v>2162</v>
      </c>
      <c r="BJ93" s="1054">
        <f t="shared" ref="BJ93:CB93" si="185">AVERAGE(BJ92,BI92)</f>
        <v>3530.5</v>
      </c>
      <c r="BK93" s="1054">
        <f t="shared" si="185"/>
        <v>8327</v>
      </c>
      <c r="BL93" s="1054">
        <f t="shared" si="185"/>
        <v>13612.5</v>
      </c>
      <c r="BM93" s="1054">
        <f t="shared" si="185"/>
        <v>25783</v>
      </c>
      <c r="BN93" s="1054">
        <f t="shared" si="185"/>
        <v>40157</v>
      </c>
      <c r="BO93" s="1054">
        <f t="shared" si="185"/>
        <v>51706</v>
      </c>
      <c r="BP93" s="1054">
        <f t="shared" si="185"/>
        <v>66770.5</v>
      </c>
      <c r="BQ93" s="1054">
        <f t="shared" si="185"/>
        <v>79237</v>
      </c>
      <c r="BR93" s="1054">
        <f t="shared" si="185"/>
        <v>92590.5</v>
      </c>
      <c r="BS93" s="1054">
        <f t="shared" si="185"/>
        <v>114672</v>
      </c>
      <c r="BT93" s="1054">
        <f t="shared" si="185"/>
        <v>126584.5</v>
      </c>
      <c r="BU93" s="1054">
        <f t="shared" si="185"/>
        <v>125296</v>
      </c>
      <c r="BV93" s="1054">
        <f t="shared" si="185"/>
        <v>139440.5</v>
      </c>
      <c r="BW93" s="1055">
        <f t="shared" si="185"/>
        <v>167902.5</v>
      </c>
      <c r="BX93" s="1054">
        <f t="shared" ca="1" si="185"/>
        <v>216786.850617238</v>
      </c>
      <c r="BY93" s="1054">
        <f t="shared" ca="1" si="185"/>
        <v>307541.81474119669</v>
      </c>
      <c r="BZ93" s="1054">
        <f t="shared" ca="1" si="185"/>
        <v>425523.27499095083</v>
      </c>
      <c r="CA93" s="1054">
        <f t="shared" ca="1" si="185"/>
        <v>551303.4290270023</v>
      </c>
      <c r="CB93" s="1054">
        <f t="shared" ca="1" si="185"/>
        <v>688808.77601189865</v>
      </c>
      <c r="CC93" s="59"/>
    </row>
    <row r="94" spans="1:81" s="737" customFormat="1" collapsed="1" x14ac:dyDescent="0.55000000000000004">
      <c r="A94" s="101" t="s">
        <v>286</v>
      </c>
      <c r="B94" s="49"/>
      <c r="C94" s="66"/>
      <c r="D94" s="66"/>
      <c r="E94" s="66"/>
      <c r="F94" s="66"/>
      <c r="G94" s="66">
        <f t="shared" ref="G94:AL94" si="186">IF(G93&lt;0,"NMF",IF(ABS(G91/G93)&gt;1,"NMF",G91/G93))</f>
        <v>0.20095826678702869</v>
      </c>
      <c r="H94" s="66">
        <f t="shared" si="186"/>
        <v>0.22188330372163959</v>
      </c>
      <c r="I94" s="66">
        <f t="shared" si="186"/>
        <v>0.22348205206780794</v>
      </c>
      <c r="J94" s="66">
        <f t="shared" si="186"/>
        <v>0.20407500784487703</v>
      </c>
      <c r="K94" s="66">
        <f t="shared" si="186"/>
        <v>0.17593058905646708</v>
      </c>
      <c r="L94" s="66">
        <f t="shared" si="186"/>
        <v>0.15766232025438054</v>
      </c>
      <c r="M94" s="66">
        <f t="shared" si="186"/>
        <v>0.14946688332286737</v>
      </c>
      <c r="N94" s="66">
        <f t="shared" si="186"/>
        <v>0.16037788069450337</v>
      </c>
      <c r="O94" s="66">
        <f t="shared" si="186"/>
        <v>0.16278400257948616</v>
      </c>
      <c r="P94" s="66">
        <f t="shared" si="186"/>
        <v>0.1703574945781155</v>
      </c>
      <c r="Q94" s="66">
        <f t="shared" si="186"/>
        <v>0.17868706207836729</v>
      </c>
      <c r="R94" s="66">
        <f t="shared" si="186"/>
        <v>0.19052858301709108</v>
      </c>
      <c r="S94" s="66">
        <f t="shared" si="186"/>
        <v>0.20242176608299942</v>
      </c>
      <c r="T94" s="66">
        <f t="shared" si="186"/>
        <v>0.21654100681526356</v>
      </c>
      <c r="U94" s="66">
        <f t="shared" si="186"/>
        <v>0.2352096529522795</v>
      </c>
      <c r="V94" s="66">
        <f t="shared" si="186"/>
        <v>0.23242312853725422</v>
      </c>
      <c r="W94" s="66">
        <f t="shared" si="186"/>
        <v>0.24660977159112879</v>
      </c>
      <c r="X94" s="66">
        <f t="shared" si="186"/>
        <v>0.25211778276490049</v>
      </c>
      <c r="Y94" s="66">
        <f t="shared" si="186"/>
        <v>0.25024784161236607</v>
      </c>
      <c r="Z94" s="66">
        <f t="shared" si="186"/>
        <v>0.27513523770417858</v>
      </c>
      <c r="AA94" s="66">
        <f t="shared" si="186"/>
        <v>0.23674277394533957</v>
      </c>
      <c r="AB94" s="66">
        <f t="shared" si="186"/>
        <v>0.2008906627578757</v>
      </c>
      <c r="AC94" s="66">
        <f t="shared" si="186"/>
        <v>0.203925252685312</v>
      </c>
      <c r="AD94" s="66">
        <f t="shared" si="186"/>
        <v>0.19965922377548734</v>
      </c>
      <c r="AE94" s="66">
        <f t="shared" si="186"/>
        <v>0.21544052076614095</v>
      </c>
      <c r="AF94" s="66">
        <f t="shared" si="186"/>
        <v>0.2290143231321993</v>
      </c>
      <c r="AG94" s="66">
        <f t="shared" si="186"/>
        <v>0.23266196586703977</v>
      </c>
      <c r="AH94" s="66">
        <f t="shared" si="186"/>
        <v>0.25246225409942569</v>
      </c>
      <c r="AI94" s="66">
        <f t="shared" si="186"/>
        <v>0.27535832695740881</v>
      </c>
      <c r="AJ94" s="66">
        <f t="shared" si="186"/>
        <v>0.30087371236037497</v>
      </c>
      <c r="AK94" s="66">
        <f t="shared" si="186"/>
        <v>0.30216630992589039</v>
      </c>
      <c r="AL94" s="66">
        <f t="shared" si="186"/>
        <v>0.29707067982336177</v>
      </c>
      <c r="AM94" s="66">
        <f t="shared" ref="AM94:BF94" si="187">IF(AM93&lt;0,"NMF",IF(ABS(AM91/AM93)&gt;1,"NMF",AM91/AM93))</f>
        <v>0.28739219617698109</v>
      </c>
      <c r="AN94" s="66">
        <f t="shared" si="187"/>
        <v>0.26521881419620924</v>
      </c>
      <c r="AO94" s="66">
        <f t="shared" si="187"/>
        <v>0.23160524371043922</v>
      </c>
      <c r="AP94" s="66">
        <f t="shared" si="187"/>
        <v>0.18603774644047136</v>
      </c>
      <c r="AQ94" s="66">
        <f t="shared" si="187"/>
        <v>0.17141749388950955</v>
      </c>
      <c r="AR94" s="66">
        <f t="shared" si="187"/>
        <v>0.17729019827577733</v>
      </c>
      <c r="AS94" s="66">
        <f t="shared" si="187"/>
        <v>0.22549268695939054</v>
      </c>
      <c r="AT94" s="66">
        <f t="shared" si="187"/>
        <v>0.28184670615947188</v>
      </c>
      <c r="AU94" s="66">
        <f t="shared" si="187"/>
        <v>0.31578166434611277</v>
      </c>
      <c r="AV94" s="66">
        <f t="shared" si="187"/>
        <v>0.34156521392651573</v>
      </c>
      <c r="AW94" s="66">
        <f t="shared" si="187"/>
        <v>0.35602550685989659</v>
      </c>
      <c r="AX94" s="66">
        <f t="shared" si="187"/>
        <v>0.38172307937158928</v>
      </c>
      <c r="AY94" s="697">
        <f t="shared" si="187"/>
        <v>0.3868740910186107</v>
      </c>
      <c r="AZ94" s="66">
        <f t="shared" ca="1" si="187"/>
        <v>0.38778208813584086</v>
      </c>
      <c r="BA94" s="66">
        <f t="shared" ca="1" si="187"/>
        <v>0.38073005619525585</v>
      </c>
      <c r="BB94" s="66">
        <f t="shared" ca="1" si="187"/>
        <v>0.35909131926693283</v>
      </c>
      <c r="BC94" s="66">
        <f t="shared" ca="1" si="187"/>
        <v>0.35907758991718614</v>
      </c>
      <c r="BD94" s="66">
        <f t="shared" ca="1" si="187"/>
        <v>0.33975190248902626</v>
      </c>
      <c r="BE94" s="66">
        <f t="shared" ca="1" si="187"/>
        <v>0.32105259363510524</v>
      </c>
      <c r="BF94" s="66">
        <f t="shared" ca="1" si="187"/>
        <v>0.30276285192533048</v>
      </c>
      <c r="BG94" s="66"/>
      <c r="BH94" s="1084"/>
      <c r="BI94" s="1084">
        <f t="shared" ref="BI94:CB94" si="188">IF(BI93&lt;0,"NMF",IF(ABS(BI91/BI93)&gt;1,"NMF",BI91/BI93))</f>
        <v>0.28029602220166511</v>
      </c>
      <c r="BJ94" s="1084">
        <f t="shared" si="188"/>
        <v>0.32969834301090495</v>
      </c>
      <c r="BK94" s="1084">
        <f t="shared" si="188"/>
        <v>0.15816020175333254</v>
      </c>
      <c r="BL94" s="1084">
        <f t="shared" si="188"/>
        <v>0.17146005509641873</v>
      </c>
      <c r="BM94" s="1084">
        <f t="shared" si="188"/>
        <v>0.18279486483341736</v>
      </c>
      <c r="BN94" s="1084">
        <f t="shared" si="188"/>
        <v>0.16231292178200563</v>
      </c>
      <c r="BO94" s="1084">
        <f t="shared" si="188"/>
        <v>0.19759795768382779</v>
      </c>
      <c r="BP94" s="1084">
        <f t="shared" si="188"/>
        <v>0.23863832081533012</v>
      </c>
      <c r="BQ94" s="1084">
        <f t="shared" si="188"/>
        <v>0.27906154952862933</v>
      </c>
      <c r="BR94" s="1084">
        <f t="shared" si="188"/>
        <v>0.1996425119207694</v>
      </c>
      <c r="BS94" s="1084">
        <f t="shared" si="188"/>
        <v>0.25416841077159202</v>
      </c>
      <c r="BT94" s="1084">
        <f t="shared" si="188"/>
        <v>0.31101754164214418</v>
      </c>
      <c r="BU94" s="1084">
        <f t="shared" si="188"/>
        <v>0.18516153747924913</v>
      </c>
      <c r="BV94" s="1084">
        <f t="shared" si="188"/>
        <v>0.2803919951520541</v>
      </c>
      <c r="BW94" s="1085">
        <f t="shared" si="188"/>
        <v>0.37140602432959602</v>
      </c>
      <c r="BX94" s="1084">
        <f t="shared" ca="1" si="188"/>
        <v>0.35871143508013836</v>
      </c>
      <c r="BY94" s="1084">
        <f t="shared" ca="1" si="188"/>
        <v>0.31555811546965007</v>
      </c>
      <c r="BZ94" s="1084">
        <f t="shared" ca="1" si="188"/>
        <v>0.25950929716007981</v>
      </c>
      <c r="CA94" s="1084">
        <f t="shared" ca="1" si="188"/>
        <v>0.20900220067497149</v>
      </c>
      <c r="CB94" s="1084">
        <f t="shared" ca="1" si="188"/>
        <v>0.19073297468267997</v>
      </c>
      <c r="CC94" s="123"/>
    </row>
    <row r="95" spans="1:81" s="741" customFormat="1" hidden="1" outlineLevel="1" x14ac:dyDescent="0.55000000000000004">
      <c r="A95" s="446" t="s">
        <v>287</v>
      </c>
      <c r="B95" s="447"/>
      <c r="C95" s="59">
        <f t="shared" ref="C95:AH95" si="189">INDEX(SP_GF_NI,0,COLUMN())+INDEX(SP_GF_IE,0,COLUMN())*(1-INDEX(SP_GF_Tax,0,COLUMN())/INDEX(SP_GF_EBT,0,COLUMN()))+INDEX(SP_GF_NCI,0,COLUMN())</f>
        <v>223.20396600566573</v>
      </c>
      <c r="D95" s="59">
        <f t="shared" si="189"/>
        <v>336.49908256880735</v>
      </c>
      <c r="E95" s="59">
        <f t="shared" si="189"/>
        <v>431.36639118457299</v>
      </c>
      <c r="F95" s="59">
        <f t="shared" si="189"/>
        <v>520.92566371681414</v>
      </c>
      <c r="G95" s="59">
        <f t="shared" si="189"/>
        <v>639</v>
      </c>
      <c r="H95" s="59">
        <f t="shared" si="189"/>
        <v>788</v>
      </c>
      <c r="I95" s="59">
        <f t="shared" si="189"/>
        <v>799.58682634730542</v>
      </c>
      <c r="J95" s="59">
        <f t="shared" si="189"/>
        <v>696</v>
      </c>
      <c r="K95" s="59">
        <f t="shared" si="189"/>
        <v>507.90128755364805</v>
      </c>
      <c r="L95" s="59">
        <f t="shared" si="189"/>
        <v>712.17596229379421</v>
      </c>
      <c r="M95" s="59">
        <f t="shared" si="189"/>
        <v>886.62011173184362</v>
      </c>
      <c r="N95" s="59">
        <f t="shared" si="189"/>
        <v>1545.8369182635902</v>
      </c>
      <c r="O95" s="59">
        <f t="shared" si="189"/>
        <v>1709.2865440464666</v>
      </c>
      <c r="P95" s="59">
        <f t="shared" si="189"/>
        <v>2249.4727668845317</v>
      </c>
      <c r="Q95" s="59">
        <f t="shared" si="189"/>
        <v>2578.4860935524653</v>
      </c>
      <c r="R95" s="59">
        <f t="shared" si="189"/>
        <v>3516.9214648135894</v>
      </c>
      <c r="S95" s="59">
        <f t="shared" si="189"/>
        <v>2998.762910798122</v>
      </c>
      <c r="T95" s="59">
        <f t="shared" si="189"/>
        <v>3811.044117647059</v>
      </c>
      <c r="U95" s="59">
        <f t="shared" si="189"/>
        <v>4606.911382734912</v>
      </c>
      <c r="V95" s="59">
        <f t="shared" si="189"/>
        <v>4192.939686369119</v>
      </c>
      <c r="W95" s="59">
        <f t="shared" si="189"/>
        <v>4858.0766488413547</v>
      </c>
      <c r="X95" s="59">
        <f t="shared" si="189"/>
        <v>4981.5695296523518</v>
      </c>
      <c r="Y95" s="59">
        <f t="shared" si="189"/>
        <v>4984.0717185385656</v>
      </c>
      <c r="Z95" s="59">
        <f t="shared" si="189"/>
        <v>6718.7081921967128</v>
      </c>
      <c r="AA95" s="59">
        <f t="shared" si="189"/>
        <v>2290.877656519242</v>
      </c>
      <c r="AB95" s="59">
        <f t="shared" si="189"/>
        <v>2497.4354304635763</v>
      </c>
      <c r="AC95" s="59">
        <f t="shared" si="189"/>
        <v>5876.5808432255426</v>
      </c>
      <c r="AD95" s="59">
        <f t="shared" si="189"/>
        <v>7165.4553386410735</v>
      </c>
      <c r="AE95" s="59">
        <f t="shared" si="189"/>
        <v>4711.3062617300802</v>
      </c>
      <c r="AF95" s="59">
        <f t="shared" si="189"/>
        <v>5041.1812102430276</v>
      </c>
      <c r="AG95" s="59">
        <f t="shared" si="189"/>
        <v>7705.1520963973935</v>
      </c>
      <c r="AH95" s="59">
        <f t="shared" si="189"/>
        <v>11102.126464955956</v>
      </c>
      <c r="AI95" s="59">
        <f t="shared" ref="AI95:BF95" si="190">INDEX(SP_GF_NI,0,COLUMN())+INDEX(SP_GF_IE,0,COLUMN())*(1-INDEX(SP_GF_Tax,0,COLUMN())/INDEX(SP_GF_EBT,0,COLUMN()))+INDEX(SP_GF_NCI,0,COLUMN())</f>
        <v>9399.5779361905588</v>
      </c>
      <c r="AJ95" s="59">
        <f t="shared" si="190"/>
        <v>10293.490609765844</v>
      </c>
      <c r="AK95" s="59">
        <f t="shared" si="190"/>
        <v>9089.5721722669186</v>
      </c>
      <c r="AL95" s="59">
        <f t="shared" si="190"/>
        <v>10203.407541525625</v>
      </c>
      <c r="AM95" s="59">
        <f t="shared" si="190"/>
        <v>7401.3111809609336</v>
      </c>
      <c r="AN95" s="59">
        <f t="shared" si="190"/>
        <v>6612.6636941118986</v>
      </c>
      <c r="AO95" s="59">
        <f t="shared" si="190"/>
        <v>4334.3086441893829</v>
      </c>
      <c r="AP95" s="59">
        <f t="shared" si="190"/>
        <v>4627.7905350463489</v>
      </c>
      <c r="AQ95" s="59">
        <f t="shared" si="190"/>
        <v>5601.1798275626115</v>
      </c>
      <c r="AR95" s="59">
        <f t="shared" si="190"/>
        <v>7614.5236199289784</v>
      </c>
      <c r="AS95" s="59">
        <f t="shared" si="190"/>
        <v>11256.660128388017</v>
      </c>
      <c r="AT95" s="59">
        <f t="shared" si="190"/>
        <v>13639.221501665874</v>
      </c>
      <c r="AU95" s="59">
        <f t="shared" si="190"/>
        <v>11969.57801593457</v>
      </c>
      <c r="AV95" s="59">
        <f t="shared" si="190"/>
        <v>13097.756520587845</v>
      </c>
      <c r="AW95" s="59">
        <f t="shared" si="190"/>
        <v>15289.242060374818</v>
      </c>
      <c r="AX95" s="59">
        <f t="shared" si="190"/>
        <v>20414.21525920265</v>
      </c>
      <c r="AY95" s="675">
        <f t="shared" si="190"/>
        <v>16236.547056903493</v>
      </c>
      <c r="AZ95" s="59">
        <f t="shared" si="190"/>
        <v>17881.419606415624</v>
      </c>
      <c r="BA95" s="59">
        <f t="shared" ca="1" si="190"/>
        <v>19825.815302519142</v>
      </c>
      <c r="BB95" s="59">
        <f t="shared" ca="1" si="190"/>
        <v>22260.863527269466</v>
      </c>
      <c r="BC95" s="59">
        <f t="shared" ca="1" si="190"/>
        <v>24571.43992388068</v>
      </c>
      <c r="BD95" s="59">
        <f t="shared" ca="1" si="190"/>
        <v>21412.473237100214</v>
      </c>
      <c r="BE95" s="59">
        <f t="shared" ca="1" si="190"/>
        <v>22948.408853622117</v>
      </c>
      <c r="BF95" s="59">
        <f t="shared" ca="1" si="190"/>
        <v>24952.815131119991</v>
      </c>
      <c r="BG95" s="59"/>
      <c r="BH95" s="1054">
        <f t="shared" ref="BH95:CB95" si="191">INDEX(SP_GF_NI,0,COLUMN())+INDEX(SP_GF_IE,0,COLUMN())*(1-INDEX(SP_GF_Tax,0,COLUMN())/INDEX(SP_GF_EBT,0,COLUMN()))+INDEX(SP_GF_NCI,0,COLUMN())</f>
        <v>131.01574803149606</v>
      </c>
      <c r="BI95" s="1054">
        <f t="shared" si="191"/>
        <v>385.22619047619048</v>
      </c>
      <c r="BJ95" s="1054">
        <f t="shared" si="191"/>
        <v>692.77876106194685</v>
      </c>
      <c r="BK95" s="1054">
        <f t="shared" si="191"/>
        <v>37.47165991902834</v>
      </c>
      <c r="BL95" s="1054">
        <f t="shared" si="191"/>
        <v>1511.1525054466231</v>
      </c>
      <c r="BM95" s="1054">
        <f t="shared" si="191"/>
        <v>2922.6048879837067</v>
      </c>
      <c r="BN95" s="1054">
        <f t="shared" si="191"/>
        <v>3651.7329673877948</v>
      </c>
      <c r="BO95" s="1054">
        <f t="shared" si="191"/>
        <v>10052.513340789263</v>
      </c>
      <c r="BP95" s="1054">
        <f t="shared" si="191"/>
        <v>15616.701563562203</v>
      </c>
      <c r="BQ95" s="1054">
        <f t="shared" si="191"/>
        <v>21542.527778873075</v>
      </c>
      <c r="BR95" s="1054">
        <f t="shared" si="191"/>
        <v>17811.517813960985</v>
      </c>
      <c r="BS95" s="1054">
        <f t="shared" si="191"/>
        <v>28555.701265822783</v>
      </c>
      <c r="BT95" s="1054">
        <f t="shared" si="191"/>
        <v>38986.158319939088</v>
      </c>
      <c r="BU95" s="1054">
        <f t="shared" si="191"/>
        <v>22977.813248204311</v>
      </c>
      <c r="BV95" s="1054">
        <f t="shared" si="191"/>
        <v>38114.532132917266</v>
      </c>
      <c r="BW95" s="1055">
        <f t="shared" si="191"/>
        <v>60769.73748637901</v>
      </c>
      <c r="BX95" s="1054">
        <f t="shared" ca="1" si="191"/>
        <v>76207.970598692147</v>
      </c>
      <c r="BY95" s="1054">
        <f t="shared" ca="1" si="191"/>
        <v>93885.137145722983</v>
      </c>
      <c r="BZ95" s="1054">
        <f t="shared" ca="1" si="191"/>
        <v>106149.32817267337</v>
      </c>
      <c r="CA95" s="1054">
        <f t="shared" ca="1" si="191"/>
        <v>108628.61281583477</v>
      </c>
      <c r="CB95" s="1054">
        <f t="shared" ca="1" si="191"/>
        <v>122037.34956708775</v>
      </c>
      <c r="CC95" s="59"/>
    </row>
    <row r="96" spans="1:81" s="741" customFormat="1" hidden="1" outlineLevel="1" x14ac:dyDescent="0.55000000000000004">
      <c r="A96" s="446" t="s">
        <v>288</v>
      </c>
      <c r="B96" s="447"/>
      <c r="C96" s="59"/>
      <c r="D96" s="59"/>
      <c r="E96" s="59"/>
      <c r="F96" s="59">
        <f t="shared" ref="F96:AK96" si="192">SUM(F95,E95,D95,C95)</f>
        <v>1511.9951034758601</v>
      </c>
      <c r="G96" s="59">
        <f t="shared" si="192"/>
        <v>1927.7911374701944</v>
      </c>
      <c r="H96" s="59">
        <f t="shared" si="192"/>
        <v>2379.292054901387</v>
      </c>
      <c r="I96" s="59">
        <f t="shared" si="192"/>
        <v>2747.5124900641194</v>
      </c>
      <c r="J96" s="59">
        <f t="shared" si="192"/>
        <v>2922.5868263473053</v>
      </c>
      <c r="K96" s="59">
        <f t="shared" si="192"/>
        <v>2791.4881139009535</v>
      </c>
      <c r="L96" s="59">
        <f t="shared" si="192"/>
        <v>2715.6640761947478</v>
      </c>
      <c r="M96" s="59">
        <f t="shared" si="192"/>
        <v>2802.6973615792858</v>
      </c>
      <c r="N96" s="59">
        <f t="shared" si="192"/>
        <v>3652.5342798428765</v>
      </c>
      <c r="O96" s="59">
        <f t="shared" si="192"/>
        <v>4853.9195363356948</v>
      </c>
      <c r="P96" s="59">
        <f t="shared" si="192"/>
        <v>6391.2163409264322</v>
      </c>
      <c r="Q96" s="59">
        <f t="shared" si="192"/>
        <v>8083.0823227470537</v>
      </c>
      <c r="R96" s="59">
        <f t="shared" si="192"/>
        <v>10054.166869297052</v>
      </c>
      <c r="S96" s="59">
        <f t="shared" si="192"/>
        <v>11343.643236048709</v>
      </c>
      <c r="T96" s="59">
        <f t="shared" si="192"/>
        <v>12905.214586811235</v>
      </c>
      <c r="U96" s="59">
        <f t="shared" si="192"/>
        <v>14933.639875993682</v>
      </c>
      <c r="V96" s="59">
        <f t="shared" si="192"/>
        <v>15609.658097549214</v>
      </c>
      <c r="W96" s="59">
        <f t="shared" si="192"/>
        <v>17468.971835592445</v>
      </c>
      <c r="X96" s="59">
        <f t="shared" si="192"/>
        <v>18639.497247597734</v>
      </c>
      <c r="Y96" s="59">
        <f t="shared" si="192"/>
        <v>19016.657583401389</v>
      </c>
      <c r="Z96" s="59">
        <f t="shared" si="192"/>
        <v>21542.426089228986</v>
      </c>
      <c r="AA96" s="59">
        <f t="shared" si="192"/>
        <v>18975.22709690687</v>
      </c>
      <c r="AB96" s="59">
        <f t="shared" si="192"/>
        <v>16491.092997718097</v>
      </c>
      <c r="AC96" s="59">
        <f t="shared" si="192"/>
        <v>17383.602122405071</v>
      </c>
      <c r="AD96" s="59">
        <f t="shared" si="192"/>
        <v>17830.349268849437</v>
      </c>
      <c r="AE96" s="59">
        <f t="shared" si="192"/>
        <v>20250.777874060273</v>
      </c>
      <c r="AF96" s="59">
        <f t="shared" si="192"/>
        <v>22794.523653839726</v>
      </c>
      <c r="AG96" s="59">
        <f t="shared" si="192"/>
        <v>24623.094907011575</v>
      </c>
      <c r="AH96" s="59">
        <f t="shared" si="192"/>
        <v>28559.766033326458</v>
      </c>
      <c r="AI96" s="59">
        <f t="shared" si="192"/>
        <v>33248.037707786934</v>
      </c>
      <c r="AJ96" s="59">
        <f t="shared" si="192"/>
        <v>38500.347107309753</v>
      </c>
      <c r="AK96" s="59">
        <f t="shared" si="192"/>
        <v>39884.767183179283</v>
      </c>
      <c r="AL96" s="59">
        <f t="shared" ref="AL96:BF96" si="193">SUM(AL95,AK95,AJ95,AI95)</f>
        <v>38986.048259748946</v>
      </c>
      <c r="AM96" s="59">
        <f t="shared" si="193"/>
        <v>36987.78150451932</v>
      </c>
      <c r="AN96" s="59">
        <f t="shared" si="193"/>
        <v>33306.954588865374</v>
      </c>
      <c r="AO96" s="59">
        <f t="shared" si="193"/>
        <v>28551.691060787838</v>
      </c>
      <c r="AP96" s="59">
        <f t="shared" si="193"/>
        <v>22976.074054308563</v>
      </c>
      <c r="AQ96" s="59">
        <f t="shared" si="193"/>
        <v>21175.942700910244</v>
      </c>
      <c r="AR96" s="59">
        <f t="shared" si="193"/>
        <v>22177.80262672732</v>
      </c>
      <c r="AS96" s="59">
        <f t="shared" si="193"/>
        <v>29100.154110925956</v>
      </c>
      <c r="AT96" s="59">
        <f t="shared" si="193"/>
        <v>38111.585077545482</v>
      </c>
      <c r="AU96" s="59">
        <f t="shared" si="193"/>
        <v>44479.983265917443</v>
      </c>
      <c r="AV96" s="59">
        <f t="shared" si="193"/>
        <v>49963.216166576305</v>
      </c>
      <c r="AW96" s="59">
        <f t="shared" si="193"/>
        <v>53995.798098563107</v>
      </c>
      <c r="AX96" s="59">
        <f t="shared" si="193"/>
        <v>60770.791856099895</v>
      </c>
      <c r="AY96" s="675">
        <f t="shared" si="193"/>
        <v>65037.760897068802</v>
      </c>
      <c r="AZ96" s="59">
        <f t="shared" si="193"/>
        <v>69821.42398289658</v>
      </c>
      <c r="BA96" s="59">
        <f t="shared" ca="1" si="193"/>
        <v>74357.997225040919</v>
      </c>
      <c r="BB96" s="59">
        <f t="shared" ca="1" si="193"/>
        <v>76204.645493107731</v>
      </c>
      <c r="BC96" s="59">
        <f t="shared" ca="1" si="193"/>
        <v>84539.538360084916</v>
      </c>
      <c r="BD96" s="59">
        <f t="shared" ca="1" si="193"/>
        <v>88070.591990769506</v>
      </c>
      <c r="BE96" s="59">
        <f t="shared" ca="1" si="193"/>
        <v>91193.185541872474</v>
      </c>
      <c r="BF96" s="59">
        <f t="shared" ca="1" si="193"/>
        <v>93885.137145722998</v>
      </c>
      <c r="BG96" s="59"/>
      <c r="BH96" s="1054">
        <f t="shared" ref="BH96:CB96" si="194">BH95</f>
        <v>131.01574803149606</v>
      </c>
      <c r="BI96" s="1054">
        <f t="shared" si="194"/>
        <v>385.22619047619048</v>
      </c>
      <c r="BJ96" s="1054">
        <f t="shared" si="194"/>
        <v>692.77876106194685</v>
      </c>
      <c r="BK96" s="1054">
        <f t="shared" si="194"/>
        <v>37.47165991902834</v>
      </c>
      <c r="BL96" s="1054">
        <f t="shared" si="194"/>
        <v>1511.1525054466231</v>
      </c>
      <c r="BM96" s="1054">
        <f t="shared" si="194"/>
        <v>2922.6048879837067</v>
      </c>
      <c r="BN96" s="1054">
        <f t="shared" si="194"/>
        <v>3651.7329673877948</v>
      </c>
      <c r="BO96" s="1054">
        <f t="shared" si="194"/>
        <v>10052.513340789263</v>
      </c>
      <c r="BP96" s="1054">
        <f t="shared" si="194"/>
        <v>15616.701563562203</v>
      </c>
      <c r="BQ96" s="1054">
        <f t="shared" si="194"/>
        <v>21542.527778873075</v>
      </c>
      <c r="BR96" s="1054">
        <f t="shared" si="194"/>
        <v>17811.517813960985</v>
      </c>
      <c r="BS96" s="1054">
        <f t="shared" si="194"/>
        <v>28555.701265822783</v>
      </c>
      <c r="BT96" s="1054">
        <f t="shared" si="194"/>
        <v>38986.158319939088</v>
      </c>
      <c r="BU96" s="1054">
        <f t="shared" si="194"/>
        <v>22977.813248204311</v>
      </c>
      <c r="BV96" s="1054">
        <f t="shared" si="194"/>
        <v>38114.532132917266</v>
      </c>
      <c r="BW96" s="1055">
        <f t="shared" si="194"/>
        <v>60769.73748637901</v>
      </c>
      <c r="BX96" s="1054">
        <f t="shared" ca="1" si="194"/>
        <v>76207.970598692147</v>
      </c>
      <c r="BY96" s="1054">
        <f t="shared" ca="1" si="194"/>
        <v>93885.137145722983</v>
      </c>
      <c r="BZ96" s="1054">
        <f t="shared" ca="1" si="194"/>
        <v>106149.32817267337</v>
      </c>
      <c r="CA96" s="1054">
        <f t="shared" ca="1" si="194"/>
        <v>108628.61281583477</v>
      </c>
      <c r="CB96" s="1054">
        <f t="shared" ca="1" si="194"/>
        <v>122037.34956708775</v>
      </c>
      <c r="CC96" s="59"/>
    </row>
    <row r="97" spans="1:81" s="741" customFormat="1" hidden="1" outlineLevel="1" x14ac:dyDescent="0.55000000000000004">
      <c r="A97" s="446" t="s">
        <v>196</v>
      </c>
      <c r="B97" s="447"/>
      <c r="C97" s="59">
        <f t="shared" ref="C97:AH97" si="195">INDEX(MO_BS_TA,0,COLUMN())</f>
        <v>15163</v>
      </c>
      <c r="D97" s="59">
        <f t="shared" si="195"/>
        <v>15724</v>
      </c>
      <c r="E97" s="59">
        <f t="shared" si="195"/>
        <v>14933</v>
      </c>
      <c r="F97" s="59">
        <f t="shared" si="195"/>
        <v>17895</v>
      </c>
      <c r="G97" s="59">
        <f t="shared" si="195"/>
        <v>19028</v>
      </c>
      <c r="H97" s="59">
        <f t="shared" si="195"/>
        <v>20769</v>
      </c>
      <c r="I97" s="59">
        <f t="shared" si="195"/>
        <v>24188</v>
      </c>
      <c r="J97" s="59">
        <f t="shared" si="195"/>
        <v>39966</v>
      </c>
      <c r="K97" s="59">
        <f t="shared" si="195"/>
        <v>42007</v>
      </c>
      <c r="L97" s="59">
        <f t="shared" si="195"/>
        <v>44130</v>
      </c>
      <c r="M97" s="59">
        <f t="shared" si="195"/>
        <v>46469</v>
      </c>
      <c r="N97" s="59">
        <f t="shared" si="195"/>
        <v>49407</v>
      </c>
      <c r="O97" s="59">
        <f t="shared" si="195"/>
        <v>52262</v>
      </c>
      <c r="P97" s="59">
        <f t="shared" si="195"/>
        <v>55968</v>
      </c>
      <c r="Q97" s="59">
        <f t="shared" si="195"/>
        <v>60007</v>
      </c>
      <c r="R97" s="59">
        <f t="shared" si="195"/>
        <v>64961</v>
      </c>
      <c r="S97" s="59">
        <f t="shared" si="195"/>
        <v>68714</v>
      </c>
      <c r="T97" s="59">
        <f t="shared" si="195"/>
        <v>73843</v>
      </c>
      <c r="U97" s="59">
        <f t="shared" si="195"/>
        <v>78998</v>
      </c>
      <c r="V97" s="59">
        <f t="shared" si="195"/>
        <v>84524</v>
      </c>
      <c r="W97" s="59">
        <f t="shared" si="195"/>
        <v>88945</v>
      </c>
      <c r="X97" s="59">
        <f t="shared" si="195"/>
        <v>90291</v>
      </c>
      <c r="Y97" s="59">
        <f t="shared" si="195"/>
        <v>92452</v>
      </c>
      <c r="Z97" s="59">
        <f t="shared" si="195"/>
        <v>97334</v>
      </c>
      <c r="AA97" s="59">
        <f t="shared" si="195"/>
        <v>109477</v>
      </c>
      <c r="AB97" s="59">
        <f t="shared" si="195"/>
        <v>117006</v>
      </c>
      <c r="AC97" s="59">
        <f t="shared" si="195"/>
        <v>124418</v>
      </c>
      <c r="AD97" s="59">
        <f t="shared" si="195"/>
        <v>133376</v>
      </c>
      <c r="AE97" s="59">
        <f t="shared" si="195"/>
        <v>138371</v>
      </c>
      <c r="AF97" s="59">
        <f t="shared" si="195"/>
        <v>139691</v>
      </c>
      <c r="AG97" s="59">
        <f t="shared" si="195"/>
        <v>146437</v>
      </c>
      <c r="AH97" s="59">
        <f t="shared" si="195"/>
        <v>159316</v>
      </c>
      <c r="AI97" s="59">
        <f t="shared" ref="AI97:BF97" si="196">INDEX(MO_BS_TA,0,COLUMN())</f>
        <v>163523</v>
      </c>
      <c r="AJ97" s="59">
        <f t="shared" si="196"/>
        <v>170609</v>
      </c>
      <c r="AK97" s="59">
        <f t="shared" si="196"/>
        <v>169585</v>
      </c>
      <c r="AL97" s="59">
        <f t="shared" si="196"/>
        <v>165987</v>
      </c>
      <c r="AM97" s="59">
        <f t="shared" si="196"/>
        <v>164218</v>
      </c>
      <c r="AN97" s="59">
        <f t="shared" si="196"/>
        <v>169779</v>
      </c>
      <c r="AO97" s="59">
        <f t="shared" si="196"/>
        <v>178894</v>
      </c>
      <c r="AP97" s="59">
        <f t="shared" si="196"/>
        <v>185727</v>
      </c>
      <c r="AQ97" s="59">
        <f t="shared" si="196"/>
        <v>184491</v>
      </c>
      <c r="AR97" s="59">
        <f t="shared" si="196"/>
        <v>206688</v>
      </c>
      <c r="AS97" s="59">
        <f t="shared" si="196"/>
        <v>216274</v>
      </c>
      <c r="AT97" s="59">
        <f t="shared" si="196"/>
        <v>229623</v>
      </c>
      <c r="AU97" s="59">
        <f t="shared" si="196"/>
        <v>222844</v>
      </c>
      <c r="AV97" s="59">
        <f t="shared" si="196"/>
        <v>230238</v>
      </c>
      <c r="AW97" s="59">
        <f t="shared" si="196"/>
        <v>256408</v>
      </c>
      <c r="AX97" s="59">
        <f t="shared" si="196"/>
        <v>276054</v>
      </c>
      <c r="AY97" s="675">
        <f t="shared" si="196"/>
        <v>280213</v>
      </c>
      <c r="AZ97" s="59">
        <f t="shared" ca="1" si="196"/>
        <v>300438.60311457916</v>
      </c>
      <c r="BA97" s="59">
        <f t="shared" ca="1" si="196"/>
        <v>322288.64751922089</v>
      </c>
      <c r="BB97" s="59">
        <f t="shared" ca="1" si="196"/>
        <v>345859.95684995677</v>
      </c>
      <c r="BC97" s="59">
        <f t="shared" ca="1" si="196"/>
        <v>373149.13821714307</v>
      </c>
      <c r="BD97" s="59">
        <f t="shared" ca="1" si="196"/>
        <v>400789.3691509018</v>
      </c>
      <c r="BE97" s="59">
        <f t="shared" ca="1" si="196"/>
        <v>429819.08569970517</v>
      </c>
      <c r="BF97" s="59">
        <f t="shared" ca="1" si="196"/>
        <v>460328.02894977853</v>
      </c>
      <c r="BG97" s="59"/>
      <c r="BH97" s="1054"/>
      <c r="BI97" s="1054">
        <f t="shared" ref="BI97:CB97" si="197">INDEX(MO_BS_TA,0,COLUMN())</f>
        <v>2990</v>
      </c>
      <c r="BJ97" s="1054">
        <f t="shared" si="197"/>
        <v>6331</v>
      </c>
      <c r="BK97" s="1054">
        <f t="shared" si="197"/>
        <v>15103</v>
      </c>
      <c r="BL97" s="1054">
        <f t="shared" si="197"/>
        <v>17895</v>
      </c>
      <c r="BM97" s="1054">
        <f t="shared" si="197"/>
        <v>39966</v>
      </c>
      <c r="BN97" s="1054">
        <f t="shared" si="197"/>
        <v>49407</v>
      </c>
      <c r="BO97" s="1054">
        <f t="shared" si="197"/>
        <v>64961</v>
      </c>
      <c r="BP97" s="1054">
        <f t="shared" si="197"/>
        <v>84524</v>
      </c>
      <c r="BQ97" s="1054">
        <f t="shared" si="197"/>
        <v>97334</v>
      </c>
      <c r="BR97" s="1054">
        <f t="shared" si="197"/>
        <v>133376</v>
      </c>
      <c r="BS97" s="1054">
        <f t="shared" si="197"/>
        <v>159316</v>
      </c>
      <c r="BT97" s="1054">
        <f t="shared" si="197"/>
        <v>165987</v>
      </c>
      <c r="BU97" s="1054">
        <f t="shared" si="197"/>
        <v>185727</v>
      </c>
      <c r="BV97" s="1054">
        <f t="shared" si="197"/>
        <v>229623</v>
      </c>
      <c r="BW97" s="1055">
        <f t="shared" si="197"/>
        <v>276054</v>
      </c>
      <c r="BX97" s="1054">
        <f t="shared" ca="1" si="197"/>
        <v>345859.95684995677</v>
      </c>
      <c r="BY97" s="1054">
        <f t="shared" ca="1" si="197"/>
        <v>460328.02894977853</v>
      </c>
      <c r="BZ97" s="1054">
        <f t="shared" ca="1" si="197"/>
        <v>584026.3541096102</v>
      </c>
      <c r="CA97" s="1054">
        <f t="shared" ca="1" si="197"/>
        <v>711849.50592137943</v>
      </c>
      <c r="CB97" s="1054">
        <f t="shared" ca="1" si="197"/>
        <v>856648.66091555951</v>
      </c>
      <c r="CC97" s="59"/>
    </row>
    <row r="98" spans="1:81" s="741" customFormat="1" hidden="1" outlineLevel="1" x14ac:dyDescent="0.55000000000000004">
      <c r="A98" s="446" t="s">
        <v>289</v>
      </c>
      <c r="B98" s="447"/>
      <c r="C98" s="59"/>
      <c r="D98" s="59"/>
      <c r="E98" s="59"/>
      <c r="F98" s="59">
        <f t="shared" ref="F98:AK98" si="198">AVERAGE(F97,E97,D97,C97)</f>
        <v>15928.75</v>
      </c>
      <c r="G98" s="59">
        <f t="shared" si="198"/>
        <v>16895</v>
      </c>
      <c r="H98" s="59">
        <f t="shared" si="198"/>
        <v>18156.25</v>
      </c>
      <c r="I98" s="59">
        <f t="shared" si="198"/>
        <v>20470</v>
      </c>
      <c r="J98" s="59">
        <f t="shared" si="198"/>
        <v>25987.75</v>
      </c>
      <c r="K98" s="59">
        <f t="shared" si="198"/>
        <v>31732.5</v>
      </c>
      <c r="L98" s="59">
        <f t="shared" si="198"/>
        <v>37572.75</v>
      </c>
      <c r="M98" s="59">
        <f t="shared" si="198"/>
        <v>43143</v>
      </c>
      <c r="N98" s="59">
        <f t="shared" si="198"/>
        <v>45503.25</v>
      </c>
      <c r="O98" s="59">
        <f t="shared" si="198"/>
        <v>48067</v>
      </c>
      <c r="P98" s="59">
        <f t="shared" si="198"/>
        <v>51026.5</v>
      </c>
      <c r="Q98" s="59">
        <f t="shared" si="198"/>
        <v>54411</v>
      </c>
      <c r="R98" s="59">
        <f t="shared" si="198"/>
        <v>58299.5</v>
      </c>
      <c r="S98" s="59">
        <f t="shared" si="198"/>
        <v>62412.5</v>
      </c>
      <c r="T98" s="59">
        <f t="shared" si="198"/>
        <v>66881.25</v>
      </c>
      <c r="U98" s="59">
        <f t="shared" si="198"/>
        <v>71629</v>
      </c>
      <c r="V98" s="59">
        <f t="shared" si="198"/>
        <v>76519.75</v>
      </c>
      <c r="W98" s="59">
        <f t="shared" si="198"/>
        <v>81577.5</v>
      </c>
      <c r="X98" s="59">
        <f t="shared" si="198"/>
        <v>85689.5</v>
      </c>
      <c r="Y98" s="59">
        <f t="shared" si="198"/>
        <v>89053</v>
      </c>
      <c r="Z98" s="59">
        <f t="shared" si="198"/>
        <v>92255.5</v>
      </c>
      <c r="AA98" s="59">
        <f t="shared" si="198"/>
        <v>97388.5</v>
      </c>
      <c r="AB98" s="59">
        <f t="shared" si="198"/>
        <v>104067.25</v>
      </c>
      <c r="AC98" s="59">
        <f t="shared" si="198"/>
        <v>112058.75</v>
      </c>
      <c r="AD98" s="59">
        <f t="shared" si="198"/>
        <v>121069.25</v>
      </c>
      <c r="AE98" s="59">
        <f t="shared" si="198"/>
        <v>128292.75</v>
      </c>
      <c r="AF98" s="59">
        <f t="shared" si="198"/>
        <v>133964</v>
      </c>
      <c r="AG98" s="59">
        <f t="shared" si="198"/>
        <v>139468.75</v>
      </c>
      <c r="AH98" s="59">
        <f t="shared" si="198"/>
        <v>145953.75</v>
      </c>
      <c r="AI98" s="59">
        <f t="shared" si="198"/>
        <v>152241.75</v>
      </c>
      <c r="AJ98" s="59">
        <f t="shared" si="198"/>
        <v>159971.25</v>
      </c>
      <c r="AK98" s="59">
        <f t="shared" si="198"/>
        <v>165758.25</v>
      </c>
      <c r="AL98" s="59">
        <f t="shared" ref="AL98:BF98" si="199">AVERAGE(AL97,AK97,AJ97,AI97)</f>
        <v>167426</v>
      </c>
      <c r="AM98" s="59">
        <f t="shared" si="199"/>
        <v>167599.75</v>
      </c>
      <c r="AN98" s="59">
        <f t="shared" si="199"/>
        <v>167392.25</v>
      </c>
      <c r="AO98" s="59">
        <f t="shared" si="199"/>
        <v>169719.5</v>
      </c>
      <c r="AP98" s="59">
        <f t="shared" si="199"/>
        <v>174654.5</v>
      </c>
      <c r="AQ98" s="59">
        <f t="shared" si="199"/>
        <v>179722.75</v>
      </c>
      <c r="AR98" s="59">
        <f t="shared" si="199"/>
        <v>188950</v>
      </c>
      <c r="AS98" s="59">
        <f t="shared" si="199"/>
        <v>198295</v>
      </c>
      <c r="AT98" s="59">
        <f t="shared" si="199"/>
        <v>209269</v>
      </c>
      <c r="AU98" s="59">
        <f t="shared" si="199"/>
        <v>218857.25</v>
      </c>
      <c r="AV98" s="59">
        <f t="shared" si="199"/>
        <v>224744.75</v>
      </c>
      <c r="AW98" s="59">
        <f t="shared" si="199"/>
        <v>234778.25</v>
      </c>
      <c r="AX98" s="59">
        <f t="shared" si="199"/>
        <v>246386</v>
      </c>
      <c r="AY98" s="675">
        <f t="shared" si="199"/>
        <v>260728.25</v>
      </c>
      <c r="AZ98" s="59">
        <f t="shared" ca="1" si="199"/>
        <v>278278.40077864478</v>
      </c>
      <c r="BA98" s="59">
        <f t="shared" ca="1" si="199"/>
        <v>294748.56265844998</v>
      </c>
      <c r="BB98" s="59">
        <f t="shared" ca="1" si="199"/>
        <v>312200.05187093921</v>
      </c>
      <c r="BC98" s="59">
        <f t="shared" ca="1" si="199"/>
        <v>335434.08642522496</v>
      </c>
      <c r="BD98" s="59">
        <f t="shared" ca="1" si="199"/>
        <v>360521.77793430566</v>
      </c>
      <c r="BE98" s="59">
        <f t="shared" ca="1" si="199"/>
        <v>387404.38747942669</v>
      </c>
      <c r="BF98" s="59">
        <f t="shared" ca="1" si="199"/>
        <v>416021.40550438216</v>
      </c>
      <c r="BG98" s="59"/>
      <c r="BH98" s="1054"/>
      <c r="BI98" s="1054">
        <f>AVERAGE(BI97)</f>
        <v>2990</v>
      </c>
      <c r="BJ98" s="1054">
        <f t="shared" ref="BJ98:CB98" si="200">AVERAGE(BJ97,BI97)</f>
        <v>4660.5</v>
      </c>
      <c r="BK98" s="1054">
        <f t="shared" si="200"/>
        <v>10717</v>
      </c>
      <c r="BL98" s="1054">
        <f t="shared" si="200"/>
        <v>16499</v>
      </c>
      <c r="BM98" s="1054">
        <f t="shared" si="200"/>
        <v>28930.5</v>
      </c>
      <c r="BN98" s="1054">
        <f t="shared" si="200"/>
        <v>44686.5</v>
      </c>
      <c r="BO98" s="1054">
        <f t="shared" si="200"/>
        <v>57184</v>
      </c>
      <c r="BP98" s="1054">
        <f t="shared" si="200"/>
        <v>74742.5</v>
      </c>
      <c r="BQ98" s="1054">
        <f t="shared" si="200"/>
        <v>90929</v>
      </c>
      <c r="BR98" s="1054">
        <f t="shared" si="200"/>
        <v>115355</v>
      </c>
      <c r="BS98" s="1054">
        <f t="shared" si="200"/>
        <v>146346</v>
      </c>
      <c r="BT98" s="1054">
        <f t="shared" si="200"/>
        <v>162651.5</v>
      </c>
      <c r="BU98" s="1054">
        <f t="shared" si="200"/>
        <v>175857</v>
      </c>
      <c r="BV98" s="1054">
        <f t="shared" si="200"/>
        <v>207675</v>
      </c>
      <c r="BW98" s="1055">
        <f t="shared" si="200"/>
        <v>252838.5</v>
      </c>
      <c r="BX98" s="1054">
        <f t="shared" ca="1" si="200"/>
        <v>310956.97842497838</v>
      </c>
      <c r="BY98" s="1054">
        <f t="shared" ca="1" si="200"/>
        <v>403093.99289986765</v>
      </c>
      <c r="BZ98" s="1054">
        <f t="shared" ca="1" si="200"/>
        <v>522177.19152969436</v>
      </c>
      <c r="CA98" s="1054">
        <f t="shared" ca="1" si="200"/>
        <v>647937.93001549481</v>
      </c>
      <c r="CB98" s="1054">
        <f t="shared" ca="1" si="200"/>
        <v>784249.08341846941</v>
      </c>
      <c r="CC98" s="59"/>
    </row>
    <row r="99" spans="1:81" s="737" customFormat="1" collapsed="1" x14ac:dyDescent="0.55000000000000004">
      <c r="A99" s="101" t="s">
        <v>290</v>
      </c>
      <c r="B99" s="49"/>
      <c r="C99" s="66"/>
      <c r="D99" s="66"/>
      <c r="E99" s="66"/>
      <c r="F99" s="66"/>
      <c r="G99" s="66">
        <f t="shared" ref="G99:AL99" si="201">IF(G98&lt;0,"NMF",IF(ABS(G96/G98)&gt;1,"NMF",G96/G98))</f>
        <v>0.11410424015804643</v>
      </c>
      <c r="H99" s="66">
        <f t="shared" si="201"/>
        <v>0.13104534553673733</v>
      </c>
      <c r="I99" s="66">
        <f t="shared" si="201"/>
        <v>0.13422142110718707</v>
      </c>
      <c r="J99" s="66">
        <f t="shared" si="201"/>
        <v>0.1124601716711645</v>
      </c>
      <c r="K99" s="66">
        <f t="shared" si="201"/>
        <v>8.7969372532922196E-2</v>
      </c>
      <c r="L99" s="66">
        <f t="shared" si="201"/>
        <v>7.2277490367214217E-2</v>
      </c>
      <c r="M99" s="66">
        <f t="shared" si="201"/>
        <v>6.4962968768497456E-2</v>
      </c>
      <c r="N99" s="66">
        <f t="shared" si="201"/>
        <v>8.0269745124642231E-2</v>
      </c>
      <c r="O99" s="66">
        <f t="shared" si="201"/>
        <v>0.10098236911676815</v>
      </c>
      <c r="P99" s="66">
        <f t="shared" si="201"/>
        <v>0.12525288508767859</v>
      </c>
      <c r="Q99" s="66">
        <f t="shared" si="201"/>
        <v>0.14855603320554767</v>
      </c>
      <c r="R99" s="66">
        <f t="shared" si="201"/>
        <v>0.17245717149027098</v>
      </c>
      <c r="S99" s="66">
        <f t="shared" si="201"/>
        <v>0.18175274562064825</v>
      </c>
      <c r="T99" s="66">
        <f t="shared" si="201"/>
        <v>0.19295713801418538</v>
      </c>
      <c r="U99" s="66">
        <f t="shared" si="201"/>
        <v>0.20848594669747841</v>
      </c>
      <c r="V99" s="66">
        <f t="shared" si="201"/>
        <v>0.20399515285333805</v>
      </c>
      <c r="W99" s="66">
        <f t="shared" si="201"/>
        <v>0.21413958304180006</v>
      </c>
      <c r="X99" s="66">
        <f t="shared" si="201"/>
        <v>0.21752370182575151</v>
      </c>
      <c r="Y99" s="66">
        <f t="shared" si="201"/>
        <v>0.21354314378405431</v>
      </c>
      <c r="Z99" s="66">
        <f t="shared" si="201"/>
        <v>0.23350831212479459</v>
      </c>
      <c r="AA99" s="66">
        <f t="shared" si="201"/>
        <v>0.19484053144782876</v>
      </c>
      <c r="AB99" s="66">
        <f t="shared" si="201"/>
        <v>0.15846573247316612</v>
      </c>
      <c r="AC99" s="66">
        <f t="shared" si="201"/>
        <v>0.15512935957616045</v>
      </c>
      <c r="AD99" s="66">
        <f t="shared" si="201"/>
        <v>0.14727397145723986</v>
      </c>
      <c r="AE99" s="66">
        <f t="shared" si="201"/>
        <v>0.15784818607489726</v>
      </c>
      <c r="AF99" s="66">
        <f t="shared" si="201"/>
        <v>0.17015409851780872</v>
      </c>
      <c r="AG99" s="66">
        <f t="shared" si="201"/>
        <v>0.17654919046031153</v>
      </c>
      <c r="AH99" s="66">
        <f t="shared" si="201"/>
        <v>0.19567682250936655</v>
      </c>
      <c r="AI99" s="66">
        <f t="shared" si="201"/>
        <v>0.21838974990623095</v>
      </c>
      <c r="AJ99" s="66">
        <f t="shared" si="201"/>
        <v>0.24067041488586077</v>
      </c>
      <c r="AK99" s="66">
        <f t="shared" si="201"/>
        <v>0.24062010297031541</v>
      </c>
      <c r="AL99" s="66">
        <f t="shared" si="201"/>
        <v>0.23285540035447869</v>
      </c>
      <c r="AM99" s="66">
        <f t="shared" ref="AM99:BF99" si="202">IF(AM98&lt;0,"NMF",IF(ABS(AM96/AM98)&gt;1,"NMF",AM96/AM98))</f>
        <v>0.22069114962593511</v>
      </c>
      <c r="AN99" s="66">
        <f t="shared" si="202"/>
        <v>0.19897548774728444</v>
      </c>
      <c r="AO99" s="66">
        <f t="shared" si="202"/>
        <v>0.16822870124403994</v>
      </c>
      <c r="AP99" s="66">
        <f t="shared" si="202"/>
        <v>0.13155157212845109</v>
      </c>
      <c r="AQ99" s="66">
        <f t="shared" si="202"/>
        <v>0.11782561028534363</v>
      </c>
      <c r="AR99" s="66">
        <f t="shared" si="202"/>
        <v>0.11737392234309246</v>
      </c>
      <c r="AS99" s="66">
        <f t="shared" si="202"/>
        <v>0.1467518299045662</v>
      </c>
      <c r="AT99" s="66">
        <f t="shared" si="202"/>
        <v>0.182117681441329</v>
      </c>
      <c r="AU99" s="66">
        <f t="shared" si="202"/>
        <v>0.2032374219538875</v>
      </c>
      <c r="AV99" s="66">
        <f t="shared" si="202"/>
        <v>0.22231093792658696</v>
      </c>
      <c r="AW99" s="66">
        <f t="shared" si="202"/>
        <v>0.2299863726668169</v>
      </c>
      <c r="AX99" s="66">
        <f t="shared" si="202"/>
        <v>0.24664872134009194</v>
      </c>
      <c r="AY99" s="697">
        <f t="shared" si="202"/>
        <v>0.24944654404372676</v>
      </c>
      <c r="AZ99" s="66">
        <f t="shared" ca="1" si="202"/>
        <v>0.25090493472555098</v>
      </c>
      <c r="BA99" s="66">
        <f t="shared" ca="1" si="202"/>
        <v>0.25227602996390452</v>
      </c>
      <c r="BB99" s="66">
        <f t="shared" ca="1" si="202"/>
        <v>0.24408915064693862</v>
      </c>
      <c r="BC99" s="66">
        <f t="shared" ca="1" si="202"/>
        <v>0.25203025506750487</v>
      </c>
      <c r="BD99" s="66">
        <f t="shared" ca="1" si="202"/>
        <v>0.24428646861610048</v>
      </c>
      <c r="BE99" s="66">
        <f t="shared" ca="1" si="202"/>
        <v>0.2353953349243246</v>
      </c>
      <c r="BF99" s="66">
        <f t="shared" ca="1" si="202"/>
        <v>0.22567381366325887</v>
      </c>
      <c r="BG99" s="66"/>
      <c r="BH99" s="1084"/>
      <c r="BI99" s="1084">
        <f t="shared" ref="BI99:CB99" si="203">IF(BI98&lt;0,"NMF",IF(ABS(BI96/BI98)&gt;1,"NMF",BI96/BI98))</f>
        <v>0.12883819079471254</v>
      </c>
      <c r="BJ99" s="1084">
        <f t="shared" si="203"/>
        <v>0.14864902071922473</v>
      </c>
      <c r="BK99" s="1084">
        <f t="shared" si="203"/>
        <v>3.496469153590402E-3</v>
      </c>
      <c r="BL99" s="1084">
        <f t="shared" si="203"/>
        <v>9.1590551272599741E-2</v>
      </c>
      <c r="BM99" s="1084">
        <f t="shared" si="203"/>
        <v>0.10102158234332993</v>
      </c>
      <c r="BN99" s="1084">
        <f t="shared" si="203"/>
        <v>8.1718930043476107E-2</v>
      </c>
      <c r="BO99" s="1084">
        <f t="shared" si="203"/>
        <v>0.17579241292650502</v>
      </c>
      <c r="BP99" s="1084">
        <f t="shared" si="203"/>
        <v>0.20894004834682012</v>
      </c>
      <c r="BQ99" s="1084">
        <f t="shared" si="203"/>
        <v>0.23691592098090899</v>
      </c>
      <c r="BR99" s="1084">
        <f t="shared" si="203"/>
        <v>0.15440611862477557</v>
      </c>
      <c r="BS99" s="1084">
        <f t="shared" si="203"/>
        <v>0.19512457645458559</v>
      </c>
      <c r="BT99" s="1084">
        <f t="shared" si="203"/>
        <v>0.23969135433696639</v>
      </c>
      <c r="BU99" s="1084">
        <f t="shared" si="203"/>
        <v>0.1306619199019903</v>
      </c>
      <c r="BV99" s="1084">
        <f t="shared" si="203"/>
        <v>0.18352970811564834</v>
      </c>
      <c r="BW99" s="1085">
        <f t="shared" si="203"/>
        <v>0.24035001586538052</v>
      </c>
      <c r="BX99" s="1084">
        <f t="shared" ca="1" si="203"/>
        <v>0.2450756081586962</v>
      </c>
      <c r="BY99" s="1084">
        <f t="shared" ca="1" si="203"/>
        <v>0.23291127826120925</v>
      </c>
      <c r="BZ99" s="1084">
        <f t="shared" ca="1" si="203"/>
        <v>0.20328219978684578</v>
      </c>
      <c r="CA99" s="1084">
        <f t="shared" ca="1" si="203"/>
        <v>0.16765280713422198</v>
      </c>
      <c r="CB99" s="1084">
        <f t="shared" ca="1" si="203"/>
        <v>0.15561044589958359</v>
      </c>
      <c r="CC99" s="123"/>
    </row>
    <row r="100" spans="1:81" s="741" customFormat="1" hidden="1" outlineLevel="1" x14ac:dyDescent="0.55000000000000004">
      <c r="A100" s="446" t="s">
        <v>291</v>
      </c>
      <c r="B100" s="447"/>
      <c r="C100" s="59">
        <f t="shared" ref="C100:AH100" si="204">INDEX(MO_BSS_Debt_Net,0,COLUMN())+INDEX(MO_BSS_Cash,0,COLUMN())</f>
        <v>2258</v>
      </c>
      <c r="D100" s="59">
        <f t="shared" si="204"/>
        <v>2167</v>
      </c>
      <c r="E100" s="59">
        <f t="shared" si="204"/>
        <v>575</v>
      </c>
      <c r="F100" s="59">
        <f t="shared" si="204"/>
        <v>476</v>
      </c>
      <c r="G100" s="59">
        <f t="shared" si="204"/>
        <v>392</v>
      </c>
      <c r="H100" s="59">
        <f t="shared" si="204"/>
        <v>326</v>
      </c>
      <c r="I100" s="59">
        <f t="shared" si="204"/>
        <v>278</v>
      </c>
      <c r="J100" s="59">
        <f t="shared" si="204"/>
        <v>233</v>
      </c>
      <c r="K100" s="59">
        <f t="shared" si="204"/>
        <v>186</v>
      </c>
      <c r="L100" s="59">
        <f t="shared" si="204"/>
        <v>149</v>
      </c>
      <c r="M100" s="59">
        <f t="shared" si="204"/>
        <v>126</v>
      </c>
      <c r="N100" s="59">
        <f t="shared" si="204"/>
        <v>114</v>
      </c>
      <c r="O100" s="59">
        <f t="shared" si="204"/>
        <v>0</v>
      </c>
      <c r="P100" s="59">
        <f t="shared" si="204"/>
        <v>0</v>
      </c>
      <c r="Q100" s="59">
        <f t="shared" si="204"/>
        <v>0</v>
      </c>
      <c r="R100" s="59">
        <f t="shared" si="204"/>
        <v>0</v>
      </c>
      <c r="S100" s="59">
        <f t="shared" si="204"/>
        <v>0</v>
      </c>
      <c r="T100" s="59">
        <f t="shared" si="204"/>
        <v>0</v>
      </c>
      <c r="U100" s="59">
        <f t="shared" si="204"/>
        <v>0</v>
      </c>
      <c r="V100" s="59">
        <f t="shared" si="204"/>
        <v>0</v>
      </c>
      <c r="W100" s="59">
        <f t="shared" si="204"/>
        <v>0</v>
      </c>
      <c r="X100" s="59">
        <f t="shared" si="204"/>
        <v>0</v>
      </c>
      <c r="Y100" s="59">
        <f t="shared" si="204"/>
        <v>0</v>
      </c>
      <c r="Z100" s="59">
        <f t="shared" si="204"/>
        <v>0</v>
      </c>
      <c r="AA100" s="59">
        <f t="shared" si="204"/>
        <v>7210</v>
      </c>
      <c r="AB100" s="59">
        <f t="shared" si="204"/>
        <v>7810</v>
      </c>
      <c r="AC100" s="59">
        <f t="shared" si="204"/>
        <v>9132</v>
      </c>
      <c r="AD100" s="59">
        <f t="shared" si="204"/>
        <v>10324</v>
      </c>
      <c r="AE100" s="59">
        <f t="shared" si="204"/>
        <v>10344</v>
      </c>
      <c r="AF100" s="59">
        <f t="shared" si="204"/>
        <v>10532</v>
      </c>
      <c r="AG100" s="59">
        <f t="shared" si="204"/>
        <v>10616</v>
      </c>
      <c r="AH100" s="59">
        <f t="shared" si="204"/>
        <v>10654</v>
      </c>
      <c r="AI100" s="59">
        <f t="shared" ref="AI100:BF100" si="205">INDEX(MO_BSS_Debt_Net,0,COLUMN())+INDEX(MO_BSS_Cash,0,COLUMN())</f>
        <v>11614</v>
      </c>
      <c r="AJ100" s="59">
        <f t="shared" si="205"/>
        <v>12007</v>
      </c>
      <c r="AK100" s="59">
        <f t="shared" si="205"/>
        <v>12640</v>
      </c>
      <c r="AL100" s="59">
        <f t="shared" si="205"/>
        <v>13873</v>
      </c>
      <c r="AM100" s="59">
        <f t="shared" si="205"/>
        <v>14053</v>
      </c>
      <c r="AN100" s="59">
        <f t="shared" si="205"/>
        <v>16067</v>
      </c>
      <c r="AO100" s="59">
        <f t="shared" si="205"/>
        <v>25900</v>
      </c>
      <c r="AP100" s="59">
        <f t="shared" si="205"/>
        <v>26591</v>
      </c>
      <c r="AQ100" s="59">
        <f t="shared" si="205"/>
        <v>27575</v>
      </c>
      <c r="AR100" s="59">
        <f t="shared" si="205"/>
        <v>36218</v>
      </c>
      <c r="AS100" s="59">
        <f t="shared" si="205"/>
        <v>36217</v>
      </c>
      <c r="AT100" s="59">
        <f t="shared" si="205"/>
        <v>37234</v>
      </c>
      <c r="AU100" s="59">
        <f t="shared" si="205"/>
        <v>37633</v>
      </c>
      <c r="AV100" s="59">
        <f t="shared" si="205"/>
        <v>37991</v>
      </c>
      <c r="AW100" s="59">
        <f t="shared" si="205"/>
        <v>49047</v>
      </c>
      <c r="AX100" s="59">
        <f t="shared" si="205"/>
        <v>49060</v>
      </c>
      <c r="AY100" s="675">
        <f t="shared" si="205"/>
        <v>49519</v>
      </c>
      <c r="AZ100" s="59">
        <f t="shared" ca="1" si="205"/>
        <v>49519</v>
      </c>
      <c r="BA100" s="59">
        <f t="shared" ca="1" si="205"/>
        <v>49519</v>
      </c>
      <c r="BB100" s="59">
        <f t="shared" ca="1" si="205"/>
        <v>49519</v>
      </c>
      <c r="BC100" s="59">
        <f t="shared" ca="1" si="205"/>
        <v>49519</v>
      </c>
      <c r="BD100" s="59">
        <f t="shared" ca="1" si="205"/>
        <v>49519</v>
      </c>
      <c r="BE100" s="59">
        <f t="shared" ca="1" si="205"/>
        <v>49519</v>
      </c>
      <c r="BF100" s="59">
        <f t="shared" ca="1" si="205"/>
        <v>49519</v>
      </c>
      <c r="BG100" s="59"/>
      <c r="BH100" s="1054"/>
      <c r="BI100" s="1054">
        <f t="shared" ref="BI100:CB100" si="206">INDEX(MO_BSS_Debt_Net,0,COLUMN())+INDEX(MO_BSS_Cash,0,COLUMN())</f>
        <v>473</v>
      </c>
      <c r="BJ100" s="1054">
        <f t="shared" si="206"/>
        <v>677</v>
      </c>
      <c r="BK100" s="1054">
        <f t="shared" si="206"/>
        <v>2356</v>
      </c>
      <c r="BL100" s="1054">
        <f t="shared" si="206"/>
        <v>476</v>
      </c>
      <c r="BM100" s="1054">
        <f t="shared" si="206"/>
        <v>233</v>
      </c>
      <c r="BN100" s="1054">
        <f t="shared" si="206"/>
        <v>114</v>
      </c>
      <c r="BO100" s="1054">
        <f t="shared" si="206"/>
        <v>0</v>
      </c>
      <c r="BP100" s="1054">
        <f t="shared" si="206"/>
        <v>0</v>
      </c>
      <c r="BQ100" s="1054">
        <f t="shared" si="206"/>
        <v>0</v>
      </c>
      <c r="BR100" s="1054">
        <f t="shared" si="206"/>
        <v>10324</v>
      </c>
      <c r="BS100" s="1054">
        <f t="shared" si="206"/>
        <v>10654</v>
      </c>
      <c r="BT100" s="1054">
        <f t="shared" si="206"/>
        <v>13873</v>
      </c>
      <c r="BU100" s="1054">
        <f t="shared" si="206"/>
        <v>26591</v>
      </c>
      <c r="BV100" s="1054">
        <f t="shared" si="206"/>
        <v>37234</v>
      </c>
      <c r="BW100" s="1055">
        <f t="shared" si="206"/>
        <v>49060</v>
      </c>
      <c r="BX100" s="1054">
        <f t="shared" ca="1" si="206"/>
        <v>49519</v>
      </c>
      <c r="BY100" s="1054">
        <f t="shared" ca="1" si="206"/>
        <v>49519</v>
      </c>
      <c r="BZ100" s="1054">
        <f t="shared" ca="1" si="206"/>
        <v>49519</v>
      </c>
      <c r="CA100" s="1054">
        <f t="shared" ca="1" si="206"/>
        <v>49519</v>
      </c>
      <c r="CB100" s="1054">
        <f t="shared" ca="1" si="206"/>
        <v>49519</v>
      </c>
      <c r="CC100" s="59"/>
    </row>
    <row r="101" spans="1:81" s="741" customFormat="1" hidden="1" outlineLevel="1" x14ac:dyDescent="0.55000000000000004">
      <c r="A101" s="446" t="s">
        <v>292</v>
      </c>
      <c r="B101" s="447"/>
      <c r="C101" s="59"/>
      <c r="D101" s="59"/>
      <c r="E101" s="59"/>
      <c r="F101" s="59">
        <f t="shared" ref="F101:AK101" si="207">AVERAGE(F100,E100,D100,C100)</f>
        <v>1369</v>
      </c>
      <c r="G101" s="59">
        <f t="shared" si="207"/>
        <v>902.5</v>
      </c>
      <c r="H101" s="59">
        <f t="shared" si="207"/>
        <v>442.25</v>
      </c>
      <c r="I101" s="59">
        <f t="shared" si="207"/>
        <v>368</v>
      </c>
      <c r="J101" s="59">
        <f t="shared" si="207"/>
        <v>307.25</v>
      </c>
      <c r="K101" s="59">
        <f t="shared" si="207"/>
        <v>255.75</v>
      </c>
      <c r="L101" s="59">
        <f t="shared" si="207"/>
        <v>211.5</v>
      </c>
      <c r="M101" s="59">
        <f t="shared" si="207"/>
        <v>173.5</v>
      </c>
      <c r="N101" s="59">
        <f t="shared" si="207"/>
        <v>143.75</v>
      </c>
      <c r="O101" s="59">
        <f t="shared" si="207"/>
        <v>97.25</v>
      </c>
      <c r="P101" s="59">
        <f t="shared" si="207"/>
        <v>60</v>
      </c>
      <c r="Q101" s="59">
        <f t="shared" si="207"/>
        <v>28.5</v>
      </c>
      <c r="R101" s="59">
        <f t="shared" si="207"/>
        <v>0</v>
      </c>
      <c r="S101" s="59">
        <f t="shared" si="207"/>
        <v>0</v>
      </c>
      <c r="T101" s="59">
        <f t="shared" si="207"/>
        <v>0</v>
      </c>
      <c r="U101" s="59">
        <f t="shared" si="207"/>
        <v>0</v>
      </c>
      <c r="V101" s="59">
        <f t="shared" si="207"/>
        <v>0</v>
      </c>
      <c r="W101" s="59">
        <f t="shared" si="207"/>
        <v>0</v>
      </c>
      <c r="X101" s="59">
        <f t="shared" si="207"/>
        <v>0</v>
      </c>
      <c r="Y101" s="59">
        <f t="shared" si="207"/>
        <v>0</v>
      </c>
      <c r="Z101" s="59">
        <f t="shared" si="207"/>
        <v>0</v>
      </c>
      <c r="AA101" s="59">
        <f t="shared" si="207"/>
        <v>1802.5</v>
      </c>
      <c r="AB101" s="59">
        <f t="shared" si="207"/>
        <v>3755</v>
      </c>
      <c r="AC101" s="59">
        <f t="shared" si="207"/>
        <v>6038</v>
      </c>
      <c r="AD101" s="59">
        <f t="shared" si="207"/>
        <v>8619</v>
      </c>
      <c r="AE101" s="59">
        <f t="shared" si="207"/>
        <v>9402.5</v>
      </c>
      <c r="AF101" s="59">
        <f t="shared" si="207"/>
        <v>10083</v>
      </c>
      <c r="AG101" s="59">
        <f t="shared" si="207"/>
        <v>10454</v>
      </c>
      <c r="AH101" s="59">
        <f t="shared" si="207"/>
        <v>10536.5</v>
      </c>
      <c r="AI101" s="59">
        <f t="shared" si="207"/>
        <v>10854</v>
      </c>
      <c r="AJ101" s="59">
        <f t="shared" si="207"/>
        <v>11222.75</v>
      </c>
      <c r="AK101" s="59">
        <f t="shared" si="207"/>
        <v>11728.75</v>
      </c>
      <c r="AL101" s="59">
        <f t="shared" ref="AL101:BF101" si="208">AVERAGE(AL100,AK100,AJ100,AI100)</f>
        <v>12533.5</v>
      </c>
      <c r="AM101" s="59">
        <f t="shared" si="208"/>
        <v>13143.25</v>
      </c>
      <c r="AN101" s="59">
        <f t="shared" si="208"/>
        <v>14158.25</v>
      </c>
      <c r="AO101" s="59">
        <f t="shared" si="208"/>
        <v>17473.25</v>
      </c>
      <c r="AP101" s="59">
        <f t="shared" si="208"/>
        <v>20652.75</v>
      </c>
      <c r="AQ101" s="59">
        <f t="shared" si="208"/>
        <v>24033.25</v>
      </c>
      <c r="AR101" s="59">
        <f t="shared" si="208"/>
        <v>29071</v>
      </c>
      <c r="AS101" s="59">
        <f t="shared" si="208"/>
        <v>31650.25</v>
      </c>
      <c r="AT101" s="59">
        <f t="shared" si="208"/>
        <v>34311</v>
      </c>
      <c r="AU101" s="59">
        <f t="shared" si="208"/>
        <v>36825.5</v>
      </c>
      <c r="AV101" s="59">
        <f t="shared" si="208"/>
        <v>37268.75</v>
      </c>
      <c r="AW101" s="59">
        <f t="shared" si="208"/>
        <v>40476.25</v>
      </c>
      <c r="AX101" s="59">
        <f t="shared" si="208"/>
        <v>43432.75</v>
      </c>
      <c r="AY101" s="675">
        <f t="shared" si="208"/>
        <v>46404.25</v>
      </c>
      <c r="AZ101" s="59">
        <f t="shared" ca="1" si="208"/>
        <v>49286.25</v>
      </c>
      <c r="BA101" s="59">
        <f t="shared" ca="1" si="208"/>
        <v>49404.25</v>
      </c>
      <c r="BB101" s="59">
        <f t="shared" ca="1" si="208"/>
        <v>49519</v>
      </c>
      <c r="BC101" s="59">
        <f t="shared" ca="1" si="208"/>
        <v>49519</v>
      </c>
      <c r="BD101" s="59">
        <f t="shared" ca="1" si="208"/>
        <v>49519</v>
      </c>
      <c r="BE101" s="59">
        <f t="shared" ca="1" si="208"/>
        <v>49519</v>
      </c>
      <c r="BF101" s="59">
        <f t="shared" ca="1" si="208"/>
        <v>49519</v>
      </c>
      <c r="BG101" s="59"/>
      <c r="BH101" s="1054"/>
      <c r="BI101" s="1054">
        <f t="shared" ref="BI101:CB101" si="209">AVERAGE(BI100,BH100)</f>
        <v>473</v>
      </c>
      <c r="BJ101" s="1054">
        <f t="shared" si="209"/>
        <v>575</v>
      </c>
      <c r="BK101" s="1054">
        <f t="shared" si="209"/>
        <v>1516.5</v>
      </c>
      <c r="BL101" s="1054">
        <f t="shared" si="209"/>
        <v>1416</v>
      </c>
      <c r="BM101" s="1054">
        <f t="shared" si="209"/>
        <v>354.5</v>
      </c>
      <c r="BN101" s="1054">
        <f t="shared" si="209"/>
        <v>173.5</v>
      </c>
      <c r="BO101" s="1054">
        <f t="shared" si="209"/>
        <v>57</v>
      </c>
      <c r="BP101" s="1054">
        <f t="shared" si="209"/>
        <v>0</v>
      </c>
      <c r="BQ101" s="1054">
        <f t="shared" si="209"/>
        <v>0</v>
      </c>
      <c r="BR101" s="1054">
        <f t="shared" si="209"/>
        <v>5162</v>
      </c>
      <c r="BS101" s="1054">
        <f t="shared" si="209"/>
        <v>10489</v>
      </c>
      <c r="BT101" s="1054">
        <f t="shared" si="209"/>
        <v>12263.5</v>
      </c>
      <c r="BU101" s="1054">
        <f t="shared" si="209"/>
        <v>20232</v>
      </c>
      <c r="BV101" s="1054">
        <f t="shared" si="209"/>
        <v>31912.5</v>
      </c>
      <c r="BW101" s="1055">
        <f t="shared" si="209"/>
        <v>43147</v>
      </c>
      <c r="BX101" s="1054">
        <f t="shared" ca="1" si="209"/>
        <v>49289.5</v>
      </c>
      <c r="BY101" s="1054">
        <f t="shared" ca="1" si="209"/>
        <v>49519</v>
      </c>
      <c r="BZ101" s="1054">
        <f t="shared" ca="1" si="209"/>
        <v>49519</v>
      </c>
      <c r="CA101" s="1054">
        <f t="shared" ca="1" si="209"/>
        <v>49519</v>
      </c>
      <c r="CB101" s="1054">
        <f t="shared" ca="1" si="209"/>
        <v>49519</v>
      </c>
      <c r="CC101" s="59"/>
    </row>
    <row r="102" spans="1:81" s="741" customFormat="1" hidden="1" outlineLevel="1" x14ac:dyDescent="0.55000000000000004">
      <c r="A102" s="446" t="s">
        <v>293</v>
      </c>
      <c r="B102" s="447"/>
      <c r="C102" s="59">
        <f t="shared" ref="C102:AH102" si="210">SUM(INDEX(SP_BSR_Debt_Avg,0,COLUMN()),INDEX(SP_BSR_SE_Avg,0,COLUMN()))</f>
        <v>0</v>
      </c>
      <c r="D102" s="59">
        <f t="shared" si="210"/>
        <v>0</v>
      </c>
      <c r="E102" s="59">
        <f t="shared" si="210"/>
        <v>0</v>
      </c>
      <c r="F102" s="59">
        <f t="shared" si="210"/>
        <v>14541.75</v>
      </c>
      <c r="G102" s="59">
        <f t="shared" si="210"/>
        <v>15303.5</v>
      </c>
      <c r="H102" s="59">
        <f t="shared" si="210"/>
        <v>16342.5</v>
      </c>
      <c r="I102" s="59">
        <f t="shared" si="210"/>
        <v>18315.75</v>
      </c>
      <c r="J102" s="59">
        <f t="shared" si="210"/>
        <v>23411.5</v>
      </c>
      <c r="K102" s="59">
        <f t="shared" si="210"/>
        <v>28551</v>
      </c>
      <c r="L102" s="59">
        <f t="shared" si="210"/>
        <v>33783.25</v>
      </c>
      <c r="M102" s="59">
        <f t="shared" si="210"/>
        <v>38790.75</v>
      </c>
      <c r="N102" s="59">
        <f t="shared" si="210"/>
        <v>40791.5</v>
      </c>
      <c r="O102" s="59">
        <f t="shared" si="210"/>
        <v>43516.75</v>
      </c>
      <c r="P102" s="59">
        <f t="shared" si="210"/>
        <v>46515.25</v>
      </c>
      <c r="Q102" s="59">
        <f t="shared" si="210"/>
        <v>49909</v>
      </c>
      <c r="R102" s="59">
        <f t="shared" si="210"/>
        <v>53624.5</v>
      </c>
      <c r="S102" s="59">
        <f t="shared" si="210"/>
        <v>57024.5</v>
      </c>
      <c r="T102" s="59">
        <f t="shared" si="210"/>
        <v>60746</v>
      </c>
      <c r="U102" s="59">
        <f t="shared" si="210"/>
        <v>64767.75</v>
      </c>
      <c r="V102" s="59">
        <f t="shared" si="210"/>
        <v>68556</v>
      </c>
      <c r="W102" s="59">
        <f t="shared" si="210"/>
        <v>72414</v>
      </c>
      <c r="X102" s="59">
        <f t="shared" si="210"/>
        <v>75639.25</v>
      </c>
      <c r="Y102" s="59">
        <f t="shared" si="210"/>
        <v>77922.75</v>
      </c>
      <c r="Z102" s="59">
        <f t="shared" si="210"/>
        <v>80367.75</v>
      </c>
      <c r="AA102" s="59">
        <f t="shared" si="210"/>
        <v>84394.25</v>
      </c>
      <c r="AB102" s="59">
        <f t="shared" si="210"/>
        <v>88691.75</v>
      </c>
      <c r="AC102" s="59">
        <f t="shared" si="210"/>
        <v>94389</v>
      </c>
      <c r="AD102" s="59">
        <f t="shared" si="210"/>
        <v>101201.75</v>
      </c>
      <c r="AE102" s="59">
        <f t="shared" si="210"/>
        <v>106682.25</v>
      </c>
      <c r="AF102" s="59">
        <f t="shared" si="210"/>
        <v>112784</v>
      </c>
      <c r="AG102" s="59">
        <f t="shared" si="210"/>
        <v>119088</v>
      </c>
      <c r="AH102" s="59">
        <f t="shared" si="210"/>
        <v>125979.5</v>
      </c>
      <c r="AI102" s="59">
        <f t="shared" ref="AI102:BF102" si="211">SUM(INDEX(SP_BSR_Debt_Avg,0,COLUMN()),INDEX(SP_BSR_SE_Avg,0,COLUMN()))</f>
        <v>133385.25</v>
      </c>
      <c r="AJ102" s="59">
        <f t="shared" si="211"/>
        <v>140699</v>
      </c>
      <c r="AK102" s="59">
        <f t="shared" si="211"/>
        <v>145112.25</v>
      </c>
      <c r="AL102" s="59">
        <f t="shared" si="211"/>
        <v>145064.25</v>
      </c>
      <c r="AM102" s="59">
        <f t="shared" si="211"/>
        <v>143066.75</v>
      </c>
      <c r="AN102" s="59">
        <f t="shared" si="211"/>
        <v>140966.75</v>
      </c>
      <c r="AO102" s="59">
        <f t="shared" si="211"/>
        <v>141965.25</v>
      </c>
      <c r="AP102" s="59">
        <f t="shared" si="211"/>
        <v>145353.25</v>
      </c>
      <c r="AQ102" s="59">
        <f t="shared" si="211"/>
        <v>149125.5</v>
      </c>
      <c r="AR102" s="59">
        <f t="shared" si="211"/>
        <v>156229.75</v>
      </c>
      <c r="AS102" s="59">
        <f t="shared" si="211"/>
        <v>163503.75</v>
      </c>
      <c r="AT102" s="59">
        <f t="shared" si="211"/>
        <v>173028.25</v>
      </c>
      <c r="AU102" s="59">
        <f t="shared" si="211"/>
        <v>181726.25</v>
      </c>
      <c r="AV102" s="59">
        <f t="shared" si="211"/>
        <v>187852</v>
      </c>
      <c r="AW102" s="59">
        <f t="shared" si="211"/>
        <v>196473.5</v>
      </c>
      <c r="AX102" s="59">
        <f t="shared" si="211"/>
        <v>206797.25</v>
      </c>
      <c r="AY102" s="675">
        <f t="shared" si="211"/>
        <v>218643.75</v>
      </c>
      <c r="AZ102" s="59">
        <f t="shared" ca="1" si="211"/>
        <v>233423.09898697323</v>
      </c>
      <c r="BA102" s="59">
        <f t="shared" ca="1" si="211"/>
        <v>248886.83560577518</v>
      </c>
      <c r="BB102" s="59">
        <f t="shared" ca="1" si="211"/>
        <v>266076.51091439417</v>
      </c>
      <c r="BC102" s="59">
        <f t="shared" ca="1" si="211"/>
        <v>289719.59577693237</v>
      </c>
      <c r="BD102" s="59">
        <f t="shared" ca="1" si="211"/>
        <v>314964.88058769715</v>
      </c>
      <c r="BE102" s="59">
        <f t="shared" ca="1" si="211"/>
        <v>341755.48847859172</v>
      </c>
      <c r="BF102" s="59">
        <f t="shared" ca="1" si="211"/>
        <v>370058.04523195204</v>
      </c>
      <c r="BG102" s="59"/>
      <c r="BH102" s="1054"/>
      <c r="BI102" s="1054">
        <f t="shared" ref="BI102:CB102" si="212">SUM(INDEX(SP_BSR_Debt_Avg,0,COLUMN()),INDEX(SP_BSR_SE_Avg,0,COLUMN()))</f>
        <v>2635</v>
      </c>
      <c r="BJ102" s="1054">
        <f t="shared" si="212"/>
        <v>4105.5</v>
      </c>
      <c r="BK102" s="1054">
        <f t="shared" si="212"/>
        <v>9843.5</v>
      </c>
      <c r="BL102" s="1054">
        <f t="shared" si="212"/>
        <v>15028.5</v>
      </c>
      <c r="BM102" s="1054">
        <f t="shared" si="212"/>
        <v>26137.5</v>
      </c>
      <c r="BN102" s="1054">
        <f t="shared" si="212"/>
        <v>40330.5</v>
      </c>
      <c r="BO102" s="1054">
        <f t="shared" si="212"/>
        <v>51763</v>
      </c>
      <c r="BP102" s="1054">
        <f t="shared" si="212"/>
        <v>66770.5</v>
      </c>
      <c r="BQ102" s="1054">
        <f t="shared" si="212"/>
        <v>79237</v>
      </c>
      <c r="BR102" s="1054">
        <f t="shared" si="212"/>
        <v>97752.5</v>
      </c>
      <c r="BS102" s="1054">
        <f t="shared" si="212"/>
        <v>125161</v>
      </c>
      <c r="BT102" s="1054">
        <f t="shared" si="212"/>
        <v>138848</v>
      </c>
      <c r="BU102" s="1054">
        <f t="shared" si="212"/>
        <v>145528</v>
      </c>
      <c r="BV102" s="1054">
        <f t="shared" si="212"/>
        <v>171353</v>
      </c>
      <c r="BW102" s="1055">
        <f t="shared" si="212"/>
        <v>211049.5</v>
      </c>
      <c r="BX102" s="1054">
        <f t="shared" ca="1" si="212"/>
        <v>266076.35061723797</v>
      </c>
      <c r="BY102" s="1054">
        <f t="shared" ca="1" si="212"/>
        <v>357060.81474119669</v>
      </c>
      <c r="BZ102" s="1054">
        <f t="shared" ca="1" si="212"/>
        <v>475042.27499095083</v>
      </c>
      <c r="CA102" s="1054">
        <f t="shared" ca="1" si="212"/>
        <v>600822.4290270023</v>
      </c>
      <c r="CB102" s="1054">
        <f t="shared" ca="1" si="212"/>
        <v>738327.77601189865</v>
      </c>
      <c r="CC102" s="59"/>
    </row>
    <row r="103" spans="1:81" s="737" customFormat="1" collapsed="1" x14ac:dyDescent="0.55000000000000004">
      <c r="A103" s="101" t="s">
        <v>294</v>
      </c>
      <c r="B103" s="49"/>
      <c r="C103" s="66"/>
      <c r="D103" s="66"/>
      <c r="E103" s="66"/>
      <c r="F103" s="66">
        <f t="shared" ref="F103:AK103" si="213">IF(F102&lt;0,"NMF",IF(ABS(F96/F102)&gt;1,"NMF",F96/F102))</f>
        <v>0.10397614478834116</v>
      </c>
      <c r="G103" s="66">
        <f t="shared" si="213"/>
        <v>0.12597060394486193</v>
      </c>
      <c r="H103" s="66">
        <f t="shared" si="213"/>
        <v>0.14558923389330805</v>
      </c>
      <c r="I103" s="66">
        <f t="shared" si="213"/>
        <v>0.15000818913034517</v>
      </c>
      <c r="J103" s="66">
        <f t="shared" si="213"/>
        <v>0.12483552213003461</v>
      </c>
      <c r="K103" s="66">
        <f t="shared" si="213"/>
        <v>9.7771990960069818E-2</v>
      </c>
      <c r="L103" s="66">
        <f t="shared" si="213"/>
        <v>8.0384926737206985E-2</v>
      </c>
      <c r="M103" s="66">
        <f t="shared" si="213"/>
        <v>7.2251693034532355E-2</v>
      </c>
      <c r="N103" s="66">
        <f t="shared" si="213"/>
        <v>8.9541553506070543E-2</v>
      </c>
      <c r="O103" s="66">
        <f t="shared" si="213"/>
        <v>0.11154140730490432</v>
      </c>
      <c r="P103" s="66">
        <f t="shared" si="213"/>
        <v>0.13740045126977565</v>
      </c>
      <c r="Q103" s="66">
        <f t="shared" si="213"/>
        <v>0.16195640711589199</v>
      </c>
      <c r="R103" s="66">
        <f t="shared" si="213"/>
        <v>0.18749203944646667</v>
      </c>
      <c r="S103" s="66">
        <f t="shared" si="213"/>
        <v>0.19892578165610761</v>
      </c>
      <c r="T103" s="66">
        <f t="shared" si="213"/>
        <v>0.21244550401361792</v>
      </c>
      <c r="U103" s="66">
        <f t="shared" si="213"/>
        <v>0.2305721578408032</v>
      </c>
      <c r="V103" s="66">
        <f t="shared" si="213"/>
        <v>0.22769207797347008</v>
      </c>
      <c r="W103" s="66">
        <f t="shared" si="213"/>
        <v>0.24123749324153404</v>
      </c>
      <c r="X103" s="66">
        <f t="shared" si="213"/>
        <v>0.24642625683884667</v>
      </c>
      <c r="Y103" s="66">
        <f t="shared" si="213"/>
        <v>0.24404500076551955</v>
      </c>
      <c r="Z103" s="66">
        <f t="shared" si="213"/>
        <v>0.26804814231117563</v>
      </c>
      <c r="AA103" s="66">
        <f t="shared" si="213"/>
        <v>0.22484028351347243</v>
      </c>
      <c r="AB103" s="66">
        <f t="shared" si="213"/>
        <v>0.18593717000417848</v>
      </c>
      <c r="AC103" s="66">
        <f t="shared" si="213"/>
        <v>0.18416978803043862</v>
      </c>
      <c r="AD103" s="66">
        <f t="shared" si="213"/>
        <v>0.17618617532650807</v>
      </c>
      <c r="AE103" s="66">
        <f t="shared" si="213"/>
        <v>0.18982331057003649</v>
      </c>
      <c r="AF103" s="66">
        <f t="shared" si="213"/>
        <v>0.20210777817633463</v>
      </c>
      <c r="AG103" s="66">
        <f t="shared" si="213"/>
        <v>0.20676386291659593</v>
      </c>
      <c r="AH103" s="66">
        <f t="shared" si="213"/>
        <v>0.22670169379404156</v>
      </c>
      <c r="AI103" s="66">
        <f t="shared" si="213"/>
        <v>0.24926322593980169</v>
      </c>
      <c r="AJ103" s="66">
        <f t="shared" si="213"/>
        <v>0.27363625261949093</v>
      </c>
      <c r="AK103" s="66">
        <f t="shared" si="213"/>
        <v>0.27485458452459582</v>
      </c>
      <c r="AL103" s="66">
        <f t="shared" ref="AL103:BF103" si="214">IF(AL102&lt;0,"NMF",IF(ABS(AL96/AL102)&gt;1,"NMF",AL96/AL102))</f>
        <v>0.26875021419646083</v>
      </c>
      <c r="AM103" s="66">
        <f t="shared" si="214"/>
        <v>0.25853513485501922</v>
      </c>
      <c r="AN103" s="66">
        <f t="shared" si="214"/>
        <v>0.23627525348257922</v>
      </c>
      <c r="AO103" s="66">
        <f t="shared" si="214"/>
        <v>0.20111746403283789</v>
      </c>
      <c r="AP103" s="66">
        <f t="shared" si="214"/>
        <v>0.15807059047051622</v>
      </c>
      <c r="AQ103" s="66">
        <f t="shared" si="214"/>
        <v>0.14200081609724857</v>
      </c>
      <c r="AR103" s="66">
        <f t="shared" si="214"/>
        <v>0.14195633435198687</v>
      </c>
      <c r="AS103" s="66">
        <f t="shared" si="214"/>
        <v>0.17797851187465705</v>
      </c>
      <c r="AT103" s="66">
        <f t="shared" si="214"/>
        <v>0.22026221196565002</v>
      </c>
      <c r="AU103" s="66">
        <f t="shared" si="214"/>
        <v>0.24476366659146626</v>
      </c>
      <c r="AV103" s="66">
        <f t="shared" si="214"/>
        <v>0.26597116967919587</v>
      </c>
      <c r="AW103" s="66">
        <f t="shared" si="214"/>
        <v>0.27482483947485592</v>
      </c>
      <c r="AX103" s="66">
        <f t="shared" si="214"/>
        <v>0.29386653766478954</v>
      </c>
      <c r="AY103" s="697">
        <f t="shared" si="214"/>
        <v>0.29745995893808447</v>
      </c>
      <c r="AZ103" s="66">
        <f t="shared" ca="1" si="214"/>
        <v>0.29911959992782522</v>
      </c>
      <c r="BA103" s="66">
        <f t="shared" ca="1" si="214"/>
        <v>0.29876227500766822</v>
      </c>
      <c r="BB103" s="66">
        <f t="shared" ca="1" si="214"/>
        <v>0.28640125064487693</v>
      </c>
      <c r="BC103" s="66">
        <f t="shared" ca="1" si="214"/>
        <v>0.29179779204571155</v>
      </c>
      <c r="BD103" s="66">
        <f t="shared" ca="1" si="214"/>
        <v>0.27962035585185696</v>
      </c>
      <c r="BE103" s="66">
        <f t="shared" ca="1" si="214"/>
        <v>0.26683751575678061</v>
      </c>
      <c r="BF103" s="66">
        <f t="shared" ca="1" si="214"/>
        <v>0.25370381310552481</v>
      </c>
      <c r="BG103" s="66"/>
      <c r="BH103" s="1084"/>
      <c r="BI103" s="1084">
        <f t="shared" ref="BI103:CB103" si="215">IF(BI102&lt;0,"NMF",IF(ABS(BI96/BI102)&gt;1,"NMF",BI96/BI102))</f>
        <v>0.14619589771392427</v>
      </c>
      <c r="BJ103" s="1084">
        <f t="shared" si="215"/>
        <v>0.16874406553694968</v>
      </c>
      <c r="BK103" s="1084">
        <f t="shared" si="215"/>
        <v>3.806741496320246E-3</v>
      </c>
      <c r="BL103" s="1084">
        <f t="shared" si="215"/>
        <v>0.10055245070676536</v>
      </c>
      <c r="BM103" s="1084">
        <f t="shared" si="215"/>
        <v>0.11181654282099308</v>
      </c>
      <c r="BN103" s="1084">
        <f t="shared" si="215"/>
        <v>9.0545194515014568E-2</v>
      </c>
      <c r="BO103" s="1084">
        <f t="shared" si="215"/>
        <v>0.19420268030812091</v>
      </c>
      <c r="BP103" s="1084">
        <f t="shared" si="215"/>
        <v>0.23388624562587074</v>
      </c>
      <c r="BQ103" s="1084">
        <f t="shared" si="215"/>
        <v>0.27187460124529039</v>
      </c>
      <c r="BR103" s="1084">
        <f t="shared" si="215"/>
        <v>0.18221035588819709</v>
      </c>
      <c r="BS103" s="1084">
        <f t="shared" si="215"/>
        <v>0.22815175067171709</v>
      </c>
      <c r="BT103" s="1084">
        <f t="shared" si="215"/>
        <v>0.28078300241947374</v>
      </c>
      <c r="BU103" s="1084">
        <f t="shared" si="215"/>
        <v>0.15789273025262707</v>
      </c>
      <c r="BV103" s="1084">
        <f t="shared" si="215"/>
        <v>0.22243282657973462</v>
      </c>
      <c r="BW103" s="1085">
        <f t="shared" si="215"/>
        <v>0.2879406844668147</v>
      </c>
      <c r="BX103" s="1084">
        <f t="shared" ca="1" si="215"/>
        <v>0.28641391999667237</v>
      </c>
      <c r="BY103" s="1084">
        <f t="shared" ca="1" si="215"/>
        <v>0.26293878597059833</v>
      </c>
      <c r="BZ103" s="1084">
        <f t="shared" ca="1" si="215"/>
        <v>0.22345238257941449</v>
      </c>
      <c r="CA103" s="1084">
        <f t="shared" ca="1" si="215"/>
        <v>0.18079986293413283</v>
      </c>
      <c r="CB103" s="1084">
        <f t="shared" ca="1" si="215"/>
        <v>0.16528885074089511</v>
      </c>
      <c r="CC103" s="123"/>
    </row>
    <row r="104" spans="1:81" s="741" customFormat="1" hidden="1" outlineLevel="1" x14ac:dyDescent="0.55000000000000004">
      <c r="A104" s="446" t="s">
        <v>77</v>
      </c>
      <c r="B104" s="447"/>
      <c r="C104" s="59">
        <f t="shared" ref="C104:AH104" si="216">INDEX(MO_RIS_EBIT,0,COLUMN())</f>
        <v>373</v>
      </c>
      <c r="D104" s="59">
        <f t="shared" si="216"/>
        <v>562</v>
      </c>
      <c r="E104" s="59">
        <f t="shared" si="216"/>
        <v>736</v>
      </c>
      <c r="F104" s="59">
        <f t="shared" si="216"/>
        <v>1133</v>
      </c>
      <c r="G104" s="59">
        <f t="shared" si="216"/>
        <v>1075</v>
      </c>
      <c r="H104" s="59">
        <f t="shared" si="216"/>
        <v>1390</v>
      </c>
      <c r="I104" s="59">
        <f t="shared" si="216"/>
        <v>1397</v>
      </c>
      <c r="J104" s="59">
        <f t="shared" si="216"/>
        <v>1133</v>
      </c>
      <c r="K104" s="59">
        <f t="shared" si="216"/>
        <v>933</v>
      </c>
      <c r="L104" s="59">
        <f t="shared" si="216"/>
        <v>1273</v>
      </c>
      <c r="M104" s="59">
        <f t="shared" si="216"/>
        <v>1459</v>
      </c>
      <c r="N104" s="59">
        <f t="shared" si="216"/>
        <v>2560</v>
      </c>
      <c r="O104" s="59">
        <f t="shared" si="216"/>
        <v>2010</v>
      </c>
      <c r="P104" s="59">
        <f t="shared" si="216"/>
        <v>2734</v>
      </c>
      <c r="Q104" s="59">
        <f t="shared" si="216"/>
        <v>3117</v>
      </c>
      <c r="R104" s="59">
        <f t="shared" si="216"/>
        <v>4566</v>
      </c>
      <c r="S104" s="59">
        <f t="shared" si="216"/>
        <v>3327</v>
      </c>
      <c r="T104" s="59">
        <f t="shared" si="216"/>
        <v>4401</v>
      </c>
      <c r="U104" s="59">
        <f t="shared" si="216"/>
        <v>5122</v>
      </c>
      <c r="V104" s="59">
        <f t="shared" si="216"/>
        <v>7352</v>
      </c>
      <c r="W104" s="59">
        <f t="shared" si="216"/>
        <v>5449</v>
      </c>
      <c r="X104" s="59">
        <f t="shared" si="216"/>
        <v>5863</v>
      </c>
      <c r="Y104" s="59">
        <f t="shared" si="216"/>
        <v>5781</v>
      </c>
      <c r="Z104" s="59">
        <f t="shared" si="216"/>
        <v>7820</v>
      </c>
      <c r="AA104" s="59">
        <f t="shared" si="216"/>
        <v>3317</v>
      </c>
      <c r="AB104" s="59">
        <f t="shared" si="216"/>
        <v>4626</v>
      </c>
      <c r="AC104" s="59">
        <f t="shared" si="216"/>
        <v>7185</v>
      </c>
      <c r="AD104" s="59">
        <f t="shared" si="216"/>
        <v>8858</v>
      </c>
      <c r="AE104" s="59">
        <f t="shared" si="216"/>
        <v>5893</v>
      </c>
      <c r="AF104" s="59">
        <f t="shared" si="216"/>
        <v>5963</v>
      </c>
      <c r="AG104" s="59">
        <f t="shared" si="216"/>
        <v>8040</v>
      </c>
      <c r="AH104" s="59">
        <f t="shared" si="216"/>
        <v>12775</v>
      </c>
      <c r="AI104" s="59">
        <f t="shared" ref="AI104:BF104" si="217">INDEX(MO_RIS_EBIT,0,COLUMN())</f>
        <v>11378</v>
      </c>
      <c r="AJ104" s="59">
        <f t="shared" si="217"/>
        <v>12367</v>
      </c>
      <c r="AK104" s="59">
        <f t="shared" si="217"/>
        <v>10423</v>
      </c>
      <c r="AL104" s="59">
        <f t="shared" si="217"/>
        <v>12585</v>
      </c>
      <c r="AM104" s="59">
        <f t="shared" si="217"/>
        <v>8524</v>
      </c>
      <c r="AN104" s="59">
        <f t="shared" si="217"/>
        <v>8358</v>
      </c>
      <c r="AO104" s="59">
        <f t="shared" si="217"/>
        <v>5664</v>
      </c>
      <c r="AP104" s="59">
        <f t="shared" si="217"/>
        <v>6399</v>
      </c>
      <c r="AQ104" s="59">
        <f t="shared" si="217"/>
        <v>7227</v>
      </c>
      <c r="AR104" s="59">
        <f t="shared" si="217"/>
        <v>9392</v>
      </c>
      <c r="AS104" s="59">
        <f t="shared" si="217"/>
        <v>13748</v>
      </c>
      <c r="AT104" s="59">
        <f t="shared" si="217"/>
        <v>16384</v>
      </c>
      <c r="AU104" s="59">
        <f t="shared" si="217"/>
        <v>13818</v>
      </c>
      <c r="AV104" s="59">
        <f t="shared" si="217"/>
        <v>14847</v>
      </c>
      <c r="AW104" s="59">
        <f t="shared" si="217"/>
        <v>17350</v>
      </c>
      <c r="AX104" s="59">
        <f t="shared" si="217"/>
        <v>23365</v>
      </c>
      <c r="AY104" s="675">
        <f t="shared" si="217"/>
        <v>17555</v>
      </c>
      <c r="AZ104" s="59">
        <f t="shared" si="217"/>
        <v>15172.161394700146</v>
      </c>
      <c r="BA104" s="59">
        <f t="shared" si="217"/>
        <v>18420.017690773573</v>
      </c>
      <c r="BB104" s="59">
        <f t="shared" si="217"/>
        <v>21235.102343664115</v>
      </c>
      <c r="BC104" s="59">
        <f t="shared" si="217"/>
        <v>25243.034395265146</v>
      </c>
      <c r="BD104" s="59">
        <f t="shared" si="217"/>
        <v>21712.038203563468</v>
      </c>
      <c r="BE104" s="59">
        <f t="shared" si="217"/>
        <v>22877.481440944961</v>
      </c>
      <c r="BF104" s="59">
        <f t="shared" si="217"/>
        <v>27181.39670243677</v>
      </c>
      <c r="BG104" s="59"/>
      <c r="BH104" s="1054">
        <f t="shared" ref="BH104:CB104" si="218">INDEX(MO_RIS_EBIT,0,COLUMN())</f>
        <v>262</v>
      </c>
      <c r="BI104" s="1054">
        <f t="shared" si="218"/>
        <v>1032</v>
      </c>
      <c r="BJ104" s="1054">
        <f t="shared" si="218"/>
        <v>1756</v>
      </c>
      <c r="BK104" s="1054">
        <f t="shared" si="218"/>
        <v>538</v>
      </c>
      <c r="BL104" s="1054">
        <f t="shared" si="218"/>
        <v>2804</v>
      </c>
      <c r="BM104" s="1054">
        <f t="shared" si="218"/>
        <v>4994</v>
      </c>
      <c r="BN104" s="1054">
        <f t="shared" si="218"/>
        <v>6225</v>
      </c>
      <c r="BO104" s="1054">
        <f t="shared" si="218"/>
        <v>12427</v>
      </c>
      <c r="BP104" s="1054">
        <f t="shared" si="218"/>
        <v>20203</v>
      </c>
      <c r="BQ104" s="1054">
        <f t="shared" si="218"/>
        <v>24913</v>
      </c>
      <c r="BR104" s="1054">
        <f t="shared" si="218"/>
        <v>23986</v>
      </c>
      <c r="BS104" s="1054">
        <f t="shared" si="218"/>
        <v>32671</v>
      </c>
      <c r="BT104" s="1054">
        <f t="shared" si="218"/>
        <v>46753</v>
      </c>
      <c r="BU104" s="1054">
        <f t="shared" si="218"/>
        <v>28944</v>
      </c>
      <c r="BV104" s="1054">
        <f t="shared" si="218"/>
        <v>46751</v>
      </c>
      <c r="BW104" s="1055">
        <f t="shared" si="218"/>
        <v>69380</v>
      </c>
      <c r="BX104" s="1054">
        <f t="shared" si="218"/>
        <v>72382.281429137845</v>
      </c>
      <c r="BY104" s="1054">
        <f t="shared" si="218"/>
        <v>97013.95074221032</v>
      </c>
      <c r="BZ104" s="1054">
        <f t="shared" si="218"/>
        <v>116910.72203755559</v>
      </c>
      <c r="CA104" s="1054">
        <f t="shared" si="218"/>
        <v>132473.91806809115</v>
      </c>
      <c r="CB104" s="1054">
        <f t="shared" si="218"/>
        <v>148826.03605742412</v>
      </c>
      <c r="CC104" s="59"/>
    </row>
    <row r="105" spans="1:81" s="741" customFormat="1" hidden="1" outlineLevel="1" x14ac:dyDescent="0.55000000000000004">
      <c r="A105" s="446" t="s">
        <v>295</v>
      </c>
      <c r="B105" s="447"/>
      <c r="C105" s="59"/>
      <c r="D105" s="59"/>
      <c r="E105" s="59"/>
      <c r="F105" s="59">
        <f t="shared" ref="F105:AK105" si="219">SUM(F104,E104,D104,C104)</f>
        <v>2804</v>
      </c>
      <c r="G105" s="59">
        <f t="shared" si="219"/>
        <v>3506</v>
      </c>
      <c r="H105" s="59">
        <f t="shared" si="219"/>
        <v>4334</v>
      </c>
      <c r="I105" s="59">
        <f t="shared" si="219"/>
        <v>4995</v>
      </c>
      <c r="J105" s="59">
        <f t="shared" si="219"/>
        <v>4995</v>
      </c>
      <c r="K105" s="59">
        <f t="shared" si="219"/>
        <v>4853</v>
      </c>
      <c r="L105" s="59">
        <f t="shared" si="219"/>
        <v>4736</v>
      </c>
      <c r="M105" s="59">
        <f t="shared" si="219"/>
        <v>4798</v>
      </c>
      <c r="N105" s="59">
        <f t="shared" si="219"/>
        <v>6225</v>
      </c>
      <c r="O105" s="59">
        <f t="shared" si="219"/>
        <v>7302</v>
      </c>
      <c r="P105" s="59">
        <f t="shared" si="219"/>
        <v>8763</v>
      </c>
      <c r="Q105" s="59">
        <f t="shared" si="219"/>
        <v>10421</v>
      </c>
      <c r="R105" s="59">
        <f t="shared" si="219"/>
        <v>12427</v>
      </c>
      <c r="S105" s="59">
        <f t="shared" si="219"/>
        <v>13744</v>
      </c>
      <c r="T105" s="59">
        <f t="shared" si="219"/>
        <v>15411</v>
      </c>
      <c r="U105" s="59">
        <f t="shared" si="219"/>
        <v>17416</v>
      </c>
      <c r="V105" s="59">
        <f t="shared" si="219"/>
        <v>20202</v>
      </c>
      <c r="W105" s="59">
        <f t="shared" si="219"/>
        <v>22324</v>
      </c>
      <c r="X105" s="59">
        <f t="shared" si="219"/>
        <v>23786</v>
      </c>
      <c r="Y105" s="59">
        <f t="shared" si="219"/>
        <v>24445</v>
      </c>
      <c r="Z105" s="59">
        <f t="shared" si="219"/>
        <v>24913</v>
      </c>
      <c r="AA105" s="59">
        <f t="shared" si="219"/>
        <v>22781</v>
      </c>
      <c r="AB105" s="59">
        <f t="shared" si="219"/>
        <v>21544</v>
      </c>
      <c r="AC105" s="59">
        <f t="shared" si="219"/>
        <v>22948</v>
      </c>
      <c r="AD105" s="59">
        <f t="shared" si="219"/>
        <v>23986</v>
      </c>
      <c r="AE105" s="59">
        <f t="shared" si="219"/>
        <v>26562</v>
      </c>
      <c r="AF105" s="59">
        <f t="shared" si="219"/>
        <v>27899</v>
      </c>
      <c r="AG105" s="59">
        <f t="shared" si="219"/>
        <v>28754</v>
      </c>
      <c r="AH105" s="59">
        <f t="shared" si="219"/>
        <v>32671</v>
      </c>
      <c r="AI105" s="59">
        <f t="shared" si="219"/>
        <v>38156</v>
      </c>
      <c r="AJ105" s="59">
        <f t="shared" si="219"/>
        <v>44560</v>
      </c>
      <c r="AK105" s="59">
        <f t="shared" si="219"/>
        <v>46943</v>
      </c>
      <c r="AL105" s="59">
        <f t="shared" ref="AL105:BF105" si="220">SUM(AL104,AK104,AJ104,AI104)</f>
        <v>46753</v>
      </c>
      <c r="AM105" s="59">
        <f t="shared" si="220"/>
        <v>43899</v>
      </c>
      <c r="AN105" s="59">
        <f t="shared" si="220"/>
        <v>39890</v>
      </c>
      <c r="AO105" s="59">
        <f t="shared" si="220"/>
        <v>35131</v>
      </c>
      <c r="AP105" s="59">
        <f t="shared" si="220"/>
        <v>28945</v>
      </c>
      <c r="AQ105" s="59">
        <f t="shared" si="220"/>
        <v>27648</v>
      </c>
      <c r="AR105" s="59">
        <f t="shared" si="220"/>
        <v>28682</v>
      </c>
      <c r="AS105" s="59">
        <f t="shared" si="220"/>
        <v>36766</v>
      </c>
      <c r="AT105" s="59">
        <f t="shared" si="220"/>
        <v>46751</v>
      </c>
      <c r="AU105" s="59">
        <f t="shared" si="220"/>
        <v>53342</v>
      </c>
      <c r="AV105" s="59">
        <f t="shared" si="220"/>
        <v>58797</v>
      </c>
      <c r="AW105" s="59">
        <f t="shared" si="220"/>
        <v>62399</v>
      </c>
      <c r="AX105" s="59">
        <f t="shared" si="220"/>
        <v>69380</v>
      </c>
      <c r="AY105" s="675">
        <f t="shared" si="220"/>
        <v>73117</v>
      </c>
      <c r="AZ105" s="59">
        <f t="shared" si="220"/>
        <v>73442.161394700146</v>
      </c>
      <c r="BA105" s="59">
        <f t="shared" si="220"/>
        <v>74512.179085473719</v>
      </c>
      <c r="BB105" s="59">
        <f t="shared" si="220"/>
        <v>72382.281429137831</v>
      </c>
      <c r="BC105" s="59">
        <f t="shared" si="220"/>
        <v>80070.315824402976</v>
      </c>
      <c r="BD105" s="59">
        <f t="shared" si="220"/>
        <v>86610.192633266299</v>
      </c>
      <c r="BE105" s="59">
        <f t="shared" si="220"/>
        <v>91067.656383437687</v>
      </c>
      <c r="BF105" s="59">
        <f t="shared" si="220"/>
        <v>97013.950742210349</v>
      </c>
      <c r="BG105" s="59"/>
      <c r="BH105" s="1054">
        <f t="shared" ref="BH105:CB105" si="221">BH104</f>
        <v>262</v>
      </c>
      <c r="BI105" s="1054">
        <f t="shared" si="221"/>
        <v>1032</v>
      </c>
      <c r="BJ105" s="1054">
        <f t="shared" si="221"/>
        <v>1756</v>
      </c>
      <c r="BK105" s="1054">
        <f t="shared" si="221"/>
        <v>538</v>
      </c>
      <c r="BL105" s="1054">
        <f t="shared" si="221"/>
        <v>2804</v>
      </c>
      <c r="BM105" s="1054">
        <f t="shared" si="221"/>
        <v>4994</v>
      </c>
      <c r="BN105" s="1054">
        <f t="shared" si="221"/>
        <v>6225</v>
      </c>
      <c r="BO105" s="1054">
        <f t="shared" si="221"/>
        <v>12427</v>
      </c>
      <c r="BP105" s="1054">
        <f t="shared" si="221"/>
        <v>20203</v>
      </c>
      <c r="BQ105" s="1054">
        <f t="shared" si="221"/>
        <v>24913</v>
      </c>
      <c r="BR105" s="1054">
        <f t="shared" si="221"/>
        <v>23986</v>
      </c>
      <c r="BS105" s="1054">
        <f t="shared" si="221"/>
        <v>32671</v>
      </c>
      <c r="BT105" s="1054">
        <f t="shared" si="221"/>
        <v>46753</v>
      </c>
      <c r="BU105" s="1054">
        <f t="shared" si="221"/>
        <v>28944</v>
      </c>
      <c r="BV105" s="1054">
        <f t="shared" si="221"/>
        <v>46751</v>
      </c>
      <c r="BW105" s="1055">
        <f t="shared" si="221"/>
        <v>69380</v>
      </c>
      <c r="BX105" s="1054">
        <f t="shared" si="221"/>
        <v>72382.281429137845</v>
      </c>
      <c r="BY105" s="1054">
        <f t="shared" si="221"/>
        <v>97013.95074221032</v>
      </c>
      <c r="BZ105" s="1054">
        <f t="shared" si="221"/>
        <v>116910.72203755559</v>
      </c>
      <c r="CA105" s="1054">
        <f t="shared" si="221"/>
        <v>132473.91806809115</v>
      </c>
      <c r="CB105" s="1054">
        <f t="shared" si="221"/>
        <v>148826.03605742412</v>
      </c>
      <c r="CC105" s="59"/>
    </row>
    <row r="106" spans="1:81" s="741" customFormat="1" hidden="1" outlineLevel="1" x14ac:dyDescent="0.55000000000000004">
      <c r="A106" s="446" t="s">
        <v>197</v>
      </c>
      <c r="B106" s="447"/>
      <c r="C106" s="59">
        <f t="shared" ref="C106:AH106" si="222">INDEX(MO_BS_CL,0,COLUMN())</f>
        <v>1063</v>
      </c>
      <c r="D106" s="59">
        <f t="shared" si="222"/>
        <v>1080</v>
      </c>
      <c r="E106" s="59">
        <f t="shared" si="222"/>
        <v>984</v>
      </c>
      <c r="F106" s="59">
        <f t="shared" si="222"/>
        <v>1100</v>
      </c>
      <c r="G106" s="59">
        <f t="shared" si="222"/>
        <v>1037</v>
      </c>
      <c r="H106" s="59">
        <f t="shared" si="222"/>
        <v>1214</v>
      </c>
      <c r="I106" s="59">
        <f t="shared" si="222"/>
        <v>1234</v>
      </c>
      <c r="J106" s="59">
        <f t="shared" si="222"/>
        <v>1424</v>
      </c>
      <c r="K106" s="59">
        <f t="shared" si="222"/>
        <v>1746</v>
      </c>
      <c r="L106" s="59">
        <f t="shared" si="222"/>
        <v>1881</v>
      </c>
      <c r="M106" s="59">
        <f t="shared" si="222"/>
        <v>1792</v>
      </c>
      <c r="N106" s="59">
        <f t="shared" si="222"/>
        <v>1925</v>
      </c>
      <c r="O106" s="59">
        <f t="shared" si="222"/>
        <v>1807</v>
      </c>
      <c r="P106" s="59">
        <f t="shared" si="222"/>
        <v>2203</v>
      </c>
      <c r="Q106" s="59">
        <f t="shared" si="222"/>
        <v>2596</v>
      </c>
      <c r="R106" s="59">
        <f t="shared" si="222"/>
        <v>2875</v>
      </c>
      <c r="S106" s="59">
        <f t="shared" si="222"/>
        <v>2928</v>
      </c>
      <c r="T106" s="59">
        <f t="shared" si="222"/>
        <v>3315</v>
      </c>
      <c r="U106" s="59">
        <f t="shared" si="222"/>
        <v>3305</v>
      </c>
      <c r="V106" s="59">
        <f t="shared" si="222"/>
        <v>3760</v>
      </c>
      <c r="W106" s="59">
        <f t="shared" si="222"/>
        <v>5086</v>
      </c>
      <c r="X106" s="59">
        <f t="shared" si="222"/>
        <v>4670</v>
      </c>
      <c r="Y106" s="59">
        <f t="shared" si="222"/>
        <v>5462</v>
      </c>
      <c r="Z106" s="59">
        <f t="shared" si="222"/>
        <v>7017</v>
      </c>
      <c r="AA106" s="59">
        <f t="shared" si="222"/>
        <v>9908</v>
      </c>
      <c r="AB106" s="59">
        <f t="shared" si="222"/>
        <v>12979</v>
      </c>
      <c r="AC106" s="59">
        <f t="shared" si="222"/>
        <v>13328</v>
      </c>
      <c r="AD106" s="59">
        <f t="shared" si="222"/>
        <v>15053</v>
      </c>
      <c r="AE106" s="59">
        <f t="shared" si="222"/>
        <v>15069</v>
      </c>
      <c r="AF106" s="59">
        <f t="shared" si="222"/>
        <v>11308</v>
      </c>
      <c r="AG106" s="59">
        <f t="shared" si="222"/>
        <v>11944</v>
      </c>
      <c r="AH106" s="59">
        <f t="shared" si="222"/>
        <v>14981</v>
      </c>
      <c r="AI106" s="59">
        <f t="shared" ref="AI106:BF106" si="223">INDEX(MO_BS_CL,0,COLUMN())</f>
        <v>12717</v>
      </c>
      <c r="AJ106" s="59">
        <f t="shared" si="223"/>
        <v>14874</v>
      </c>
      <c r="AK106" s="59">
        <f t="shared" si="223"/>
        <v>17812</v>
      </c>
      <c r="AL106" s="59">
        <f t="shared" si="223"/>
        <v>21135</v>
      </c>
      <c r="AM106" s="59">
        <f t="shared" si="223"/>
        <v>21086</v>
      </c>
      <c r="AN106" s="59">
        <f t="shared" si="223"/>
        <v>22217</v>
      </c>
      <c r="AO106" s="59">
        <f t="shared" si="223"/>
        <v>22687</v>
      </c>
      <c r="AP106" s="59">
        <f t="shared" si="223"/>
        <v>27026</v>
      </c>
      <c r="AQ106" s="59">
        <f t="shared" si="223"/>
        <v>25381</v>
      </c>
      <c r="AR106" s="59">
        <f t="shared" si="223"/>
        <v>29921</v>
      </c>
      <c r="AS106" s="59">
        <f t="shared" si="223"/>
        <v>30531</v>
      </c>
      <c r="AT106" s="59">
        <f t="shared" si="223"/>
        <v>31960</v>
      </c>
      <c r="AU106" s="59">
        <f t="shared" si="223"/>
        <v>28101</v>
      </c>
      <c r="AV106" s="59">
        <f t="shared" si="223"/>
        <v>27004</v>
      </c>
      <c r="AW106" s="59">
        <f t="shared" si="223"/>
        <v>33330</v>
      </c>
      <c r="AX106" s="59">
        <f t="shared" si="223"/>
        <v>33596</v>
      </c>
      <c r="AY106" s="675">
        <f t="shared" si="223"/>
        <v>33890</v>
      </c>
      <c r="AZ106" s="59">
        <f t="shared" si="223"/>
        <v>36057.060702149116</v>
      </c>
      <c r="BA106" s="59">
        <f t="shared" si="223"/>
        <v>37750.933369631181</v>
      </c>
      <c r="BB106" s="59">
        <f t="shared" si="223"/>
        <v>37868.787797544079</v>
      </c>
      <c r="BC106" s="59">
        <f t="shared" si="223"/>
        <v>37071.04885104984</v>
      </c>
      <c r="BD106" s="59">
        <f t="shared" si="223"/>
        <v>39488.740681071955</v>
      </c>
      <c r="BE106" s="59">
        <f t="shared" si="223"/>
        <v>41326.340447973576</v>
      </c>
      <c r="BF106" s="59">
        <f t="shared" si="223"/>
        <v>41357.605653760125</v>
      </c>
      <c r="BG106" s="59"/>
      <c r="BH106" s="1054"/>
      <c r="BI106" s="1054">
        <f t="shared" ref="BI106:CB106" si="224">INDEX(MO_BS_CL,0,COLUMN())</f>
        <v>389</v>
      </c>
      <c r="BJ106" s="1054">
        <f t="shared" si="224"/>
        <v>899</v>
      </c>
      <c r="BK106" s="1054">
        <f t="shared" si="224"/>
        <v>1052</v>
      </c>
      <c r="BL106" s="1054">
        <f t="shared" si="224"/>
        <v>1100</v>
      </c>
      <c r="BM106" s="1054">
        <f t="shared" si="224"/>
        <v>1424</v>
      </c>
      <c r="BN106" s="1054">
        <f t="shared" si="224"/>
        <v>1925</v>
      </c>
      <c r="BO106" s="1054">
        <f t="shared" si="224"/>
        <v>2875</v>
      </c>
      <c r="BP106" s="1054">
        <f t="shared" si="224"/>
        <v>3760</v>
      </c>
      <c r="BQ106" s="1054">
        <f t="shared" si="224"/>
        <v>7017</v>
      </c>
      <c r="BR106" s="1054">
        <f t="shared" si="224"/>
        <v>15053</v>
      </c>
      <c r="BS106" s="1054">
        <f t="shared" si="224"/>
        <v>14981</v>
      </c>
      <c r="BT106" s="1054">
        <f t="shared" si="224"/>
        <v>21135</v>
      </c>
      <c r="BU106" s="1054">
        <f t="shared" si="224"/>
        <v>27026</v>
      </c>
      <c r="BV106" s="1054">
        <f t="shared" si="224"/>
        <v>31960</v>
      </c>
      <c r="BW106" s="1055">
        <f t="shared" si="224"/>
        <v>33596</v>
      </c>
      <c r="BX106" s="1054">
        <f t="shared" si="224"/>
        <v>37868.787797544079</v>
      </c>
      <c r="BY106" s="1054">
        <f t="shared" si="224"/>
        <v>41357.605653760125</v>
      </c>
      <c r="BZ106" s="1054">
        <f t="shared" si="224"/>
        <v>44841.794707252411</v>
      </c>
      <c r="CA106" s="1054">
        <f t="shared" si="224"/>
        <v>46667.664369725004</v>
      </c>
      <c r="CB106" s="1054">
        <f t="shared" si="224"/>
        <v>48468.094781033054</v>
      </c>
      <c r="CC106" s="59"/>
    </row>
    <row r="107" spans="1:81" s="741" customFormat="1" hidden="1" outlineLevel="1" x14ac:dyDescent="0.55000000000000004">
      <c r="A107" s="446" t="s">
        <v>296</v>
      </c>
      <c r="B107" s="447"/>
      <c r="C107" s="59"/>
      <c r="D107" s="59"/>
      <c r="E107" s="59"/>
      <c r="F107" s="59">
        <f t="shared" ref="F107:AK107" si="225">AVERAGE(F106,E106,D106,C106)</f>
        <v>1056.75</v>
      </c>
      <c r="G107" s="59">
        <f t="shared" si="225"/>
        <v>1050.25</v>
      </c>
      <c r="H107" s="59">
        <f t="shared" si="225"/>
        <v>1083.75</v>
      </c>
      <c r="I107" s="59">
        <f t="shared" si="225"/>
        <v>1146.25</v>
      </c>
      <c r="J107" s="59">
        <f t="shared" si="225"/>
        <v>1227.25</v>
      </c>
      <c r="K107" s="59">
        <f t="shared" si="225"/>
        <v>1404.5</v>
      </c>
      <c r="L107" s="59">
        <f t="shared" si="225"/>
        <v>1571.25</v>
      </c>
      <c r="M107" s="59">
        <f t="shared" si="225"/>
        <v>1710.75</v>
      </c>
      <c r="N107" s="59">
        <f t="shared" si="225"/>
        <v>1836</v>
      </c>
      <c r="O107" s="59">
        <f t="shared" si="225"/>
        <v>1851.25</v>
      </c>
      <c r="P107" s="59">
        <f t="shared" si="225"/>
        <v>1931.75</v>
      </c>
      <c r="Q107" s="59">
        <f t="shared" si="225"/>
        <v>2132.75</v>
      </c>
      <c r="R107" s="59">
        <f t="shared" si="225"/>
        <v>2370.25</v>
      </c>
      <c r="S107" s="59">
        <f t="shared" si="225"/>
        <v>2650.5</v>
      </c>
      <c r="T107" s="59">
        <f t="shared" si="225"/>
        <v>2928.5</v>
      </c>
      <c r="U107" s="59">
        <f t="shared" si="225"/>
        <v>3105.75</v>
      </c>
      <c r="V107" s="59">
        <f t="shared" si="225"/>
        <v>3327</v>
      </c>
      <c r="W107" s="59">
        <f t="shared" si="225"/>
        <v>3866.5</v>
      </c>
      <c r="X107" s="59">
        <f t="shared" si="225"/>
        <v>4205.25</v>
      </c>
      <c r="Y107" s="59">
        <f t="shared" si="225"/>
        <v>4744.5</v>
      </c>
      <c r="Z107" s="59">
        <f t="shared" si="225"/>
        <v>5558.75</v>
      </c>
      <c r="AA107" s="59">
        <f t="shared" si="225"/>
        <v>6764.25</v>
      </c>
      <c r="AB107" s="59">
        <f t="shared" si="225"/>
        <v>8841.5</v>
      </c>
      <c r="AC107" s="59">
        <f t="shared" si="225"/>
        <v>10808</v>
      </c>
      <c r="AD107" s="59">
        <f t="shared" si="225"/>
        <v>12817</v>
      </c>
      <c r="AE107" s="59">
        <f t="shared" si="225"/>
        <v>14107.25</v>
      </c>
      <c r="AF107" s="59">
        <f t="shared" si="225"/>
        <v>13689.5</v>
      </c>
      <c r="AG107" s="59">
        <f t="shared" si="225"/>
        <v>13343.5</v>
      </c>
      <c r="AH107" s="59">
        <f t="shared" si="225"/>
        <v>13325.5</v>
      </c>
      <c r="AI107" s="59">
        <f t="shared" si="225"/>
        <v>12737.5</v>
      </c>
      <c r="AJ107" s="59">
        <f t="shared" si="225"/>
        <v>13629</v>
      </c>
      <c r="AK107" s="59">
        <f t="shared" si="225"/>
        <v>15096</v>
      </c>
      <c r="AL107" s="59">
        <f t="shared" ref="AL107:BF107" si="226">AVERAGE(AL106,AK106,AJ106,AI106)</f>
        <v>16634.5</v>
      </c>
      <c r="AM107" s="59">
        <f t="shared" si="226"/>
        <v>18726.75</v>
      </c>
      <c r="AN107" s="59">
        <f t="shared" si="226"/>
        <v>20562.5</v>
      </c>
      <c r="AO107" s="59">
        <f t="shared" si="226"/>
        <v>21781.25</v>
      </c>
      <c r="AP107" s="59">
        <f t="shared" si="226"/>
        <v>23254</v>
      </c>
      <c r="AQ107" s="59">
        <f t="shared" si="226"/>
        <v>24327.75</v>
      </c>
      <c r="AR107" s="59">
        <f t="shared" si="226"/>
        <v>26253.75</v>
      </c>
      <c r="AS107" s="59">
        <f t="shared" si="226"/>
        <v>28214.75</v>
      </c>
      <c r="AT107" s="59">
        <f t="shared" si="226"/>
        <v>29448.25</v>
      </c>
      <c r="AU107" s="59">
        <f t="shared" si="226"/>
        <v>30128.25</v>
      </c>
      <c r="AV107" s="59">
        <f t="shared" si="226"/>
        <v>29399</v>
      </c>
      <c r="AW107" s="59">
        <f t="shared" si="226"/>
        <v>30098.75</v>
      </c>
      <c r="AX107" s="59">
        <f t="shared" si="226"/>
        <v>30507.75</v>
      </c>
      <c r="AY107" s="675">
        <f t="shared" si="226"/>
        <v>31955</v>
      </c>
      <c r="AZ107" s="59">
        <f t="shared" si="226"/>
        <v>34218.265175537279</v>
      </c>
      <c r="BA107" s="59">
        <f t="shared" si="226"/>
        <v>35323.498517945074</v>
      </c>
      <c r="BB107" s="59">
        <f t="shared" si="226"/>
        <v>36391.695467331097</v>
      </c>
      <c r="BC107" s="59">
        <f t="shared" si="226"/>
        <v>37186.957680093554</v>
      </c>
      <c r="BD107" s="59">
        <f t="shared" si="226"/>
        <v>38044.877674824267</v>
      </c>
      <c r="BE107" s="59">
        <f t="shared" si="226"/>
        <v>38938.729444409866</v>
      </c>
      <c r="BF107" s="59">
        <f t="shared" si="226"/>
        <v>39810.933908463878</v>
      </c>
      <c r="BG107" s="59"/>
      <c r="BH107" s="1054"/>
      <c r="BI107" s="1054">
        <f>AVERAGE(BI106)</f>
        <v>389</v>
      </c>
      <c r="BJ107" s="1054">
        <f t="shared" ref="BJ107:CB107" si="227">AVERAGE(BJ106,BI106)</f>
        <v>644</v>
      </c>
      <c r="BK107" s="1054">
        <f t="shared" si="227"/>
        <v>975.5</v>
      </c>
      <c r="BL107" s="1054">
        <f t="shared" si="227"/>
        <v>1076</v>
      </c>
      <c r="BM107" s="1054">
        <f t="shared" si="227"/>
        <v>1262</v>
      </c>
      <c r="BN107" s="1054">
        <f t="shared" si="227"/>
        <v>1674.5</v>
      </c>
      <c r="BO107" s="1054">
        <f t="shared" si="227"/>
        <v>2400</v>
      </c>
      <c r="BP107" s="1054">
        <f t="shared" si="227"/>
        <v>3317.5</v>
      </c>
      <c r="BQ107" s="1054">
        <f t="shared" si="227"/>
        <v>5388.5</v>
      </c>
      <c r="BR107" s="1054">
        <f t="shared" si="227"/>
        <v>11035</v>
      </c>
      <c r="BS107" s="1054">
        <f t="shared" si="227"/>
        <v>15017</v>
      </c>
      <c r="BT107" s="1054">
        <f t="shared" si="227"/>
        <v>18058</v>
      </c>
      <c r="BU107" s="1054">
        <f t="shared" si="227"/>
        <v>24080.5</v>
      </c>
      <c r="BV107" s="1054">
        <f t="shared" si="227"/>
        <v>29493</v>
      </c>
      <c r="BW107" s="1055">
        <f t="shared" si="227"/>
        <v>32778</v>
      </c>
      <c r="BX107" s="1054">
        <f t="shared" si="227"/>
        <v>35732.393898772039</v>
      </c>
      <c r="BY107" s="1054">
        <f t="shared" si="227"/>
        <v>39613.196725652102</v>
      </c>
      <c r="BZ107" s="1054">
        <f t="shared" si="227"/>
        <v>43099.700180506268</v>
      </c>
      <c r="CA107" s="1054">
        <f t="shared" si="227"/>
        <v>45754.729538488711</v>
      </c>
      <c r="CB107" s="1054">
        <f t="shared" si="227"/>
        <v>47567.879575379033</v>
      </c>
      <c r="CC107" s="59"/>
    </row>
    <row r="108" spans="1:81" s="741" customFormat="1" hidden="1" outlineLevel="1" x14ac:dyDescent="0.55000000000000004">
      <c r="A108" s="446" t="s">
        <v>297</v>
      </c>
      <c r="B108" s="447"/>
      <c r="C108" s="59">
        <f t="shared" ref="C108:AH108" si="228">INDEX(SP_BSR_TA_Avg,0,COLUMN())-INDEX(SP_BSR_CL_Avg,0,COLUMN())</f>
        <v>0</v>
      </c>
      <c r="D108" s="59">
        <f t="shared" si="228"/>
        <v>0</v>
      </c>
      <c r="E108" s="59">
        <f t="shared" si="228"/>
        <v>0</v>
      </c>
      <c r="F108" s="59">
        <f t="shared" si="228"/>
        <v>14872</v>
      </c>
      <c r="G108" s="59">
        <f t="shared" si="228"/>
        <v>15844.75</v>
      </c>
      <c r="H108" s="59">
        <f t="shared" si="228"/>
        <v>17072.5</v>
      </c>
      <c r="I108" s="59">
        <f t="shared" si="228"/>
        <v>19323.75</v>
      </c>
      <c r="J108" s="59">
        <f t="shared" si="228"/>
        <v>24760.5</v>
      </c>
      <c r="K108" s="59">
        <f t="shared" si="228"/>
        <v>30328</v>
      </c>
      <c r="L108" s="59">
        <f t="shared" si="228"/>
        <v>36001.5</v>
      </c>
      <c r="M108" s="59">
        <f t="shared" si="228"/>
        <v>41432.25</v>
      </c>
      <c r="N108" s="59">
        <f t="shared" si="228"/>
        <v>43667.25</v>
      </c>
      <c r="O108" s="59">
        <f t="shared" si="228"/>
        <v>46215.75</v>
      </c>
      <c r="P108" s="59">
        <f t="shared" si="228"/>
        <v>49094.75</v>
      </c>
      <c r="Q108" s="59">
        <f t="shared" si="228"/>
        <v>52278.25</v>
      </c>
      <c r="R108" s="59">
        <f t="shared" si="228"/>
        <v>55929.25</v>
      </c>
      <c r="S108" s="59">
        <f t="shared" si="228"/>
        <v>59762</v>
      </c>
      <c r="T108" s="59">
        <f t="shared" si="228"/>
        <v>63952.75</v>
      </c>
      <c r="U108" s="59">
        <f t="shared" si="228"/>
        <v>68523.25</v>
      </c>
      <c r="V108" s="59">
        <f t="shared" si="228"/>
        <v>73192.75</v>
      </c>
      <c r="W108" s="59">
        <f t="shared" si="228"/>
        <v>77711</v>
      </c>
      <c r="X108" s="59">
        <f t="shared" si="228"/>
        <v>81484.25</v>
      </c>
      <c r="Y108" s="59">
        <f t="shared" si="228"/>
        <v>84308.5</v>
      </c>
      <c r="Z108" s="59">
        <f t="shared" si="228"/>
        <v>86696.75</v>
      </c>
      <c r="AA108" s="59">
        <f t="shared" si="228"/>
        <v>90624.25</v>
      </c>
      <c r="AB108" s="59">
        <f t="shared" si="228"/>
        <v>95225.75</v>
      </c>
      <c r="AC108" s="59">
        <f t="shared" si="228"/>
        <v>101250.75</v>
      </c>
      <c r="AD108" s="59">
        <f t="shared" si="228"/>
        <v>108252.25</v>
      </c>
      <c r="AE108" s="59">
        <f t="shared" si="228"/>
        <v>114185.5</v>
      </c>
      <c r="AF108" s="59">
        <f t="shared" si="228"/>
        <v>120274.5</v>
      </c>
      <c r="AG108" s="59">
        <f t="shared" si="228"/>
        <v>126125.25</v>
      </c>
      <c r="AH108" s="59">
        <f t="shared" si="228"/>
        <v>132628.25</v>
      </c>
      <c r="AI108" s="59">
        <f t="shared" ref="AI108:BF108" si="229">INDEX(SP_BSR_TA_Avg,0,COLUMN())-INDEX(SP_BSR_CL_Avg,0,COLUMN())</f>
        <v>139504.25</v>
      </c>
      <c r="AJ108" s="59">
        <f t="shared" si="229"/>
        <v>146342.25</v>
      </c>
      <c r="AK108" s="59">
        <f t="shared" si="229"/>
        <v>150662.25</v>
      </c>
      <c r="AL108" s="59">
        <f t="shared" si="229"/>
        <v>150791.5</v>
      </c>
      <c r="AM108" s="59">
        <f t="shared" si="229"/>
        <v>148873</v>
      </c>
      <c r="AN108" s="59">
        <f t="shared" si="229"/>
        <v>146829.75</v>
      </c>
      <c r="AO108" s="59">
        <f t="shared" si="229"/>
        <v>147938.25</v>
      </c>
      <c r="AP108" s="59">
        <f t="shared" si="229"/>
        <v>151400.5</v>
      </c>
      <c r="AQ108" s="59">
        <f t="shared" si="229"/>
        <v>155395</v>
      </c>
      <c r="AR108" s="59">
        <f t="shared" si="229"/>
        <v>162696.25</v>
      </c>
      <c r="AS108" s="59">
        <f t="shared" si="229"/>
        <v>170080.25</v>
      </c>
      <c r="AT108" s="59">
        <f t="shared" si="229"/>
        <v>179820.75</v>
      </c>
      <c r="AU108" s="59">
        <f t="shared" si="229"/>
        <v>188729</v>
      </c>
      <c r="AV108" s="59">
        <f t="shared" si="229"/>
        <v>195345.75</v>
      </c>
      <c r="AW108" s="59">
        <f t="shared" si="229"/>
        <v>204679.5</v>
      </c>
      <c r="AX108" s="59">
        <f t="shared" si="229"/>
        <v>215878.25</v>
      </c>
      <c r="AY108" s="675">
        <f t="shared" si="229"/>
        <v>228773.25</v>
      </c>
      <c r="AZ108" s="59">
        <f t="shared" ca="1" si="229"/>
        <v>244060.13560310751</v>
      </c>
      <c r="BA108" s="59">
        <f t="shared" ca="1" si="229"/>
        <v>259425.06414050492</v>
      </c>
      <c r="BB108" s="59">
        <f t="shared" ca="1" si="229"/>
        <v>275808.35640360811</v>
      </c>
      <c r="BC108" s="59">
        <f t="shared" ca="1" si="229"/>
        <v>298247.12874513143</v>
      </c>
      <c r="BD108" s="59">
        <f t="shared" ca="1" si="229"/>
        <v>322476.90025948139</v>
      </c>
      <c r="BE108" s="59">
        <f t="shared" ca="1" si="229"/>
        <v>348465.65803501685</v>
      </c>
      <c r="BF108" s="59">
        <f t="shared" ca="1" si="229"/>
        <v>376210.47159591829</v>
      </c>
      <c r="BG108" s="59"/>
      <c r="BH108" s="1054"/>
      <c r="BI108" s="1054">
        <f t="shared" ref="BI108:CB108" si="230">INDEX(SP_BSR_TA_Avg,0,COLUMN())-INDEX(SP_BSR_CL_Avg,0,COLUMN())</f>
        <v>2601</v>
      </c>
      <c r="BJ108" s="1054">
        <f t="shared" si="230"/>
        <v>4016.5</v>
      </c>
      <c r="BK108" s="1054">
        <f t="shared" si="230"/>
        <v>9741.5</v>
      </c>
      <c r="BL108" s="1054">
        <f t="shared" si="230"/>
        <v>15423</v>
      </c>
      <c r="BM108" s="1054">
        <f t="shared" si="230"/>
        <v>27668.5</v>
      </c>
      <c r="BN108" s="1054">
        <f t="shared" si="230"/>
        <v>43012</v>
      </c>
      <c r="BO108" s="1054">
        <f t="shared" si="230"/>
        <v>54784</v>
      </c>
      <c r="BP108" s="1054">
        <f t="shared" si="230"/>
        <v>71425</v>
      </c>
      <c r="BQ108" s="1054">
        <f t="shared" si="230"/>
        <v>85540.5</v>
      </c>
      <c r="BR108" s="1054">
        <f t="shared" si="230"/>
        <v>104320</v>
      </c>
      <c r="BS108" s="1054">
        <f t="shared" si="230"/>
        <v>131329</v>
      </c>
      <c r="BT108" s="1054">
        <f t="shared" si="230"/>
        <v>144593.5</v>
      </c>
      <c r="BU108" s="1054">
        <f t="shared" si="230"/>
        <v>151776.5</v>
      </c>
      <c r="BV108" s="1054">
        <f t="shared" si="230"/>
        <v>178182</v>
      </c>
      <c r="BW108" s="1055">
        <f t="shared" si="230"/>
        <v>220060.5</v>
      </c>
      <c r="BX108" s="1054">
        <f t="shared" ca="1" si="230"/>
        <v>275224.58452620637</v>
      </c>
      <c r="BY108" s="1054">
        <f t="shared" ca="1" si="230"/>
        <v>363480.79617421556</v>
      </c>
      <c r="BZ108" s="1054">
        <f t="shared" ca="1" si="230"/>
        <v>479077.49134918809</v>
      </c>
      <c r="CA108" s="1054">
        <f t="shared" ca="1" si="230"/>
        <v>602183.20047700615</v>
      </c>
      <c r="CB108" s="1054">
        <f t="shared" ca="1" si="230"/>
        <v>736681.20384309033</v>
      </c>
      <c r="CC108" s="59"/>
    </row>
    <row r="109" spans="1:81" s="737" customFormat="1" collapsed="1" x14ac:dyDescent="0.55000000000000004">
      <c r="A109" s="101" t="s">
        <v>298</v>
      </c>
      <c r="B109" s="49"/>
      <c r="C109" s="66"/>
      <c r="D109" s="66"/>
      <c r="E109" s="66"/>
      <c r="F109" s="66">
        <f t="shared" ref="F109:AK109" si="231">IF(F108&lt;0,"NMF",IF(ABS(F105/F108)&gt;1,"NMF",F105/F108))</f>
        <v>0.18854222700376547</v>
      </c>
      <c r="G109" s="66">
        <f t="shared" si="231"/>
        <v>0.22127203016772118</v>
      </c>
      <c r="H109" s="66">
        <f t="shared" si="231"/>
        <v>0.25385854444281741</v>
      </c>
      <c r="I109" s="66">
        <f t="shared" si="231"/>
        <v>0.25849019988356298</v>
      </c>
      <c r="J109" s="66">
        <f t="shared" si="231"/>
        <v>0.20173259829163384</v>
      </c>
      <c r="K109" s="66">
        <f t="shared" si="231"/>
        <v>0.16001714587180163</v>
      </c>
      <c r="L109" s="66">
        <f t="shared" si="231"/>
        <v>0.13155007430245963</v>
      </c>
      <c r="M109" s="66">
        <f t="shared" si="231"/>
        <v>0.1158035105503563</v>
      </c>
      <c r="N109" s="66">
        <f t="shared" si="231"/>
        <v>0.14255534754306717</v>
      </c>
      <c r="O109" s="66">
        <f t="shared" si="231"/>
        <v>0.15799808506840202</v>
      </c>
      <c r="P109" s="66">
        <f t="shared" si="231"/>
        <v>0.17849159024131908</v>
      </c>
      <c r="Q109" s="66">
        <f t="shared" si="231"/>
        <v>0.19933720046099476</v>
      </c>
      <c r="R109" s="66">
        <f t="shared" si="231"/>
        <v>0.22219142935047403</v>
      </c>
      <c r="S109" s="66">
        <f t="shared" si="231"/>
        <v>0.22997891636826076</v>
      </c>
      <c r="T109" s="66">
        <f t="shared" si="231"/>
        <v>0.24097478216339407</v>
      </c>
      <c r="U109" s="66">
        <f t="shared" si="231"/>
        <v>0.254161908549288</v>
      </c>
      <c r="V109" s="66">
        <f t="shared" si="231"/>
        <v>0.27601094370685619</v>
      </c>
      <c r="W109" s="66">
        <f t="shared" si="231"/>
        <v>0.28726949852659212</v>
      </c>
      <c r="X109" s="66">
        <f t="shared" si="231"/>
        <v>0.29190917263152083</v>
      </c>
      <c r="Y109" s="66">
        <f t="shared" si="231"/>
        <v>0.28994703974095137</v>
      </c>
      <c r="Z109" s="66">
        <f t="shared" si="231"/>
        <v>0.28735794594376374</v>
      </c>
      <c r="AA109" s="66">
        <f t="shared" si="231"/>
        <v>0.25137863209902428</v>
      </c>
      <c r="AB109" s="66">
        <f t="shared" si="231"/>
        <v>0.2262413265319517</v>
      </c>
      <c r="AC109" s="66">
        <f t="shared" si="231"/>
        <v>0.22664523472665635</v>
      </c>
      <c r="AD109" s="66">
        <f t="shared" si="231"/>
        <v>0.22157507118789679</v>
      </c>
      <c r="AE109" s="66">
        <f t="shared" si="231"/>
        <v>0.23262147996024013</v>
      </c>
      <c r="AF109" s="66">
        <f t="shared" si="231"/>
        <v>0.23196105575163481</v>
      </c>
      <c r="AG109" s="66">
        <f t="shared" si="231"/>
        <v>0.22797972650202875</v>
      </c>
      <c r="AH109" s="66">
        <f t="shared" si="231"/>
        <v>0.24633515107075604</v>
      </c>
      <c r="AI109" s="66">
        <f t="shared" si="231"/>
        <v>0.27351138047765572</v>
      </c>
      <c r="AJ109" s="66">
        <f t="shared" si="231"/>
        <v>0.30449169669046361</v>
      </c>
      <c r="AK109" s="66">
        <f t="shared" si="231"/>
        <v>0.31157771770964526</v>
      </c>
      <c r="AL109" s="66">
        <f t="shared" ref="AL109:BF109" si="232">IF(AL108&lt;0,"NMF",IF(ABS(AL105/AL108)&gt;1,"NMF",AL105/AL108))</f>
        <v>0.31005063282744716</v>
      </c>
      <c r="AM109" s="66">
        <f t="shared" si="232"/>
        <v>0.29487549790761253</v>
      </c>
      <c r="AN109" s="66">
        <f t="shared" si="232"/>
        <v>0.27167518844103461</v>
      </c>
      <c r="AO109" s="66">
        <f t="shared" si="232"/>
        <v>0.23747070145820975</v>
      </c>
      <c r="AP109" s="66">
        <f t="shared" si="232"/>
        <v>0.19118166716754567</v>
      </c>
      <c r="AQ109" s="66">
        <f t="shared" si="232"/>
        <v>0.17792078252196017</v>
      </c>
      <c r="AR109" s="66">
        <f t="shared" si="232"/>
        <v>0.17629170924345214</v>
      </c>
      <c r="AS109" s="66">
        <f t="shared" si="232"/>
        <v>0.21616854396674512</v>
      </c>
      <c r="AT109" s="66">
        <f t="shared" si="232"/>
        <v>0.25998668118112067</v>
      </c>
      <c r="AU109" s="66">
        <f t="shared" si="232"/>
        <v>0.28263806834137839</v>
      </c>
      <c r="AV109" s="66">
        <f t="shared" si="232"/>
        <v>0.30098939956461812</v>
      </c>
      <c r="AW109" s="66">
        <f t="shared" si="232"/>
        <v>0.30486199155264693</v>
      </c>
      <c r="AX109" s="66">
        <f t="shared" si="232"/>
        <v>0.32138485465766004</v>
      </c>
      <c r="AY109" s="697">
        <f t="shared" si="232"/>
        <v>0.31960467406045068</v>
      </c>
      <c r="AZ109" s="66">
        <f t="shared" ca="1" si="232"/>
        <v>0.30091830119332702</v>
      </c>
      <c r="BA109" s="66">
        <f t="shared" ca="1" si="232"/>
        <v>0.28722043235235678</v>
      </c>
      <c r="BB109" s="66">
        <f t="shared" ca="1" si="232"/>
        <v>0.2624368687481542</v>
      </c>
      <c r="BC109" s="66">
        <f t="shared" ca="1" si="232"/>
        <v>0.26846969545456201</v>
      </c>
      <c r="BD109" s="66">
        <f t="shared" ca="1" si="232"/>
        <v>0.26857797430940111</v>
      </c>
      <c r="BE109" s="66">
        <f t="shared" ca="1" si="232"/>
        <v>0.26133897066633299</v>
      </c>
      <c r="BF109" s="66">
        <f t="shared" ca="1" si="232"/>
        <v>0.2578714790438143</v>
      </c>
      <c r="BG109" s="66"/>
      <c r="BH109" s="1084"/>
      <c r="BI109" s="1084">
        <f t="shared" ref="BI109:CB109" si="233">IF(BI108&lt;0,"NMF",IF(ABS(BI105/BI108)&gt;1,"NMF",BI105/BI108))</f>
        <v>0.39677047289504036</v>
      </c>
      <c r="BJ109" s="1084">
        <f t="shared" si="233"/>
        <v>0.43719656417278724</v>
      </c>
      <c r="BK109" s="1084">
        <f t="shared" si="233"/>
        <v>5.5227634347893031E-2</v>
      </c>
      <c r="BL109" s="1084">
        <f t="shared" si="233"/>
        <v>0.1818063930493419</v>
      </c>
      <c r="BM109" s="1084">
        <f t="shared" si="233"/>
        <v>0.18049406364638487</v>
      </c>
      <c r="BN109" s="1084">
        <f t="shared" si="233"/>
        <v>0.14472705291546545</v>
      </c>
      <c r="BO109" s="1084">
        <f t="shared" si="233"/>
        <v>0.22683630257009346</v>
      </c>
      <c r="BP109" s="1084">
        <f t="shared" si="233"/>
        <v>0.28285614280714033</v>
      </c>
      <c r="BQ109" s="1084">
        <f t="shared" si="233"/>
        <v>0.29124216014636339</v>
      </c>
      <c r="BR109" s="1084">
        <f t="shared" si="233"/>
        <v>0.2299271472392638</v>
      </c>
      <c r="BS109" s="1084">
        <f t="shared" si="233"/>
        <v>0.24877216760959117</v>
      </c>
      <c r="BT109" s="1084">
        <f t="shared" si="233"/>
        <v>0.32334095239412558</v>
      </c>
      <c r="BU109" s="1084">
        <f t="shared" si="233"/>
        <v>0.19070145905327901</v>
      </c>
      <c r="BV109" s="1084">
        <f t="shared" si="233"/>
        <v>0.26237779349204748</v>
      </c>
      <c r="BW109" s="1085">
        <f t="shared" si="233"/>
        <v>0.31527693520645461</v>
      </c>
      <c r="BX109" s="1084">
        <f t="shared" ca="1" si="233"/>
        <v>0.26299351692634038</v>
      </c>
      <c r="BY109" s="1084">
        <f t="shared" ca="1" si="233"/>
        <v>0.26690254825928067</v>
      </c>
      <c r="BZ109" s="1084">
        <f t="shared" ca="1" si="233"/>
        <v>0.24403300958329135</v>
      </c>
      <c r="CA109" s="1084">
        <f t="shared" ca="1" si="233"/>
        <v>0.21998939519261723</v>
      </c>
      <c r="CB109" s="1084">
        <f t="shared" ca="1" si="233"/>
        <v>0.20202230663825024</v>
      </c>
      <c r="CC109" s="123"/>
    </row>
    <row r="110" spans="1:81" s="729" customFormat="1" x14ac:dyDescent="0.55000000000000004">
      <c r="A110" s="90"/>
      <c r="B110" s="95"/>
      <c r="C110" s="607"/>
      <c r="D110" s="607"/>
      <c r="E110" s="607"/>
      <c r="F110" s="607"/>
      <c r="G110" s="607"/>
      <c r="H110" s="607"/>
      <c r="I110" s="607"/>
      <c r="J110" s="607"/>
      <c r="K110" s="607"/>
      <c r="L110" s="607"/>
      <c r="M110" s="607"/>
      <c r="N110" s="607"/>
      <c r="O110" s="607"/>
      <c r="P110" s="607"/>
      <c r="Q110" s="607"/>
      <c r="R110" s="607"/>
      <c r="S110" s="607"/>
      <c r="T110" s="607"/>
      <c r="U110" s="607"/>
      <c r="V110" s="607"/>
      <c r="W110" s="607"/>
      <c r="X110" s="607"/>
      <c r="Y110" s="607"/>
      <c r="Z110" s="607"/>
      <c r="AA110" s="607"/>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79"/>
      <c r="AZ110" s="607"/>
      <c r="BA110" s="607"/>
      <c r="BB110" s="607"/>
      <c r="BC110" s="607"/>
      <c r="BD110" s="607"/>
      <c r="BE110" s="607"/>
      <c r="BF110" s="607"/>
      <c r="BG110" s="607"/>
      <c r="BH110" s="1060"/>
      <c r="BI110" s="1060"/>
      <c r="BJ110" s="1060"/>
      <c r="BK110" s="1060"/>
      <c r="BL110" s="1060"/>
      <c r="BM110" s="1060"/>
      <c r="BN110" s="1060"/>
      <c r="BO110" s="1060"/>
      <c r="BP110" s="1060"/>
      <c r="BQ110" s="1060"/>
      <c r="BR110" s="1060"/>
      <c r="BS110" s="1060"/>
      <c r="BT110" s="1060"/>
      <c r="BU110" s="1060"/>
      <c r="BV110" s="1060"/>
      <c r="BW110" s="1061"/>
      <c r="BX110" s="1060"/>
      <c r="BY110" s="1060"/>
      <c r="BZ110" s="1060"/>
      <c r="CA110" s="1060"/>
      <c r="CB110" s="1060"/>
      <c r="CC110" s="607"/>
    </row>
    <row r="111" spans="1:81" s="729" customFormat="1" x14ac:dyDescent="0.55000000000000004">
      <c r="A111" s="56" t="s">
        <v>299</v>
      </c>
      <c r="B111" s="608"/>
      <c r="C111" s="608"/>
      <c r="D111" s="608"/>
      <c r="E111" s="608"/>
      <c r="F111" s="608"/>
      <c r="G111" s="608"/>
      <c r="H111" s="608"/>
      <c r="I111" s="608"/>
      <c r="J111" s="608"/>
      <c r="K111" s="608"/>
      <c r="L111" s="608"/>
      <c r="M111" s="608"/>
      <c r="N111" s="608"/>
      <c r="O111" s="608"/>
      <c r="P111" s="608"/>
      <c r="Q111" s="608"/>
      <c r="R111" s="608"/>
      <c r="S111" s="608"/>
      <c r="T111" s="608"/>
      <c r="U111" s="608"/>
      <c r="V111" s="608"/>
      <c r="W111" s="608"/>
      <c r="X111" s="608"/>
      <c r="Y111" s="608"/>
      <c r="Z111" s="608"/>
      <c r="AA111" s="608"/>
      <c r="AB111" s="608"/>
      <c r="AC111" s="608"/>
      <c r="AD111" s="608"/>
      <c r="AE111" s="608"/>
      <c r="AF111" s="608"/>
      <c r="AG111" s="608"/>
      <c r="AH111" s="608"/>
      <c r="AI111" s="608"/>
      <c r="AJ111" s="608"/>
      <c r="AK111" s="608"/>
      <c r="AL111" s="608"/>
      <c r="AM111" s="608"/>
      <c r="AN111" s="608"/>
      <c r="AO111" s="608"/>
      <c r="AP111" s="608"/>
      <c r="AQ111" s="608"/>
      <c r="AR111" s="608"/>
      <c r="AS111" s="608"/>
      <c r="AT111" s="608"/>
      <c r="AU111" s="608"/>
      <c r="AV111" s="608"/>
      <c r="AW111" s="608"/>
      <c r="AX111" s="608"/>
      <c r="AY111" s="609"/>
      <c r="AZ111" s="608"/>
      <c r="BA111" s="608"/>
      <c r="BB111" s="608"/>
      <c r="BC111" s="608"/>
      <c r="BD111" s="608"/>
      <c r="BE111" s="608"/>
      <c r="BF111" s="608"/>
      <c r="BG111" s="608"/>
      <c r="BH111" s="608"/>
      <c r="BI111" s="608"/>
      <c r="BJ111" s="608"/>
      <c r="BK111" s="608"/>
      <c r="BL111" s="608"/>
      <c r="BM111" s="608"/>
      <c r="BN111" s="608"/>
      <c r="BO111" s="608"/>
      <c r="BP111" s="608"/>
      <c r="BQ111" s="608"/>
      <c r="BR111" s="608"/>
      <c r="BS111" s="608"/>
      <c r="BT111" s="608"/>
      <c r="BU111" s="608"/>
      <c r="BV111" s="608"/>
      <c r="BW111" s="609"/>
      <c r="BX111" s="608"/>
      <c r="BY111" s="608"/>
      <c r="BZ111" s="608"/>
      <c r="CA111" s="608"/>
      <c r="CB111" s="608"/>
      <c r="CC111" s="607"/>
    </row>
    <row r="112" spans="1:81" s="734" customFormat="1" x14ac:dyDescent="0.55000000000000004">
      <c r="A112" s="108" t="s">
        <v>300</v>
      </c>
      <c r="B112" s="96"/>
      <c r="C112" s="65"/>
      <c r="D112" s="65"/>
      <c r="E112" s="65"/>
      <c r="F112" s="65"/>
      <c r="G112" s="65">
        <f t="shared" ref="G112:AL112" si="234">IF(OR(INDEX(SP_GF_Rev,0,COLUMN())&lt;=0,C28&lt;=0),"NMF",IF(ABS((INDEX(SP_GF_Rev,0,COLUMN())/INDEX(SP_GF_ShareCount,0,COLUMN()))/(C28/C43)-1)&gt;10,"NMF",(INDEX(SP_GF_Rev,0,COLUMN())/INDEX(SP_GF_ShareCount,0,COLUMN()))/(C28/C43)-1))</f>
        <v>0.64369774143633851</v>
      </c>
      <c r="H112" s="65">
        <f t="shared" si="234"/>
        <v>0.53571560400295737</v>
      </c>
      <c r="I112" s="65">
        <f t="shared" si="234"/>
        <v>0.5190848401892274</v>
      </c>
      <c r="J112" s="65">
        <f t="shared" si="234"/>
        <v>0.35325880297168966</v>
      </c>
      <c r="K112" s="65">
        <f t="shared" si="234"/>
        <v>0.30272185636540128</v>
      </c>
      <c r="L112" s="65">
        <f t="shared" si="234"/>
        <v>0.274471574124314</v>
      </c>
      <c r="M112" s="65">
        <f t="shared" si="234"/>
        <v>0.2977534050824906</v>
      </c>
      <c r="N112" s="65">
        <f t="shared" si="234"/>
        <v>0.48407397228484483</v>
      </c>
      <c r="O112" s="65">
        <f t="shared" si="234"/>
        <v>0.49170030562390221</v>
      </c>
      <c r="P112" s="65">
        <f t="shared" si="234"/>
        <v>0.5535778807288958</v>
      </c>
      <c r="Q112" s="65">
        <f t="shared" si="234"/>
        <v>0.52986723362027788</v>
      </c>
      <c r="R112" s="65">
        <f t="shared" si="234"/>
        <v>0.47733300980638615</v>
      </c>
      <c r="S112" s="65">
        <f t="shared" si="234"/>
        <v>0.46399431276557923</v>
      </c>
      <c r="T112" s="65">
        <f t="shared" si="234"/>
        <v>0.43353671391375048</v>
      </c>
      <c r="U112" s="65">
        <f t="shared" si="234"/>
        <v>0.45268145224718404</v>
      </c>
      <c r="V112" s="65">
        <f t="shared" si="234"/>
        <v>0.46460877051252347</v>
      </c>
      <c r="W112" s="65">
        <f t="shared" si="234"/>
        <v>0.48928496540155186</v>
      </c>
      <c r="X112" s="65">
        <f t="shared" si="234"/>
        <v>0.42965665624211602</v>
      </c>
      <c r="Y112" s="65">
        <f t="shared" si="234"/>
        <v>0.34872481940115674</v>
      </c>
      <c r="Z112" s="65">
        <f t="shared" si="234"/>
        <v>0.33460746735492353</v>
      </c>
      <c r="AA112" s="65">
        <f t="shared" si="234"/>
        <v>0.29336375802079395</v>
      </c>
      <c r="AB112" s="65">
        <f t="shared" si="234"/>
        <v>0.30066030698655655</v>
      </c>
      <c r="AC112" s="65">
        <f t="shared" si="234"/>
        <v>0.30338286110925639</v>
      </c>
      <c r="AD112" s="65">
        <f t="shared" si="234"/>
        <v>0.25293521878273117</v>
      </c>
      <c r="AE112" s="65">
        <f t="shared" si="234"/>
        <v>0.17683786224669662</v>
      </c>
      <c r="AF112" s="65">
        <f t="shared" si="234"/>
        <v>0.10511884509888092</v>
      </c>
      <c r="AG112" s="65">
        <f t="shared" si="234"/>
        <v>0.20914058280215619</v>
      </c>
      <c r="AH112" s="65">
        <f t="shared" si="234"/>
        <v>0.32280825342073416</v>
      </c>
      <c r="AI112" s="65">
        <f t="shared" si="234"/>
        <v>0.46833557800755776</v>
      </c>
      <c r="AJ112" s="65">
        <f t="shared" si="234"/>
        <v>0.55708318171742732</v>
      </c>
      <c r="AK112" s="65">
        <f t="shared" si="234"/>
        <v>0.36631117579814387</v>
      </c>
      <c r="AL112" s="65">
        <f t="shared" si="234"/>
        <v>0.23844750868256792</v>
      </c>
      <c r="AM112" s="65">
        <f t="shared" ref="AM112:BF112" si="235">IF(OR(INDEX(SP_GF_Rev,0,COLUMN())&lt;=0,AI28&lt;=0),"NMF",IF(ABS((INDEX(SP_GF_Rev,0,COLUMN())/INDEX(SP_GF_ShareCount,0,COLUMN()))/(AI28/AI43)-1)&gt;10,"NMF",(INDEX(SP_GF_Rev,0,COLUMN())/INDEX(SP_GF_ShareCount,0,COLUMN()))/(AI28/AI43)-1))</f>
        <v>0.12081755070959144</v>
      </c>
      <c r="AN112" s="65">
        <f t="shared" si="235"/>
        <v>5.1149735869784774E-2</v>
      </c>
      <c r="AO112" s="65">
        <f t="shared" si="235"/>
        <v>1.6477974883088331E-2</v>
      </c>
      <c r="AP112" s="65">
        <f t="shared" si="235"/>
        <v>1.280657620126302E-2</v>
      </c>
      <c r="AQ112" s="65">
        <f t="shared" si="235"/>
        <v>8.4133775007602551E-2</v>
      </c>
      <c r="AR112" s="65">
        <f t="shared" si="235"/>
        <v>0.15315825880838219</v>
      </c>
      <c r="AS112" s="65">
        <f t="shared" si="235"/>
        <v>0.25354488346743542</v>
      </c>
      <c r="AT112" s="65">
        <f t="shared" si="235"/>
        <v>0.25178029870930474</v>
      </c>
      <c r="AU112" s="65">
        <f t="shared" si="235"/>
        <v>0.25858820204639721</v>
      </c>
      <c r="AV112" s="65">
        <f t="shared" si="235"/>
        <v>0.22194254394204593</v>
      </c>
      <c r="AW112" s="65">
        <f t="shared" si="235"/>
        <v>0.20743446692708689</v>
      </c>
      <c r="AX112" s="65">
        <f t="shared" si="235"/>
        <v>0.22066565396453863</v>
      </c>
      <c r="AY112" s="695">
        <f t="shared" si="235"/>
        <v>0.17640408204116875</v>
      </c>
      <c r="AZ112" s="65">
        <f t="shared" ca="1" si="235"/>
        <v>0.12227927888659096</v>
      </c>
      <c r="BA112" s="65">
        <f t="shared" ca="1" si="235"/>
        <v>0.1334706556424925</v>
      </c>
      <c r="BB112" s="65">
        <f t="shared" ca="1" si="235"/>
        <v>0.16792205439416774</v>
      </c>
      <c r="BC112" s="65">
        <f t="shared" ca="1" si="235"/>
        <v>0.13314065335680536</v>
      </c>
      <c r="BD112" s="65">
        <f t="shared" ca="1" si="235"/>
        <v>0.10833859727181228</v>
      </c>
      <c r="BE112" s="65">
        <f t="shared" ca="1" si="235"/>
        <v>0.11973488920858721</v>
      </c>
      <c r="BF112" s="65">
        <f t="shared" ca="1" si="235"/>
        <v>0.14653075536975635</v>
      </c>
      <c r="BG112" s="65"/>
      <c r="BH112" s="1079"/>
      <c r="BI112" s="1079"/>
      <c r="BJ112" s="1079"/>
      <c r="BK112" s="1079"/>
      <c r="BL112" s="1079">
        <f t="shared" ref="BL112:CB112" si="236">IF(OR(INDEX(SP_GF_Rev,0,COLUMN())&lt;=0,BK28&lt;=0),"NMF",IF(ABS((INDEX(SP_GF_Rev,0,COLUMN())/INDEX(SP_GF_ShareCount,0,COLUMN()))/(BK28/BK43)-1)&gt;10,"NMF",(INDEX(SP_GF_Rev,0,COLUMN())/INDEX(SP_GF_ShareCount,0,COLUMN()))/(BK28/BK43)-1))</f>
        <v>0.52351223314395878</v>
      </c>
      <c r="BM112" s="1079">
        <f t="shared" si="236"/>
        <v>0.49620476040064476</v>
      </c>
      <c r="BN112" s="1079">
        <f t="shared" si="236"/>
        <v>0.34287988881808995</v>
      </c>
      <c r="BO112" s="1079">
        <f t="shared" si="236"/>
        <v>0.50366354306113337</v>
      </c>
      <c r="BP112" s="1079">
        <f t="shared" si="236"/>
        <v>0.45548397506482674</v>
      </c>
      <c r="BQ112" s="1079">
        <f t="shared" si="236"/>
        <v>0.38998504329521677</v>
      </c>
      <c r="BR112" s="1079">
        <f t="shared" si="236"/>
        <v>0.28591957057773087</v>
      </c>
      <c r="BS112" s="1079">
        <f t="shared" si="236"/>
        <v>0.21091142069877478</v>
      </c>
      <c r="BT112" s="1079">
        <f t="shared" si="236"/>
        <v>0.38574072958550309</v>
      </c>
      <c r="BU112" s="1079">
        <f t="shared" si="236"/>
        <v>4.6261551106171694E-2</v>
      </c>
      <c r="BV112" s="1079">
        <f t="shared" si="236"/>
        <v>0.18899786822086684</v>
      </c>
      <c r="BW112" s="1080">
        <f t="shared" si="236"/>
        <v>0.22640851404647422</v>
      </c>
      <c r="BX112" s="1079">
        <f t="shared" ca="1" si="236"/>
        <v>0.15285632818558903</v>
      </c>
      <c r="BY112" s="1079">
        <f t="shared" ca="1" si="236"/>
        <v>0.12854844028524282</v>
      </c>
      <c r="BZ112" s="1079">
        <f t="shared" ca="1" si="236"/>
        <v>0.11513597026656064</v>
      </c>
      <c r="CA112" s="1079">
        <f t="shared" ca="1" si="236"/>
        <v>5.7647878795436425E-2</v>
      </c>
      <c r="CB112" s="1079">
        <f t="shared" ca="1" si="236"/>
        <v>5.3818892813027652E-2</v>
      </c>
      <c r="CC112" s="85"/>
    </row>
    <row r="113" spans="1:81" s="734" customFormat="1" x14ac:dyDescent="0.55000000000000004">
      <c r="A113" s="108" t="s">
        <v>301</v>
      </c>
      <c r="B113" s="96"/>
      <c r="C113" s="65"/>
      <c r="D113" s="65"/>
      <c r="E113" s="65"/>
      <c r="F113" s="65"/>
      <c r="G113" s="65">
        <f t="shared" ref="G113:AL113" si="237">IF(OR(INDEX(SP_NGF_EBITDA,0,COLUMN())&lt;=0,C46&lt;=0),"NMF",IF(ABS((INDEX(SP_NGF_EBITDA,0,COLUMN())/INDEX(SP_GF_ShareCount,0,COLUMN()))/(C46/C43)-1)&gt;10,"NMF",(INDEX(SP_NGF_EBITDA,0,COLUMN())/INDEX(SP_GF_ShareCount,0,COLUMN()))/(C46/C43)-1))</f>
        <v>0.99097049072797172</v>
      </c>
      <c r="H113" s="65">
        <f t="shared" si="237"/>
        <v>0.84671338883786773</v>
      </c>
      <c r="I113" s="65">
        <f t="shared" si="237"/>
        <v>0.56088319975193457</v>
      </c>
      <c r="J113" s="65">
        <f t="shared" si="237"/>
        <v>0.33121026109307361</v>
      </c>
      <c r="K113" s="65">
        <f t="shared" si="237"/>
        <v>0.19372066872038451</v>
      </c>
      <c r="L113" s="65">
        <f t="shared" si="237"/>
        <v>0.16740027018080639</v>
      </c>
      <c r="M113" s="65">
        <f t="shared" si="237"/>
        <v>0.22379372409170317</v>
      </c>
      <c r="N113" s="65">
        <f t="shared" si="237"/>
        <v>0.52968399731513172</v>
      </c>
      <c r="O113" s="65">
        <f t="shared" si="237"/>
        <v>0.55204857770195614</v>
      </c>
      <c r="P113" s="65">
        <f t="shared" si="237"/>
        <v>0.61742176581852526</v>
      </c>
      <c r="Q113" s="65">
        <f t="shared" si="237"/>
        <v>0.64735555772802833</v>
      </c>
      <c r="R113" s="65">
        <f t="shared" si="237"/>
        <v>0.529811125607758</v>
      </c>
      <c r="S113" s="65">
        <f t="shared" si="237"/>
        <v>0.44270230928973242</v>
      </c>
      <c r="T113" s="65">
        <f t="shared" si="237"/>
        <v>0.47469942654589747</v>
      </c>
      <c r="U113" s="65">
        <f t="shared" si="237"/>
        <v>0.5022596791781071</v>
      </c>
      <c r="V113" s="65">
        <f t="shared" si="237"/>
        <v>0.49228907463376514</v>
      </c>
      <c r="W113" s="65">
        <f t="shared" si="237"/>
        <v>0.51089480489341232</v>
      </c>
      <c r="X113" s="65">
        <f t="shared" si="237"/>
        <v>0.32115104909203507</v>
      </c>
      <c r="Y113" s="65">
        <f t="shared" si="237"/>
        <v>0.16527063918925</v>
      </c>
      <c r="Z113" s="65">
        <f t="shared" si="237"/>
        <v>0.13671107972028262</v>
      </c>
      <c r="AA113" s="65">
        <f t="shared" si="237"/>
        <v>-0.20678409407161824</v>
      </c>
      <c r="AB113" s="65">
        <f t="shared" si="237"/>
        <v>-6.3075805905039473E-2</v>
      </c>
      <c r="AC113" s="65">
        <f t="shared" si="237"/>
        <v>0.25929160987509703</v>
      </c>
      <c r="AD113" s="65">
        <f t="shared" si="237"/>
        <v>0.16419788943750602</v>
      </c>
      <c r="AE113" s="65">
        <f t="shared" si="237"/>
        <v>0.55369184392515081</v>
      </c>
      <c r="AF113" s="65">
        <f t="shared" si="237"/>
        <v>0.25810694466432849</v>
      </c>
      <c r="AG113" s="65">
        <f t="shared" si="237"/>
        <v>0.15661030995896597</v>
      </c>
      <c r="AH113" s="65">
        <f t="shared" si="237"/>
        <v>0.40638235294117653</v>
      </c>
      <c r="AI113" s="65">
        <f t="shared" si="237"/>
        <v>0.71175745518240574</v>
      </c>
      <c r="AJ113" s="65">
        <f t="shared" si="237"/>
        <v>0.80653162189096395</v>
      </c>
      <c r="AK113" s="65">
        <f t="shared" si="237"/>
        <v>0.30563863418969639</v>
      </c>
      <c r="AL113" s="65">
        <f t="shared" si="237"/>
        <v>6.9166968090496717E-2</v>
      </c>
      <c r="AM113" s="65">
        <f t="shared" ref="AM113:BF113" si="238">IF(OR(INDEX(SP_NGF_EBITDA,0,COLUMN())&lt;=0,AI46&lt;=0),"NMF",IF(ABS((INDEX(SP_NGF_EBITDA,0,COLUMN())/INDEX(SP_GF_ShareCount,0,COLUMN()))/(AI46/AI43)-1)&gt;10,"NMF",(INDEX(SP_NGF_EBITDA,0,COLUMN())/INDEX(SP_GF_ShareCount,0,COLUMN()))/(AI46/AI43)-1))</f>
        <v>-8.7560122200023294E-2</v>
      </c>
      <c r="AN113" s="65">
        <f t="shared" si="238"/>
        <v>-0.14114932184703133</v>
      </c>
      <c r="AO113" s="65">
        <f t="shared" si="238"/>
        <v>-0.21096150033329109</v>
      </c>
      <c r="AP113" s="65">
        <f t="shared" si="238"/>
        <v>-0.26535383977974392</v>
      </c>
      <c r="AQ113" s="65">
        <f t="shared" si="238"/>
        <v>2.6103294443440284E-2</v>
      </c>
      <c r="AR113" s="65">
        <f t="shared" si="238"/>
        <v>0.21979712727214151</v>
      </c>
      <c r="AS113" s="65">
        <f t="shared" si="238"/>
        <v>0.86358126706173199</v>
      </c>
      <c r="AT113" s="65">
        <f t="shared" si="238"/>
        <v>0.95768279944458246</v>
      </c>
      <c r="AU113" s="65">
        <f t="shared" si="238"/>
        <v>0.60324306469971201</v>
      </c>
      <c r="AV113" s="65">
        <f t="shared" si="238"/>
        <v>0.43811515704045312</v>
      </c>
      <c r="AW113" s="65">
        <f t="shared" si="238"/>
        <v>0.29514493641091977</v>
      </c>
      <c r="AX113" s="65">
        <f t="shared" si="238"/>
        <v>0.41295574283608438</v>
      </c>
      <c r="AY113" s="695">
        <f t="shared" si="238"/>
        <v>0.25026370689857225</v>
      </c>
      <c r="AZ113" s="65">
        <f t="shared" ca="1" si="238"/>
        <v>3.5757337037698012E-2</v>
      </c>
      <c r="BA113" s="65">
        <f t="shared" ca="1" si="238"/>
        <v>8.125750560984657E-2</v>
      </c>
      <c r="BB113" s="65">
        <f t="shared" ca="1" si="238"/>
        <v>-4.1698164139726268E-3</v>
      </c>
      <c r="BC113" s="65">
        <f t="shared" ca="1" si="238"/>
        <v>0.37701301516106844</v>
      </c>
      <c r="BD113" s="65">
        <f t="shared" ca="1" si="238"/>
        <v>0.34598148674036899</v>
      </c>
      <c r="BE113" s="65">
        <f t="shared" ca="1" si="238"/>
        <v>0.21867129579597933</v>
      </c>
      <c r="BF113" s="65">
        <f t="shared" ca="1" si="238"/>
        <v>0.23767267431048245</v>
      </c>
      <c r="BG113" s="65"/>
      <c r="BH113" s="1079"/>
      <c r="BI113" s="1079"/>
      <c r="BJ113" s="1079"/>
      <c r="BK113" s="1079"/>
      <c r="BL113" s="1079">
        <f t="shared" ref="BL113:CB113" si="239">IF(OR(INDEX(SP_NGF_EBITDA,0,COLUMN())&lt;=0,BK46&lt;=0),"NMF",IF(ABS((INDEX(SP_NGF_EBITDA,0,COLUMN())/INDEX(SP_GF_ShareCount,0,COLUMN()))/(BK46/BK43)-1)&gt;10,"NMF",(INDEX(SP_NGF_EBITDA,0,COLUMN())/INDEX(SP_GF_ShareCount,0,COLUMN()))/(BK46/BK43)-1))</f>
        <v>0.68529375383312274</v>
      </c>
      <c r="BM113" s="1079">
        <f t="shared" si="239"/>
        <v>0.61586003499792952</v>
      </c>
      <c r="BN113" s="1079">
        <f t="shared" si="239"/>
        <v>0.28821961524666539</v>
      </c>
      <c r="BO113" s="1079">
        <f t="shared" si="239"/>
        <v>0.57502855524940077</v>
      </c>
      <c r="BP113" s="1079">
        <f t="shared" si="239"/>
        <v>0.48264640911534906</v>
      </c>
      <c r="BQ113" s="1079">
        <f t="shared" si="239"/>
        <v>0.25338450392003709</v>
      </c>
      <c r="BR113" s="1079">
        <f t="shared" si="239"/>
        <v>5.164164120162229E-2</v>
      </c>
      <c r="BS113" s="1079">
        <f t="shared" si="239"/>
        <v>0.32736098030630645</v>
      </c>
      <c r="BT113" s="1079">
        <f t="shared" si="239"/>
        <v>0.40076844296795211</v>
      </c>
      <c r="BU113" s="1079">
        <f t="shared" si="239"/>
        <v>-0.17811515190305383</v>
      </c>
      <c r="BV113" s="1079">
        <f t="shared" si="239"/>
        <v>0.49034737610630774</v>
      </c>
      <c r="BW113" s="1080">
        <f t="shared" si="239"/>
        <v>0.41962909153485506</v>
      </c>
      <c r="BX113" s="1079">
        <f t="shared" ca="1" si="239"/>
        <v>8.0675407503243646E-2</v>
      </c>
      <c r="BY113" s="1079">
        <f t="shared" ca="1" si="239"/>
        <v>0.2897096737017506</v>
      </c>
      <c r="BZ113" s="1079">
        <f t="shared" ca="1" si="239"/>
        <v>0.17154701086333346</v>
      </c>
      <c r="CA113" s="1079">
        <f t="shared" ca="1" si="239"/>
        <v>0.12050728630858321</v>
      </c>
      <c r="CB113" s="1079">
        <f t="shared" ca="1" si="239"/>
        <v>0.11074380557894425</v>
      </c>
      <c r="CC113" s="85"/>
    </row>
    <row r="114" spans="1:81" s="734" customFormat="1" x14ac:dyDescent="0.55000000000000004">
      <c r="A114" s="108" t="s">
        <v>302</v>
      </c>
      <c r="B114" s="96"/>
      <c r="C114" s="65"/>
      <c r="D114" s="65"/>
      <c r="E114" s="65"/>
      <c r="F114" s="65"/>
      <c r="G114" s="65">
        <f t="shared" ref="G114:AL114" si="240">IF(OR(INDEX(SP_NGF_NI,0,COLUMN())&lt;=0,C48&lt;=0),"NMF",IF(ABS((INDEX(SP_NGF_NI,0,COLUMN())/INDEX(SP_GF_ShareCount,0,COLUMN()))/(C48/C43)-1)&gt;10,"NMF",(INDEX(SP_NGF_NI,0,COLUMN())/INDEX(SP_GF_ShareCount,0,COLUMN()))/(C48/C43)-1))</f>
        <v>1.8428148126308339</v>
      </c>
      <c r="H114" s="65">
        <f t="shared" si="240"/>
        <v>1.1998276024198353</v>
      </c>
      <c r="I114" s="65">
        <f t="shared" si="240"/>
        <v>0.64953455725013964</v>
      </c>
      <c r="J114" s="65">
        <f t="shared" si="240"/>
        <v>0.69400721744471738</v>
      </c>
      <c r="K114" s="65">
        <f t="shared" si="240"/>
        <v>0.18124156555486848</v>
      </c>
      <c r="L114" s="65">
        <f t="shared" si="240"/>
        <v>0.17514307158270004</v>
      </c>
      <c r="M114" s="65">
        <f t="shared" si="240"/>
        <v>0.30850225271439835</v>
      </c>
      <c r="N114" s="65">
        <f t="shared" si="240"/>
        <v>0.45995105296552574</v>
      </c>
      <c r="O114" s="65">
        <f t="shared" si="240"/>
        <v>0.4354132642482218</v>
      </c>
      <c r="P114" s="65">
        <f t="shared" si="240"/>
        <v>0.55010974449651551</v>
      </c>
      <c r="Q114" s="65">
        <f t="shared" si="240"/>
        <v>0.58485108373616113</v>
      </c>
      <c r="R114" s="65">
        <f t="shared" si="240"/>
        <v>0.54353804979134623</v>
      </c>
      <c r="S114" s="65">
        <f t="shared" si="240"/>
        <v>0.72941161755140826</v>
      </c>
      <c r="T114" s="65">
        <f t="shared" si="240"/>
        <v>0.68831073989484848</v>
      </c>
      <c r="U114" s="65">
        <f t="shared" si="240"/>
        <v>0.76692556685981383</v>
      </c>
      <c r="V114" s="65">
        <f t="shared" si="240"/>
        <v>0.1896546523674012</v>
      </c>
      <c r="W114" s="65">
        <f t="shared" si="240"/>
        <v>0.62738455673420912</v>
      </c>
      <c r="X114" s="65">
        <f t="shared" si="240"/>
        <v>0.32064609769821772</v>
      </c>
      <c r="Y114" s="65">
        <f t="shared" si="240"/>
        <v>0.1074632219063556</v>
      </c>
      <c r="Z114" s="65">
        <f t="shared" si="240"/>
        <v>0.64983140879135282</v>
      </c>
      <c r="AA114" s="65">
        <f t="shared" si="240"/>
        <v>-0.50013144128690312</v>
      </c>
      <c r="AB114" s="65">
        <f t="shared" si="240"/>
        <v>-0.47786031778470339</v>
      </c>
      <c r="AC114" s="65">
        <f t="shared" si="240"/>
        <v>0.20180153562735947</v>
      </c>
      <c r="AD114" s="65">
        <f t="shared" si="240"/>
        <v>7.3593377308254437E-2</v>
      </c>
      <c r="AE114" s="65">
        <f t="shared" si="240"/>
        <v>1.0188181165174641</v>
      </c>
      <c r="AF114" s="65">
        <f t="shared" si="240"/>
        <v>0.97660773522916666</v>
      </c>
      <c r="AG114" s="65">
        <f t="shared" si="240"/>
        <v>0.28055541342560697</v>
      </c>
      <c r="AH114" s="65">
        <f t="shared" si="240"/>
        <v>0.51656577337217446</v>
      </c>
      <c r="AI114" s="65">
        <f t="shared" si="240"/>
        <v>0.92796125361739645</v>
      </c>
      <c r="AJ114" s="65">
        <f t="shared" si="240"/>
        <v>1.0087341796453617</v>
      </c>
      <c r="AK114" s="65">
        <f t="shared" si="240"/>
        <v>0.18492300677513995</v>
      </c>
      <c r="AL114" s="65">
        <f t="shared" si="240"/>
        <v>-5.3354627531301269E-2</v>
      </c>
      <c r="AM114" s="65">
        <f t="shared" ref="AM114:BF114" si="241">IF(OR(INDEX(SP_NGF_NI,0,COLUMN())&lt;=0,AI48&lt;=0),"NMF",IF(ABS((INDEX(SP_NGF_NI,0,COLUMN())/INDEX(SP_GF_ShareCount,0,COLUMN()))/(AI48/AI43)-1)&gt;10,"NMF",(INDEX(SP_NGF_NI,0,COLUMN())/INDEX(SP_GF_ShareCount,0,COLUMN()))/(AI48/AI43)-1))</f>
        <v>-0.17382908818301646</v>
      </c>
      <c r="AN114" s="65">
        <f t="shared" si="241"/>
        <v>-0.31775764335955814</v>
      </c>
      <c r="AO114" s="65">
        <f t="shared" si="241"/>
        <v>-0.49137129204909369</v>
      </c>
      <c r="AP114" s="65">
        <f t="shared" si="241"/>
        <v>-0.52049608470471775</v>
      </c>
      <c r="AQ114" s="65">
        <f t="shared" si="241"/>
        <v>-0.19222019140168234</v>
      </c>
      <c r="AR114" s="65">
        <f t="shared" si="241"/>
        <v>0.20968206235911557</v>
      </c>
      <c r="AS114" s="65">
        <f t="shared" si="241"/>
        <v>1.6813989943306717</v>
      </c>
      <c r="AT114" s="65">
        <f t="shared" si="241"/>
        <v>2.0245693417770352</v>
      </c>
      <c r="AU114" s="65">
        <f t="shared" si="241"/>
        <v>1.1426435452793831</v>
      </c>
      <c r="AV114" s="65">
        <f t="shared" si="241"/>
        <v>0.7302668217338002</v>
      </c>
      <c r="AW114" s="65">
        <f t="shared" si="241"/>
        <v>0.37575651319241055</v>
      </c>
      <c r="AX114" s="65">
        <f t="shared" si="241"/>
        <v>0.50435533085299089</v>
      </c>
      <c r="AY114" s="695">
        <f t="shared" si="241"/>
        <v>0.36380620251588014</v>
      </c>
      <c r="AZ114" s="65">
        <f t="shared" ca="1" si="241"/>
        <v>0.36580876554275177</v>
      </c>
      <c r="BA114" s="65">
        <f t="shared" ca="1" si="241"/>
        <v>0.29391683863313389</v>
      </c>
      <c r="BB114" s="65">
        <f t="shared" ca="1" si="241"/>
        <v>9.1446692869039392E-2</v>
      </c>
      <c r="BC114" s="65">
        <f t="shared" ca="1" si="241"/>
        <v>0.51142897346391658</v>
      </c>
      <c r="BD114" s="65">
        <f t="shared" ca="1" si="241"/>
        <v>0.21592943454393532</v>
      </c>
      <c r="BE114" s="65">
        <f t="shared" ca="1" si="241"/>
        <v>0.18140281058961749</v>
      </c>
      <c r="BF114" s="65">
        <f t="shared" ca="1" si="241"/>
        <v>0.14253876342280258</v>
      </c>
      <c r="BG114" s="65"/>
      <c r="BH114" s="1079"/>
      <c r="BI114" s="1079"/>
      <c r="BJ114" s="1079"/>
      <c r="BK114" s="1079"/>
      <c r="BL114" s="1079">
        <f t="shared" ref="BL114:CB114" si="242">IF(OR(INDEX(SP_NGF_NI,0,COLUMN())&lt;=0,BK48&lt;=0),"NMF",IF(ABS((INDEX(SP_NGF_NI,0,COLUMN())/INDEX(SP_GF_ShareCount,0,COLUMN()))/(BK48/BK43)-1)&gt;10,"NMF",(INDEX(SP_NGF_NI,0,COLUMN())/INDEX(SP_GF_ShareCount,0,COLUMN()))/(BK48/BK43)-1))</f>
        <v>0.74545392017651246</v>
      </c>
      <c r="BM114" s="1079">
        <f t="shared" si="242"/>
        <v>0.90785596007318392</v>
      </c>
      <c r="BN114" s="1079">
        <f t="shared" si="242"/>
        <v>0.29136605174893782</v>
      </c>
      <c r="BO114" s="1079">
        <f t="shared" si="242"/>
        <v>0.52892062218235902</v>
      </c>
      <c r="BP114" s="1079">
        <f t="shared" si="242"/>
        <v>0.54320229371753381</v>
      </c>
      <c r="BQ114" s="1079">
        <f t="shared" si="242"/>
        <v>0.40435235091414179</v>
      </c>
      <c r="BR114" s="1079">
        <f t="shared" si="242"/>
        <v>-0.15094836138289025</v>
      </c>
      <c r="BS114" s="1079">
        <f t="shared" si="242"/>
        <v>0.57018635308856402</v>
      </c>
      <c r="BT114" s="1079">
        <f t="shared" si="242"/>
        <v>0.36448726841242873</v>
      </c>
      <c r="BU114" s="1079">
        <f t="shared" si="242"/>
        <v>-0.37647857531096263</v>
      </c>
      <c r="BV114" s="1079">
        <f t="shared" si="242"/>
        <v>0.73205355386209514</v>
      </c>
      <c r="BW114" s="1080">
        <f t="shared" si="242"/>
        <v>0.60411894181661818</v>
      </c>
      <c r="BX114" s="1079">
        <f t="shared" ca="1" si="242"/>
        <v>0.25839682944532605</v>
      </c>
      <c r="BY114" s="1079">
        <f t="shared" ca="1" si="242"/>
        <v>0.2492243231862028</v>
      </c>
      <c r="BZ114" s="1079">
        <f t="shared" ca="1" si="242"/>
        <v>0.14018915314765867</v>
      </c>
      <c r="CA114" s="1079">
        <f t="shared" ca="1" si="242"/>
        <v>4.7892173077092481E-2</v>
      </c>
      <c r="CB114" s="1079">
        <f t="shared" ca="1" si="242"/>
        <v>0.14460956536695391</v>
      </c>
      <c r="CC114" s="85"/>
    </row>
    <row r="115" spans="1:81" s="734" customFormat="1" x14ac:dyDescent="0.55000000000000004">
      <c r="A115" s="108" t="s">
        <v>303</v>
      </c>
      <c r="B115" s="96"/>
      <c r="C115" s="65"/>
      <c r="D115" s="65"/>
      <c r="E115" s="65"/>
      <c r="F115" s="65"/>
      <c r="G115" s="65">
        <f t="shared" ref="G115:AL115" ca="1" si="243">IF(OR(INDEX(SP_CFA_CFO,0,COLUMN())&lt;=0,C64&lt;=0),"NMF",IF(ABS((INDEX(SP_CFA_CFO,0,COLUMN())/INDEX(SP_GF_ShareCount,0,COLUMN()))/(C64/C43)-1)&gt;10,"NMF",(INDEX(SP_CFA_CFO,0,COLUMN())/INDEX(SP_GF_ShareCount,0,COLUMN()))/(C64/C43)-1))</f>
        <v>0.71185278731853097</v>
      </c>
      <c r="H115" s="65">
        <f t="shared" ca="1" si="243"/>
        <v>-2.9461127036791712E-2</v>
      </c>
      <c r="I115" s="65">
        <f t="shared" ca="1" si="243"/>
        <v>0.25604904849112198</v>
      </c>
      <c r="J115" s="65">
        <f t="shared" ca="1" si="243"/>
        <v>0.16812885403589095</v>
      </c>
      <c r="K115" s="65">
        <f t="shared" ca="1" si="243"/>
        <v>0.21706464412528192</v>
      </c>
      <c r="L115" s="65">
        <f t="shared" ca="1" si="243"/>
        <v>0.28634038489213354</v>
      </c>
      <c r="M115" s="65">
        <f t="shared" ca="1" si="243"/>
        <v>0.62205683477077112</v>
      </c>
      <c r="N115" s="65">
        <f t="shared" ca="1" si="243"/>
        <v>0.74737756136363731</v>
      </c>
      <c r="O115" s="65">
        <f t="shared" ca="1" si="243"/>
        <v>1.008467492260062</v>
      </c>
      <c r="P115" s="65">
        <f t="shared" ca="1" si="243"/>
        <v>0.9020828629076314</v>
      </c>
      <c r="Q115" s="65">
        <f t="shared" ca="1" si="243"/>
        <v>0.80839541260282211</v>
      </c>
      <c r="R115" s="65">
        <f t="shared" ca="1" si="243"/>
        <v>0.70828414036292564</v>
      </c>
      <c r="S115" s="65">
        <f t="shared" ca="1" si="243"/>
        <v>0.42703136136849618</v>
      </c>
      <c r="T115" s="65">
        <f t="shared" ca="1" si="243"/>
        <v>0.44761527874797213</v>
      </c>
      <c r="U115" s="65">
        <f t="shared" ca="1" si="243"/>
        <v>0.49703120159431169</v>
      </c>
      <c r="V115" s="65">
        <f t="shared" ca="1" si="243"/>
        <v>0.54755596633162185</v>
      </c>
      <c r="W115" s="65">
        <f t="shared" ca="1" si="243"/>
        <v>0.5534462375661342</v>
      </c>
      <c r="X115" s="65">
        <f t="shared" ca="1" si="243"/>
        <v>0.18342150170648464</v>
      </c>
      <c r="Y115" s="65">
        <f t="shared" ca="1" si="243"/>
        <v>0.24182815159006199</v>
      </c>
      <c r="Z115" s="65">
        <f t="shared" ca="1" si="243"/>
        <v>1.6490091969169063E-2</v>
      </c>
      <c r="AA115" s="65">
        <f t="shared" ca="1" si="243"/>
        <v>0.21559408860354212</v>
      </c>
      <c r="AB115" s="65">
        <f t="shared" ca="1" si="243"/>
        <v>0.39422480566639506</v>
      </c>
      <c r="AC115" s="65">
        <f t="shared" ca="1" si="243"/>
        <v>0.25810821647080839</v>
      </c>
      <c r="AD115" s="65">
        <f t="shared" ca="1" si="243"/>
        <v>0.19853709508881923</v>
      </c>
      <c r="AE115" s="65">
        <f t="shared" ca="1" si="243"/>
        <v>0.18229864353873837</v>
      </c>
      <c r="AF115" s="65">
        <f t="shared" ca="1" si="243"/>
        <v>-0.55064839746597771</v>
      </c>
      <c r="AG115" s="65">
        <f t="shared" ca="1" si="243"/>
        <v>4.9876689817050845E-2</v>
      </c>
      <c r="AH115" s="65">
        <f t="shared" ca="1" si="243"/>
        <v>0.53558246193219228</v>
      </c>
      <c r="AI115" s="65">
        <f t="shared" ca="1" si="243"/>
        <v>0.10740219755430735</v>
      </c>
      <c r="AJ115" s="65">
        <f t="shared" ca="1" si="243"/>
        <v>2.4191923905488273</v>
      </c>
      <c r="AK115" s="65">
        <f t="shared" ca="1" si="243"/>
        <v>0.44955799078548897</v>
      </c>
      <c r="AL115" s="65">
        <f t="shared" ca="1" si="243"/>
        <v>0.33138106914455601</v>
      </c>
      <c r="AM115" s="65">
        <f t="shared" ref="AM115:BF115" ca="1" si="244">IF(OR(INDEX(SP_CFA_CFO,0,COLUMN())&lt;=0,AI64&lt;=0),"NMF",IF(ABS((INDEX(SP_CFA_CFO,0,COLUMN())/INDEX(SP_GF_ShareCount,0,COLUMN()))/(AI64/AI43)-1)&gt;10,"NMF",(INDEX(SP_CFA_CFO,0,COLUMN())/INDEX(SP_GF_ShareCount,0,COLUMN()))/(AI64/AI43)-1))</f>
        <v>0.20851879510827764</v>
      </c>
      <c r="AN115" s="65">
        <f t="shared" ca="1" si="244"/>
        <v>-2.3685032164540765E-2</v>
      </c>
      <c r="AO115" s="65">
        <f t="shared" ca="1" si="244"/>
        <v>-0.26810479603315707</v>
      </c>
      <c r="AP115" s="65">
        <f t="shared" ca="1" si="244"/>
        <v>-0.15019012624030847</v>
      </c>
      <c r="AQ115" s="65">
        <f t="shared" ca="1" si="244"/>
        <v>5.038737542313787E-2</v>
      </c>
      <c r="AR115" s="65">
        <f t="shared" ca="1" si="244"/>
        <v>0.47411438214120882</v>
      </c>
      <c r="AS115" s="65">
        <f t="shared" ca="1" si="244"/>
        <v>1.1416998338683788</v>
      </c>
      <c r="AT115" s="65">
        <f t="shared" ca="1" si="244"/>
        <v>0.34227685670736729</v>
      </c>
      <c r="AU115" s="65">
        <f t="shared" ca="1" si="244"/>
        <v>0.35972121187380512</v>
      </c>
      <c r="AV115" s="65">
        <f t="shared" ca="1" si="244"/>
        <v>0.11992852919737662</v>
      </c>
      <c r="AW115" s="65">
        <f t="shared" ca="1" si="244"/>
        <v>0.23095179205658578</v>
      </c>
      <c r="AX115" s="65">
        <f t="shared" ca="1" si="244"/>
        <v>0.4595872744611269</v>
      </c>
      <c r="AY115" s="695">
        <f t="shared" ca="1" si="244"/>
        <v>0.26523307054326506</v>
      </c>
      <c r="AZ115" s="65">
        <f t="shared" ca="1" si="244"/>
        <v>0.31615781772230145</v>
      </c>
      <c r="BA115" s="65">
        <f t="shared" ca="1" si="244"/>
        <v>0.20543495700866976</v>
      </c>
      <c r="BB115" s="65">
        <f t="shared" ca="1" si="244"/>
        <v>5.1625034030707173E-2</v>
      </c>
      <c r="BC115" s="65">
        <f t="shared" ca="1" si="244"/>
        <v>0.52733133749413619</v>
      </c>
      <c r="BD115" s="65">
        <f t="shared" ca="1" si="244"/>
        <v>0.24963583472253781</v>
      </c>
      <c r="BE115" s="65">
        <f t="shared" ca="1" si="244"/>
        <v>0.21110118915659459</v>
      </c>
      <c r="BF115" s="65">
        <f t="shared" ca="1" si="244"/>
        <v>0.18688574459952778</v>
      </c>
      <c r="BG115" s="65"/>
      <c r="BH115" s="1079"/>
      <c r="BI115" s="1079"/>
      <c r="BJ115" s="1079"/>
      <c r="BK115" s="1079"/>
      <c r="BL115" s="1079">
        <f t="shared" ref="BL115:CB115" ca="1" si="245">IF(OR(INDEX(SP_CFA_CFO,0,COLUMN())&lt;=0,BK64&lt;=0),"NMF",IF(ABS((INDEX(SP_CFA_CFO,0,COLUMN())/INDEX(SP_GF_ShareCount,0,COLUMN()))/(BK64/BK43)-1)&gt;10,"NMF",(INDEX(SP_CFA_CFO,0,COLUMN())/INDEX(SP_GF_ShareCount,0,COLUMN()))/(BK64/BK43)-1))</f>
        <v>1.5795651603833383</v>
      </c>
      <c r="BM115" s="1079">
        <f t="shared" ca="1" si="245"/>
        <v>0.22119416313518636</v>
      </c>
      <c r="BN115" s="1079">
        <f t="shared" ca="1" si="245"/>
        <v>0.47138540548446151</v>
      </c>
      <c r="BO115" s="1079">
        <f t="shared" ca="1" si="245"/>
        <v>0.82713052501632567</v>
      </c>
      <c r="BP115" s="1079">
        <f t="shared" ca="1" si="245"/>
        <v>0.48758649750180871</v>
      </c>
      <c r="BQ115" s="1079">
        <f t="shared" ca="1" si="245"/>
        <v>0.22335509005055165</v>
      </c>
      <c r="BR115" s="1079">
        <f t="shared" ca="1" si="245"/>
        <v>0.25989599679893649</v>
      </c>
      <c r="BS115" s="1079">
        <f t="shared" ca="1" si="245"/>
        <v>6.2565439914125553E-2</v>
      </c>
      <c r="BT115" s="1079">
        <f t="shared" ca="1" si="245"/>
        <v>0.50380938223896421</v>
      </c>
      <c r="BU115" s="1079">
        <f t="shared" ca="1" si="245"/>
        <v>-7.4114465399233498E-2</v>
      </c>
      <c r="BV115" s="1079">
        <f t="shared" ca="1" si="245"/>
        <v>0.44799623056053073</v>
      </c>
      <c r="BW115" s="1080">
        <f t="shared" ca="1" si="245"/>
        <v>0.29163543079614951</v>
      </c>
      <c r="BX115" s="1079">
        <f t="shared" ca="1" si="245"/>
        <v>0.19693088021307203</v>
      </c>
      <c r="BY115" s="1079">
        <f t="shared" ca="1" si="245"/>
        <v>0.28407619302530307</v>
      </c>
      <c r="BZ115" s="1079">
        <f t="shared" ca="1" si="245"/>
        <v>0.12376830694108931</v>
      </c>
      <c r="CA115" s="1079">
        <f t="shared" ca="1" si="245"/>
        <v>5.2235325019981627E-2</v>
      </c>
      <c r="CB115" s="1079">
        <f t="shared" ca="1" si="245"/>
        <v>0.1198469696276343</v>
      </c>
      <c r="CC115" s="85"/>
    </row>
    <row r="116" spans="1:81" s="734" customFormat="1" x14ac:dyDescent="0.55000000000000004">
      <c r="A116" s="108" t="s">
        <v>304</v>
      </c>
      <c r="B116" s="96"/>
      <c r="C116" s="65"/>
      <c r="D116" s="65"/>
      <c r="E116" s="65"/>
      <c r="F116" s="65"/>
      <c r="G116" s="65">
        <f t="shared" ref="G116:AL116" ca="1" si="246">IF(OR(INDEX(SP_CFA_FCF_PreDiv,0,COLUMN())&lt;=0,C66&lt;=0),"NMF",IF(ABS((INDEX(SP_CFA_FCF_PreDiv,0,COLUMN())/INDEX(SP_GF_ShareCount,0,COLUMN()))/(C66/C43)-1)&gt;10,"NMF",(INDEX(SP_CFA_FCF_PreDiv,0,COLUMN())/INDEX(SP_GF_ShareCount,0,COLUMN()))/(C66/C43)-1))</f>
        <v>1.2528746646224604</v>
      </c>
      <c r="H116" s="65">
        <f t="shared" ca="1" si="246"/>
        <v>-0.20842606332608904</v>
      </c>
      <c r="I116" s="65">
        <f t="shared" ca="1" si="246"/>
        <v>9.9689704833426429E-2</v>
      </c>
      <c r="J116" s="65">
        <f t="shared" ca="1" si="246"/>
        <v>0.29456391285853178</v>
      </c>
      <c r="K116" s="65">
        <f t="shared" ca="1" si="246"/>
        <v>0.19534632200190316</v>
      </c>
      <c r="L116" s="65">
        <f t="shared" ca="1" si="246"/>
        <v>0.40051706100112661</v>
      </c>
      <c r="M116" s="65">
        <f t="shared" ca="1" si="246"/>
        <v>0.70233892582868296</v>
      </c>
      <c r="N116" s="65">
        <f t="shared" ca="1" si="246"/>
        <v>0.95966815604436584</v>
      </c>
      <c r="O116" s="65">
        <f t="shared" ca="1" si="246"/>
        <v>0.92218448106030815</v>
      </c>
      <c r="P116" s="65">
        <f t="shared" ca="1" si="246"/>
        <v>0.95725093374205961</v>
      </c>
      <c r="Q116" s="65">
        <f t="shared" ca="1" si="246"/>
        <v>1.0457055184913435</v>
      </c>
      <c r="R116" s="65">
        <f t="shared" ca="1" si="246"/>
        <v>0.67973529444587033</v>
      </c>
      <c r="S116" s="65">
        <f t="shared" ca="1" si="246"/>
        <v>0.58420668397144704</v>
      </c>
      <c r="T116" s="65">
        <f t="shared" ca="1" si="246"/>
        <v>0.45175646673444025</v>
      </c>
      <c r="U116" s="65">
        <f t="shared" ca="1" si="246"/>
        <v>0.46595033861706936</v>
      </c>
      <c r="V116" s="65">
        <f t="shared" ca="1" si="246"/>
        <v>0.46919098396111769</v>
      </c>
      <c r="W116" s="65">
        <f t="shared" ca="1" si="246"/>
        <v>0.33252862643759862</v>
      </c>
      <c r="X116" s="65">
        <f t="shared" ca="1" si="246"/>
        <v>-0.27008666641101353</v>
      </c>
      <c r="Y116" s="65">
        <f t="shared" ca="1" si="246"/>
        <v>-3.5373184346663145E-2</v>
      </c>
      <c r="Z116" s="65">
        <f t="shared" ca="1" si="246"/>
        <v>-0.37219762719023075</v>
      </c>
      <c r="AA116" s="65">
        <f t="shared" ca="1" si="246"/>
        <v>8.7087142242419757E-2</v>
      </c>
      <c r="AB116" s="65">
        <f t="shared" ca="1" si="246"/>
        <v>0.73841100591353381</v>
      </c>
      <c r="AC116" s="65">
        <f t="shared" ca="1" si="246"/>
        <v>0.37329459030985723</v>
      </c>
      <c r="AD116" s="65">
        <f t="shared" ca="1" si="246"/>
        <v>0.4673795012489097</v>
      </c>
      <c r="AE116" s="65">
        <f t="shared" ca="1" si="246"/>
        <v>0.37402924069978138</v>
      </c>
      <c r="AF116" s="65">
        <f t="shared" ca="1" si="246"/>
        <v>-0.894177390514721</v>
      </c>
      <c r="AG116" s="65">
        <f t="shared" ca="1" si="246"/>
        <v>5.0613785512218179E-2</v>
      </c>
      <c r="AH116" s="65">
        <f t="shared" ca="1" si="246"/>
        <v>0.89185822153046668</v>
      </c>
      <c r="AI116" s="65">
        <f t="shared" ca="1" si="246"/>
        <v>5.9651007634911046E-2</v>
      </c>
      <c r="AJ116" s="65" t="str">
        <f t="shared" ca="1" si="246"/>
        <v>NMF</v>
      </c>
      <c r="AK116" s="65">
        <f t="shared" ca="1" si="246"/>
        <v>0.6218844828663419</v>
      </c>
      <c r="AL116" s="65">
        <f t="shared" ca="1" si="246"/>
        <v>0.40672848634997094</v>
      </c>
      <c r="AM116" s="65">
        <f t="shared" ref="AM116:BF116" ca="1" si="247">IF(OR(INDEX(SP_CFA_FCF_PreDiv,0,COLUMN())&lt;=0,AI66&lt;=0),"NMF",IF(ABS((INDEX(SP_CFA_FCF_PreDiv,0,COLUMN())/INDEX(SP_GF_ShareCount,0,COLUMN()))/(AI66/AI43)-1)&gt;10,"NMF",(INDEX(SP_CFA_FCF_PreDiv,0,COLUMN())/INDEX(SP_GF_ShareCount,0,COLUMN()))/(AI66/AI43)-1))</f>
        <v>0.12942654322836078</v>
      </c>
      <c r="AN116" s="65">
        <f t="shared" ca="1" si="247"/>
        <v>-0.45121230381981492</v>
      </c>
      <c r="AO116" s="65">
        <f t="shared" ca="1" si="247"/>
        <v>-0.98283312372806386</v>
      </c>
      <c r="AP116" s="65">
        <f t="shared" ca="1" si="247"/>
        <v>-0.55837225836330351</v>
      </c>
      <c r="AQ116" s="65">
        <f t="shared" ca="1" si="247"/>
        <v>-0.13358621415621574</v>
      </c>
      <c r="AR116" s="65">
        <f t="shared" ca="1" si="247"/>
        <v>1.5637761106079857</v>
      </c>
      <c r="AS116" s="65" t="str">
        <f t="shared" ca="1" si="247"/>
        <v>NMF</v>
      </c>
      <c r="AT116" s="65">
        <f t="shared" ca="1" si="247"/>
        <v>1.1929042003837886</v>
      </c>
      <c r="AU116" s="65">
        <f t="shared" ca="1" si="247"/>
        <v>0.79810828289528257</v>
      </c>
      <c r="AV116" s="65">
        <f t="shared" ca="1" si="247"/>
        <v>3.067318849848899E-3</v>
      </c>
      <c r="AW116" s="65">
        <f t="shared" ca="1" si="247"/>
        <v>0.16000367863449094</v>
      </c>
      <c r="AX116" s="65">
        <f t="shared" ca="1" si="247"/>
        <v>0.16417710315993306</v>
      </c>
      <c r="AY116" s="695">
        <f t="shared" ca="1" si="247"/>
        <v>-0.16418093937844958</v>
      </c>
      <c r="AZ116" s="65">
        <f t="shared" ca="1" si="247"/>
        <v>-0.1066607706510212</v>
      </c>
      <c r="BA116" s="65">
        <f t="shared" ca="1" si="247"/>
        <v>-8.9905307082197794E-2</v>
      </c>
      <c r="BB116" s="65">
        <f t="shared" ca="1" si="247"/>
        <v>4.5114669945403252E-2</v>
      </c>
      <c r="BC116" s="65">
        <f t="shared" ca="1" si="247"/>
        <v>1.5726162449592689</v>
      </c>
      <c r="BD116" s="65">
        <f t="shared" ca="1" si="247"/>
        <v>1.2259402316802119</v>
      </c>
      <c r="BE116" s="65">
        <f t="shared" ca="1" si="247"/>
        <v>0.83679081354612106</v>
      </c>
      <c r="BF116" s="65">
        <f t="shared" ca="1" si="247"/>
        <v>0.80360159689828925</v>
      </c>
      <c r="BG116" s="65"/>
      <c r="BH116" s="1079"/>
      <c r="BI116" s="1079"/>
      <c r="BJ116" s="1079"/>
      <c r="BK116" s="1079"/>
      <c r="BL116" s="1079">
        <f t="shared" ref="BL116:CB116" ca="1" si="248">IF(OR(INDEX(SP_CFA_FCF_PreDiv,0,COLUMN())&lt;=0,BK66&lt;=0),"NMF",IF(ABS((INDEX(SP_CFA_FCF_PreDiv,0,COLUMN())/INDEX(SP_GF_ShareCount,0,COLUMN()))/(BK66/BK43)-1)&gt;10,"NMF",(INDEX(SP_CFA_FCF_PreDiv,0,COLUMN())/INDEX(SP_GF_ShareCount,0,COLUMN()))/(BK66/BK43)-1))</f>
        <v>6.4716753661309987</v>
      </c>
      <c r="BM116" s="1079">
        <f t="shared" ca="1" si="248"/>
        <v>0.19787296037296054</v>
      </c>
      <c r="BN116" s="1079">
        <f t="shared" ca="1" si="248"/>
        <v>0.56466876971608815</v>
      </c>
      <c r="BO116" s="1079">
        <f t="shared" ca="1" si="248"/>
        <v>0.86488529903276468</v>
      </c>
      <c r="BP116" s="1079">
        <f t="shared" ca="1" si="248"/>
        <v>0.48916701795919204</v>
      </c>
      <c r="BQ116" s="1079">
        <f t="shared" ca="1" si="248"/>
        <v>-0.11096295960649827</v>
      </c>
      <c r="BR116" s="1079">
        <f t="shared" ca="1" si="248"/>
        <v>0.36618669667750603</v>
      </c>
      <c r="BS116" s="1079">
        <f t="shared" ca="1" si="248"/>
        <v>0.10998624344015906</v>
      </c>
      <c r="BT116" s="1079">
        <f t="shared" ca="1" si="248"/>
        <v>0.68616043136317817</v>
      </c>
      <c r="BU116" s="1079">
        <f t="shared" ca="1" si="248"/>
        <v>-0.49917624488868317</v>
      </c>
      <c r="BV116" s="1079">
        <f t="shared" ca="1" si="248"/>
        <v>1.4171227453338484</v>
      </c>
      <c r="BW116" s="1080">
        <f t="shared" ca="1" si="248"/>
        <v>0.22466017703675489</v>
      </c>
      <c r="BX116" s="1079">
        <f t="shared" ca="1" si="248"/>
        <v>-7.5033198102473886E-2</v>
      </c>
      <c r="BY116" s="1079">
        <f t="shared" ca="1" si="248"/>
        <v>1.0657754567143436</v>
      </c>
      <c r="BZ116" s="1079">
        <f t="shared" ca="1" si="248"/>
        <v>0.17366694929838089</v>
      </c>
      <c r="CA116" s="1079">
        <f t="shared" ca="1" si="248"/>
        <v>6.902104800292741E-2</v>
      </c>
      <c r="CB116" s="1079">
        <f t="shared" ca="1" si="248"/>
        <v>0.15797919251906767</v>
      </c>
      <c r="CC116" s="85"/>
    </row>
    <row r="117" spans="1:81" s="729" customFormat="1" x14ac:dyDescent="0.55000000000000004">
      <c r="A117" s="90"/>
      <c r="B117" s="95"/>
      <c r="C117" s="607"/>
      <c r="D117" s="607"/>
      <c r="E117" s="607"/>
      <c r="F117" s="607"/>
      <c r="G117" s="607"/>
      <c r="H117" s="607"/>
      <c r="I117" s="607"/>
      <c r="J117" s="607"/>
      <c r="K117" s="607"/>
      <c r="L117" s="607"/>
      <c r="M117" s="607"/>
      <c r="N117" s="607"/>
      <c r="O117" s="607"/>
      <c r="P117" s="607"/>
      <c r="Q117" s="607"/>
      <c r="R117" s="607"/>
      <c r="S117" s="607"/>
      <c r="T117" s="607"/>
      <c r="U117" s="607"/>
      <c r="V117" s="607"/>
      <c r="W117" s="607"/>
      <c r="X117" s="607"/>
      <c r="Y117" s="607"/>
      <c r="Z117" s="607"/>
      <c r="AA117" s="607"/>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79"/>
      <c r="AZ117" s="607"/>
      <c r="BA117" s="607"/>
      <c r="BB117" s="607"/>
      <c r="BC117" s="607"/>
      <c r="BD117" s="607"/>
      <c r="BE117" s="607"/>
      <c r="BF117" s="607"/>
      <c r="BG117" s="607"/>
      <c r="BH117" s="1060"/>
      <c r="BI117" s="1060"/>
      <c r="BJ117" s="1060"/>
      <c r="BK117" s="1060"/>
      <c r="BL117" s="1060"/>
      <c r="BM117" s="1060"/>
      <c r="BN117" s="1060"/>
      <c r="BO117" s="1060"/>
      <c r="BP117" s="1060"/>
      <c r="BQ117" s="1060"/>
      <c r="BR117" s="1060"/>
      <c r="BS117" s="1060"/>
      <c r="BT117" s="1060"/>
      <c r="BU117" s="1060"/>
      <c r="BV117" s="1060"/>
      <c r="BW117" s="1061"/>
      <c r="BX117" s="1060"/>
      <c r="BY117" s="1060"/>
      <c r="BZ117" s="1060"/>
      <c r="CA117" s="1060"/>
      <c r="CB117" s="1060"/>
      <c r="CC117" s="607"/>
    </row>
    <row r="118" spans="1:81" s="729" customFormat="1" x14ac:dyDescent="0.55000000000000004">
      <c r="A118" s="56" t="s">
        <v>305</v>
      </c>
      <c r="B118" s="608"/>
      <c r="C118" s="608"/>
      <c r="D118" s="608"/>
      <c r="E118" s="608"/>
      <c r="F118" s="608"/>
      <c r="G118" s="608"/>
      <c r="H118" s="608"/>
      <c r="I118" s="608"/>
      <c r="J118" s="608"/>
      <c r="K118" s="608"/>
      <c r="L118" s="608"/>
      <c r="M118" s="608"/>
      <c r="N118" s="608"/>
      <c r="O118" s="608"/>
      <c r="P118" s="608"/>
      <c r="Q118" s="608"/>
      <c r="R118" s="608"/>
      <c r="S118" s="608"/>
      <c r="T118" s="608"/>
      <c r="U118" s="608"/>
      <c r="V118" s="608"/>
      <c r="W118" s="608"/>
      <c r="X118" s="608"/>
      <c r="Y118" s="608"/>
      <c r="Z118" s="608"/>
      <c r="AA118" s="608"/>
      <c r="AB118" s="608"/>
      <c r="AC118" s="608"/>
      <c r="AD118" s="608"/>
      <c r="AE118" s="608"/>
      <c r="AF118" s="608"/>
      <c r="AG118" s="608"/>
      <c r="AH118" s="608"/>
      <c r="AI118" s="608"/>
      <c r="AJ118" s="608"/>
      <c r="AK118" s="608"/>
      <c r="AL118" s="608"/>
      <c r="AM118" s="608"/>
      <c r="AN118" s="608"/>
      <c r="AO118" s="608"/>
      <c r="AP118" s="608"/>
      <c r="AQ118" s="608"/>
      <c r="AR118" s="608"/>
      <c r="AS118" s="608"/>
      <c r="AT118" s="608"/>
      <c r="AU118" s="608"/>
      <c r="AV118" s="608"/>
      <c r="AW118" s="608"/>
      <c r="AX118" s="608"/>
      <c r="AY118" s="609"/>
      <c r="AZ118" s="608"/>
      <c r="BA118" s="608"/>
      <c r="BB118" s="608"/>
      <c r="BC118" s="608"/>
      <c r="BD118" s="608"/>
      <c r="BE118" s="608"/>
      <c r="BF118" s="608"/>
      <c r="BG118" s="608"/>
      <c r="BH118" s="608"/>
      <c r="BI118" s="608"/>
      <c r="BJ118" s="608"/>
      <c r="BK118" s="608"/>
      <c r="BL118" s="608"/>
      <c r="BM118" s="608"/>
      <c r="BN118" s="608"/>
      <c r="BO118" s="608"/>
      <c r="BP118" s="608"/>
      <c r="BQ118" s="608"/>
      <c r="BR118" s="608"/>
      <c r="BS118" s="608"/>
      <c r="BT118" s="608"/>
      <c r="BU118" s="608"/>
      <c r="BV118" s="608"/>
      <c r="BW118" s="609"/>
      <c r="BX118" s="608"/>
      <c r="BY118" s="608"/>
      <c r="BZ118" s="608"/>
      <c r="CA118" s="608"/>
      <c r="CB118" s="608"/>
      <c r="CC118" s="607"/>
    </row>
    <row r="119" spans="1:81" s="742" customFormat="1" x14ac:dyDescent="0.55000000000000004">
      <c r="A119" s="109" t="str">
        <f>"P/E - "&amp;SP.ValuationToggle</f>
        <v>P/E - EoP</v>
      </c>
      <c r="B119" s="110"/>
      <c r="C119" s="592"/>
      <c r="D119" s="592"/>
      <c r="E119" s="592"/>
      <c r="F119" s="592"/>
      <c r="G119" s="592"/>
      <c r="H119" s="592"/>
      <c r="I119" s="592"/>
      <c r="J119" s="592"/>
      <c r="K119" s="592"/>
      <c r="L119" s="592"/>
      <c r="M119" s="592"/>
      <c r="N119" s="592"/>
      <c r="O119" s="592"/>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680"/>
      <c r="AZ119" s="70"/>
      <c r="BA119" s="70"/>
      <c r="BB119" s="70"/>
      <c r="BC119" s="70"/>
      <c r="BD119" s="70"/>
      <c r="BE119" s="70"/>
      <c r="BF119" s="70"/>
      <c r="BG119" s="70"/>
      <c r="BH119" s="1092"/>
      <c r="BI119" s="1092"/>
      <c r="BJ119" s="1092"/>
      <c r="BK119" s="1092">
        <f t="shared" ref="BK119:CB119" si="249">INDEX(SP_CS_StockPrice,0,COLUMN())/INDEX(SP_NGF_EPS,0,COLUMN())</f>
        <v>48.772866211085798</v>
      </c>
      <c r="BL119" s="1092">
        <f t="shared" si="249"/>
        <v>57.921195372750645</v>
      </c>
      <c r="BM119" s="1092">
        <f t="shared" si="249"/>
        <v>44.778714194780392</v>
      </c>
      <c r="BN119" s="1092">
        <f t="shared" si="249"/>
        <v>46.493657563669842</v>
      </c>
      <c r="BO119" s="1092">
        <f t="shared" si="249"/>
        <v>32.937383772144464</v>
      </c>
      <c r="BP119" s="1092">
        <f t="shared" si="249"/>
        <v>32.736021086983811</v>
      </c>
      <c r="BQ119" s="1092">
        <f t="shared" si="249"/>
        <v>17.595748914616497</v>
      </c>
      <c r="BR119" s="1092">
        <f t="shared" si="249"/>
        <v>31.803254530700567</v>
      </c>
      <c r="BS119" s="1092">
        <f t="shared" si="249"/>
        <v>26.938878748370271</v>
      </c>
      <c r="BT119" s="1092">
        <f t="shared" si="249"/>
        <v>25.006991109982224</v>
      </c>
      <c r="BU119" s="1092">
        <f t="shared" si="249"/>
        <v>14.015460344827586</v>
      </c>
      <c r="BV119" s="1092">
        <f t="shared" si="249"/>
        <v>23.800727402936211</v>
      </c>
      <c r="BW119" s="1093">
        <f t="shared" si="249"/>
        <v>24.78353688261706</v>
      </c>
      <c r="BX119" s="1092">
        <f t="shared" ca="1" si="249"/>
        <v>18.46870380057371</v>
      </c>
      <c r="BY119" s="1092">
        <f t="shared" ca="1" si="249"/>
        <v>14.784137210415862</v>
      </c>
      <c r="BZ119" s="1092">
        <f t="shared" ca="1" si="249"/>
        <v>12.966389979769666</v>
      </c>
      <c r="CA119" s="1092">
        <f t="shared" ca="1" si="249"/>
        <v>12.373782639958453</v>
      </c>
      <c r="CB119" s="1092">
        <f t="shared" ca="1" si="249"/>
        <v>10.810483342406371</v>
      </c>
      <c r="CC119" s="70"/>
    </row>
    <row r="120" spans="1:81" s="742" customFormat="1" x14ac:dyDescent="0.55000000000000004">
      <c r="A120" s="109" t="str">
        <f>"EV/Sales - "&amp;SP.ValuationToggle</f>
        <v>EV/Sales - EoP</v>
      </c>
      <c r="B120" s="110"/>
      <c r="C120" s="592"/>
      <c r="D120" s="592"/>
      <c r="E120" s="592"/>
      <c r="F120" s="592"/>
      <c r="G120" s="592"/>
      <c r="H120" s="592"/>
      <c r="I120" s="592"/>
      <c r="J120" s="592"/>
      <c r="K120" s="592"/>
      <c r="L120" s="592"/>
      <c r="M120" s="592"/>
      <c r="N120" s="592"/>
      <c r="O120" s="592"/>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680"/>
      <c r="AZ120" s="70"/>
      <c r="BA120" s="70"/>
      <c r="BB120" s="70"/>
      <c r="BC120" s="70"/>
      <c r="BD120" s="70"/>
      <c r="BE120" s="70"/>
      <c r="BF120" s="70"/>
      <c r="BG120" s="70"/>
      <c r="BH120" s="1092"/>
      <c r="BI120" s="1092"/>
      <c r="BJ120" s="1092"/>
      <c r="BK120" s="1092">
        <f t="shared" ref="BK120:CB120" si="250">INDEX(SP_CS_EV,0,COLUMN())/INDEX(SP_GF_Rev,0,COLUMN())</f>
        <v>11.400783110372176</v>
      </c>
      <c r="BL120" s="1092">
        <f t="shared" si="250"/>
        <v>16.581619865513211</v>
      </c>
      <c r="BM120" s="1092">
        <f t="shared" si="250"/>
        <v>17.123114918799939</v>
      </c>
      <c r="BN120" s="1092">
        <f t="shared" si="250"/>
        <v>16.083062248995986</v>
      </c>
      <c r="BO120" s="1092">
        <f t="shared" si="250"/>
        <v>11.181275779723569</v>
      </c>
      <c r="BP120" s="1092">
        <f t="shared" si="250"/>
        <v>11.791882025926746</v>
      </c>
      <c r="BQ120" s="1092">
        <f t="shared" si="250"/>
        <v>6.1033453920269345</v>
      </c>
      <c r="BR120" s="1092">
        <f t="shared" si="250"/>
        <v>7.6654695390186278</v>
      </c>
      <c r="BS120" s="1092">
        <f t="shared" si="250"/>
        <v>8.5355020066306064</v>
      </c>
      <c r="BT120" s="1092">
        <f t="shared" si="250"/>
        <v>7.8115645854709186</v>
      </c>
      <c r="BU120" s="1092">
        <f t="shared" si="250"/>
        <v>2.5705343498357758</v>
      </c>
      <c r="BV120" s="1092">
        <f t="shared" si="250"/>
        <v>6.6715912291885964</v>
      </c>
      <c r="BW120" s="1093">
        <f t="shared" si="250"/>
        <v>9.1749287846274488</v>
      </c>
      <c r="BX120" s="1092">
        <f t="shared" ca="1" si="250"/>
        <v>7.3686170881314785</v>
      </c>
      <c r="BY120" s="1092">
        <f t="shared" ca="1" si="250"/>
        <v>6.0970894332393737</v>
      </c>
      <c r="BZ120" s="1092">
        <f t="shared" ca="1" si="250"/>
        <v>5.009689537281969</v>
      </c>
      <c r="CA120" s="1092">
        <f t="shared" ca="1" si="250"/>
        <v>4.2840664303436933</v>
      </c>
      <c r="CB120" s="1092">
        <f t="shared" ca="1" si="250"/>
        <v>3.5604111345313663</v>
      </c>
      <c r="CC120" s="70"/>
    </row>
    <row r="121" spans="1:81" s="742" customFormat="1" x14ac:dyDescent="0.55000000000000004">
      <c r="A121" s="109" t="str">
        <f>"EV/EBITDA - "&amp;SP.ValuationToggle</f>
        <v>EV/EBITDA - EoP</v>
      </c>
      <c r="B121" s="110"/>
      <c r="C121" s="592"/>
      <c r="D121" s="592"/>
      <c r="E121" s="592"/>
      <c r="F121" s="592"/>
      <c r="G121" s="592"/>
      <c r="H121" s="592"/>
      <c r="I121" s="592"/>
      <c r="J121" s="592"/>
      <c r="K121" s="592"/>
      <c r="L121" s="592"/>
      <c r="M121" s="592"/>
      <c r="N121" s="592"/>
      <c r="O121" s="592"/>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680"/>
      <c r="AZ121" s="70"/>
      <c r="BA121" s="70"/>
      <c r="BB121" s="70"/>
      <c r="BC121" s="70"/>
      <c r="BD121" s="70"/>
      <c r="BE121" s="70"/>
      <c r="BF121" s="70"/>
      <c r="BG121" s="70"/>
      <c r="BH121" s="1092"/>
      <c r="BI121" s="1092"/>
      <c r="BJ121" s="1092"/>
      <c r="BK121" s="1092">
        <f t="shared" ref="BK121:CB121" si="251">INDEX(SP_CS_EV,0,COLUMN())/INDEX(SP_NGF_EBITDA,0,COLUMN())</f>
        <v>21.028845686366076</v>
      </c>
      <c r="BL121" s="1092">
        <f t="shared" si="251"/>
        <v>27.64891158257149</v>
      </c>
      <c r="BM121" s="1092">
        <f t="shared" si="251"/>
        <v>26.437546516938323</v>
      </c>
      <c r="BN121" s="1092">
        <f t="shared" si="251"/>
        <v>25.885370320495557</v>
      </c>
      <c r="BO121" s="1092">
        <f t="shared" si="251"/>
        <v>17.180636014899648</v>
      </c>
      <c r="BP121" s="1092">
        <f t="shared" si="251"/>
        <v>17.786923676301438</v>
      </c>
      <c r="BQ121" s="1092">
        <f t="shared" si="251"/>
        <v>10.209664469742361</v>
      </c>
      <c r="BR121" s="1092">
        <f t="shared" si="251"/>
        <v>15.679359430604981</v>
      </c>
      <c r="BS121" s="1092">
        <f t="shared" si="251"/>
        <v>15.927292322385988</v>
      </c>
      <c r="BT121" s="1092">
        <f t="shared" si="251"/>
        <v>14.420042577171122</v>
      </c>
      <c r="BU121" s="1092">
        <f t="shared" si="251"/>
        <v>6.0406158558703797</v>
      </c>
      <c r="BV121" s="1092">
        <f t="shared" si="251"/>
        <v>12.507796431152371</v>
      </c>
      <c r="BW121" s="1093">
        <f t="shared" si="251"/>
        <v>14.859847195967234</v>
      </c>
      <c r="BX121" s="1092">
        <f t="shared" ca="1" si="251"/>
        <v>12.731440649465274</v>
      </c>
      <c r="BY121" s="1092">
        <f t="shared" ca="1" si="251"/>
        <v>9.2181203487851704</v>
      </c>
      <c r="BZ121" s="1092">
        <f t="shared" ca="1" si="251"/>
        <v>7.2093934127404893</v>
      </c>
      <c r="CA121" s="1092">
        <f t="shared" ca="1" si="251"/>
        <v>5.8192970588727091</v>
      </c>
      <c r="CB121" s="1092">
        <f t="shared" ca="1" si="251"/>
        <v>4.5884558961425421</v>
      </c>
      <c r="CC121" s="70"/>
    </row>
    <row r="122" spans="1:81" s="742" customFormat="1" x14ac:dyDescent="0.55000000000000004">
      <c r="A122" s="109" t="str">
        <f>"P/CF - "&amp;SP.ValuationToggle</f>
        <v>P/CF - EoP</v>
      </c>
      <c r="B122" s="110"/>
      <c r="C122" s="592"/>
      <c r="D122" s="592"/>
      <c r="E122" s="592"/>
      <c r="F122" s="592"/>
      <c r="G122" s="592"/>
      <c r="H122" s="592"/>
      <c r="I122" s="592"/>
      <c r="J122" s="592"/>
      <c r="K122" s="592"/>
      <c r="L122" s="592"/>
      <c r="M122" s="592"/>
      <c r="N122" s="592"/>
      <c r="O122" s="592"/>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680"/>
      <c r="AZ122" s="70"/>
      <c r="BA122" s="70"/>
      <c r="BB122" s="70"/>
      <c r="BC122" s="70"/>
      <c r="BD122" s="70"/>
      <c r="BE122" s="70"/>
      <c r="BF122" s="70"/>
      <c r="BG122" s="70"/>
      <c r="BH122" s="1092"/>
      <c r="BI122" s="1092"/>
      <c r="BJ122" s="1092"/>
      <c r="BK122" s="1092">
        <f t="shared" ref="BK122:CB122" ca="1" si="252">INDEX(SP_CS_StockPrice,0,COLUMN())/INDEX(SP_CFA_CFO_PerShare,0,COLUMN())</f>
        <v>39.847310669975187</v>
      </c>
      <c r="BL122" s="1092">
        <f t="shared" ca="1" si="252"/>
        <v>32.019912363808622</v>
      </c>
      <c r="BM122" s="1092">
        <f t="shared" ca="1" si="252"/>
        <v>38.673644859813081</v>
      </c>
      <c r="BN122" s="1092">
        <f t="shared" ca="1" si="252"/>
        <v>35.241965344807532</v>
      </c>
      <c r="BO122" s="1092">
        <f t="shared" ca="1" si="252"/>
        <v>20.891560094363051</v>
      </c>
      <c r="BP122" s="1092">
        <f t="shared" ca="1" si="252"/>
        <v>21.540128840436079</v>
      </c>
      <c r="BQ122" s="1092">
        <f t="shared" ca="1" si="252"/>
        <v>13.290879278540682</v>
      </c>
      <c r="BR122" s="1092">
        <f t="shared" ca="1" si="252"/>
        <v>16.188884727653246</v>
      </c>
      <c r="BS122" s="1092">
        <f t="shared" ca="1" si="252"/>
        <v>20.263776808527112</v>
      </c>
      <c r="BT122" s="1092">
        <f t="shared" ca="1" si="252"/>
        <v>17.067857774387601</v>
      </c>
      <c r="BU122" s="1092">
        <f t="shared" ca="1" si="252"/>
        <v>6.4419748390292231</v>
      </c>
      <c r="BV122" s="1092">
        <f t="shared" ca="1" si="252"/>
        <v>13.085664224544034</v>
      </c>
      <c r="BW122" s="1093">
        <f t="shared" ca="1" si="252"/>
        <v>16.922535914505957</v>
      </c>
      <c r="BX122" s="1092">
        <f t="shared" ca="1" si="252"/>
        <v>13.25827794558672</v>
      </c>
      <c r="BY122" s="1092">
        <f t="shared" ca="1" si="252"/>
        <v>10.325148941785157</v>
      </c>
      <c r="BZ122" s="1092">
        <f t="shared" ca="1" si="252"/>
        <v>9.1879695111622564</v>
      </c>
      <c r="CA122" s="1092">
        <f t="shared" ca="1" si="252"/>
        <v>8.7318580670039552</v>
      </c>
      <c r="CB122" s="1092">
        <f t="shared" ca="1" si="252"/>
        <v>7.7973672330491981</v>
      </c>
      <c r="CC122" s="70"/>
    </row>
    <row r="123" spans="1:81" s="734" customFormat="1" x14ac:dyDescent="0.55000000000000004">
      <c r="A123" s="108" t="str">
        <f>"FCF Yield % to "&amp;SP.ValuationToggle&amp;" Market Cap"</f>
        <v>FCF Yield % to EoP Market Cap</v>
      </c>
      <c r="B123" s="96"/>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95"/>
      <c r="AZ123" s="65"/>
      <c r="BA123" s="65"/>
      <c r="BB123" s="65"/>
      <c r="BC123" s="65"/>
      <c r="BD123" s="65"/>
      <c r="BE123" s="65"/>
      <c r="BF123" s="65"/>
      <c r="BG123" s="65"/>
      <c r="BH123" s="1079"/>
      <c r="BI123" s="1079"/>
      <c r="BJ123" s="1079"/>
      <c r="BK123" s="1079">
        <f ca="1">INDEX(SP_CFA_FCF_PreDiv,0,COLUMN())/INDEX(SP_CS_MarketCap,0,COLUMN())</f>
        <v>5.7743631381199064E-3</v>
      </c>
      <c r="BL123" s="1079">
        <f ca="1">INDEX(SP_CFA_FCF_PreDiv,0,COLUMN())/INDEX(SP_CS_MarketCap,0,COLUMN())</f>
        <v>2.0211512548622513E-2</v>
      </c>
      <c r="BM123" s="1079">
        <f ca="1">INDEX(SP_CFA_FCF_PreDiv,0,COLUMN())/INDEX(SP_CS_MarketCap,0,COLUMN())</f>
        <v>1.6157007213685456E-2</v>
      </c>
      <c r="BN123" s="1079">
        <f ca="1">INDEX(SP_CFA_FCF_PreDiv,0,COLUMN())/INDEX(SP_CS_MarketCap,0,COLUMN())</f>
        <v>1.981365899388483E-2</v>
      </c>
      <c r="BO123" s="1079">
        <f t="shared" ref="BO123:BW123" ca="1" si="253">IFERROR(INDEX(SP_CFA_FCF_PreDiv,0,COLUMN())/INDEX(SP_CS_MarketCap,0,COLUMN()),"n/a")</f>
        <v>3.432137654216489E-2</v>
      </c>
      <c r="BP123" s="1079">
        <f t="shared" ca="1" si="253"/>
        <v>3.3551059231292903E-2</v>
      </c>
      <c r="BQ123" s="1079">
        <f t="shared" ca="1" si="253"/>
        <v>4.0204953907882778E-2</v>
      </c>
      <c r="BR123" s="1079">
        <f t="shared" ca="1" si="253"/>
        <v>3.5216507371346822E-2</v>
      </c>
      <c r="BS123" s="1079">
        <f t="shared" ca="1" si="253"/>
        <v>2.9318881065300548E-2</v>
      </c>
      <c r="BT123" s="1079">
        <f t="shared" ca="1" si="253"/>
        <v>4.0225031629375921E-2</v>
      </c>
      <c r="BU123" s="1079">
        <f t="shared" ca="1" si="253"/>
        <v>5.7793692590666912E-2</v>
      </c>
      <c r="BV123" s="1079">
        <f t="shared" ca="1" si="253"/>
        <v>4.6052015562694733E-2</v>
      </c>
      <c r="BW123" s="1080">
        <f t="shared" ca="1" si="253"/>
        <v>3.3842149660517185E-2</v>
      </c>
      <c r="BX123" s="1079">
        <f ca="1">INDEX(SP_CFA_FCF_PreDiv,0,COLUMN())/INDEX(SP_CS_MarketCap,0,COLUMN())</f>
        <v>3.3292857700345652E-2</v>
      </c>
      <c r="BY123" s="1079">
        <f ca="1">INDEX(SP_CFA_FCF_PreDiv,0,COLUMN())/INDEX(SP_CS_MarketCap,0,COLUMN())</f>
        <v>6.8679229773340789E-2</v>
      </c>
      <c r="BZ123" s="1079">
        <f ca="1">INDEX(SP_CFA_FCF_PreDiv,0,COLUMN())/INDEX(SP_CS_MarketCap,0,COLUMN())</f>
        <v>8.0803379535908174E-2</v>
      </c>
      <c r="CA123" s="1079">
        <f ca="1">INDEX(SP_CFA_FCF_PreDiv,0,COLUMN())/INDEX(SP_CS_MarketCap,0,COLUMN())</f>
        <v>8.6362110739896608E-2</v>
      </c>
      <c r="CB123" s="1079">
        <f ca="1">INDEX(SP_CFA_FCF_PreDiv,0,COLUMN())/INDEX(SP_CS_MarketCap,0,COLUMN())</f>
        <v>9.9986046433024292E-2</v>
      </c>
      <c r="CC123" s="85"/>
    </row>
    <row r="124" spans="1:81" s="734" customFormat="1" x14ac:dyDescent="0.55000000000000004">
      <c r="A124" s="108" t="str">
        <f>"FCF Yield % to "&amp;SP.ValuationToggle&amp;" Enterprise Value"</f>
        <v>FCF Yield % to EoP Enterprise Value</v>
      </c>
      <c r="B124" s="96"/>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95"/>
      <c r="AZ124" s="65"/>
      <c r="BA124" s="65"/>
      <c r="BB124" s="65"/>
      <c r="BC124" s="65"/>
      <c r="BD124" s="65"/>
      <c r="BE124" s="65"/>
      <c r="BF124" s="65"/>
      <c r="BG124" s="65"/>
      <c r="BH124" s="1079"/>
      <c r="BI124" s="1079"/>
      <c r="BJ124" s="1079"/>
      <c r="BK124" s="1079">
        <f t="shared" ref="BK124:CB124" ca="1" si="254">INDEX(SP_CFA_FCF_PreDiv,0,COLUMN())/INDEX(SP_CS_EV,0,COLUMN())</f>
        <v>6.4979178376044812E-3</v>
      </c>
      <c r="BL124" s="1079">
        <f t="shared" ca="1" si="254"/>
        <v>2.1910586002861339E-2</v>
      </c>
      <c r="BM124" s="1079">
        <f t="shared" ca="1" si="254"/>
        <v>1.6987047681488465E-2</v>
      </c>
      <c r="BN124" s="1079">
        <f t="shared" ca="1" si="254"/>
        <v>2.1072554163504568E-2</v>
      </c>
      <c r="BO124" s="1079">
        <f t="shared" ca="1" si="254"/>
        <v>3.7592050690535915E-2</v>
      </c>
      <c r="BP124" s="1079">
        <f t="shared" ca="1" si="254"/>
        <v>3.6470375262075409E-2</v>
      </c>
      <c r="BQ124" s="1079">
        <f t="shared" ca="1" si="254"/>
        <v>4.5067673400066788E-2</v>
      </c>
      <c r="BR124" s="1079">
        <f t="shared" ca="1" si="254"/>
        <v>3.8123307309470653E-2</v>
      </c>
      <c r="BS124" s="1079">
        <f t="shared" ca="1" si="254"/>
        <v>3.1383796892374465E-2</v>
      </c>
      <c r="BT124" s="1079">
        <f t="shared" ca="1" si="254"/>
        <v>4.1726642133715443E-2</v>
      </c>
      <c r="BU124" s="1079">
        <f t="shared" ca="1" si="254"/>
        <v>6.0697766092681224E-2</v>
      </c>
      <c r="BV124" s="1079">
        <f t="shared" ca="1" si="254"/>
        <v>4.754275225525021E-2</v>
      </c>
      <c r="BW124" s="1080">
        <f t="shared" ca="1" si="254"/>
        <v>3.4521645269691155E-2</v>
      </c>
      <c r="BX124" s="1079">
        <f t="shared" ca="1" si="254"/>
        <v>3.4487296954299723E-2</v>
      </c>
      <c r="BY124" s="1079">
        <f t="shared" ca="1" si="254"/>
        <v>7.6293139818284728E-2</v>
      </c>
      <c r="BZ124" s="1079">
        <f t="shared" ca="1" si="254"/>
        <v>9.7726938002748981E-2</v>
      </c>
      <c r="CA124" s="1079">
        <f t="shared" ca="1" si="254"/>
        <v>0.11550853105394034</v>
      </c>
      <c r="CB124" s="1079">
        <f t="shared" ca="1" si="254"/>
        <v>0.15272315324768798</v>
      </c>
      <c r="CC124" s="85"/>
    </row>
    <row r="125" spans="1:81" x14ac:dyDescent="0.55000000000000004">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674"/>
      <c r="AZ125" s="85"/>
      <c r="BA125" s="85"/>
      <c r="BB125" s="85"/>
      <c r="BC125" s="85"/>
      <c r="BD125" s="85"/>
      <c r="BE125" s="85"/>
      <c r="BF125" s="85"/>
      <c r="BG125" s="85"/>
      <c r="BH125" s="1070"/>
      <c r="BI125" s="1070"/>
      <c r="BJ125" s="1070"/>
      <c r="BK125" s="1070"/>
      <c r="BL125" s="1070"/>
      <c r="BM125" s="1070"/>
      <c r="BN125" s="1070"/>
      <c r="BO125" s="1070"/>
      <c r="BP125" s="1070"/>
      <c r="BQ125" s="1070"/>
      <c r="BR125" s="1070"/>
      <c r="BS125" s="1070"/>
      <c r="BT125" s="1070"/>
      <c r="BU125" s="1070"/>
      <c r="BV125" s="1070"/>
      <c r="BW125" s="1071"/>
      <c r="BX125" s="1070"/>
      <c r="BY125" s="1070"/>
      <c r="BZ125" s="1070"/>
      <c r="CA125" s="1070"/>
      <c r="CB125" s="1070"/>
      <c r="CC125" s="85"/>
    </row>
    <row r="126" spans="1:81" s="729" customFormat="1" x14ac:dyDescent="0.55000000000000004">
      <c r="A126" s="56" t="s">
        <v>306</v>
      </c>
      <c r="B126" s="608"/>
      <c r="C126" s="608"/>
      <c r="D126" s="608"/>
      <c r="E126" s="608"/>
      <c r="F126" s="608"/>
      <c r="G126" s="608"/>
      <c r="H126" s="608"/>
      <c r="I126" s="608"/>
      <c r="J126" s="608"/>
      <c r="K126" s="608"/>
      <c r="L126" s="608"/>
      <c r="M126" s="608"/>
      <c r="N126" s="608"/>
      <c r="O126" s="608"/>
      <c r="P126" s="608"/>
      <c r="Q126" s="608"/>
      <c r="R126" s="608"/>
      <c r="S126" s="608"/>
      <c r="T126" s="608"/>
      <c r="U126" s="608"/>
      <c r="V126" s="608"/>
      <c r="W126" s="608"/>
      <c r="X126" s="608"/>
      <c r="Y126" s="608"/>
      <c r="Z126" s="608"/>
      <c r="AA126" s="608"/>
      <c r="AB126" s="608"/>
      <c r="AC126" s="608"/>
      <c r="AD126" s="608"/>
      <c r="AE126" s="608"/>
      <c r="AF126" s="608"/>
      <c r="AG126" s="608"/>
      <c r="AH126" s="608"/>
      <c r="AI126" s="608"/>
      <c r="AJ126" s="608"/>
      <c r="AK126" s="608"/>
      <c r="AL126" s="608"/>
      <c r="AM126" s="608"/>
      <c r="AN126" s="608"/>
      <c r="AO126" s="608"/>
      <c r="AP126" s="608"/>
      <c r="AQ126" s="608"/>
      <c r="AR126" s="608"/>
      <c r="AS126" s="608"/>
      <c r="AT126" s="608"/>
      <c r="AU126" s="608"/>
      <c r="AV126" s="608"/>
      <c r="AW126" s="608"/>
      <c r="AX126" s="608"/>
      <c r="AY126" s="609"/>
      <c r="AZ126" s="608"/>
      <c r="BA126" s="608"/>
      <c r="BB126" s="608"/>
      <c r="BC126" s="608"/>
      <c r="BD126" s="608"/>
      <c r="BE126" s="608"/>
      <c r="BF126" s="608"/>
      <c r="BG126" s="608"/>
      <c r="BH126" s="608"/>
      <c r="BI126" s="608"/>
      <c r="BJ126" s="608"/>
      <c r="BK126" s="608"/>
      <c r="BL126" s="608"/>
      <c r="BM126" s="608"/>
      <c r="BN126" s="608"/>
      <c r="BO126" s="608"/>
      <c r="BP126" s="608"/>
      <c r="BQ126" s="608"/>
      <c r="BR126" s="608"/>
      <c r="BS126" s="608"/>
      <c r="BT126" s="608"/>
      <c r="BU126" s="608"/>
      <c r="BV126" s="608"/>
      <c r="BW126" s="609"/>
      <c r="BX126" s="608"/>
      <c r="BY126" s="608"/>
      <c r="BZ126" s="608"/>
      <c r="CA126" s="608"/>
      <c r="CB126" s="608"/>
      <c r="CC126" s="123"/>
    </row>
    <row r="127" spans="1:81" hidden="1" outlineLevel="1" x14ac:dyDescent="0.55000000000000004">
      <c r="A127" s="610" t="s">
        <v>307</v>
      </c>
      <c r="B127" s="111"/>
      <c r="C127" s="615">
        <f t="shared" ref="C127:AH127" si="255">ROUND(INDEX(SP_NGF_EBITDA,0,COLUMN())-INDEX(MO_RIS_EBITDA_Adj,0,COLUMN()),6)</f>
        <v>0</v>
      </c>
      <c r="D127" s="615">
        <f t="shared" si="255"/>
        <v>0</v>
      </c>
      <c r="E127" s="615">
        <f t="shared" si="255"/>
        <v>0</v>
      </c>
      <c r="F127" s="615">
        <f t="shared" si="255"/>
        <v>0</v>
      </c>
      <c r="G127" s="615">
        <f t="shared" si="255"/>
        <v>0</v>
      </c>
      <c r="H127" s="615">
        <f t="shared" si="255"/>
        <v>0</v>
      </c>
      <c r="I127" s="615">
        <f t="shared" si="255"/>
        <v>0</v>
      </c>
      <c r="J127" s="615">
        <f t="shared" si="255"/>
        <v>0</v>
      </c>
      <c r="K127" s="615">
        <f t="shared" si="255"/>
        <v>0</v>
      </c>
      <c r="L127" s="615">
        <f t="shared" si="255"/>
        <v>0</v>
      </c>
      <c r="M127" s="615">
        <f t="shared" si="255"/>
        <v>0</v>
      </c>
      <c r="N127" s="615">
        <f t="shared" si="255"/>
        <v>0</v>
      </c>
      <c r="O127" s="615">
        <f t="shared" si="255"/>
        <v>0</v>
      </c>
      <c r="P127" s="615">
        <f t="shared" si="255"/>
        <v>0</v>
      </c>
      <c r="Q127" s="615">
        <f t="shared" si="255"/>
        <v>0</v>
      </c>
      <c r="R127" s="615">
        <f t="shared" si="255"/>
        <v>0</v>
      </c>
      <c r="S127" s="615">
        <f t="shared" si="255"/>
        <v>0</v>
      </c>
      <c r="T127" s="615">
        <f t="shared" si="255"/>
        <v>0</v>
      </c>
      <c r="U127" s="615">
        <f t="shared" si="255"/>
        <v>0</v>
      </c>
      <c r="V127" s="615">
        <f t="shared" si="255"/>
        <v>0</v>
      </c>
      <c r="W127" s="615">
        <f t="shared" si="255"/>
        <v>0</v>
      </c>
      <c r="X127" s="615">
        <f t="shared" si="255"/>
        <v>0</v>
      </c>
      <c r="Y127" s="615">
        <f t="shared" si="255"/>
        <v>0</v>
      </c>
      <c r="Z127" s="615">
        <f t="shared" si="255"/>
        <v>0</v>
      </c>
      <c r="AA127" s="615">
        <f t="shared" si="255"/>
        <v>0</v>
      </c>
      <c r="AB127" s="615">
        <f t="shared" si="255"/>
        <v>0</v>
      </c>
      <c r="AC127" s="615">
        <f t="shared" si="255"/>
        <v>0</v>
      </c>
      <c r="AD127" s="615">
        <f t="shared" si="255"/>
        <v>0</v>
      </c>
      <c r="AE127" s="615">
        <f t="shared" si="255"/>
        <v>0</v>
      </c>
      <c r="AF127" s="615">
        <f t="shared" si="255"/>
        <v>0</v>
      </c>
      <c r="AG127" s="615">
        <f t="shared" si="255"/>
        <v>0</v>
      </c>
      <c r="AH127" s="615">
        <f t="shared" si="255"/>
        <v>0</v>
      </c>
      <c r="AI127" s="615">
        <f t="shared" ref="AI127:BF127" si="256">ROUND(INDEX(SP_NGF_EBITDA,0,COLUMN())-INDEX(MO_RIS_EBITDA_Adj,0,COLUMN()),6)</f>
        <v>0</v>
      </c>
      <c r="AJ127" s="615">
        <f t="shared" si="256"/>
        <v>0</v>
      </c>
      <c r="AK127" s="615">
        <f t="shared" si="256"/>
        <v>0</v>
      </c>
      <c r="AL127" s="615">
        <f t="shared" si="256"/>
        <v>0</v>
      </c>
      <c r="AM127" s="615">
        <f t="shared" si="256"/>
        <v>0</v>
      </c>
      <c r="AN127" s="615">
        <f t="shared" si="256"/>
        <v>0</v>
      </c>
      <c r="AO127" s="615">
        <f t="shared" si="256"/>
        <v>0</v>
      </c>
      <c r="AP127" s="615">
        <f t="shared" si="256"/>
        <v>0</v>
      </c>
      <c r="AQ127" s="615">
        <f t="shared" si="256"/>
        <v>0</v>
      </c>
      <c r="AR127" s="615">
        <f t="shared" si="256"/>
        <v>0</v>
      </c>
      <c r="AS127" s="615">
        <f t="shared" si="256"/>
        <v>0</v>
      </c>
      <c r="AT127" s="615">
        <f t="shared" si="256"/>
        <v>0</v>
      </c>
      <c r="AU127" s="615">
        <f t="shared" si="256"/>
        <v>0</v>
      </c>
      <c r="AV127" s="615">
        <f t="shared" si="256"/>
        <v>0</v>
      </c>
      <c r="AW127" s="615">
        <f t="shared" si="256"/>
        <v>0</v>
      </c>
      <c r="AX127" s="615">
        <f t="shared" si="256"/>
        <v>0</v>
      </c>
      <c r="AY127" s="616">
        <f t="shared" si="256"/>
        <v>0</v>
      </c>
      <c r="AZ127" s="615">
        <f t="shared" si="256"/>
        <v>0</v>
      </c>
      <c r="BA127" s="615">
        <f t="shared" si="256"/>
        <v>0</v>
      </c>
      <c r="BB127" s="615">
        <f t="shared" si="256"/>
        <v>0</v>
      </c>
      <c r="BC127" s="615">
        <f t="shared" si="256"/>
        <v>0</v>
      </c>
      <c r="BD127" s="615">
        <f t="shared" si="256"/>
        <v>0</v>
      </c>
      <c r="BE127" s="615">
        <f t="shared" si="256"/>
        <v>0</v>
      </c>
      <c r="BF127" s="615">
        <f t="shared" si="256"/>
        <v>0</v>
      </c>
      <c r="BG127" s="615"/>
      <c r="BH127" s="615">
        <f t="shared" ref="BH127:CB127" si="257">ROUND(INDEX(SP_NGF_EBITDA,0,COLUMN())-INDEX(MO_RIS_EBITDA_Adj,0,COLUMN()),6)</f>
        <v>0</v>
      </c>
      <c r="BI127" s="615">
        <f t="shared" si="257"/>
        <v>0</v>
      </c>
      <c r="BJ127" s="615">
        <f t="shared" si="257"/>
        <v>0</v>
      </c>
      <c r="BK127" s="615">
        <f t="shared" si="257"/>
        <v>0</v>
      </c>
      <c r="BL127" s="615">
        <f t="shared" si="257"/>
        <v>0</v>
      </c>
      <c r="BM127" s="615">
        <f t="shared" si="257"/>
        <v>0</v>
      </c>
      <c r="BN127" s="615">
        <f t="shared" si="257"/>
        <v>0</v>
      </c>
      <c r="BO127" s="615">
        <f t="shared" si="257"/>
        <v>0</v>
      </c>
      <c r="BP127" s="615">
        <f t="shared" si="257"/>
        <v>0</v>
      </c>
      <c r="BQ127" s="615">
        <f t="shared" si="257"/>
        <v>0</v>
      </c>
      <c r="BR127" s="615">
        <f t="shared" si="257"/>
        <v>0</v>
      </c>
      <c r="BS127" s="615">
        <f t="shared" si="257"/>
        <v>0</v>
      </c>
      <c r="BT127" s="615">
        <f t="shared" si="257"/>
        <v>0</v>
      </c>
      <c r="BU127" s="615">
        <f t="shared" si="257"/>
        <v>0</v>
      </c>
      <c r="BV127" s="615">
        <f t="shared" si="257"/>
        <v>0</v>
      </c>
      <c r="BW127" s="616">
        <f t="shared" si="257"/>
        <v>0</v>
      </c>
      <c r="BX127" s="615">
        <f t="shared" si="257"/>
        <v>0</v>
      </c>
      <c r="BY127" s="615">
        <f t="shared" si="257"/>
        <v>0</v>
      </c>
      <c r="BZ127" s="615">
        <f t="shared" si="257"/>
        <v>0</v>
      </c>
      <c r="CA127" s="615">
        <f t="shared" si="257"/>
        <v>0</v>
      </c>
      <c r="CB127" s="615">
        <f t="shared" si="257"/>
        <v>0</v>
      </c>
      <c r="CC127" s="85"/>
    </row>
    <row r="128" spans="1:81" hidden="1" outlineLevel="1" x14ac:dyDescent="0.55000000000000004">
      <c r="A128" s="610" t="s">
        <v>77</v>
      </c>
      <c r="B128" s="111"/>
      <c r="C128" s="615">
        <f t="shared" ref="C128:AH128" si="258">ROUND(INDEX(SP_GF_EBIT,0,COLUMN())-INDEX(MO_RIS_EBIT,0,COLUMN()),6)</f>
        <v>0</v>
      </c>
      <c r="D128" s="615">
        <f t="shared" si="258"/>
        <v>0</v>
      </c>
      <c r="E128" s="615">
        <f t="shared" si="258"/>
        <v>0</v>
      </c>
      <c r="F128" s="615">
        <f t="shared" si="258"/>
        <v>0</v>
      </c>
      <c r="G128" s="615">
        <f t="shared" si="258"/>
        <v>0</v>
      </c>
      <c r="H128" s="615">
        <f t="shared" si="258"/>
        <v>0</v>
      </c>
      <c r="I128" s="615">
        <f t="shared" si="258"/>
        <v>0</v>
      </c>
      <c r="J128" s="615">
        <f t="shared" si="258"/>
        <v>0</v>
      </c>
      <c r="K128" s="615">
        <f t="shared" si="258"/>
        <v>0</v>
      </c>
      <c r="L128" s="615">
        <f t="shared" si="258"/>
        <v>0</v>
      </c>
      <c r="M128" s="615">
        <f t="shared" si="258"/>
        <v>0</v>
      </c>
      <c r="N128" s="615">
        <f t="shared" si="258"/>
        <v>0</v>
      </c>
      <c r="O128" s="615">
        <f t="shared" si="258"/>
        <v>0</v>
      </c>
      <c r="P128" s="615">
        <f t="shared" si="258"/>
        <v>0</v>
      </c>
      <c r="Q128" s="615">
        <f t="shared" si="258"/>
        <v>0</v>
      </c>
      <c r="R128" s="615">
        <f t="shared" si="258"/>
        <v>0</v>
      </c>
      <c r="S128" s="615">
        <f t="shared" si="258"/>
        <v>0</v>
      </c>
      <c r="T128" s="615">
        <f t="shared" si="258"/>
        <v>0</v>
      </c>
      <c r="U128" s="615">
        <f t="shared" si="258"/>
        <v>0</v>
      </c>
      <c r="V128" s="615">
        <f t="shared" si="258"/>
        <v>0</v>
      </c>
      <c r="W128" s="615">
        <f t="shared" si="258"/>
        <v>0</v>
      </c>
      <c r="X128" s="615">
        <f t="shared" si="258"/>
        <v>0</v>
      </c>
      <c r="Y128" s="615">
        <f t="shared" si="258"/>
        <v>0</v>
      </c>
      <c r="Z128" s="615">
        <f t="shared" si="258"/>
        <v>0</v>
      </c>
      <c r="AA128" s="615">
        <f t="shared" si="258"/>
        <v>0</v>
      </c>
      <c r="AB128" s="615">
        <f t="shared" si="258"/>
        <v>0</v>
      </c>
      <c r="AC128" s="615">
        <f t="shared" si="258"/>
        <v>0</v>
      </c>
      <c r="AD128" s="615">
        <f t="shared" si="258"/>
        <v>0</v>
      </c>
      <c r="AE128" s="615">
        <f t="shared" si="258"/>
        <v>0</v>
      </c>
      <c r="AF128" s="615">
        <f t="shared" si="258"/>
        <v>0</v>
      </c>
      <c r="AG128" s="615">
        <f t="shared" si="258"/>
        <v>0</v>
      </c>
      <c r="AH128" s="615">
        <f t="shared" si="258"/>
        <v>0</v>
      </c>
      <c r="AI128" s="615">
        <f t="shared" ref="AI128:BF128" si="259">ROUND(INDEX(SP_GF_EBIT,0,COLUMN())-INDEX(MO_RIS_EBIT,0,COLUMN()),6)</f>
        <v>0</v>
      </c>
      <c r="AJ128" s="615">
        <f t="shared" si="259"/>
        <v>0</v>
      </c>
      <c r="AK128" s="615">
        <f t="shared" si="259"/>
        <v>0</v>
      </c>
      <c r="AL128" s="615">
        <f t="shared" si="259"/>
        <v>0</v>
      </c>
      <c r="AM128" s="615">
        <f t="shared" si="259"/>
        <v>0</v>
      </c>
      <c r="AN128" s="615">
        <f t="shared" si="259"/>
        <v>0</v>
      </c>
      <c r="AO128" s="615">
        <f t="shared" si="259"/>
        <v>0</v>
      </c>
      <c r="AP128" s="615">
        <f t="shared" si="259"/>
        <v>0</v>
      </c>
      <c r="AQ128" s="615">
        <f t="shared" si="259"/>
        <v>0</v>
      </c>
      <c r="AR128" s="615">
        <f t="shared" si="259"/>
        <v>0</v>
      </c>
      <c r="AS128" s="615">
        <f t="shared" si="259"/>
        <v>0</v>
      </c>
      <c r="AT128" s="615">
        <f t="shared" si="259"/>
        <v>0</v>
      </c>
      <c r="AU128" s="615">
        <f t="shared" si="259"/>
        <v>0</v>
      </c>
      <c r="AV128" s="615">
        <f t="shared" si="259"/>
        <v>0</v>
      </c>
      <c r="AW128" s="615">
        <f t="shared" si="259"/>
        <v>0</v>
      </c>
      <c r="AX128" s="615">
        <f t="shared" si="259"/>
        <v>0</v>
      </c>
      <c r="AY128" s="616">
        <f t="shared" si="259"/>
        <v>0</v>
      </c>
      <c r="AZ128" s="615">
        <f t="shared" si="259"/>
        <v>0</v>
      </c>
      <c r="BA128" s="615">
        <f t="shared" si="259"/>
        <v>0</v>
      </c>
      <c r="BB128" s="615">
        <f t="shared" si="259"/>
        <v>0</v>
      </c>
      <c r="BC128" s="615">
        <f t="shared" si="259"/>
        <v>0</v>
      </c>
      <c r="BD128" s="615">
        <f t="shared" si="259"/>
        <v>0</v>
      </c>
      <c r="BE128" s="615">
        <f t="shared" si="259"/>
        <v>0</v>
      </c>
      <c r="BF128" s="615">
        <f t="shared" si="259"/>
        <v>0</v>
      </c>
      <c r="BG128" s="615"/>
      <c r="BH128" s="615">
        <f t="shared" ref="BH128:CB128" si="260">ROUND(INDEX(SP_GF_EBIT,0,COLUMN())-INDEX(MO_RIS_EBIT,0,COLUMN()),6)</f>
        <v>0</v>
      </c>
      <c r="BI128" s="615">
        <f t="shared" si="260"/>
        <v>0</v>
      </c>
      <c r="BJ128" s="615">
        <f t="shared" si="260"/>
        <v>0</v>
      </c>
      <c r="BK128" s="615">
        <f t="shared" si="260"/>
        <v>0</v>
      </c>
      <c r="BL128" s="615">
        <f t="shared" si="260"/>
        <v>0</v>
      </c>
      <c r="BM128" s="615">
        <f t="shared" si="260"/>
        <v>0</v>
      </c>
      <c r="BN128" s="615">
        <f t="shared" si="260"/>
        <v>0</v>
      </c>
      <c r="BO128" s="615">
        <f t="shared" si="260"/>
        <v>0</v>
      </c>
      <c r="BP128" s="615">
        <f t="shared" si="260"/>
        <v>0</v>
      </c>
      <c r="BQ128" s="615">
        <f t="shared" si="260"/>
        <v>0</v>
      </c>
      <c r="BR128" s="615">
        <f t="shared" si="260"/>
        <v>0</v>
      </c>
      <c r="BS128" s="615">
        <f t="shared" si="260"/>
        <v>0</v>
      </c>
      <c r="BT128" s="615">
        <f t="shared" si="260"/>
        <v>0</v>
      </c>
      <c r="BU128" s="615">
        <f t="shared" si="260"/>
        <v>0</v>
      </c>
      <c r="BV128" s="615">
        <f t="shared" si="260"/>
        <v>0</v>
      </c>
      <c r="BW128" s="616">
        <f t="shared" si="260"/>
        <v>0</v>
      </c>
      <c r="BX128" s="615">
        <f t="shared" si="260"/>
        <v>0</v>
      </c>
      <c r="BY128" s="615">
        <f t="shared" si="260"/>
        <v>0</v>
      </c>
      <c r="BZ128" s="615">
        <f t="shared" si="260"/>
        <v>0</v>
      </c>
      <c r="CA128" s="615">
        <f t="shared" si="260"/>
        <v>0</v>
      </c>
      <c r="CB128" s="615">
        <f t="shared" si="260"/>
        <v>0</v>
      </c>
      <c r="CC128" s="85"/>
    </row>
    <row r="129" spans="1:81" hidden="1" outlineLevel="1" x14ac:dyDescent="0.55000000000000004">
      <c r="A129" s="610" t="s">
        <v>457</v>
      </c>
      <c r="B129" s="111"/>
      <c r="C129" s="615">
        <f t="shared" ref="C129:AH129" si="261">ROUND(INDEX(SP_NGF_EBIT,0,COLUMN())-INDEX(MO_RIS_EBIT_Adj,0,COLUMN()),6)</f>
        <v>0</v>
      </c>
      <c r="D129" s="615">
        <f t="shared" si="261"/>
        <v>0</v>
      </c>
      <c r="E129" s="615">
        <f t="shared" si="261"/>
        <v>0</v>
      </c>
      <c r="F129" s="615">
        <f t="shared" si="261"/>
        <v>0</v>
      </c>
      <c r="G129" s="615">
        <f t="shared" si="261"/>
        <v>0</v>
      </c>
      <c r="H129" s="615">
        <f t="shared" si="261"/>
        <v>0</v>
      </c>
      <c r="I129" s="615">
        <f t="shared" si="261"/>
        <v>0</v>
      </c>
      <c r="J129" s="615">
        <f t="shared" si="261"/>
        <v>0</v>
      </c>
      <c r="K129" s="615">
        <f t="shared" si="261"/>
        <v>0</v>
      </c>
      <c r="L129" s="615">
        <f t="shared" si="261"/>
        <v>0</v>
      </c>
      <c r="M129" s="615">
        <f t="shared" si="261"/>
        <v>0</v>
      </c>
      <c r="N129" s="615">
        <f t="shared" si="261"/>
        <v>0</v>
      </c>
      <c r="O129" s="615">
        <f t="shared" si="261"/>
        <v>0</v>
      </c>
      <c r="P129" s="615">
        <f t="shared" si="261"/>
        <v>0</v>
      </c>
      <c r="Q129" s="615">
        <f t="shared" si="261"/>
        <v>0</v>
      </c>
      <c r="R129" s="615">
        <f t="shared" si="261"/>
        <v>0</v>
      </c>
      <c r="S129" s="615">
        <f t="shared" si="261"/>
        <v>0</v>
      </c>
      <c r="T129" s="615">
        <f t="shared" si="261"/>
        <v>0</v>
      </c>
      <c r="U129" s="615">
        <f t="shared" si="261"/>
        <v>0</v>
      </c>
      <c r="V129" s="615">
        <f t="shared" si="261"/>
        <v>0</v>
      </c>
      <c r="W129" s="615">
        <f t="shared" si="261"/>
        <v>0</v>
      </c>
      <c r="X129" s="615">
        <f t="shared" si="261"/>
        <v>0</v>
      </c>
      <c r="Y129" s="615">
        <f t="shared" si="261"/>
        <v>0</v>
      </c>
      <c r="Z129" s="615">
        <f t="shared" si="261"/>
        <v>0</v>
      </c>
      <c r="AA129" s="615">
        <f t="shared" si="261"/>
        <v>0</v>
      </c>
      <c r="AB129" s="615">
        <f t="shared" si="261"/>
        <v>0</v>
      </c>
      <c r="AC129" s="615">
        <f t="shared" si="261"/>
        <v>0</v>
      </c>
      <c r="AD129" s="615">
        <f t="shared" si="261"/>
        <v>0</v>
      </c>
      <c r="AE129" s="615">
        <f t="shared" si="261"/>
        <v>0</v>
      </c>
      <c r="AF129" s="615">
        <f t="shared" si="261"/>
        <v>0</v>
      </c>
      <c r="AG129" s="615">
        <f t="shared" si="261"/>
        <v>0</v>
      </c>
      <c r="AH129" s="615">
        <f t="shared" si="261"/>
        <v>0</v>
      </c>
      <c r="AI129" s="615">
        <f t="shared" ref="AI129:BF129" si="262">ROUND(INDEX(SP_NGF_EBIT,0,COLUMN())-INDEX(MO_RIS_EBIT_Adj,0,COLUMN()),6)</f>
        <v>0</v>
      </c>
      <c r="AJ129" s="615">
        <f t="shared" si="262"/>
        <v>0</v>
      </c>
      <c r="AK129" s="615">
        <f t="shared" si="262"/>
        <v>0</v>
      </c>
      <c r="AL129" s="615">
        <f t="shared" si="262"/>
        <v>0</v>
      </c>
      <c r="AM129" s="615">
        <f t="shared" si="262"/>
        <v>0</v>
      </c>
      <c r="AN129" s="615">
        <f t="shared" si="262"/>
        <v>0</v>
      </c>
      <c r="AO129" s="615">
        <f t="shared" si="262"/>
        <v>0</v>
      </c>
      <c r="AP129" s="615">
        <f t="shared" si="262"/>
        <v>0</v>
      </c>
      <c r="AQ129" s="615">
        <f t="shared" si="262"/>
        <v>0</v>
      </c>
      <c r="AR129" s="615">
        <f t="shared" si="262"/>
        <v>0</v>
      </c>
      <c r="AS129" s="615">
        <f t="shared" si="262"/>
        <v>0</v>
      </c>
      <c r="AT129" s="615">
        <f t="shared" si="262"/>
        <v>0</v>
      </c>
      <c r="AU129" s="615">
        <f t="shared" si="262"/>
        <v>0</v>
      </c>
      <c r="AV129" s="615">
        <f t="shared" si="262"/>
        <v>0</v>
      </c>
      <c r="AW129" s="615">
        <f t="shared" si="262"/>
        <v>0</v>
      </c>
      <c r="AX129" s="615">
        <f t="shared" si="262"/>
        <v>0</v>
      </c>
      <c r="AY129" s="616">
        <f t="shared" si="262"/>
        <v>0</v>
      </c>
      <c r="AZ129" s="615">
        <f t="shared" si="262"/>
        <v>0</v>
      </c>
      <c r="BA129" s="615">
        <f t="shared" si="262"/>
        <v>0</v>
      </c>
      <c r="BB129" s="615">
        <f t="shared" si="262"/>
        <v>0</v>
      </c>
      <c r="BC129" s="615">
        <f t="shared" si="262"/>
        <v>0</v>
      </c>
      <c r="BD129" s="615">
        <f t="shared" si="262"/>
        <v>0</v>
      </c>
      <c r="BE129" s="615">
        <f t="shared" si="262"/>
        <v>0</v>
      </c>
      <c r="BF129" s="615">
        <f t="shared" si="262"/>
        <v>0</v>
      </c>
      <c r="BG129" s="615"/>
      <c r="BH129" s="615">
        <f t="shared" ref="BH129:CB129" si="263">ROUND(INDEX(SP_NGF_EBIT,0,COLUMN())-INDEX(MO_RIS_EBIT_Adj,0,COLUMN()),6)</f>
        <v>0</v>
      </c>
      <c r="BI129" s="615">
        <f t="shared" si="263"/>
        <v>0</v>
      </c>
      <c r="BJ129" s="615">
        <f t="shared" si="263"/>
        <v>0</v>
      </c>
      <c r="BK129" s="615">
        <f t="shared" si="263"/>
        <v>0</v>
      </c>
      <c r="BL129" s="615">
        <f t="shared" si="263"/>
        <v>0</v>
      </c>
      <c r="BM129" s="615">
        <f t="shared" si="263"/>
        <v>0</v>
      </c>
      <c r="BN129" s="615">
        <f t="shared" si="263"/>
        <v>0</v>
      </c>
      <c r="BO129" s="615">
        <f t="shared" si="263"/>
        <v>0</v>
      </c>
      <c r="BP129" s="615">
        <f t="shared" si="263"/>
        <v>0</v>
      </c>
      <c r="BQ129" s="615">
        <f t="shared" si="263"/>
        <v>0</v>
      </c>
      <c r="BR129" s="615">
        <f t="shared" si="263"/>
        <v>0</v>
      </c>
      <c r="BS129" s="615">
        <f t="shared" si="263"/>
        <v>0</v>
      </c>
      <c r="BT129" s="615">
        <f t="shared" si="263"/>
        <v>0</v>
      </c>
      <c r="BU129" s="615">
        <f t="shared" si="263"/>
        <v>0</v>
      </c>
      <c r="BV129" s="615">
        <f t="shared" si="263"/>
        <v>0</v>
      </c>
      <c r="BW129" s="616">
        <f t="shared" si="263"/>
        <v>0</v>
      </c>
      <c r="BX129" s="615">
        <f t="shared" si="263"/>
        <v>0</v>
      </c>
      <c r="BY129" s="615">
        <f t="shared" si="263"/>
        <v>0</v>
      </c>
      <c r="BZ129" s="615">
        <f t="shared" si="263"/>
        <v>0</v>
      </c>
      <c r="CA129" s="615">
        <f t="shared" si="263"/>
        <v>0</v>
      </c>
      <c r="CB129" s="615">
        <f t="shared" si="263"/>
        <v>0</v>
      </c>
      <c r="CC129" s="85"/>
    </row>
    <row r="130" spans="1:81" hidden="1" outlineLevel="1" x14ac:dyDescent="0.55000000000000004">
      <c r="A130" s="610" t="s">
        <v>308</v>
      </c>
      <c r="B130" s="111"/>
      <c r="C130" s="615">
        <f t="shared" ref="C130:AH130" si="264">ROUND(INDEX(SP_NGF_NI,0,COLUMN())-INDEX(MO_RIS_NI_NONGAAP_Diluted,0,COLUMN()),6)</f>
        <v>0</v>
      </c>
      <c r="D130" s="615">
        <f t="shared" si="264"/>
        <v>0</v>
      </c>
      <c r="E130" s="615">
        <f t="shared" si="264"/>
        <v>0</v>
      </c>
      <c r="F130" s="615">
        <f t="shared" si="264"/>
        <v>0</v>
      </c>
      <c r="G130" s="615">
        <f t="shared" si="264"/>
        <v>0</v>
      </c>
      <c r="H130" s="615">
        <f t="shared" si="264"/>
        <v>0</v>
      </c>
      <c r="I130" s="615">
        <f t="shared" si="264"/>
        <v>0</v>
      </c>
      <c r="J130" s="615">
        <f t="shared" si="264"/>
        <v>0</v>
      </c>
      <c r="K130" s="615">
        <f t="shared" si="264"/>
        <v>0</v>
      </c>
      <c r="L130" s="615">
        <f t="shared" si="264"/>
        <v>0</v>
      </c>
      <c r="M130" s="615">
        <f t="shared" si="264"/>
        <v>0</v>
      </c>
      <c r="N130" s="615">
        <f t="shared" si="264"/>
        <v>0</v>
      </c>
      <c r="O130" s="615">
        <f t="shared" si="264"/>
        <v>0</v>
      </c>
      <c r="P130" s="615">
        <f t="shared" si="264"/>
        <v>0</v>
      </c>
      <c r="Q130" s="615">
        <f t="shared" si="264"/>
        <v>0</v>
      </c>
      <c r="R130" s="615">
        <f t="shared" si="264"/>
        <v>0</v>
      </c>
      <c r="S130" s="615">
        <f t="shared" si="264"/>
        <v>0</v>
      </c>
      <c r="T130" s="615">
        <f t="shared" si="264"/>
        <v>0</v>
      </c>
      <c r="U130" s="615">
        <f t="shared" si="264"/>
        <v>0</v>
      </c>
      <c r="V130" s="615">
        <f t="shared" si="264"/>
        <v>0</v>
      </c>
      <c r="W130" s="615">
        <f t="shared" si="264"/>
        <v>0</v>
      </c>
      <c r="X130" s="615">
        <f t="shared" si="264"/>
        <v>0</v>
      </c>
      <c r="Y130" s="615">
        <f t="shared" si="264"/>
        <v>0</v>
      </c>
      <c r="Z130" s="615">
        <f t="shared" si="264"/>
        <v>0</v>
      </c>
      <c r="AA130" s="615">
        <f t="shared" si="264"/>
        <v>0</v>
      </c>
      <c r="AB130" s="615">
        <f t="shared" si="264"/>
        <v>0</v>
      </c>
      <c r="AC130" s="615">
        <f t="shared" si="264"/>
        <v>0</v>
      </c>
      <c r="AD130" s="615">
        <f t="shared" si="264"/>
        <v>0</v>
      </c>
      <c r="AE130" s="615">
        <f t="shared" si="264"/>
        <v>0</v>
      </c>
      <c r="AF130" s="615">
        <f t="shared" si="264"/>
        <v>0</v>
      </c>
      <c r="AG130" s="615">
        <f t="shared" si="264"/>
        <v>0</v>
      </c>
      <c r="AH130" s="615">
        <f t="shared" si="264"/>
        <v>0</v>
      </c>
      <c r="AI130" s="615">
        <f t="shared" ref="AI130:BF130" si="265">ROUND(INDEX(SP_NGF_NI,0,COLUMN())-INDEX(MO_RIS_NI_NONGAAP_Diluted,0,COLUMN()),6)</f>
        <v>0</v>
      </c>
      <c r="AJ130" s="615">
        <f t="shared" si="265"/>
        <v>0</v>
      </c>
      <c r="AK130" s="615">
        <f t="shared" si="265"/>
        <v>0</v>
      </c>
      <c r="AL130" s="615">
        <f t="shared" si="265"/>
        <v>0</v>
      </c>
      <c r="AM130" s="615">
        <f t="shared" si="265"/>
        <v>0</v>
      </c>
      <c r="AN130" s="615">
        <f t="shared" si="265"/>
        <v>0</v>
      </c>
      <c r="AO130" s="615">
        <f t="shared" si="265"/>
        <v>0</v>
      </c>
      <c r="AP130" s="615">
        <f t="shared" si="265"/>
        <v>0</v>
      </c>
      <c r="AQ130" s="615">
        <f t="shared" si="265"/>
        <v>0</v>
      </c>
      <c r="AR130" s="615">
        <f t="shared" si="265"/>
        <v>0</v>
      </c>
      <c r="AS130" s="615">
        <f t="shared" si="265"/>
        <v>0</v>
      </c>
      <c r="AT130" s="615">
        <f t="shared" si="265"/>
        <v>0</v>
      </c>
      <c r="AU130" s="615">
        <f t="shared" si="265"/>
        <v>0</v>
      </c>
      <c r="AV130" s="615">
        <f t="shared" si="265"/>
        <v>0</v>
      </c>
      <c r="AW130" s="615">
        <f t="shared" si="265"/>
        <v>0</v>
      </c>
      <c r="AX130" s="615">
        <f t="shared" si="265"/>
        <v>0</v>
      </c>
      <c r="AY130" s="616">
        <f t="shared" si="265"/>
        <v>0</v>
      </c>
      <c r="AZ130" s="615">
        <f t="shared" si="265"/>
        <v>0</v>
      </c>
      <c r="BA130" s="615">
        <f t="shared" ca="1" si="265"/>
        <v>0</v>
      </c>
      <c r="BB130" s="615">
        <f t="shared" ca="1" si="265"/>
        <v>0</v>
      </c>
      <c r="BC130" s="615">
        <f t="shared" ca="1" si="265"/>
        <v>0</v>
      </c>
      <c r="BD130" s="615">
        <f t="shared" ca="1" si="265"/>
        <v>0</v>
      </c>
      <c r="BE130" s="615">
        <f t="shared" ca="1" si="265"/>
        <v>0</v>
      </c>
      <c r="BF130" s="615">
        <f t="shared" ca="1" si="265"/>
        <v>0</v>
      </c>
      <c r="BG130" s="615"/>
      <c r="BH130" s="615">
        <f t="shared" ref="BH130:CB130" si="266">ROUND(INDEX(SP_NGF_NI,0,COLUMN())-INDEX(MO_RIS_NI_NONGAAP_Diluted,0,COLUMN()),6)</f>
        <v>0</v>
      </c>
      <c r="BI130" s="615">
        <f t="shared" si="266"/>
        <v>0</v>
      </c>
      <c r="BJ130" s="615">
        <f t="shared" si="266"/>
        <v>0</v>
      </c>
      <c r="BK130" s="615">
        <f t="shared" si="266"/>
        <v>0</v>
      </c>
      <c r="BL130" s="615">
        <f t="shared" si="266"/>
        <v>0</v>
      </c>
      <c r="BM130" s="615">
        <f t="shared" si="266"/>
        <v>0</v>
      </c>
      <c r="BN130" s="615">
        <f t="shared" si="266"/>
        <v>0</v>
      </c>
      <c r="BO130" s="615">
        <f t="shared" si="266"/>
        <v>0</v>
      </c>
      <c r="BP130" s="615">
        <f t="shared" si="266"/>
        <v>0</v>
      </c>
      <c r="BQ130" s="615">
        <f t="shared" si="266"/>
        <v>0</v>
      </c>
      <c r="BR130" s="615">
        <f t="shared" si="266"/>
        <v>0</v>
      </c>
      <c r="BS130" s="615">
        <f t="shared" si="266"/>
        <v>0</v>
      </c>
      <c r="BT130" s="615">
        <f t="shared" si="266"/>
        <v>0</v>
      </c>
      <c r="BU130" s="615">
        <f t="shared" si="266"/>
        <v>0</v>
      </c>
      <c r="BV130" s="615">
        <f t="shared" si="266"/>
        <v>0</v>
      </c>
      <c r="BW130" s="616">
        <f t="shared" si="266"/>
        <v>0</v>
      </c>
      <c r="BX130" s="615">
        <f t="shared" ca="1" si="266"/>
        <v>0</v>
      </c>
      <c r="BY130" s="615">
        <f t="shared" ca="1" si="266"/>
        <v>0</v>
      </c>
      <c r="BZ130" s="615">
        <f t="shared" ca="1" si="266"/>
        <v>0</v>
      </c>
      <c r="CA130" s="615">
        <f t="shared" ca="1" si="266"/>
        <v>0</v>
      </c>
      <c r="CB130" s="615">
        <f t="shared" ca="1" si="266"/>
        <v>0</v>
      </c>
      <c r="CC130" s="85"/>
    </row>
    <row r="131" spans="1:81" hidden="1" outlineLevel="1" x14ac:dyDescent="0.55000000000000004">
      <c r="A131" s="610" t="s">
        <v>309</v>
      </c>
      <c r="B131" s="111"/>
      <c r="C131" s="615">
        <f t="shared" ref="C131:AH131" si="267">ROUND(INDEX(SP_GF_NI,0,COLUMN())-INDEX(MO_RIS_NI_GAAP_Basic,0,COLUMN()),6)</f>
        <v>0</v>
      </c>
      <c r="D131" s="615">
        <f t="shared" si="267"/>
        <v>0</v>
      </c>
      <c r="E131" s="615">
        <f t="shared" si="267"/>
        <v>0</v>
      </c>
      <c r="F131" s="615">
        <f t="shared" si="267"/>
        <v>0</v>
      </c>
      <c r="G131" s="615">
        <f t="shared" si="267"/>
        <v>0</v>
      </c>
      <c r="H131" s="615">
        <f t="shared" si="267"/>
        <v>0</v>
      </c>
      <c r="I131" s="615">
        <f t="shared" si="267"/>
        <v>0</v>
      </c>
      <c r="J131" s="615">
        <f t="shared" si="267"/>
        <v>0</v>
      </c>
      <c r="K131" s="615">
        <f t="shared" si="267"/>
        <v>0</v>
      </c>
      <c r="L131" s="615">
        <f t="shared" si="267"/>
        <v>0</v>
      </c>
      <c r="M131" s="615">
        <f t="shared" si="267"/>
        <v>0</v>
      </c>
      <c r="N131" s="615">
        <f t="shared" si="267"/>
        <v>0</v>
      </c>
      <c r="O131" s="615">
        <f t="shared" si="267"/>
        <v>0</v>
      </c>
      <c r="P131" s="615">
        <f t="shared" si="267"/>
        <v>0</v>
      </c>
      <c r="Q131" s="615">
        <f t="shared" si="267"/>
        <v>0</v>
      </c>
      <c r="R131" s="615">
        <f t="shared" si="267"/>
        <v>0</v>
      </c>
      <c r="S131" s="615">
        <f t="shared" si="267"/>
        <v>0</v>
      </c>
      <c r="T131" s="615">
        <f t="shared" si="267"/>
        <v>0</v>
      </c>
      <c r="U131" s="615">
        <f t="shared" si="267"/>
        <v>0</v>
      </c>
      <c r="V131" s="615">
        <f t="shared" si="267"/>
        <v>0</v>
      </c>
      <c r="W131" s="615">
        <f t="shared" si="267"/>
        <v>0</v>
      </c>
      <c r="X131" s="615">
        <f t="shared" si="267"/>
        <v>0</v>
      </c>
      <c r="Y131" s="615">
        <f t="shared" si="267"/>
        <v>0</v>
      </c>
      <c r="Z131" s="615">
        <f t="shared" si="267"/>
        <v>0</v>
      </c>
      <c r="AA131" s="615">
        <f t="shared" si="267"/>
        <v>0</v>
      </c>
      <c r="AB131" s="615">
        <f t="shared" si="267"/>
        <v>0</v>
      </c>
      <c r="AC131" s="615">
        <f t="shared" si="267"/>
        <v>0</v>
      </c>
      <c r="AD131" s="615">
        <f t="shared" si="267"/>
        <v>0</v>
      </c>
      <c r="AE131" s="615">
        <f t="shared" si="267"/>
        <v>0</v>
      </c>
      <c r="AF131" s="615">
        <f t="shared" si="267"/>
        <v>0</v>
      </c>
      <c r="AG131" s="615">
        <f t="shared" si="267"/>
        <v>0</v>
      </c>
      <c r="AH131" s="615">
        <f t="shared" si="267"/>
        <v>0</v>
      </c>
      <c r="AI131" s="615">
        <f t="shared" ref="AI131:BF131" si="268">ROUND(INDEX(SP_GF_NI,0,COLUMN())-INDEX(MO_RIS_NI_GAAP_Basic,0,COLUMN()),6)</f>
        <v>0</v>
      </c>
      <c r="AJ131" s="615">
        <f t="shared" si="268"/>
        <v>0</v>
      </c>
      <c r="AK131" s="615">
        <f t="shared" si="268"/>
        <v>0</v>
      </c>
      <c r="AL131" s="615">
        <f t="shared" si="268"/>
        <v>0</v>
      </c>
      <c r="AM131" s="615">
        <f t="shared" si="268"/>
        <v>0</v>
      </c>
      <c r="AN131" s="615">
        <f t="shared" si="268"/>
        <v>0</v>
      </c>
      <c r="AO131" s="615">
        <f t="shared" si="268"/>
        <v>0</v>
      </c>
      <c r="AP131" s="615">
        <f t="shared" si="268"/>
        <v>0</v>
      </c>
      <c r="AQ131" s="615">
        <f t="shared" si="268"/>
        <v>0</v>
      </c>
      <c r="AR131" s="615">
        <f t="shared" si="268"/>
        <v>0</v>
      </c>
      <c r="AS131" s="615">
        <f t="shared" si="268"/>
        <v>0</v>
      </c>
      <c r="AT131" s="615">
        <f t="shared" si="268"/>
        <v>0</v>
      </c>
      <c r="AU131" s="615">
        <f t="shared" si="268"/>
        <v>0</v>
      </c>
      <c r="AV131" s="615">
        <f t="shared" si="268"/>
        <v>0</v>
      </c>
      <c r="AW131" s="615">
        <f t="shared" si="268"/>
        <v>0</v>
      </c>
      <c r="AX131" s="615">
        <f t="shared" si="268"/>
        <v>0</v>
      </c>
      <c r="AY131" s="616">
        <f t="shared" si="268"/>
        <v>0</v>
      </c>
      <c r="AZ131" s="615">
        <f t="shared" si="268"/>
        <v>0</v>
      </c>
      <c r="BA131" s="615">
        <f t="shared" ca="1" si="268"/>
        <v>0</v>
      </c>
      <c r="BB131" s="615">
        <f t="shared" ca="1" si="268"/>
        <v>0</v>
      </c>
      <c r="BC131" s="615">
        <f t="shared" ca="1" si="268"/>
        <v>0</v>
      </c>
      <c r="BD131" s="615">
        <f t="shared" ca="1" si="268"/>
        <v>0</v>
      </c>
      <c r="BE131" s="615">
        <f t="shared" ca="1" si="268"/>
        <v>0</v>
      </c>
      <c r="BF131" s="615">
        <f t="shared" ca="1" si="268"/>
        <v>0</v>
      </c>
      <c r="BG131" s="615"/>
      <c r="BH131" s="615">
        <f t="shared" ref="BH131:CB131" si="269">ROUND(INDEX(SP_GF_NI,0,COLUMN())-INDEX(MO_RIS_NI_GAAP_Basic,0,COLUMN()),6)</f>
        <v>0</v>
      </c>
      <c r="BI131" s="615">
        <f t="shared" si="269"/>
        <v>0</v>
      </c>
      <c r="BJ131" s="615">
        <f t="shared" si="269"/>
        <v>0</v>
      </c>
      <c r="BK131" s="615">
        <f t="shared" si="269"/>
        <v>0</v>
      </c>
      <c r="BL131" s="615">
        <f t="shared" si="269"/>
        <v>0</v>
      </c>
      <c r="BM131" s="615">
        <f t="shared" si="269"/>
        <v>0</v>
      </c>
      <c r="BN131" s="615">
        <f t="shared" si="269"/>
        <v>0</v>
      </c>
      <c r="BO131" s="615">
        <f t="shared" si="269"/>
        <v>0</v>
      </c>
      <c r="BP131" s="615">
        <f t="shared" si="269"/>
        <v>0</v>
      </c>
      <c r="BQ131" s="615">
        <f t="shared" si="269"/>
        <v>0</v>
      </c>
      <c r="BR131" s="615">
        <f t="shared" si="269"/>
        <v>0</v>
      </c>
      <c r="BS131" s="615">
        <f t="shared" si="269"/>
        <v>0</v>
      </c>
      <c r="BT131" s="615">
        <f t="shared" si="269"/>
        <v>0</v>
      </c>
      <c r="BU131" s="615">
        <f t="shared" si="269"/>
        <v>0</v>
      </c>
      <c r="BV131" s="615">
        <f t="shared" si="269"/>
        <v>0</v>
      </c>
      <c r="BW131" s="616">
        <f t="shared" si="269"/>
        <v>0</v>
      </c>
      <c r="BX131" s="615">
        <f t="shared" ca="1" si="269"/>
        <v>0</v>
      </c>
      <c r="BY131" s="615">
        <f t="shared" ca="1" si="269"/>
        <v>0</v>
      </c>
      <c r="BZ131" s="615">
        <f t="shared" ca="1" si="269"/>
        <v>0</v>
      </c>
      <c r="CA131" s="615">
        <f t="shared" ca="1" si="269"/>
        <v>0</v>
      </c>
      <c r="CB131" s="615">
        <f t="shared" ca="1" si="269"/>
        <v>0</v>
      </c>
      <c r="CC131" s="85"/>
    </row>
    <row r="132" spans="1:81" hidden="1" outlineLevel="1" x14ac:dyDescent="0.55000000000000004">
      <c r="A132" s="610" t="s">
        <v>310</v>
      </c>
      <c r="B132" s="111"/>
      <c r="C132" s="615">
        <f t="shared" ref="C132:AH132" ca="1" si="270">ROUND(INDEX(SP_CFA_NetChange,0,COLUMN())-INDEX(MO_CFS_NetChange,0,COLUMN()),6)</f>
        <v>0</v>
      </c>
      <c r="D132" s="615">
        <f t="shared" ca="1" si="270"/>
        <v>0</v>
      </c>
      <c r="E132" s="615">
        <f t="shared" ca="1" si="270"/>
        <v>0</v>
      </c>
      <c r="F132" s="615">
        <f t="shared" ca="1" si="270"/>
        <v>0</v>
      </c>
      <c r="G132" s="615">
        <f t="shared" ca="1" si="270"/>
        <v>0</v>
      </c>
      <c r="H132" s="615">
        <f t="shared" ca="1" si="270"/>
        <v>0</v>
      </c>
      <c r="I132" s="615">
        <f t="shared" ca="1" si="270"/>
        <v>0</v>
      </c>
      <c r="J132" s="615">
        <f t="shared" ca="1" si="270"/>
        <v>0</v>
      </c>
      <c r="K132" s="615">
        <f t="shared" ca="1" si="270"/>
        <v>0</v>
      </c>
      <c r="L132" s="615">
        <f t="shared" ca="1" si="270"/>
        <v>0</v>
      </c>
      <c r="M132" s="615">
        <f t="shared" ca="1" si="270"/>
        <v>0</v>
      </c>
      <c r="N132" s="615">
        <f t="shared" ca="1" si="270"/>
        <v>0</v>
      </c>
      <c r="O132" s="615">
        <f t="shared" ca="1" si="270"/>
        <v>0</v>
      </c>
      <c r="P132" s="615">
        <f t="shared" ca="1" si="270"/>
        <v>0</v>
      </c>
      <c r="Q132" s="615">
        <f t="shared" ca="1" si="270"/>
        <v>0</v>
      </c>
      <c r="R132" s="615">
        <f t="shared" ca="1" si="270"/>
        <v>0</v>
      </c>
      <c r="S132" s="615">
        <f t="shared" ca="1" si="270"/>
        <v>0</v>
      </c>
      <c r="T132" s="615">
        <f t="shared" ca="1" si="270"/>
        <v>0</v>
      </c>
      <c r="U132" s="615">
        <f t="shared" ca="1" si="270"/>
        <v>0</v>
      </c>
      <c r="V132" s="615">
        <f t="shared" ca="1" si="270"/>
        <v>0</v>
      </c>
      <c r="W132" s="615">
        <f t="shared" ca="1" si="270"/>
        <v>0</v>
      </c>
      <c r="X132" s="615">
        <f t="shared" ca="1" si="270"/>
        <v>0</v>
      </c>
      <c r="Y132" s="615">
        <f t="shared" ca="1" si="270"/>
        <v>0</v>
      </c>
      <c r="Z132" s="615">
        <f t="shared" ca="1" si="270"/>
        <v>0</v>
      </c>
      <c r="AA132" s="615">
        <f t="shared" ca="1" si="270"/>
        <v>0</v>
      </c>
      <c r="AB132" s="615">
        <f t="shared" ca="1" si="270"/>
        <v>0</v>
      </c>
      <c r="AC132" s="615">
        <f t="shared" ca="1" si="270"/>
        <v>0</v>
      </c>
      <c r="AD132" s="615">
        <f t="shared" ca="1" si="270"/>
        <v>0</v>
      </c>
      <c r="AE132" s="615">
        <f t="shared" ca="1" si="270"/>
        <v>0</v>
      </c>
      <c r="AF132" s="615">
        <f t="shared" ca="1" si="270"/>
        <v>0</v>
      </c>
      <c r="AG132" s="615">
        <f t="shared" ca="1" si="270"/>
        <v>0</v>
      </c>
      <c r="AH132" s="615">
        <f t="shared" ca="1" si="270"/>
        <v>0</v>
      </c>
      <c r="AI132" s="615">
        <f t="shared" ref="AI132:BF132" ca="1" si="271">ROUND(INDEX(SP_CFA_NetChange,0,COLUMN())-INDEX(MO_CFS_NetChange,0,COLUMN()),6)</f>
        <v>0</v>
      </c>
      <c r="AJ132" s="615">
        <f t="shared" ca="1" si="271"/>
        <v>0</v>
      </c>
      <c r="AK132" s="615">
        <f t="shared" ca="1" si="271"/>
        <v>0</v>
      </c>
      <c r="AL132" s="615">
        <f t="shared" ca="1" si="271"/>
        <v>0</v>
      </c>
      <c r="AM132" s="615">
        <f t="shared" ca="1" si="271"/>
        <v>0</v>
      </c>
      <c r="AN132" s="615">
        <f t="shared" ca="1" si="271"/>
        <v>0</v>
      </c>
      <c r="AO132" s="615">
        <f t="shared" ca="1" si="271"/>
        <v>0</v>
      </c>
      <c r="AP132" s="615">
        <f t="shared" ca="1" si="271"/>
        <v>0</v>
      </c>
      <c r="AQ132" s="615">
        <f t="shared" ca="1" si="271"/>
        <v>0</v>
      </c>
      <c r="AR132" s="615">
        <f t="shared" ca="1" si="271"/>
        <v>0</v>
      </c>
      <c r="AS132" s="615">
        <f t="shared" ca="1" si="271"/>
        <v>0</v>
      </c>
      <c r="AT132" s="615">
        <f t="shared" ca="1" si="271"/>
        <v>0</v>
      </c>
      <c r="AU132" s="615">
        <f t="shared" ca="1" si="271"/>
        <v>0</v>
      </c>
      <c r="AV132" s="615">
        <f t="shared" ca="1" si="271"/>
        <v>0</v>
      </c>
      <c r="AW132" s="615">
        <f t="shared" ca="1" si="271"/>
        <v>0</v>
      </c>
      <c r="AX132" s="615">
        <f t="shared" ca="1" si="271"/>
        <v>0</v>
      </c>
      <c r="AY132" s="616">
        <f t="shared" ca="1" si="271"/>
        <v>0</v>
      </c>
      <c r="AZ132" s="615">
        <f t="shared" ca="1" si="271"/>
        <v>0</v>
      </c>
      <c r="BA132" s="615">
        <f t="shared" ca="1" si="271"/>
        <v>0</v>
      </c>
      <c r="BB132" s="615">
        <f t="shared" ca="1" si="271"/>
        <v>0</v>
      </c>
      <c r="BC132" s="615">
        <f t="shared" ca="1" si="271"/>
        <v>0</v>
      </c>
      <c r="BD132" s="615">
        <f t="shared" ca="1" si="271"/>
        <v>0</v>
      </c>
      <c r="BE132" s="615">
        <f t="shared" ca="1" si="271"/>
        <v>0</v>
      </c>
      <c r="BF132" s="615">
        <f t="shared" ca="1" si="271"/>
        <v>0</v>
      </c>
      <c r="BG132" s="615"/>
      <c r="BH132" s="615">
        <f t="shared" ref="BH132:CB132" ca="1" si="272">ROUND(INDEX(SP_CFA_NetChange,0,COLUMN())-INDEX(MO_CFS_NetChange,0,COLUMN()),6)</f>
        <v>0</v>
      </c>
      <c r="BI132" s="615">
        <f t="shared" ca="1" si="272"/>
        <v>0</v>
      </c>
      <c r="BJ132" s="615">
        <f t="shared" ca="1" si="272"/>
        <v>0</v>
      </c>
      <c r="BK132" s="615">
        <f t="shared" ca="1" si="272"/>
        <v>0</v>
      </c>
      <c r="BL132" s="615">
        <f t="shared" ca="1" si="272"/>
        <v>0</v>
      </c>
      <c r="BM132" s="615">
        <f t="shared" ca="1" si="272"/>
        <v>0</v>
      </c>
      <c r="BN132" s="615">
        <f t="shared" ca="1" si="272"/>
        <v>0</v>
      </c>
      <c r="BO132" s="615">
        <f t="shared" ca="1" si="272"/>
        <v>0</v>
      </c>
      <c r="BP132" s="615">
        <f t="shared" ca="1" si="272"/>
        <v>0</v>
      </c>
      <c r="BQ132" s="615">
        <f t="shared" ca="1" si="272"/>
        <v>0</v>
      </c>
      <c r="BR132" s="615">
        <f t="shared" ca="1" si="272"/>
        <v>0</v>
      </c>
      <c r="BS132" s="615">
        <f t="shared" ca="1" si="272"/>
        <v>0</v>
      </c>
      <c r="BT132" s="615">
        <f t="shared" ca="1" si="272"/>
        <v>0</v>
      </c>
      <c r="BU132" s="615">
        <f t="shared" ca="1" si="272"/>
        <v>0</v>
      </c>
      <c r="BV132" s="615">
        <f t="shared" ca="1" si="272"/>
        <v>0</v>
      </c>
      <c r="BW132" s="616">
        <f t="shared" ca="1" si="272"/>
        <v>0</v>
      </c>
      <c r="BX132" s="615">
        <f t="shared" ca="1" si="272"/>
        <v>0</v>
      </c>
      <c r="BY132" s="615">
        <f t="shared" ca="1" si="272"/>
        <v>0</v>
      </c>
      <c r="BZ132" s="615">
        <f t="shared" ca="1" si="272"/>
        <v>0</v>
      </c>
      <c r="CA132" s="615">
        <f t="shared" ca="1" si="272"/>
        <v>0</v>
      </c>
      <c r="CB132" s="615">
        <f t="shared" ca="1" si="272"/>
        <v>0</v>
      </c>
      <c r="CC132" s="85"/>
    </row>
    <row r="133" spans="1:81" collapsed="1" x14ac:dyDescent="0.55000000000000004">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c r="AT133" s="126"/>
      <c r="AU133" s="126"/>
      <c r="AV133" s="126"/>
      <c r="AW133" s="126"/>
      <c r="AX133" s="126"/>
      <c r="AY133" s="276"/>
      <c r="AZ133" s="126"/>
      <c r="BA133" s="126"/>
      <c r="BB133" s="126"/>
      <c r="BC133" s="126"/>
      <c r="BD133" s="126"/>
      <c r="BE133" s="126"/>
      <c r="BF133" s="126"/>
      <c r="BG133" s="126"/>
      <c r="BH133" s="154"/>
      <c r="BI133" s="154"/>
      <c r="BJ133" s="154"/>
      <c r="BK133" s="154"/>
      <c r="BL133" s="154"/>
      <c r="BM133" s="154"/>
      <c r="BN133" s="154"/>
      <c r="BO133" s="154"/>
      <c r="BP133" s="154"/>
      <c r="BQ133" s="154"/>
      <c r="BR133" s="154"/>
      <c r="BS133" s="154"/>
      <c r="BT133" s="154"/>
      <c r="BU133" s="154"/>
      <c r="BV133" s="154"/>
      <c r="BW133" s="1017"/>
      <c r="BX133" s="154"/>
      <c r="BY133" s="154"/>
      <c r="BZ133" s="154"/>
      <c r="CA133" s="154"/>
      <c r="CB133" s="154"/>
      <c r="CC133" s="126"/>
    </row>
    <row r="134" spans="1:81" x14ac:dyDescent="0.55000000000000004">
      <c r="A134" s="207" t="s">
        <v>1025</v>
      </c>
      <c r="B134" s="120"/>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c r="AA134" s="120"/>
      <c r="AB134" s="120"/>
      <c r="AC134" s="120"/>
      <c r="AD134" s="120"/>
      <c r="AE134" s="120"/>
      <c r="AF134" s="120"/>
      <c r="AG134" s="120"/>
      <c r="AH134" s="120"/>
      <c r="AI134" s="120"/>
      <c r="AJ134" s="120"/>
      <c r="AK134" s="120"/>
      <c r="AL134" s="120"/>
      <c r="AM134" s="120"/>
      <c r="AN134" s="120"/>
      <c r="AO134" s="120"/>
      <c r="AP134" s="120"/>
      <c r="AQ134" s="120"/>
      <c r="AR134" s="120"/>
      <c r="AS134" s="120"/>
      <c r="AT134" s="120"/>
      <c r="AU134" s="120"/>
      <c r="AV134" s="120"/>
      <c r="AW134" s="120"/>
      <c r="AX134" s="120"/>
      <c r="AY134" s="746"/>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746"/>
      <c r="BX134" s="120"/>
      <c r="BY134" s="120"/>
      <c r="BZ134" s="120"/>
      <c r="CA134" s="120"/>
      <c r="CB134" s="120"/>
      <c r="CC134" s="126"/>
    </row>
    <row r="135" spans="1:81" collapsed="1" x14ac:dyDescent="0.55000000000000004">
      <c r="A135" s="35"/>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c r="AT135" s="126"/>
      <c r="AU135" s="126"/>
      <c r="AV135" s="126"/>
      <c r="AW135" s="126"/>
      <c r="AX135" s="126"/>
      <c r="AY135" s="126"/>
      <c r="AZ135" s="126"/>
      <c r="BA135" s="126"/>
      <c r="BB135" s="126"/>
      <c r="BC135" s="126"/>
      <c r="BD135" s="126"/>
      <c r="BE135" s="126"/>
      <c r="BF135" s="126"/>
      <c r="BG135" s="126"/>
      <c r="BH135" s="126"/>
      <c r="BI135" s="126"/>
      <c r="BJ135" s="126"/>
      <c r="BK135" s="126"/>
      <c r="BL135" s="126"/>
      <c r="BM135" s="126"/>
      <c r="BN135" s="126"/>
      <c r="BO135" s="126"/>
      <c r="BP135" s="126"/>
      <c r="BQ135" s="126"/>
      <c r="BR135" s="126"/>
      <c r="BS135" s="126"/>
      <c r="BT135" s="126"/>
      <c r="BU135" s="126"/>
      <c r="BV135" s="126"/>
      <c r="BW135" s="126"/>
      <c r="BX135" s="126"/>
      <c r="BY135" s="126"/>
      <c r="BZ135" s="126"/>
      <c r="CA135" s="126"/>
      <c r="CB135" s="126"/>
      <c r="CC135" s="126"/>
    </row>
  </sheetData>
  <conditionalFormatting sqref="C127:CB132">
    <cfRule type="cellIs" dxfId="1" priority="256" operator="notEqual">
      <formula>0</formula>
    </cfRule>
    <cfRule type="cellIs" dxfId="0" priority="257" operator="equal">
      <formula>0</formula>
    </cfRule>
  </conditionalFormatting>
  <dataValidations count="1">
    <dataValidation type="list" allowBlank="1" showInputMessage="1" showErrorMessage="1" sqref="B4" xr:uid="{00000000-0002-0000-0500-000000000000}">
      <formula1>OFFSET(tb_ValuationToggle,1,0,4,1)</formula1>
    </dataValidation>
  </dataValidations>
  <pageMargins left="0.7" right="0.7" top="0.75" bottom="0.75" header="0.3" footer="0.3"/>
  <pageSetup scale="3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023D5-766F-4747-A85D-214F87573C11}">
  <sheetPr codeName="Sheet41"/>
  <dimension ref="A1:J93"/>
  <sheetViews>
    <sheetView showGridLines="0" workbookViewId="0"/>
  </sheetViews>
  <sheetFormatPr defaultColWidth="8.734375" defaultRowHeight="14.4" x14ac:dyDescent="0.55000000000000004"/>
  <cols>
    <col min="1" max="1" width="4.41796875" style="2" customWidth="1"/>
    <col min="2" max="2" width="9.734375" style="2" customWidth="1"/>
    <col min="3" max="3" width="15.734375" style="2" customWidth="1"/>
    <col min="4" max="4" width="20.734375" style="2" customWidth="1"/>
    <col min="5" max="5" width="30.734375" style="2" customWidth="1"/>
    <col min="6" max="6" width="20.734375" style="2"/>
    <col min="7" max="7" width="23.734375" style="2" customWidth="1"/>
    <col min="8" max="8" width="45.734375" style="2" customWidth="1"/>
    <col min="9" max="9" width="7.734375" style="2" customWidth="1"/>
    <col min="10" max="13" width="8.734375" style="2" customWidth="1"/>
    <col min="14" max="16384" width="8.734375" style="2"/>
  </cols>
  <sheetData>
    <row r="1" spans="1:10" x14ac:dyDescent="0.55000000000000004">
      <c r="A1" s="3"/>
      <c r="B1" s="3"/>
      <c r="C1" s="3"/>
      <c r="D1" s="3"/>
      <c r="E1" s="3"/>
      <c r="F1" s="3"/>
      <c r="G1" s="3"/>
      <c r="H1" s="3"/>
      <c r="I1" s="3"/>
      <c r="J1" s="3"/>
    </row>
    <row r="2" spans="1:10" x14ac:dyDescent="0.55000000000000004">
      <c r="A2" s="3"/>
      <c r="B2" s="3"/>
      <c r="C2" s="3"/>
      <c r="D2" s="3"/>
      <c r="E2" s="3"/>
      <c r="F2" s="3"/>
      <c r="G2" s="3"/>
      <c r="H2" s="3"/>
      <c r="I2" s="3"/>
      <c r="J2" s="3"/>
    </row>
    <row r="3" spans="1:10" x14ac:dyDescent="0.55000000000000004">
      <c r="A3" s="3"/>
      <c r="B3" s="3"/>
      <c r="C3" s="3"/>
      <c r="D3" s="3"/>
      <c r="E3" s="3"/>
      <c r="F3" s="3"/>
      <c r="G3" s="3"/>
      <c r="H3" s="3"/>
      <c r="I3" s="3"/>
      <c r="J3" s="3"/>
    </row>
    <row r="4" spans="1:10" x14ac:dyDescent="0.55000000000000004">
      <c r="A4" s="3"/>
      <c r="B4" s="3"/>
      <c r="C4" s="3"/>
      <c r="D4" s="3"/>
      <c r="E4" s="3"/>
      <c r="F4" s="3"/>
      <c r="G4" s="3"/>
      <c r="H4" s="3"/>
      <c r="I4" s="3"/>
      <c r="J4" s="3"/>
    </row>
    <row r="5" spans="1:10" x14ac:dyDescent="0.55000000000000004">
      <c r="A5" s="3"/>
      <c r="B5" s="3"/>
      <c r="C5" s="3"/>
      <c r="D5" s="3"/>
      <c r="E5" s="3"/>
      <c r="F5" s="3"/>
      <c r="G5" s="3"/>
      <c r="H5" s="3"/>
      <c r="I5" s="3"/>
      <c r="J5" s="3"/>
    </row>
    <row r="6" spans="1:10" x14ac:dyDescent="0.55000000000000004">
      <c r="A6" s="3"/>
      <c r="B6" s="3"/>
      <c r="C6" s="3"/>
      <c r="D6" s="3"/>
      <c r="E6" s="3"/>
      <c r="F6" s="3"/>
      <c r="G6" s="3"/>
      <c r="H6" s="3"/>
      <c r="I6" s="3"/>
      <c r="J6" s="3"/>
    </row>
    <row r="7" spans="1:10" ht="18.3" x14ac:dyDescent="0.55000000000000004">
      <c r="A7" s="3"/>
      <c r="B7" s="3"/>
      <c r="C7" s="3"/>
      <c r="D7" s="3"/>
      <c r="E7" s="462">
        <f>MATCH(UL.MRQ,MO_Common_ColumnHeader,0)</f>
        <v>51</v>
      </c>
      <c r="F7" s="454" t="s">
        <v>1082</v>
      </c>
      <c r="G7" s="454"/>
      <c r="H7" s="463" t="str">
        <f>AA.CSIN</f>
        <v>T897CE0113</v>
      </c>
      <c r="I7" s="450"/>
      <c r="J7" s="449"/>
    </row>
    <row r="8" spans="1:10" x14ac:dyDescent="0.55000000000000004">
      <c r="A8" s="3"/>
      <c r="B8" s="3"/>
      <c r="C8" s="3"/>
      <c r="D8" s="3"/>
      <c r="E8" s="3"/>
      <c r="F8" s="3"/>
      <c r="G8" s="3"/>
      <c r="H8" s="464" t="str">
        <f>+AA.ModelVersion</f>
        <v>Q1-2025.20</v>
      </c>
      <c r="I8" s="3"/>
      <c r="J8" s="3"/>
    </row>
    <row r="9" spans="1:10" x14ac:dyDescent="0.55000000000000004">
      <c r="A9" s="3"/>
      <c r="B9" s="3"/>
      <c r="C9" s="3"/>
      <c r="D9" s="3"/>
      <c r="E9" s="3"/>
      <c r="F9" s="3"/>
      <c r="G9" s="3"/>
      <c r="H9" s="3"/>
      <c r="I9" s="3"/>
      <c r="J9" s="3"/>
    </row>
    <row r="10" spans="1:10" x14ac:dyDescent="0.55000000000000004">
      <c r="A10" s="3"/>
      <c r="B10" s="3"/>
      <c r="C10" s="491" t="s">
        <v>311</v>
      </c>
      <c r="D10" s="491" t="s">
        <v>312</v>
      </c>
      <c r="E10" s="491" t="s">
        <v>313</v>
      </c>
      <c r="F10" s="491" t="s">
        <v>389</v>
      </c>
      <c r="G10" s="491" t="s">
        <v>314</v>
      </c>
      <c r="H10" s="492" t="s">
        <v>315</v>
      </c>
      <c r="I10" s="3"/>
      <c r="J10" s="3"/>
    </row>
    <row r="11" spans="1:10" x14ac:dyDescent="0.55000000000000004">
      <c r="A11" s="3"/>
      <c r="B11" s="3"/>
      <c r="C11" s="465">
        <v>45777</v>
      </c>
      <c r="D11" s="466" t="s">
        <v>867</v>
      </c>
      <c r="E11" s="467" t="s">
        <v>378</v>
      </c>
      <c r="F11" s="467" t="s">
        <v>1082</v>
      </c>
      <c r="G11" s="468"/>
      <c r="H11" s="199" t="s">
        <v>318</v>
      </c>
      <c r="I11" s="3"/>
      <c r="J11" s="3"/>
    </row>
    <row r="12" spans="1:10" x14ac:dyDescent="0.55000000000000004">
      <c r="A12" s="3"/>
      <c r="B12" s="3"/>
      <c r="C12" s="465">
        <v>45687</v>
      </c>
      <c r="D12" s="466" t="s">
        <v>1085</v>
      </c>
      <c r="E12" s="467" t="s">
        <v>317</v>
      </c>
      <c r="F12" s="467" t="s">
        <v>869</v>
      </c>
      <c r="G12" s="468"/>
      <c r="H12" s="204" t="s">
        <v>318</v>
      </c>
      <c r="I12" s="3"/>
      <c r="J12" s="3"/>
    </row>
    <row r="13" spans="1:10" x14ac:dyDescent="0.55000000000000004">
      <c r="A13" s="3"/>
      <c r="B13" s="3"/>
      <c r="C13" s="465">
        <v>45686</v>
      </c>
      <c r="D13" s="466" t="s">
        <v>338</v>
      </c>
      <c r="E13" s="467" t="s">
        <v>378</v>
      </c>
      <c r="F13" s="467" t="s">
        <v>869</v>
      </c>
      <c r="G13" s="468"/>
      <c r="H13" s="204" t="s">
        <v>318</v>
      </c>
      <c r="I13" s="3"/>
      <c r="J13" s="3"/>
    </row>
    <row r="14" spans="1:10" x14ac:dyDescent="0.55000000000000004">
      <c r="A14" s="3"/>
      <c r="B14" s="3"/>
      <c r="C14" s="465">
        <v>45596</v>
      </c>
      <c r="D14" s="466" t="s">
        <v>1057</v>
      </c>
      <c r="E14" s="467" t="s">
        <v>390</v>
      </c>
      <c r="F14" s="467" t="s">
        <v>1053</v>
      </c>
      <c r="G14" s="468"/>
      <c r="H14" s="204" t="s">
        <v>318</v>
      </c>
      <c r="I14" s="3"/>
      <c r="J14" s="3"/>
    </row>
    <row r="15" spans="1:10" x14ac:dyDescent="0.55000000000000004">
      <c r="A15" s="3"/>
      <c r="B15" s="3"/>
      <c r="C15" s="465">
        <v>45595</v>
      </c>
      <c r="D15" s="466" t="s">
        <v>1057</v>
      </c>
      <c r="E15" s="467" t="s">
        <v>378</v>
      </c>
      <c r="F15" s="467" t="s">
        <v>1053</v>
      </c>
      <c r="G15" s="468"/>
      <c r="H15" s="204" t="s">
        <v>318</v>
      </c>
      <c r="I15" s="3"/>
      <c r="J15" s="3"/>
    </row>
    <row r="16" spans="1:10" x14ac:dyDescent="0.55000000000000004">
      <c r="A16" s="3"/>
      <c r="B16" s="3"/>
      <c r="C16" s="465">
        <v>45505</v>
      </c>
      <c r="D16" s="466" t="s">
        <v>1054</v>
      </c>
      <c r="E16" s="467" t="s">
        <v>390</v>
      </c>
      <c r="F16" s="467" t="s">
        <v>1010</v>
      </c>
      <c r="G16" s="468"/>
      <c r="H16" s="204" t="s">
        <v>318</v>
      </c>
      <c r="I16" s="3"/>
      <c r="J16" s="3"/>
    </row>
    <row r="17" spans="1:10" x14ac:dyDescent="0.55000000000000004">
      <c r="A17" s="3"/>
      <c r="B17" s="3"/>
      <c r="C17" s="465">
        <v>45504</v>
      </c>
      <c r="D17" s="466" t="s">
        <v>867</v>
      </c>
      <c r="E17" s="467" t="s">
        <v>378</v>
      </c>
      <c r="F17" s="467" t="s">
        <v>1010</v>
      </c>
      <c r="G17" s="468"/>
      <c r="H17" s="204" t="s">
        <v>318</v>
      </c>
      <c r="I17" s="3"/>
      <c r="J17" s="3"/>
    </row>
    <row r="18" spans="1:10" x14ac:dyDescent="0.55000000000000004">
      <c r="A18" s="3"/>
      <c r="B18" s="3"/>
      <c r="C18" s="465">
        <v>45407</v>
      </c>
      <c r="D18" s="466" t="s">
        <v>1011</v>
      </c>
      <c r="E18" s="467" t="s">
        <v>390</v>
      </c>
      <c r="F18" s="467" t="s">
        <v>875</v>
      </c>
      <c r="G18" s="468"/>
      <c r="H18" s="199" t="s">
        <v>318</v>
      </c>
      <c r="I18" s="3"/>
      <c r="J18" s="3"/>
    </row>
    <row r="19" spans="1:10" x14ac:dyDescent="0.55000000000000004">
      <c r="A19" s="3"/>
      <c r="B19" s="3"/>
      <c r="C19" s="465">
        <v>45406</v>
      </c>
      <c r="D19" s="466" t="s">
        <v>840</v>
      </c>
      <c r="E19" s="467" t="s">
        <v>378</v>
      </c>
      <c r="F19" s="467" t="s">
        <v>875</v>
      </c>
      <c r="G19" s="468"/>
      <c r="H19" s="204" t="s">
        <v>318</v>
      </c>
      <c r="I19" s="3"/>
      <c r="J19" s="3"/>
    </row>
    <row r="20" spans="1:10" x14ac:dyDescent="0.55000000000000004">
      <c r="A20" s="3"/>
      <c r="B20" s="3"/>
      <c r="C20" s="465">
        <v>45324</v>
      </c>
      <c r="D20" s="466" t="s">
        <v>842</v>
      </c>
      <c r="E20" s="467" t="s">
        <v>317</v>
      </c>
      <c r="F20" s="467" t="s">
        <v>609</v>
      </c>
      <c r="G20" s="468"/>
      <c r="H20" s="204" t="s">
        <v>318</v>
      </c>
      <c r="I20" s="3"/>
      <c r="J20" s="3"/>
    </row>
    <row r="21" spans="1:10" x14ac:dyDescent="0.55000000000000004">
      <c r="A21" s="3"/>
      <c r="B21" s="3"/>
      <c r="C21" s="465">
        <v>45323</v>
      </c>
      <c r="D21" s="466" t="s">
        <v>840</v>
      </c>
      <c r="E21" s="467" t="s">
        <v>378</v>
      </c>
      <c r="F21" s="467" t="s">
        <v>609</v>
      </c>
      <c r="G21" s="468"/>
      <c r="H21" s="204" t="s">
        <v>318</v>
      </c>
      <c r="I21" s="3"/>
      <c r="J21" s="3"/>
    </row>
    <row r="22" spans="1:10" x14ac:dyDescent="0.55000000000000004">
      <c r="A22" s="3"/>
      <c r="B22" s="3"/>
      <c r="C22" s="465">
        <v>45225</v>
      </c>
      <c r="D22" s="466" t="s">
        <v>870</v>
      </c>
      <c r="E22" s="467" t="s">
        <v>390</v>
      </c>
      <c r="F22" s="467" t="s">
        <v>841</v>
      </c>
      <c r="G22" s="468"/>
      <c r="H22" s="204" t="s">
        <v>318</v>
      </c>
      <c r="I22" s="3"/>
      <c r="J22" s="3"/>
    </row>
    <row r="23" spans="1:10" x14ac:dyDescent="0.55000000000000004">
      <c r="A23" s="3"/>
      <c r="B23" s="3"/>
      <c r="C23" s="465">
        <v>45224</v>
      </c>
      <c r="D23" s="466" t="s">
        <v>867</v>
      </c>
      <c r="E23" s="467" t="s">
        <v>378</v>
      </c>
      <c r="F23" s="467" t="s">
        <v>841</v>
      </c>
      <c r="G23" s="468"/>
      <c r="H23" s="204" t="s">
        <v>318</v>
      </c>
      <c r="I23" s="3"/>
      <c r="J23" s="3"/>
    </row>
    <row r="24" spans="1:10" x14ac:dyDescent="0.55000000000000004">
      <c r="A24" s="3"/>
      <c r="B24" s="3"/>
      <c r="C24" s="465">
        <v>45134</v>
      </c>
      <c r="D24" s="466" t="s">
        <v>842</v>
      </c>
      <c r="E24" s="467" t="s">
        <v>390</v>
      </c>
      <c r="F24" s="467" t="s">
        <v>697</v>
      </c>
      <c r="G24" s="468"/>
      <c r="H24" s="199" t="s">
        <v>318</v>
      </c>
      <c r="I24" s="3"/>
      <c r="J24" s="3"/>
    </row>
    <row r="25" spans="1:10" x14ac:dyDescent="0.55000000000000004">
      <c r="A25" s="3"/>
      <c r="B25" s="3"/>
      <c r="C25" s="465">
        <v>45133</v>
      </c>
      <c r="D25" s="466" t="s">
        <v>840</v>
      </c>
      <c r="E25" s="467" t="s">
        <v>378</v>
      </c>
      <c r="F25" s="467" t="s">
        <v>697</v>
      </c>
      <c r="G25" s="468"/>
      <c r="H25" s="204" t="s">
        <v>318</v>
      </c>
      <c r="I25" s="3"/>
      <c r="J25" s="3"/>
    </row>
    <row r="26" spans="1:10" x14ac:dyDescent="0.55000000000000004">
      <c r="A26" s="3"/>
      <c r="B26" s="3"/>
      <c r="C26" s="465">
        <v>45043</v>
      </c>
      <c r="D26" s="466" t="s">
        <v>698</v>
      </c>
      <c r="E26" s="467" t="s">
        <v>390</v>
      </c>
      <c r="F26" s="467" t="s">
        <v>617</v>
      </c>
      <c r="G26" s="468"/>
      <c r="H26" s="204" t="s">
        <v>318</v>
      </c>
      <c r="I26" s="3"/>
      <c r="J26" s="3"/>
    </row>
    <row r="27" spans="1:10" x14ac:dyDescent="0.55000000000000004">
      <c r="A27" s="3"/>
      <c r="B27" s="3"/>
      <c r="C27" s="465">
        <v>45042</v>
      </c>
      <c r="D27" s="466" t="s">
        <v>695</v>
      </c>
      <c r="E27" s="467" t="s">
        <v>378</v>
      </c>
      <c r="F27" s="467" t="s">
        <v>617</v>
      </c>
      <c r="G27" s="468"/>
      <c r="H27" s="204" t="s">
        <v>318</v>
      </c>
      <c r="I27" s="3"/>
      <c r="J27" s="3"/>
    </row>
    <row r="28" spans="1:10" x14ac:dyDescent="0.55000000000000004">
      <c r="A28" s="3"/>
      <c r="B28" s="3"/>
      <c r="C28" s="465">
        <v>44959</v>
      </c>
      <c r="D28" s="466" t="s">
        <v>422</v>
      </c>
      <c r="E28" s="467" t="s">
        <v>317</v>
      </c>
      <c r="F28" s="467" t="s">
        <v>493</v>
      </c>
      <c r="G28" s="468"/>
      <c r="H28" s="204" t="s">
        <v>318</v>
      </c>
      <c r="I28" s="3"/>
      <c r="J28" s="3"/>
    </row>
    <row r="29" spans="1:10" x14ac:dyDescent="0.55000000000000004">
      <c r="A29" s="3"/>
      <c r="B29" s="3"/>
      <c r="C29" s="465">
        <v>44958</v>
      </c>
      <c r="D29" s="466" t="s">
        <v>448</v>
      </c>
      <c r="E29" s="467" t="s">
        <v>378</v>
      </c>
      <c r="F29" s="467" t="s">
        <v>493</v>
      </c>
      <c r="G29" s="468"/>
      <c r="H29" s="204" t="s">
        <v>318</v>
      </c>
      <c r="I29" s="3"/>
      <c r="J29" s="3"/>
    </row>
    <row r="30" spans="1:10" x14ac:dyDescent="0.55000000000000004">
      <c r="A30" s="3"/>
      <c r="B30" s="3"/>
      <c r="C30" s="465">
        <v>44867</v>
      </c>
      <c r="D30" s="466" t="s">
        <v>599</v>
      </c>
      <c r="E30" s="467" t="s">
        <v>390</v>
      </c>
      <c r="F30" s="467" t="s">
        <v>600</v>
      </c>
      <c r="G30" s="468"/>
      <c r="H30" s="204" t="s">
        <v>318</v>
      </c>
      <c r="I30" s="3"/>
      <c r="J30" s="3"/>
    </row>
    <row r="31" spans="1:10" x14ac:dyDescent="0.55000000000000004">
      <c r="A31" s="3"/>
      <c r="B31" s="3"/>
      <c r="C31" s="465">
        <v>44860</v>
      </c>
      <c r="D31" s="466" t="s">
        <v>450</v>
      </c>
      <c r="E31" s="467" t="s">
        <v>378</v>
      </c>
      <c r="F31" s="467" t="s">
        <v>600</v>
      </c>
      <c r="G31" s="468"/>
      <c r="H31" s="204" t="s">
        <v>318</v>
      </c>
      <c r="I31" s="3"/>
      <c r="J31" s="3"/>
    </row>
    <row r="32" spans="1:10" x14ac:dyDescent="0.55000000000000004">
      <c r="A32" s="3"/>
      <c r="B32" s="3"/>
      <c r="C32" s="465">
        <v>44770</v>
      </c>
      <c r="D32" s="466" t="s">
        <v>448</v>
      </c>
      <c r="E32" s="467" t="s">
        <v>390</v>
      </c>
      <c r="F32" s="467" t="s">
        <v>570</v>
      </c>
      <c r="G32" s="468"/>
      <c r="H32" s="204" t="s">
        <v>318</v>
      </c>
      <c r="I32" s="3"/>
      <c r="J32" s="3"/>
    </row>
    <row r="33" spans="1:10" x14ac:dyDescent="0.55000000000000004">
      <c r="A33" s="3"/>
      <c r="B33" s="3"/>
      <c r="C33" s="465">
        <v>44769</v>
      </c>
      <c r="D33" s="466" t="s">
        <v>599</v>
      </c>
      <c r="E33" s="467" t="s">
        <v>378</v>
      </c>
      <c r="F33" s="467" t="s">
        <v>570</v>
      </c>
      <c r="G33" s="468"/>
      <c r="H33" s="204" t="s">
        <v>318</v>
      </c>
      <c r="I33" s="3"/>
      <c r="J33" s="3"/>
    </row>
    <row r="34" spans="1:10" x14ac:dyDescent="0.55000000000000004">
      <c r="A34" s="3"/>
      <c r="B34" s="3"/>
      <c r="C34" s="465">
        <v>44679</v>
      </c>
      <c r="D34" s="466" t="s">
        <v>557</v>
      </c>
      <c r="E34" s="467" t="s">
        <v>390</v>
      </c>
      <c r="F34" s="467" t="s">
        <v>536</v>
      </c>
      <c r="G34" s="468"/>
      <c r="H34" s="204" t="s">
        <v>318</v>
      </c>
      <c r="I34" s="3"/>
      <c r="J34" s="3"/>
    </row>
    <row r="35" spans="1:10" x14ac:dyDescent="0.55000000000000004">
      <c r="A35" s="3"/>
      <c r="B35" s="3"/>
      <c r="C35" s="465">
        <v>44678</v>
      </c>
      <c r="D35" s="466" t="s">
        <v>353</v>
      </c>
      <c r="E35" s="467" t="s">
        <v>378</v>
      </c>
      <c r="F35" s="467" t="s">
        <v>536</v>
      </c>
      <c r="G35" s="468"/>
      <c r="H35" s="204" t="s">
        <v>318</v>
      </c>
      <c r="I35" s="3"/>
      <c r="J35" s="3"/>
    </row>
    <row r="36" spans="1:10" x14ac:dyDescent="0.55000000000000004">
      <c r="A36" s="3"/>
      <c r="B36" s="3"/>
      <c r="C36" s="465">
        <v>44595</v>
      </c>
      <c r="D36" s="466" t="s">
        <v>557</v>
      </c>
      <c r="E36" s="467" t="s">
        <v>317</v>
      </c>
      <c r="F36" s="467" t="s">
        <v>445</v>
      </c>
      <c r="G36" s="468"/>
      <c r="H36" s="204" t="s">
        <v>318</v>
      </c>
      <c r="I36" s="3"/>
      <c r="J36" s="3"/>
    </row>
    <row r="37" spans="1:10" x14ac:dyDescent="0.55000000000000004">
      <c r="A37" s="3"/>
      <c r="B37" s="3"/>
      <c r="C37" s="465">
        <v>44594</v>
      </c>
      <c r="D37" s="466" t="s">
        <v>422</v>
      </c>
      <c r="E37" s="467" t="s">
        <v>378</v>
      </c>
      <c r="F37" s="467" t="s">
        <v>445</v>
      </c>
      <c r="G37" s="468"/>
      <c r="H37" s="204" t="s">
        <v>318</v>
      </c>
      <c r="I37" s="3"/>
      <c r="J37" s="3"/>
    </row>
    <row r="38" spans="1:10" x14ac:dyDescent="0.55000000000000004">
      <c r="A38" s="3"/>
      <c r="B38" s="3"/>
      <c r="C38" s="465">
        <v>44495</v>
      </c>
      <c r="D38" s="466" t="s">
        <v>496</v>
      </c>
      <c r="E38" s="467" t="s">
        <v>390</v>
      </c>
      <c r="F38" s="467" t="s">
        <v>491</v>
      </c>
      <c r="G38" s="468"/>
      <c r="H38" s="204" t="s">
        <v>318</v>
      </c>
      <c r="I38" s="3"/>
      <c r="J38" s="3"/>
    </row>
    <row r="39" spans="1:10" x14ac:dyDescent="0.55000000000000004">
      <c r="A39" s="3"/>
      <c r="B39" s="3"/>
      <c r="C39" s="465">
        <v>44494</v>
      </c>
      <c r="D39" s="466" t="s">
        <v>492</v>
      </c>
      <c r="E39" s="467" t="s">
        <v>378</v>
      </c>
      <c r="F39" s="467" t="s">
        <v>491</v>
      </c>
      <c r="G39" s="468"/>
      <c r="H39" s="204" t="s">
        <v>318</v>
      </c>
      <c r="I39" s="3"/>
      <c r="J39" s="3"/>
    </row>
    <row r="40" spans="1:10" x14ac:dyDescent="0.55000000000000004">
      <c r="A40" s="3"/>
      <c r="B40" s="3"/>
      <c r="C40" s="465">
        <v>44406</v>
      </c>
      <c r="D40" s="466" t="s">
        <v>422</v>
      </c>
      <c r="E40" s="467" t="s">
        <v>390</v>
      </c>
      <c r="F40" s="467" t="s">
        <v>451</v>
      </c>
      <c r="G40" s="468"/>
      <c r="H40" s="204" t="s">
        <v>318</v>
      </c>
      <c r="I40" s="3"/>
      <c r="J40" s="3"/>
    </row>
    <row r="41" spans="1:10" x14ac:dyDescent="0.55000000000000004">
      <c r="A41" s="3"/>
      <c r="B41" s="3"/>
      <c r="C41" s="465">
        <v>44405</v>
      </c>
      <c r="D41" s="466" t="s">
        <v>353</v>
      </c>
      <c r="E41" s="467" t="s">
        <v>378</v>
      </c>
      <c r="F41" s="467" t="s">
        <v>451</v>
      </c>
      <c r="G41" s="468"/>
      <c r="H41" s="204" t="s">
        <v>318</v>
      </c>
      <c r="I41" s="3"/>
      <c r="J41" s="3"/>
    </row>
    <row r="42" spans="1:10" x14ac:dyDescent="0.55000000000000004">
      <c r="A42" s="3"/>
      <c r="B42" s="3"/>
      <c r="C42" s="465">
        <v>44315</v>
      </c>
      <c r="D42" s="466" t="s">
        <v>422</v>
      </c>
      <c r="E42" s="467" t="s">
        <v>390</v>
      </c>
      <c r="F42" s="467" t="s">
        <v>449</v>
      </c>
      <c r="G42" s="468"/>
      <c r="H42" s="204" t="s">
        <v>318</v>
      </c>
      <c r="I42" s="3"/>
      <c r="J42" s="3"/>
    </row>
    <row r="43" spans="1:10" x14ac:dyDescent="0.55000000000000004">
      <c r="A43" s="3"/>
      <c r="B43" s="3"/>
      <c r="C43" s="465">
        <v>44314</v>
      </c>
      <c r="D43" s="466" t="s">
        <v>450</v>
      </c>
      <c r="E43" s="467" t="s">
        <v>378</v>
      </c>
      <c r="F43" s="467" t="s">
        <v>449</v>
      </c>
      <c r="G43" s="468"/>
      <c r="H43" s="204" t="s">
        <v>318</v>
      </c>
      <c r="I43" s="3"/>
      <c r="J43" s="3"/>
    </row>
    <row r="44" spans="1:10" x14ac:dyDescent="0.55000000000000004">
      <c r="A44" s="3"/>
      <c r="B44" s="3"/>
      <c r="C44" s="465">
        <v>44224</v>
      </c>
      <c r="D44" s="466" t="s">
        <v>353</v>
      </c>
      <c r="E44" s="467" t="s">
        <v>317</v>
      </c>
      <c r="F44" s="467" t="s">
        <v>382</v>
      </c>
      <c r="G44" s="468"/>
      <c r="H44" s="204" t="s">
        <v>318</v>
      </c>
      <c r="I44" s="3"/>
      <c r="J44" s="3"/>
    </row>
    <row r="45" spans="1:10" x14ac:dyDescent="0.55000000000000004">
      <c r="A45" s="3"/>
      <c r="B45" s="3"/>
      <c r="C45" s="465">
        <v>44223</v>
      </c>
      <c r="D45" s="466" t="s">
        <v>448</v>
      </c>
      <c r="E45" s="467" t="s">
        <v>378</v>
      </c>
      <c r="F45" s="467" t="s">
        <v>382</v>
      </c>
      <c r="G45" s="468"/>
      <c r="H45" s="204" t="s">
        <v>318</v>
      </c>
      <c r="I45" s="3"/>
      <c r="J45" s="3"/>
    </row>
    <row r="46" spans="1:10" x14ac:dyDescent="0.55000000000000004">
      <c r="A46" s="3"/>
      <c r="B46" s="3"/>
      <c r="C46" s="465">
        <v>44137</v>
      </c>
      <c r="D46" s="466" t="s">
        <v>353</v>
      </c>
      <c r="E46" s="467" t="s">
        <v>390</v>
      </c>
      <c r="F46" s="467" t="s">
        <v>423</v>
      </c>
      <c r="G46" s="468"/>
      <c r="H46" s="204" t="s">
        <v>318</v>
      </c>
      <c r="I46" s="3"/>
      <c r="J46" s="3"/>
    </row>
    <row r="47" spans="1:10" x14ac:dyDescent="0.55000000000000004">
      <c r="A47" s="3"/>
      <c r="B47" s="3"/>
      <c r="C47" s="465">
        <v>44133</v>
      </c>
      <c r="D47" s="466" t="s">
        <v>422</v>
      </c>
      <c r="E47" s="467" t="s">
        <v>378</v>
      </c>
      <c r="F47" s="467" t="s">
        <v>423</v>
      </c>
      <c r="G47" s="468"/>
      <c r="H47" s="469" t="s">
        <v>318</v>
      </c>
      <c r="I47" s="3"/>
      <c r="J47" s="3"/>
    </row>
    <row r="48" spans="1:10" x14ac:dyDescent="0.55000000000000004">
      <c r="A48" s="3"/>
      <c r="B48" s="3"/>
      <c r="C48" s="465">
        <v>44043</v>
      </c>
      <c r="D48" s="466" t="s">
        <v>424</v>
      </c>
      <c r="E48" s="467" t="s">
        <v>390</v>
      </c>
      <c r="F48" s="467" t="s">
        <v>421</v>
      </c>
      <c r="G48" s="468"/>
      <c r="H48" s="199" t="s">
        <v>318</v>
      </c>
      <c r="I48" s="3"/>
      <c r="J48" s="3"/>
    </row>
    <row r="49" spans="1:10" x14ac:dyDescent="0.55000000000000004">
      <c r="A49" s="3"/>
      <c r="B49" s="3"/>
      <c r="C49" s="465">
        <v>44042</v>
      </c>
      <c r="D49" s="466" t="s">
        <v>422</v>
      </c>
      <c r="E49" s="467" t="s">
        <v>378</v>
      </c>
      <c r="F49" s="467" t="s">
        <v>421</v>
      </c>
      <c r="G49" s="468"/>
      <c r="H49" s="199" t="s">
        <v>318</v>
      </c>
      <c r="I49" s="3"/>
      <c r="J49" s="3"/>
    </row>
    <row r="50" spans="1:10" x14ac:dyDescent="0.55000000000000004">
      <c r="A50" s="3"/>
      <c r="B50" s="3"/>
      <c r="C50" s="465">
        <v>43951</v>
      </c>
      <c r="D50" s="466" t="s">
        <v>403</v>
      </c>
      <c r="E50" s="467" t="s">
        <v>390</v>
      </c>
      <c r="F50" s="467" t="s">
        <v>401</v>
      </c>
      <c r="G50" s="468"/>
      <c r="H50" s="204" t="s">
        <v>318</v>
      </c>
      <c r="I50" s="3"/>
      <c r="J50" s="3"/>
    </row>
    <row r="51" spans="1:10" x14ac:dyDescent="0.55000000000000004">
      <c r="A51" s="3"/>
      <c r="B51" s="3"/>
      <c r="C51" s="465">
        <v>43950</v>
      </c>
      <c r="D51" s="466" t="s">
        <v>403</v>
      </c>
      <c r="E51" s="467" t="s">
        <v>378</v>
      </c>
      <c r="F51" s="467" t="s">
        <v>401</v>
      </c>
      <c r="G51" s="468"/>
      <c r="H51" s="470" t="s">
        <v>318</v>
      </c>
      <c r="I51" s="3"/>
      <c r="J51" s="3"/>
    </row>
    <row r="52" spans="1:10" x14ac:dyDescent="0.55000000000000004">
      <c r="A52" s="3"/>
      <c r="B52" s="3"/>
      <c r="C52" s="465">
        <v>43859</v>
      </c>
      <c r="D52" s="466" t="s">
        <v>353</v>
      </c>
      <c r="E52" s="467" t="s">
        <v>317</v>
      </c>
      <c r="F52" s="467" t="s">
        <v>373</v>
      </c>
      <c r="G52" s="468"/>
      <c r="H52" s="470" t="s">
        <v>318</v>
      </c>
      <c r="I52" s="3"/>
      <c r="J52" s="3"/>
    </row>
    <row r="53" spans="1:10" x14ac:dyDescent="0.55000000000000004">
      <c r="A53" s="3"/>
      <c r="B53" s="3"/>
      <c r="C53" s="465">
        <v>43769</v>
      </c>
      <c r="D53" s="466" t="s">
        <v>383</v>
      </c>
      <c r="E53" s="467" t="s">
        <v>390</v>
      </c>
      <c r="F53" s="467" t="s">
        <v>371</v>
      </c>
      <c r="G53" s="468"/>
      <c r="H53" s="470" t="s">
        <v>318</v>
      </c>
      <c r="I53" s="3"/>
      <c r="J53" s="3"/>
    </row>
    <row r="54" spans="1:10" x14ac:dyDescent="0.55000000000000004">
      <c r="A54" s="3"/>
      <c r="B54" s="3"/>
      <c r="C54" s="465">
        <v>43768</v>
      </c>
      <c r="D54" s="466" t="s">
        <v>353</v>
      </c>
      <c r="E54" s="467" t="s">
        <v>378</v>
      </c>
      <c r="F54" s="467" t="s">
        <v>371</v>
      </c>
      <c r="G54" s="468"/>
      <c r="H54" s="470" t="s">
        <v>318</v>
      </c>
      <c r="I54" s="3"/>
      <c r="J54" s="3"/>
    </row>
    <row r="55" spans="1:10" x14ac:dyDescent="0.55000000000000004">
      <c r="A55" s="3"/>
      <c r="B55" s="3"/>
      <c r="C55" s="471">
        <v>43670</v>
      </c>
      <c r="D55" s="472" t="s">
        <v>353</v>
      </c>
      <c r="E55" s="473" t="s">
        <v>390</v>
      </c>
      <c r="F55" s="473" t="s">
        <v>354</v>
      </c>
      <c r="G55" s="474"/>
      <c r="H55" s="475" t="s">
        <v>318</v>
      </c>
      <c r="I55" s="3"/>
      <c r="J55" s="3"/>
    </row>
    <row r="56" spans="1:10" x14ac:dyDescent="0.55000000000000004">
      <c r="A56" s="3"/>
      <c r="B56" s="3"/>
      <c r="C56" s="476">
        <v>43579</v>
      </c>
      <c r="D56" s="477" t="s">
        <v>316</v>
      </c>
      <c r="E56" s="478" t="s">
        <v>390</v>
      </c>
      <c r="F56" s="478" t="s">
        <v>349</v>
      </c>
      <c r="G56" s="479"/>
      <c r="H56" s="475" t="s">
        <v>318</v>
      </c>
      <c r="I56" s="3"/>
      <c r="J56" s="3"/>
    </row>
    <row r="57" spans="1:10" x14ac:dyDescent="0.55000000000000004">
      <c r="A57" s="3"/>
      <c r="B57" s="3"/>
      <c r="C57" s="476">
        <v>43495</v>
      </c>
      <c r="D57" s="477" t="s">
        <v>316</v>
      </c>
      <c r="E57" s="478" t="s">
        <v>317</v>
      </c>
      <c r="F57" s="478" t="s">
        <v>391</v>
      </c>
      <c r="G57" s="479"/>
      <c r="H57" s="475" t="s">
        <v>318</v>
      </c>
      <c r="I57" s="3"/>
      <c r="J57" s="3"/>
    </row>
    <row r="58" spans="1:10" x14ac:dyDescent="0.55000000000000004">
      <c r="A58" s="3"/>
      <c r="B58" s="3"/>
      <c r="C58" s="476">
        <v>43482</v>
      </c>
      <c r="D58" s="477" t="s">
        <v>316</v>
      </c>
      <c r="E58" s="478" t="s">
        <v>319</v>
      </c>
      <c r="F58" s="478" t="s">
        <v>323</v>
      </c>
      <c r="G58" s="479"/>
      <c r="H58" s="475"/>
      <c r="I58" s="3"/>
      <c r="J58" s="3"/>
    </row>
    <row r="59" spans="1:10" x14ac:dyDescent="0.55000000000000004">
      <c r="A59" s="3"/>
      <c r="B59" s="3"/>
      <c r="C59" s="476">
        <v>43441</v>
      </c>
      <c r="D59" s="477" t="s">
        <v>320</v>
      </c>
      <c r="E59" s="478" t="s">
        <v>321</v>
      </c>
      <c r="F59" s="478" t="s">
        <v>323</v>
      </c>
      <c r="G59" s="479"/>
      <c r="H59" s="475"/>
      <c r="I59" s="3"/>
      <c r="J59" s="3"/>
    </row>
    <row r="60" spans="1:10" x14ac:dyDescent="0.55000000000000004">
      <c r="A60" s="3"/>
      <c r="B60" s="3"/>
      <c r="C60" s="476">
        <v>43404</v>
      </c>
      <c r="D60" s="477" t="s">
        <v>322</v>
      </c>
      <c r="E60" s="478" t="s">
        <v>390</v>
      </c>
      <c r="F60" s="478" t="s">
        <v>323</v>
      </c>
      <c r="G60" s="479"/>
      <c r="H60" s="475" t="s">
        <v>318</v>
      </c>
      <c r="I60" s="3"/>
      <c r="J60" s="3"/>
    </row>
    <row r="61" spans="1:10" x14ac:dyDescent="0.55000000000000004">
      <c r="A61" s="3"/>
      <c r="B61" s="3"/>
      <c r="C61" s="476">
        <v>43307</v>
      </c>
      <c r="D61" s="477" t="s">
        <v>324</v>
      </c>
      <c r="E61" s="478" t="s">
        <v>390</v>
      </c>
      <c r="F61" s="478" t="s">
        <v>325</v>
      </c>
      <c r="G61" s="479"/>
      <c r="H61" s="480" t="s">
        <v>318</v>
      </c>
      <c r="I61" s="3"/>
      <c r="J61" s="3"/>
    </row>
    <row r="62" spans="1:10" x14ac:dyDescent="0.55000000000000004">
      <c r="A62" s="3"/>
      <c r="B62" s="3"/>
      <c r="C62" s="481">
        <v>43216</v>
      </c>
      <c r="D62" s="482" t="s">
        <v>326</v>
      </c>
      <c r="E62" s="483" t="s">
        <v>390</v>
      </c>
      <c r="F62" s="483" t="s">
        <v>327</v>
      </c>
      <c r="G62" s="484"/>
      <c r="H62" s="485" t="s">
        <v>318</v>
      </c>
      <c r="I62" s="3"/>
      <c r="J62" s="3"/>
    </row>
    <row r="63" spans="1:10" x14ac:dyDescent="0.55000000000000004">
      <c r="A63" s="3"/>
      <c r="B63" s="3"/>
      <c r="C63" s="465">
        <v>43132</v>
      </c>
      <c r="D63" s="466" t="s">
        <v>328</v>
      </c>
      <c r="E63" s="467" t="s">
        <v>317</v>
      </c>
      <c r="F63" s="467" t="s">
        <v>329</v>
      </c>
      <c r="G63" s="468"/>
      <c r="H63" s="486" t="s">
        <v>318</v>
      </c>
      <c r="I63" s="3"/>
      <c r="J63" s="3"/>
    </row>
    <row r="64" spans="1:10" x14ac:dyDescent="0.55000000000000004">
      <c r="A64" s="3"/>
      <c r="B64" s="3"/>
      <c r="C64" s="465">
        <v>43041</v>
      </c>
      <c r="D64" s="466" t="s">
        <v>330</v>
      </c>
      <c r="E64" s="467" t="s">
        <v>390</v>
      </c>
      <c r="F64" s="467" t="s">
        <v>331</v>
      </c>
      <c r="G64" s="468"/>
      <c r="H64" s="486" t="s">
        <v>318</v>
      </c>
      <c r="I64" s="3"/>
      <c r="J64" s="3"/>
    </row>
    <row r="65" spans="1:10" x14ac:dyDescent="0.55000000000000004">
      <c r="A65" s="3"/>
      <c r="B65" s="3"/>
      <c r="C65" s="465">
        <v>42942</v>
      </c>
      <c r="D65" s="466" t="s">
        <v>332</v>
      </c>
      <c r="E65" s="467" t="s">
        <v>390</v>
      </c>
      <c r="F65" s="467" t="s">
        <v>333</v>
      </c>
      <c r="G65" s="468"/>
      <c r="H65" s="486" t="s">
        <v>318</v>
      </c>
      <c r="I65" s="3"/>
      <c r="J65" s="3"/>
    </row>
    <row r="66" spans="1:10" x14ac:dyDescent="0.55000000000000004">
      <c r="A66" s="3"/>
      <c r="B66" s="3"/>
      <c r="C66" s="465">
        <v>42858</v>
      </c>
      <c r="D66" s="466" t="s">
        <v>334</v>
      </c>
      <c r="E66" s="467" t="s">
        <v>390</v>
      </c>
      <c r="F66" s="467" t="s">
        <v>335</v>
      </c>
      <c r="G66" s="468"/>
      <c r="H66" s="486" t="s">
        <v>318</v>
      </c>
      <c r="I66" s="3"/>
      <c r="J66" s="3"/>
    </row>
    <row r="67" spans="1:10" x14ac:dyDescent="0.55000000000000004">
      <c r="A67" s="3"/>
      <c r="B67" s="3"/>
      <c r="C67" s="465">
        <v>42768</v>
      </c>
      <c r="D67" s="466" t="s">
        <v>336</v>
      </c>
      <c r="E67" s="467" t="s">
        <v>317</v>
      </c>
      <c r="F67" s="467" t="s">
        <v>337</v>
      </c>
      <c r="G67" s="468"/>
      <c r="H67" s="486" t="s">
        <v>318</v>
      </c>
      <c r="I67" s="3"/>
      <c r="J67" s="3"/>
    </row>
    <row r="68" spans="1:10" x14ac:dyDescent="0.55000000000000004">
      <c r="A68" s="3"/>
      <c r="B68" s="3"/>
      <c r="C68" s="465">
        <v>42678</v>
      </c>
      <c r="D68" s="466" t="s">
        <v>338</v>
      </c>
      <c r="E68" s="467" t="s">
        <v>390</v>
      </c>
      <c r="F68" s="467" t="s">
        <v>339</v>
      </c>
      <c r="G68" s="468"/>
      <c r="H68" s="486" t="s">
        <v>318</v>
      </c>
      <c r="I68" s="3"/>
      <c r="J68" s="3"/>
    </row>
    <row r="69" spans="1:10" x14ac:dyDescent="0.55000000000000004">
      <c r="A69" s="3"/>
      <c r="B69" s="3"/>
      <c r="C69" s="465">
        <v>42622</v>
      </c>
      <c r="D69" s="466" t="s">
        <v>340</v>
      </c>
      <c r="E69" s="467" t="s">
        <v>390</v>
      </c>
      <c r="F69" s="467" t="s">
        <v>341</v>
      </c>
      <c r="G69" s="468"/>
      <c r="H69" s="486"/>
      <c r="I69" s="3"/>
      <c r="J69" s="3"/>
    </row>
    <row r="70" spans="1:10" x14ac:dyDescent="0.55000000000000004">
      <c r="A70" s="3"/>
      <c r="B70" s="3"/>
      <c r="C70" s="465">
        <v>42523</v>
      </c>
      <c r="D70" s="466" t="s">
        <v>342</v>
      </c>
      <c r="E70" s="467" t="s">
        <v>343</v>
      </c>
      <c r="F70" s="467" t="s">
        <v>392</v>
      </c>
      <c r="G70" s="468"/>
      <c r="H70" s="486"/>
      <c r="I70" s="3"/>
      <c r="J70" s="3"/>
    </row>
    <row r="71" spans="1:10" x14ac:dyDescent="0.55000000000000004">
      <c r="A71" s="3"/>
      <c r="B71" s="3"/>
      <c r="C71" s="3"/>
      <c r="D71" s="3"/>
      <c r="E71" s="3"/>
      <c r="F71" s="3"/>
      <c r="G71" s="3"/>
      <c r="H71" s="3"/>
      <c r="I71" s="3"/>
      <c r="J71" s="3"/>
    </row>
    <row r="72" spans="1:10" x14ac:dyDescent="0.55000000000000004">
      <c r="A72" s="3"/>
      <c r="B72" s="3"/>
      <c r="C72" s="3"/>
      <c r="D72" s="3"/>
      <c r="E72" s="3"/>
      <c r="F72" s="3"/>
      <c r="G72" s="3"/>
      <c r="H72" s="3"/>
      <c r="I72" s="3"/>
      <c r="J72" s="3"/>
    </row>
    <row r="73" spans="1:10" x14ac:dyDescent="0.55000000000000004">
      <c r="A73" s="3"/>
      <c r="B73" s="3"/>
      <c r="C73" s="3"/>
      <c r="D73" s="3"/>
      <c r="E73" s="3"/>
      <c r="F73" s="3"/>
      <c r="G73" s="3"/>
      <c r="H73" s="3"/>
      <c r="I73" s="3"/>
      <c r="J73" s="3"/>
    </row>
    <row r="74" spans="1:10" x14ac:dyDescent="0.55000000000000004">
      <c r="A74" s="3"/>
      <c r="B74" s="3"/>
      <c r="C74" s="3"/>
      <c r="D74" s="3"/>
      <c r="E74" s="3"/>
      <c r="F74" s="3"/>
      <c r="G74" s="3"/>
      <c r="H74" s="3"/>
      <c r="I74" s="3"/>
      <c r="J74" s="3"/>
    </row>
    <row r="75" spans="1:10" x14ac:dyDescent="0.55000000000000004">
      <c r="A75" s="3"/>
      <c r="B75" s="3"/>
      <c r="C75" s="3"/>
      <c r="D75" s="3"/>
      <c r="E75" s="3"/>
      <c r="F75" s="3"/>
      <c r="G75" s="3"/>
      <c r="H75" s="3"/>
      <c r="I75" s="3"/>
      <c r="J75" s="3"/>
    </row>
    <row r="76" spans="1:10" x14ac:dyDescent="0.55000000000000004">
      <c r="A76" s="3"/>
      <c r="B76" s="3"/>
      <c r="C76" s="3"/>
      <c r="D76" s="3"/>
      <c r="E76" s="3"/>
      <c r="F76" s="3"/>
      <c r="G76" s="3"/>
      <c r="H76" s="3"/>
      <c r="I76" s="3"/>
      <c r="J76" s="3"/>
    </row>
    <row r="77" spans="1:10" x14ac:dyDescent="0.55000000000000004">
      <c r="A77" s="3"/>
      <c r="B77" s="3"/>
      <c r="C77" s="3"/>
      <c r="D77" s="3"/>
      <c r="E77" s="3"/>
      <c r="F77" s="3"/>
      <c r="G77" s="3"/>
      <c r="H77" s="3"/>
      <c r="I77" s="3"/>
      <c r="J77" s="3"/>
    </row>
    <row r="78" spans="1:10" x14ac:dyDescent="0.55000000000000004">
      <c r="A78" s="3"/>
      <c r="B78" s="3"/>
      <c r="C78" s="3"/>
      <c r="D78" s="3"/>
      <c r="E78" s="3"/>
      <c r="F78" s="3"/>
      <c r="G78" s="3"/>
      <c r="H78" s="3"/>
      <c r="I78" s="3"/>
      <c r="J78" s="3"/>
    </row>
    <row r="79" spans="1:10" x14ac:dyDescent="0.55000000000000004">
      <c r="A79" s="3"/>
      <c r="B79" s="3"/>
      <c r="C79" s="3"/>
      <c r="D79" s="3"/>
      <c r="E79" s="3"/>
      <c r="F79" s="3"/>
      <c r="G79" s="3"/>
      <c r="H79" s="3"/>
      <c r="I79" s="3"/>
      <c r="J79" s="3"/>
    </row>
    <row r="80" spans="1:10" x14ac:dyDescent="0.55000000000000004">
      <c r="A80" s="3"/>
      <c r="B80" s="3"/>
      <c r="C80" s="3"/>
      <c r="D80" s="3"/>
      <c r="E80" s="3"/>
      <c r="F80" s="3"/>
      <c r="G80" s="3"/>
      <c r="H80" s="3"/>
      <c r="I80" s="3"/>
      <c r="J80" s="3"/>
    </row>
    <row r="81" spans="1:10" x14ac:dyDescent="0.55000000000000004">
      <c r="A81" s="3"/>
      <c r="B81" s="3"/>
      <c r="C81" s="3"/>
      <c r="D81" s="3"/>
      <c r="E81" s="3"/>
      <c r="F81" s="3"/>
      <c r="G81" s="3"/>
      <c r="H81" s="3"/>
      <c r="I81" s="3"/>
      <c r="J81" s="3"/>
    </row>
    <row r="82" spans="1:10" x14ac:dyDescent="0.55000000000000004">
      <c r="A82" s="3"/>
      <c r="B82" s="3"/>
      <c r="C82" s="3"/>
      <c r="D82" s="3"/>
      <c r="E82" s="3"/>
      <c r="F82" s="3"/>
      <c r="G82" s="3"/>
      <c r="H82" s="3"/>
      <c r="I82" s="3"/>
      <c r="J82" s="3"/>
    </row>
    <row r="83" spans="1:10" x14ac:dyDescent="0.55000000000000004">
      <c r="A83" s="3"/>
      <c r="B83" s="3"/>
      <c r="C83" s="3"/>
      <c r="D83" s="3"/>
      <c r="E83" s="3"/>
      <c r="F83" s="3"/>
      <c r="G83" s="3"/>
      <c r="H83" s="3"/>
      <c r="I83" s="3"/>
      <c r="J83" s="3"/>
    </row>
    <row r="84" spans="1:10" x14ac:dyDescent="0.55000000000000004">
      <c r="A84" s="3"/>
      <c r="B84" s="3"/>
      <c r="C84" s="3"/>
      <c r="D84" s="3"/>
      <c r="E84" s="3"/>
      <c r="F84" s="3"/>
      <c r="G84" s="3"/>
      <c r="H84" s="3"/>
      <c r="I84" s="3"/>
      <c r="J84" s="3"/>
    </row>
    <row r="85" spans="1:10" x14ac:dyDescent="0.55000000000000004">
      <c r="A85" s="3"/>
      <c r="B85" s="3"/>
      <c r="C85" s="3"/>
      <c r="D85" s="3"/>
      <c r="E85" s="3"/>
      <c r="F85" s="3"/>
      <c r="G85" s="3"/>
      <c r="H85" s="3"/>
      <c r="I85" s="3"/>
      <c r="J85" s="3"/>
    </row>
    <row r="86" spans="1:10" x14ac:dyDescent="0.55000000000000004">
      <c r="A86" s="3"/>
      <c r="B86" s="3"/>
      <c r="C86" s="3"/>
      <c r="D86" s="3"/>
      <c r="E86" s="3"/>
      <c r="F86" s="3"/>
      <c r="G86" s="3"/>
      <c r="H86" s="3"/>
      <c r="I86" s="3"/>
      <c r="J86" s="3"/>
    </row>
    <row r="87" spans="1:10" x14ac:dyDescent="0.55000000000000004">
      <c r="A87" s="3"/>
      <c r="B87" s="3"/>
      <c r="C87" s="3"/>
      <c r="D87" s="3"/>
      <c r="E87" s="3"/>
      <c r="F87" s="3"/>
      <c r="G87" s="3"/>
      <c r="H87" s="3"/>
      <c r="I87" s="3"/>
      <c r="J87" s="3"/>
    </row>
    <row r="88" spans="1:10" x14ac:dyDescent="0.55000000000000004">
      <c r="A88" s="3"/>
      <c r="B88" s="3"/>
      <c r="C88" s="3"/>
      <c r="D88" s="3"/>
      <c r="E88" s="3"/>
      <c r="F88" s="3"/>
      <c r="G88" s="3"/>
      <c r="H88" s="3"/>
      <c r="I88" s="3"/>
      <c r="J88" s="3"/>
    </row>
    <row r="89" spans="1:10" x14ac:dyDescent="0.55000000000000004">
      <c r="A89" s="3"/>
      <c r="B89" s="3"/>
      <c r="C89" s="3"/>
      <c r="D89" s="3"/>
      <c r="E89" s="3"/>
      <c r="F89" s="3"/>
      <c r="G89" s="3"/>
      <c r="H89" s="3"/>
      <c r="I89" s="3"/>
      <c r="J89" s="3"/>
    </row>
    <row r="90" spans="1:10" x14ac:dyDescent="0.55000000000000004">
      <c r="A90" s="3"/>
      <c r="B90" s="3"/>
      <c r="C90" s="3"/>
      <c r="D90" s="3"/>
      <c r="E90" s="3"/>
      <c r="F90" s="3"/>
      <c r="G90" s="3"/>
      <c r="H90" s="3"/>
      <c r="I90" s="3"/>
      <c r="J90" s="3"/>
    </row>
    <row r="91" spans="1:10" x14ac:dyDescent="0.55000000000000004">
      <c r="A91" s="3"/>
      <c r="B91" s="3"/>
      <c r="C91" s="3"/>
      <c r="D91" s="3"/>
      <c r="E91" s="3"/>
      <c r="F91" s="3"/>
      <c r="G91" s="3"/>
      <c r="H91" s="3"/>
      <c r="I91" s="3"/>
      <c r="J91" s="3"/>
    </row>
    <row r="92" spans="1:10" x14ac:dyDescent="0.55000000000000004">
      <c r="A92" s="3"/>
      <c r="B92" s="3"/>
      <c r="C92" s="3"/>
      <c r="D92" s="3"/>
      <c r="E92" s="3"/>
      <c r="F92" s="3"/>
      <c r="G92" s="3"/>
      <c r="H92" s="3"/>
      <c r="I92" s="3"/>
      <c r="J92" s="3"/>
    </row>
    <row r="93" spans="1:10" x14ac:dyDescent="0.55000000000000004">
      <c r="A93" s="3"/>
      <c r="B93" s="3"/>
      <c r="C93" s="3"/>
      <c r="D93" s="3"/>
      <c r="E93" s="3"/>
      <c r="F93" s="3"/>
      <c r="G93" s="3"/>
      <c r="H93" s="3"/>
      <c r="I93" s="3"/>
      <c r="J93" s="3"/>
    </row>
  </sheetData>
  <hyperlinks>
    <hyperlink ref="H57" r:id="rId1" tooltip="Website Link" xr:uid="{00000000-0004-0000-0600-000000000000}"/>
    <hyperlink ref="H60" r:id="rId2" xr:uid="{00000000-0004-0000-0600-000001000000}"/>
    <hyperlink ref="H61" r:id="rId3" tooltip="Website Link" xr:uid="{00000000-0004-0000-0600-000002000000}"/>
    <hyperlink ref="H62" r:id="rId4" tooltip="Website Link" xr:uid="{00000000-0004-0000-0600-000003000000}"/>
    <hyperlink ref="H63" r:id="rId5" tooltip="Website Link" xr:uid="{00000000-0004-0000-0600-000004000000}"/>
    <hyperlink ref="H64" r:id="rId6" tooltip="Website Link" xr:uid="{00000000-0004-0000-0600-000005000000}"/>
    <hyperlink ref="H65" r:id="rId7" tooltip="Website Link" xr:uid="{00000000-0004-0000-0600-000006000000}"/>
    <hyperlink ref="H66" r:id="rId8" tooltip="Website Link" xr:uid="{00000000-0004-0000-0600-000007000000}"/>
    <hyperlink ref="H67" r:id="rId9" tooltip="Website Link" xr:uid="{00000000-0004-0000-0600-000008000000}"/>
    <hyperlink ref="H68" r:id="rId10" tooltip="Website Link" xr:uid="{00000000-0004-0000-0600-000009000000}"/>
    <hyperlink ref="H56" r:id="rId11" tooltip="Website Link" xr:uid="{00000000-0004-0000-0600-00000A000000}"/>
    <hyperlink ref="H55" r:id="rId12" tooltip="Website Link" xr:uid="{00000000-0004-0000-0600-00000B000000}"/>
    <hyperlink ref="H54" r:id="rId13" tooltip="Website Link" xr:uid="{00000000-0004-0000-0600-00000C000000}"/>
    <hyperlink ref="H53" r:id="rId14" tooltip="Website Link" xr:uid="{00000000-0004-0000-0600-00000D000000}"/>
    <hyperlink ref="H52" r:id="rId15" tooltip="Website Link" xr:uid="{00000000-0004-0000-0600-00000E000000}"/>
    <hyperlink ref="H51" r:id="rId16" xr:uid="{00000000-0004-0000-0600-00000F000000}"/>
    <hyperlink ref="H50" r:id="rId17" tooltip="Website Link" xr:uid="{00000000-0004-0000-0600-000010000000}"/>
    <hyperlink ref="H49" r:id="rId18" tooltip="Website Link" xr:uid="{00000000-0004-0000-0600-000011000000}"/>
    <hyperlink ref="H48" r:id="rId19" tooltip="Website Link" xr:uid="{00000000-0004-0000-0600-000012000000}"/>
    <hyperlink ref="H47" r:id="rId20" tooltip="Website Link" xr:uid="{00000000-0004-0000-0600-000013000000}"/>
    <hyperlink ref="H46" r:id="rId21" tooltip="Website Link" xr:uid="{00000000-0004-0000-0600-000014000000}"/>
    <hyperlink ref="H45" r:id="rId22" tooltip="Website Link" xr:uid="{00000000-0004-0000-0600-000015000000}"/>
    <hyperlink ref="H44" r:id="rId23" tooltip="Website Link" xr:uid="{00000000-0004-0000-0600-000016000000}"/>
    <hyperlink ref="H43" r:id="rId24" tooltip="Website Link" xr:uid="{00000000-0004-0000-0600-000017000000}"/>
    <hyperlink ref="H42" r:id="rId25" tooltip="Website Link" xr:uid="{00000000-0004-0000-0600-000018000000}"/>
    <hyperlink ref="H41" r:id="rId26" tooltip="Website Link" xr:uid="{00000000-0004-0000-0600-000019000000}"/>
    <hyperlink ref="H40" r:id="rId27" tooltip="Website Link" xr:uid="{00000000-0004-0000-0600-00001A000000}"/>
    <hyperlink ref="H39" r:id="rId28" tooltip="Website Link" xr:uid="{00000000-0004-0000-0600-00001B000000}"/>
    <hyperlink ref="H38" r:id="rId29" tooltip="Website Link" xr:uid="{00000000-0004-0000-0600-00001C000000}"/>
    <hyperlink ref="H37" r:id="rId30" tooltip="Website Link" xr:uid="{00000000-0004-0000-0600-00001D000000}"/>
    <hyperlink ref="H36" r:id="rId31" tooltip="Website Link" xr:uid="{00000000-0004-0000-0600-00001E000000}"/>
    <hyperlink ref="H35" r:id="rId32" tooltip="Website Link" xr:uid="{00000000-0004-0000-0600-00001F000000}"/>
    <hyperlink ref="H34" r:id="rId33" tooltip="Website Link" xr:uid="{00000000-0004-0000-0600-000020000000}"/>
    <hyperlink ref="H33" r:id="rId34" tooltip="Website Link" xr:uid="{00000000-0004-0000-0600-000021000000}"/>
    <hyperlink ref="H32" r:id="rId35" tooltip="Website Link" xr:uid="{00000000-0004-0000-0600-000022000000}"/>
    <hyperlink ref="H31" r:id="rId36" tooltip="Website Link" xr:uid="{00000000-0004-0000-0600-000023000000}"/>
    <hyperlink ref="H30" r:id="rId37" tooltip="Website Link" xr:uid="{00000000-0004-0000-0600-000024000000}"/>
    <hyperlink ref="H29" r:id="rId38" tooltip="Website Link" xr:uid="{00000000-0004-0000-0600-000025000000}"/>
    <hyperlink ref="H28" r:id="rId39" tooltip="Website Link" xr:uid="{00000000-0004-0000-0600-000026000000}"/>
    <hyperlink ref="H27" r:id="rId40" tooltip="Website Link" xr:uid="{00000000-0004-0000-0600-000027000000}"/>
    <hyperlink ref="H26" r:id="rId41" tooltip="Website Link" xr:uid="{00000000-0004-0000-0600-000028000000}"/>
    <hyperlink ref="H25" r:id="rId42" tooltip="Website Link" xr:uid="{00000000-0004-0000-0600-000029000000}"/>
    <hyperlink ref="H24" r:id="rId43" tooltip="Website Link" xr:uid="{00000000-0004-0000-0600-00002A000000}"/>
    <hyperlink ref="H23" r:id="rId44" xr:uid="{00000000-0004-0000-0600-00002B000000}"/>
    <hyperlink ref="H22" r:id="rId45" tooltip="Website Link" xr:uid="{00000000-0004-0000-0600-00002C000000}"/>
    <hyperlink ref="H21" r:id="rId46" tooltip="Website Link" xr:uid="{00000000-0004-0000-0600-00002D000000}"/>
    <hyperlink ref="H20" r:id="rId47" tooltip="Website Link" xr:uid="{00000000-0004-0000-0600-00002E000000}"/>
    <hyperlink ref="H19" r:id="rId48" tooltip="Website Link" xr:uid="{00000000-0004-0000-0600-00002F000000}"/>
    <hyperlink ref="H18" r:id="rId49" tooltip="Website Link" xr:uid="{00000000-0004-0000-0600-000030000000}"/>
    <hyperlink ref="H17" r:id="rId50" xr:uid="{00000000-0004-0000-0600-000031000000}"/>
    <hyperlink ref="H16" r:id="rId51" tooltip="Website Link" xr:uid="{00000000-0004-0000-0600-000032000000}"/>
    <hyperlink ref="H15" r:id="rId52" tooltip="Website Link" xr:uid="{00000000-0004-0000-0600-000033000000}"/>
    <hyperlink ref="H14" r:id="rId53" tooltip="Website Link" xr:uid="{00000000-0004-0000-0600-000034000000}"/>
    <hyperlink ref="H13" r:id="rId54" tooltip="Website Link" xr:uid="{00000000-0004-0000-0600-000035000000}"/>
    <hyperlink ref="H12" r:id="rId55" tooltip="Website Link" xr:uid="{00000000-0004-0000-0600-000036000000}"/>
    <hyperlink ref="H11" r:id="rId56" tooltip="Website Link" xr:uid="{00000000-0004-0000-0600-000037000000}"/>
  </hyperlinks>
  <pageMargins left="0.7" right="0.7" top="0.75" bottom="0.75" header="0.3" footer="0.3"/>
  <pageSetup orientation="portrait"/>
  <drawing r:id="rId5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3B63AB9C-E868-4CFB-A8DC-36B6B6321A61}">
  <ds:schemaRefs>
    <ds:schemaRef ds:uri="http://www.w3.org/2001/XMLSchema"/>
  </ds:schemaRefs>
</ds:datastoreItem>
</file>

<file path=customXml/itemProps2.xml><?xml version="1.0" encoding="utf-8"?>
<ds:datastoreItem xmlns:ds="http://schemas.openxmlformats.org/officeDocument/2006/customXml" ds:itemID="{99D000D3-8BBA-4D3C-BCE3-082AA8796B50}">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16</vt:i4>
      </vt:variant>
      <vt:variant>
        <vt:lpstr>Named Ranges</vt:lpstr>
      </vt:variant>
      <vt:variant>
        <vt:i4>1982</vt:i4>
      </vt:variant>
    </vt:vector>
  </HeadingPairs>
  <TitlesOfParts>
    <vt:vector size="1998" baseType="lpstr">
      <vt:lpstr>Summary</vt:lpstr>
      <vt:lpstr>Memo - A (2)</vt:lpstr>
      <vt:lpstr>DD</vt:lpstr>
      <vt:lpstr>Drivers</vt:lpstr>
      <vt:lpstr>Stock (N)</vt:lpstr>
      <vt:lpstr>Company Calls</vt:lpstr>
      <vt:lpstr>Expert Calls</vt:lpstr>
      <vt:lpstr>EV &amp; CE</vt:lpstr>
      <vt:lpstr>Front Page</vt:lpstr>
      <vt:lpstr>Quarterly (2)</vt:lpstr>
      <vt:lpstr>Model</vt:lpstr>
      <vt:lpstr>Supplemental Data</vt:lpstr>
      <vt:lpstr>Exec Comp</vt:lpstr>
      <vt:lpstr>Guidance</vt:lpstr>
      <vt:lpstr>Summary Page</vt:lpstr>
      <vt:lpstr>Update Log</vt:lpstr>
      <vt:lpstr>'Memo - A (2)'!Case</vt:lpstr>
      <vt:lpstr>EC_CBO_BasePay</vt:lpstr>
      <vt:lpstr>EC_CBO_EquityComp_Percent</vt:lpstr>
      <vt:lpstr>EC_CBO_SharesOwned</vt:lpstr>
      <vt:lpstr>EC_CBO_TotalComp</vt:lpstr>
      <vt:lpstr>EC_CEO_BasePay</vt:lpstr>
      <vt:lpstr>EC_CEO_EquityComp_Percent</vt:lpstr>
      <vt:lpstr>EC_CEO_SharesOwned</vt:lpstr>
      <vt:lpstr>EC_CEO_TotalComp</vt:lpstr>
      <vt:lpstr>EC_CFO_BasePay</vt:lpstr>
      <vt:lpstr>EC_CFO_EquityComp_Percent</vt:lpstr>
      <vt:lpstr>EC_CFO_SharesOwned</vt:lpstr>
      <vt:lpstr>EC_CFO_TotalComp</vt:lpstr>
      <vt:lpstr>EC_COO_BasePay</vt:lpstr>
      <vt:lpstr>EC_COO_EquityComp_Percent</vt:lpstr>
      <vt:lpstr>EC_COO_SharesOwned</vt:lpstr>
      <vt:lpstr>EC_COO_TotalComp</vt:lpstr>
      <vt:lpstr>EC_CPO_BasePay</vt:lpstr>
      <vt:lpstr>EC_CPO_EquityComp_Percent</vt:lpstr>
      <vt:lpstr>EC_CPO_SharesOwned</vt:lpstr>
      <vt:lpstr>EC_CPO_TotalComp</vt:lpstr>
      <vt:lpstr>EC_CTO_BasePay</vt:lpstr>
      <vt:lpstr>EC_CTO_EquityComp_Percent</vt:lpstr>
      <vt:lpstr>EC_CTO_SharesOwned</vt:lpstr>
      <vt:lpstr>EC_CTO_TotalComp</vt:lpstr>
      <vt:lpstr>EC_Director_Compensation_Cash</vt:lpstr>
      <vt:lpstr>EC_Director_Compensation_Total</vt:lpstr>
      <vt:lpstr>EC_Directors_Current</vt:lpstr>
      <vt:lpstr>EC_Directors_Current_Female</vt:lpstr>
      <vt:lpstr>EC_Directors_Current_Independent</vt:lpstr>
      <vt:lpstr>EC_Directors_Nominees</vt:lpstr>
      <vt:lpstr>EC_Directors_Nominees_Female</vt:lpstr>
      <vt:lpstr>EC_Directors_Nominees_Independent</vt:lpstr>
      <vt:lpstr>FP.DataSource</vt:lpstr>
      <vt:lpstr>FP.DataSourceName</vt:lpstr>
      <vt:lpstr>FP.Disclaimer</vt:lpstr>
      <vt:lpstr>FP.LastPrice</vt:lpstr>
      <vt:lpstr>FP.LastPriceDate</vt:lpstr>
      <vt:lpstr>FP.RealTimeToggle</vt:lpstr>
      <vt:lpstr>FP.UpdateDate</vt:lpstr>
      <vt:lpstr>FP.UpdateEvent</vt:lpstr>
      <vt:lpstr>FP_Comment</vt:lpstr>
      <vt:lpstr>FP_StockPriceOverride</vt:lpstr>
      <vt:lpstr>GD.CompanyName</vt:lpstr>
      <vt:lpstr>GD.MRQ</vt:lpstr>
      <vt:lpstr>GD_Difference_Mid_Absolute</vt:lpstr>
      <vt:lpstr>GD_Difference_Mid_Relative</vt:lpstr>
      <vt:lpstr>GD_Guidance_High</vt:lpstr>
      <vt:lpstr>GD_Guidance_Low</vt:lpstr>
      <vt:lpstr>GD_Guidance_Mid</vt:lpstr>
      <vt:lpstr>GD_Header_Column</vt:lpstr>
      <vt:lpstr>GD_Header_Section</vt:lpstr>
      <vt:lpstr>GD_Index</vt:lpstr>
      <vt:lpstr>GD_Item</vt:lpstr>
      <vt:lpstr>GD_Item_BasePeriod</vt:lpstr>
      <vt:lpstr>GD_Item_FiscalPeriod</vt:lpstr>
      <vt:lpstr>GD_Item_Name</vt:lpstr>
      <vt:lpstr>GD_Model_Output</vt:lpstr>
      <vt:lpstr>GD_Model_Type</vt:lpstr>
      <vt:lpstr>GD_Type</vt:lpstr>
      <vt:lpstr>GD_Update_Date</vt:lpstr>
      <vt:lpstr>GD_Update_Link</vt:lpstr>
      <vt:lpstr>HP.MRFX</vt:lpstr>
      <vt:lpstr>HP.ReportCurrency</vt:lpstr>
      <vt:lpstr>HP.Ticker</vt:lpstr>
      <vt:lpstr>HP.TradeCurrency</vt:lpstr>
      <vt:lpstr>HP.TradeCurrency.HardCoded</vt:lpstr>
      <vt:lpstr>MO.ApplyTradeCurrencyScaling</vt:lpstr>
      <vt:lpstr>MO.CFY</vt:lpstr>
      <vt:lpstr>MO.CompanyName</vt:lpstr>
      <vt:lpstr>MO.DataSourceIndex</vt:lpstr>
      <vt:lpstr>MO.DataSourceName</vt:lpstr>
      <vt:lpstr>MO.FirstForecastedFiscalYear</vt:lpstr>
      <vt:lpstr>MO.KPI.1</vt:lpstr>
      <vt:lpstr>MO.KPI.10</vt:lpstr>
      <vt:lpstr>MO.KPI.11</vt:lpstr>
      <vt:lpstr>MO.KPI.12</vt:lpstr>
      <vt:lpstr>MO.KPI.13</vt:lpstr>
      <vt:lpstr>MO.KPI.14</vt:lpstr>
      <vt:lpstr>MO.KPI.15</vt:lpstr>
      <vt:lpstr>MO.KPI.16</vt:lpstr>
      <vt:lpstr>MO.KPI.17</vt:lpstr>
      <vt:lpstr>MO.KPI.2</vt:lpstr>
      <vt:lpstr>MO.KPI.3</vt:lpstr>
      <vt:lpstr>MO.KPI.4</vt:lpstr>
      <vt:lpstr>MO.KPI.5</vt:lpstr>
      <vt:lpstr>MO.KPI.6</vt:lpstr>
      <vt:lpstr>MO.KPI.7</vt:lpstr>
      <vt:lpstr>MO.KPI.8</vt:lpstr>
      <vt:lpstr>MO.KPI.9</vt:lpstr>
      <vt:lpstr>MO.KPI.Count</vt:lpstr>
      <vt:lpstr>MO.LastPrice</vt:lpstr>
      <vt:lpstr>MO.LastPriceDate</vt:lpstr>
      <vt:lpstr>MO.LastPriceFormula</vt:lpstr>
      <vt:lpstr>MO.LastPriceHardcoded</vt:lpstr>
      <vt:lpstr>MO.MRFP</vt:lpstr>
      <vt:lpstr>MO.MRFPColumnNumber</vt:lpstr>
      <vt:lpstr>MO.MRFX.Hardcoded</vt:lpstr>
      <vt:lpstr>MO.RealTime</vt:lpstr>
      <vt:lpstr>MO.RealTimeStockPriceToggle</vt:lpstr>
      <vt:lpstr>MO.ReportCurrency</vt:lpstr>
      <vt:lpstr>MO.ReportFX</vt:lpstr>
      <vt:lpstr>MO.Ticker</vt:lpstr>
      <vt:lpstr>MO.Ticker.Bloomberg</vt:lpstr>
      <vt:lpstr>MO.Ticker.Canalyst</vt:lpstr>
      <vt:lpstr>MO.Ticker.CapIQ</vt:lpstr>
      <vt:lpstr>MO.Ticker.FactSet</vt:lpstr>
      <vt:lpstr>MO.Ticker.Thomson</vt:lpstr>
      <vt:lpstr>MO.TradingCurrency</vt:lpstr>
      <vt:lpstr>MO.ValuationToggle</vt:lpstr>
      <vt:lpstr>MO_AN_FCF</vt:lpstr>
      <vt:lpstr>MO_AN_NI_NONGAAP_Diluted</vt:lpstr>
      <vt:lpstr>MO_BS_AEandOther</vt:lpstr>
      <vt:lpstr>MO_BS_AP</vt:lpstr>
      <vt:lpstr>MO_BS_AR</vt:lpstr>
      <vt:lpstr>MO_BS_CA</vt:lpstr>
      <vt:lpstr>MO_BS_Cash</vt:lpstr>
      <vt:lpstr>MO_BS_CL</vt:lpstr>
      <vt:lpstr>MO_BS_ContributedSurplus</vt:lpstr>
      <vt:lpstr>MO_BS_DefRev</vt:lpstr>
      <vt:lpstr>MO_BS_DefRev_Current</vt:lpstr>
      <vt:lpstr>MO_BS_FL_Current</vt:lpstr>
      <vt:lpstr>MO_BS_FL_NonCurrent</vt:lpstr>
      <vt:lpstr>MO_BS_Goodwill</vt:lpstr>
      <vt:lpstr>MO_BS_Intangibles</vt:lpstr>
      <vt:lpstr>MO_BS_NCA</vt:lpstr>
      <vt:lpstr>MO_BS_NCI</vt:lpstr>
      <vt:lpstr>MO_BS_NCL</vt:lpstr>
      <vt:lpstr>MO_BS_OCI</vt:lpstr>
      <vt:lpstr>MO_BS_OL_Current</vt:lpstr>
      <vt:lpstr>MO_BS_OL_NonCurrent</vt:lpstr>
      <vt:lpstr>MO_BS_PPE</vt:lpstr>
      <vt:lpstr>MO_BS_PreferredStock</vt:lpstr>
      <vt:lpstr>MO_BS_PrepaidExpensesAndOther</vt:lpstr>
      <vt:lpstr>MO_BS_RestrictedCash_Current</vt:lpstr>
      <vt:lpstr>MO_BS_RestrictedCash_NonCurrent</vt:lpstr>
      <vt:lpstr>MO_BS_RetainedEarnings</vt:lpstr>
      <vt:lpstr>MO_BS_ROU</vt:lpstr>
      <vt:lpstr>MO_BS_SE</vt:lpstr>
      <vt:lpstr>MO_BS_STInvestments</vt:lpstr>
      <vt:lpstr>MO_BS_TA</vt:lpstr>
      <vt:lpstr>MO_BS_TaxLiabilities_Deferred_Current</vt:lpstr>
      <vt:lpstr>MO_BS_TL</vt:lpstr>
      <vt:lpstr>MO_BS_TLSE</vt:lpstr>
      <vt:lpstr>MO_BSS_Cash</vt:lpstr>
      <vt:lpstr>MO_BSS_Debt</vt:lpstr>
      <vt:lpstr>MO_BSS_Debt_LT</vt:lpstr>
      <vt:lpstr>MO_BSS_Debt_Net</vt:lpstr>
      <vt:lpstr>MO_BSS_Debt_ST</vt:lpstr>
      <vt:lpstr>MO_BSS_Debt_ToCF</vt:lpstr>
      <vt:lpstr>MO_BSS_Debt_ToEBITDA</vt:lpstr>
      <vt:lpstr>MO_BSS_IE</vt:lpstr>
      <vt:lpstr>MO_BSS_IE_Net</vt:lpstr>
      <vt:lpstr>MO_BSS_II</vt:lpstr>
      <vt:lpstr>MO_BSS_InterestRate_Cash</vt:lpstr>
      <vt:lpstr>MO_BSS_InterestRate_Debt</vt:lpstr>
      <vt:lpstr>MO_BSS_NetInterestCoverage</vt:lpstr>
      <vt:lpstr>MO_BSS_NetInterestRate_Debt</vt:lpstr>
      <vt:lpstr>MO_BSS_OL</vt:lpstr>
      <vt:lpstr>MO_CCFS_Balance_Begin</vt:lpstr>
      <vt:lpstr>MO_CCFS_Balance_End</vt:lpstr>
      <vt:lpstr>MO_CCFS_CFF</vt:lpstr>
      <vt:lpstr>MO_CCFS_CFI</vt:lpstr>
      <vt:lpstr>MO_CCFS_CFO</vt:lpstr>
      <vt:lpstr>MO_CCFS_CFO_BeforeWC</vt:lpstr>
      <vt:lpstr>MO_CCFS_FX</vt:lpstr>
      <vt:lpstr>MO_CCFS_NetChange</vt:lpstr>
      <vt:lpstr>MO_CCFS_Sup_CashInterest</vt:lpstr>
      <vt:lpstr>MO_CCFS_Sup_CashTax</vt:lpstr>
      <vt:lpstr>MO_CFS_Balance_Begin</vt:lpstr>
      <vt:lpstr>MO_CFS_Balance_End</vt:lpstr>
      <vt:lpstr>MO_CFS_Buyback</vt:lpstr>
      <vt:lpstr>MO_CFS_Capex</vt:lpstr>
      <vt:lpstr>MO_CFS_CFF</vt:lpstr>
      <vt:lpstr>MO_CFS_CFI</vt:lpstr>
      <vt:lpstr>MO_CFS_CFO</vt:lpstr>
      <vt:lpstr>MO_CFS_CFO_BeforeWC</vt:lpstr>
      <vt:lpstr>MO_CFS_DA</vt:lpstr>
      <vt:lpstr>MO_CFS_DeferredTax</vt:lpstr>
      <vt:lpstr>MO_CFS_Dividend</vt:lpstr>
      <vt:lpstr>MO_CFS_FX</vt:lpstr>
      <vt:lpstr>MO_CFS_NetChange</vt:lpstr>
      <vt:lpstr>MO_CFS_NewEquityIssued</vt:lpstr>
      <vt:lpstr>MO_CFS_NI</vt:lpstr>
      <vt:lpstr>MO_CFS_SBC</vt:lpstr>
      <vt:lpstr>MO_CFS_Sup_CashInterest</vt:lpstr>
      <vt:lpstr>MO_CFS_Sup_CashTax</vt:lpstr>
      <vt:lpstr>MO_CFS_WC_AEandOther</vt:lpstr>
      <vt:lpstr>MO_CFS_WC_AR</vt:lpstr>
      <vt:lpstr>MO_CFS_WC_DefRev</vt:lpstr>
      <vt:lpstr>MO_CFS_WC_OL</vt:lpstr>
      <vt:lpstr>MO_CFS_WC_PrepaidExpensesAndOther</vt:lpstr>
      <vt:lpstr>MO_CFS_WC_ROU</vt:lpstr>
      <vt:lpstr>MO_CFSum_Acquisition</vt:lpstr>
      <vt:lpstr>MO_CFSum_Capex</vt:lpstr>
      <vt:lpstr>MO_CFSum_CFO</vt:lpstr>
      <vt:lpstr>MO_CFSum_CFO_BeforeWC</vt:lpstr>
      <vt:lpstr>MO_CFSum_CFOPS</vt:lpstr>
      <vt:lpstr>MO_CFSum_CFOPS_BeforeWC</vt:lpstr>
      <vt:lpstr>MO_CFSum_CFPS</vt:lpstr>
      <vt:lpstr>MO_CFSum_ChangeInWC</vt:lpstr>
      <vt:lpstr>MO_CFSum_Divestiture</vt:lpstr>
      <vt:lpstr>MO_CFSum_Dividend</vt:lpstr>
      <vt:lpstr>MO_CFSum_DPS</vt:lpstr>
      <vt:lpstr>MO_CFSum_FCF_PostDivPostAD</vt:lpstr>
      <vt:lpstr>MO_CFSum_FCF_PostDivPostADPostDebtPostBuyback</vt:lpstr>
      <vt:lpstr>MO_CFSum_FCF_PostDivPreAD</vt:lpstr>
      <vt:lpstr>MO_CFSum_FCF_PostWCPostDivPostAD</vt:lpstr>
      <vt:lpstr>MO_CFSum_FCF_PostWCPostDivPostADPostDebtPostBuyback</vt:lpstr>
      <vt:lpstr>MO_CFSum_FCF_PostWCPostDivPreAD</vt:lpstr>
      <vt:lpstr>MO_CFSum_FCF_PostWCPreDiv</vt:lpstr>
      <vt:lpstr>MO_CFSum_FCF_PreDiv</vt:lpstr>
      <vt:lpstr>MO_CFSum_NetDebtIssuance</vt:lpstr>
      <vt:lpstr>MO_CFSum_NetShares</vt:lpstr>
      <vt:lpstr>MO_CFSum_NetShares_Price</vt:lpstr>
      <vt:lpstr>MO_CFSum_SBC</vt:lpstr>
      <vt:lpstr>MO_CFSum_SBC_Margin</vt:lpstr>
      <vt:lpstr>MO_Checks_Bottom</vt:lpstr>
      <vt:lpstr>MO_Checks_BS</vt:lpstr>
      <vt:lpstr>MO_Checks_CF</vt:lpstr>
      <vt:lpstr>MO_Checks_IS</vt:lpstr>
      <vt:lpstr>MO_Common_Column_A</vt:lpstr>
      <vt:lpstr>MO_Common_Column_B</vt:lpstr>
      <vt:lpstr>MO_Common_ColumnHeader</vt:lpstr>
      <vt:lpstr>MO_Common_CompanySubtitle</vt:lpstr>
      <vt:lpstr>MO_Common_CompanyTitle</vt:lpstr>
      <vt:lpstr>MO_Common_FPDays</vt:lpstr>
      <vt:lpstr>MO_Common_QEndDate</vt:lpstr>
      <vt:lpstr>MO_Common_QEndDate_LWD</vt:lpstr>
      <vt:lpstr>MO_DAF_A</vt:lpstr>
      <vt:lpstr>MO_DAF_A_Percentage</vt:lpstr>
      <vt:lpstr>MO_DAF_Capex</vt:lpstr>
      <vt:lpstr>MO_DAF_D</vt:lpstr>
      <vt:lpstr>MO_DAF_D_Percentage</vt:lpstr>
      <vt:lpstr>MO_DAF_DA</vt:lpstr>
      <vt:lpstr>MO_DAF_Intangibles_BoP</vt:lpstr>
      <vt:lpstr>MO_DAF_Intangibles_Capex</vt:lpstr>
      <vt:lpstr>MO_DAF_Intangibles_Capex_Percent</vt:lpstr>
      <vt:lpstr>MO_DAF_Intangibles_EoP</vt:lpstr>
      <vt:lpstr>MO_DAF_Intangibles_Life</vt:lpstr>
      <vt:lpstr>MO_DAF_Intangibles_Other</vt:lpstr>
      <vt:lpstr>MO_DAF_PPE_BoP</vt:lpstr>
      <vt:lpstr>MO_DAF_PPE_Capex</vt:lpstr>
      <vt:lpstr>MO_DAF_PPE_EoP</vt:lpstr>
      <vt:lpstr>MO_DAF_PPE_Life</vt:lpstr>
      <vt:lpstr>MO_DAF_PPE_Other</vt:lpstr>
      <vt:lpstr>MO_GA_AdvertisingExpense</vt:lpstr>
      <vt:lpstr>MO_GA_EmployeeCount</vt:lpstr>
      <vt:lpstr>MO_GA_REV_ConstantCurrency</vt:lpstr>
      <vt:lpstr>MO_GA_TotalRevenue</vt:lpstr>
      <vt:lpstr>MO_GuidanceAnalysis_AllExpenses_FY</vt:lpstr>
      <vt:lpstr>MO_GuidanceAnalysis_AllExpenses_Q</vt:lpstr>
      <vt:lpstr>MO_GuidanceAnalysis_Capex_FY</vt:lpstr>
      <vt:lpstr>MO_GuidanceAnalysis_Capex_Q</vt:lpstr>
      <vt:lpstr>MO_GuidanceAnalysis_Revenue_FY</vt:lpstr>
      <vt:lpstr>MO_GuidanceAnalysis_Revenue_MostRecentMidpoint</vt:lpstr>
      <vt:lpstr>MO_GuidanceAnalysis_Revenue_Q</vt:lpstr>
      <vt:lpstr>MO_IS_COGS</vt:lpstr>
      <vt:lpstr>MO_IS_EBIT</vt:lpstr>
      <vt:lpstr>MO_IS_EBT</vt:lpstr>
      <vt:lpstr>MO_IS_FirstRow</vt:lpstr>
      <vt:lpstr>MO_IS_FX</vt:lpstr>
      <vt:lpstr>MO_IS_GA</vt:lpstr>
      <vt:lpstr>MO_IS_GP</vt:lpstr>
      <vt:lpstr>MO_IS_IE_Net</vt:lpstr>
      <vt:lpstr>MO_IS_NI_ContinOp</vt:lpstr>
      <vt:lpstr>MO_IS_OPEX</vt:lpstr>
      <vt:lpstr>MO_IS_RD</vt:lpstr>
      <vt:lpstr>MO_IS_REV</vt:lpstr>
      <vt:lpstr>MO_IS_SM</vt:lpstr>
      <vt:lpstr>MO_IS_Tax</vt:lpstr>
      <vt:lpstr>MO_KPI_AdvertisingExpense</vt:lpstr>
      <vt:lpstr>MO_KPI_AdvertisingExpense_Growth</vt:lpstr>
      <vt:lpstr>MO_KPI_ARPU_Daily</vt:lpstr>
      <vt:lpstr>MO_KPI_DAU</vt:lpstr>
      <vt:lpstr>MO_KPI_EmployeeCount</vt:lpstr>
      <vt:lpstr>MO_KPI_Geo_REV_Advertising_APAC</vt:lpstr>
      <vt:lpstr>MO_KPI_Geo_REV_Advertising_Europe</vt:lpstr>
      <vt:lpstr>MO_KPI_Geo_REV_Advertising_NA</vt:lpstr>
      <vt:lpstr>MO_KPI_Geo_REV_APAC</vt:lpstr>
      <vt:lpstr>MO_KPI_Geo_REV_Europe</vt:lpstr>
      <vt:lpstr>MO_KPI_Geo_REV_NA</vt:lpstr>
      <vt:lpstr>MO_KPI_REV_AdPlatform</vt:lpstr>
      <vt:lpstr>MO_KPI_REV_AdTech</vt:lpstr>
      <vt:lpstr>MO_KPI_REV_Advertising</vt:lpstr>
      <vt:lpstr>MO_KPI_REV_Advertising_SocialMediaPlatform</vt:lpstr>
      <vt:lpstr>MO_KPI_REV_Geo_APAC</vt:lpstr>
      <vt:lpstr>MO_KPI_REV_Geo_Europe</vt:lpstr>
      <vt:lpstr>MO_KPI_REV_Geo_NA</vt:lpstr>
      <vt:lpstr>MO_KPI_REV_Geo_NorthAmerica</vt:lpstr>
      <vt:lpstr>MO_MA_COGS</vt:lpstr>
      <vt:lpstr>MO_MA_DA</vt:lpstr>
      <vt:lpstr>MO_MA_DAintangibles</vt:lpstr>
      <vt:lpstr>MO_MA_EBIT</vt:lpstr>
      <vt:lpstr>MO_MA_EBIT_Adj</vt:lpstr>
      <vt:lpstr>MO_MA_EBITDA</vt:lpstr>
      <vt:lpstr>MO_MA_EBITDA_Adj</vt:lpstr>
      <vt:lpstr>MO_MA_GA</vt:lpstr>
      <vt:lpstr>MO_MA_GM</vt:lpstr>
      <vt:lpstr>MO_MA_RD</vt:lpstr>
      <vt:lpstr>MO_MA_SBC</vt:lpstr>
      <vt:lpstr>MO_MA_SM</vt:lpstr>
      <vt:lpstr>MO_OS_AdvertisingExpense</vt:lpstr>
      <vt:lpstr>MO_OS_EmployeeCount</vt:lpstr>
      <vt:lpstr>MO_OS_Geo_REV_APAC</vt:lpstr>
      <vt:lpstr>MO_OS_Geo_REV_Europe</vt:lpstr>
      <vt:lpstr>MO_OS_Geo_REV_NA</vt:lpstr>
      <vt:lpstr>MO_OS_OPEX</vt:lpstr>
      <vt:lpstr>MO_RIS_Adjustments_Dilution_GAAP</vt:lpstr>
      <vt:lpstr>MO_RIS_Adjustments_Dilution_NONGAAP</vt:lpstr>
      <vt:lpstr>MO_RIS_Adjustments_NONGAAP</vt:lpstr>
      <vt:lpstr>MO_RIS_COGS</vt:lpstr>
      <vt:lpstr>MO_RIS_DA</vt:lpstr>
      <vt:lpstr>MO_RIS_DAintangibles</vt:lpstr>
      <vt:lpstr>MO_RIS_DisCont</vt:lpstr>
      <vt:lpstr>MO_RIS_Dividend_Prefs</vt:lpstr>
      <vt:lpstr>MO_RIS_EBIT</vt:lpstr>
      <vt:lpstr>MO_RIS_EBIT_Adj</vt:lpstr>
      <vt:lpstr>MO_RIS_EBITDA</vt:lpstr>
      <vt:lpstr>MO_RIS_EBITDA_Adj</vt:lpstr>
      <vt:lpstr>MO_RIS_EBT</vt:lpstr>
      <vt:lpstr>MO_RIS_EPS_WAB</vt:lpstr>
      <vt:lpstr>MO_RIS_EPS_WAD</vt:lpstr>
      <vt:lpstr>MO_RIS_EPS_WAD_Adj</vt:lpstr>
      <vt:lpstr>MO_RIS_GA</vt:lpstr>
      <vt:lpstr>MO_RIS_GP</vt:lpstr>
      <vt:lpstr>MO_RIS_IE</vt:lpstr>
      <vt:lpstr>MO_RIS_IE_Net</vt:lpstr>
      <vt:lpstr>MO_RIS_NCI</vt:lpstr>
      <vt:lpstr>MO_RIS_NI_ContinOp</vt:lpstr>
      <vt:lpstr>MO_RIS_NI_GAAP_Basic</vt:lpstr>
      <vt:lpstr>MO_RIS_NI_GAAP_Diluted</vt:lpstr>
      <vt:lpstr>MO_RIS_NI_NONGAAP_Diluted</vt:lpstr>
      <vt:lpstr>MO_RIS_OI</vt:lpstr>
      <vt:lpstr>MO_RIS_OTI</vt:lpstr>
      <vt:lpstr>MO_RIS_RD</vt:lpstr>
      <vt:lpstr>MO_RIS_REV</vt:lpstr>
      <vt:lpstr>MO_RIS_SBC</vt:lpstr>
      <vt:lpstr>MO_RIS_ShareCount_WAB</vt:lpstr>
      <vt:lpstr>MO_RIS_ShareCount_WAD</vt:lpstr>
      <vt:lpstr>MO_RIS_ShareCount_WAD_Adj</vt:lpstr>
      <vt:lpstr>MO_RIS_SM</vt:lpstr>
      <vt:lpstr>MO_RIS_Tax_Current</vt:lpstr>
      <vt:lpstr>MO_RIS_Tax_Deferred</vt:lpstr>
      <vt:lpstr>MO_RIS_TaxRate_Current</vt:lpstr>
      <vt:lpstr>MO_RIS_TaxRate_Deferred</vt:lpstr>
      <vt:lpstr>MO_SCA_ConversionRatio_Class2_ToClass1</vt:lpstr>
      <vt:lpstr>MO_SCA_Date_CoverPage</vt:lpstr>
      <vt:lpstr>MO_SCA_Date_LastWorkingDay</vt:lpstr>
      <vt:lpstr>MO_SCA_ESPPObligations_EoP</vt:lpstr>
      <vt:lpstr>MO_SCA_Other_EoP</vt:lpstr>
      <vt:lpstr>MO_SCA_Ratio_DilutedOverBasic</vt:lpstr>
      <vt:lpstr>MO_SCA_Repurchase_DollarValue</vt:lpstr>
      <vt:lpstr>MO_SCA_Repurchase_Program_Addition</vt:lpstr>
      <vt:lpstr>MO_SCA_Repurchase_Program_Remaining</vt:lpstr>
      <vt:lpstr>MO_SCA_Repurchase_Reported_Price</vt:lpstr>
      <vt:lpstr>MO_SCA_Repurchase_Reported_Shares_Total</vt:lpstr>
      <vt:lpstr>MO_SCA_ShareCount_CoverPage</vt:lpstr>
      <vt:lpstr>MO_SCA_ShareCount_CoverPage_Class1</vt:lpstr>
      <vt:lpstr>MO_SCA_ShareCount_CoverPage_Class2</vt:lpstr>
      <vt:lpstr>MO_SCA_ShareCount_CoverPage_Dilutive</vt:lpstr>
      <vt:lpstr>MO_SCA_ShareCount_CoverPage_Ticker1</vt:lpstr>
      <vt:lpstr>MO_SCA_ShareCount_CoverPage_Ticker1_Equivalent</vt:lpstr>
      <vt:lpstr>MO_SCA_ShareCount_DilutiveShares</vt:lpstr>
      <vt:lpstr>MO_SCA_ShareCount_EoP</vt:lpstr>
      <vt:lpstr>MO_SCA_ShareCount_EoP_Class1</vt:lpstr>
      <vt:lpstr>MO_SCA_ShareCount_EoP_Class2</vt:lpstr>
      <vt:lpstr>MO_SCA_ShareCount_EoP_Diluted</vt:lpstr>
      <vt:lpstr>MO_SCA_ShareCount_EoP_Economic</vt:lpstr>
      <vt:lpstr>MO_SCA_ShareCount_EoP_Growth_Dilutive_QoQ</vt:lpstr>
      <vt:lpstr>MO_SCA_ShareCount_EoP_Growth_Dilutive_YoY</vt:lpstr>
      <vt:lpstr>MO_SCA_ShareCount_EoP_Growth_NetIssuance_QoQ</vt:lpstr>
      <vt:lpstr>MO_SCA_ShareCount_EoP_Growth_NetIssuance_YoY</vt:lpstr>
      <vt:lpstr>MO_SCA_ShareCount_EoP_Growth_QoQ</vt:lpstr>
      <vt:lpstr>MO_SCA_ShareCount_EoP_Growth_YoY</vt:lpstr>
      <vt:lpstr>MO_SCA_ShareCount_EoP_Ticker1</vt:lpstr>
      <vt:lpstr>MO_SCA_ShareCount_EoP_Ticker1_Equivalent</vt:lpstr>
      <vt:lpstr>MO_SCA_ShareCount_FullyDiluted</vt:lpstr>
      <vt:lpstr>MO_SCA_ShareCount_PotentialDilution</vt:lpstr>
      <vt:lpstr>MO_SCA_StockOptions_BoP</vt:lpstr>
      <vt:lpstr>MO_SCA_StockOptions_Canceled</vt:lpstr>
      <vt:lpstr>MO_SCA_StockOptions_Cumulative_BoP</vt:lpstr>
      <vt:lpstr>MO_SCA_StockOptions_Cumulative_Canceled</vt:lpstr>
      <vt:lpstr>MO_SCA_StockOptions_Cumulative_EoP</vt:lpstr>
      <vt:lpstr>MO_SCA_StockOptions_Cumulative_Exercised</vt:lpstr>
      <vt:lpstr>MO_SCA_StockOptions_Cumulative_Granted</vt:lpstr>
      <vt:lpstr>MO_SCA_StockOptions_Cumulative_Price_BoP</vt:lpstr>
      <vt:lpstr>MO_SCA_StockOptions_Cumulative_Price_Canceled</vt:lpstr>
      <vt:lpstr>MO_SCA_StockOptions_Cumulative_Price_EoP</vt:lpstr>
      <vt:lpstr>MO_SCA_StockOptions_Cumulative_Price_Exercised</vt:lpstr>
      <vt:lpstr>MO_SCA_StockOptions_Cumulative_Price_Granted</vt:lpstr>
      <vt:lpstr>MO_SCA_StockOptions_Dilution</vt:lpstr>
      <vt:lpstr>MO_SCA_StockOptions_EoP</vt:lpstr>
      <vt:lpstr>MO_SCA_StockOptions_Exercisable_EoP</vt:lpstr>
      <vt:lpstr>MO_SCA_StockOptions_Exercised</vt:lpstr>
      <vt:lpstr>MO_SCA_StockOptions_Granted</vt:lpstr>
      <vt:lpstr>MO_SCA_StockOptions_Price_BoP</vt:lpstr>
      <vt:lpstr>MO_SCA_StockOptions_Price_Canceled</vt:lpstr>
      <vt:lpstr>MO_SCA_StockOptions_Price_EoP</vt:lpstr>
      <vt:lpstr>MO_SCA_StockOptions_Price_Exercisable_EoP</vt:lpstr>
      <vt:lpstr>MO_SCA_StockOptions_Price_Exercised</vt:lpstr>
      <vt:lpstr>MO_SCA_StockOptions_Price_Granted</vt:lpstr>
      <vt:lpstr>MO_SCA_StockPrice_EoP</vt:lpstr>
      <vt:lpstr>MO_SCA_UnvestedRSU_EoP</vt:lpstr>
      <vt:lpstr>MO_SCA_UnvestedRSU_Price_EoP</vt:lpstr>
      <vt:lpstr>MO_Section_AdjustedNumbers</vt:lpstr>
      <vt:lpstr>MO_Section_BalanceSheet</vt:lpstr>
      <vt:lpstr>MO_Section_BalanceSheetSummary</vt:lpstr>
      <vt:lpstr>MO_Section_BoardDiversity</vt:lpstr>
      <vt:lpstr>MO_Section_Canalyst</vt:lpstr>
      <vt:lpstr>MO_Section_Canalyst_1</vt:lpstr>
      <vt:lpstr>MO_Section_CapexGuidanceAnalysis</vt:lpstr>
      <vt:lpstr>MO_Section_CashFlowStatement</vt:lpstr>
      <vt:lpstr>MO_Section_CashFlowSummary</vt:lpstr>
      <vt:lpstr>MO_Section_ConsolidatedSummary</vt:lpstr>
      <vt:lpstr>MO_Section_ConsolidatedSummarySection</vt:lpstr>
      <vt:lpstr>MO_Section_CumulativeCashFlowStatement</vt:lpstr>
      <vt:lpstr>MO_Section_DAForecasting</vt:lpstr>
      <vt:lpstr>MO_Section_DirectorCompensation</vt:lpstr>
      <vt:lpstr>MO_Section_FirstSection</vt:lpstr>
      <vt:lpstr>MO_Section_GuidanceAnalysis</vt:lpstr>
      <vt:lpstr>MO_Section_IncomeStatement</vt:lpstr>
      <vt:lpstr>MO_Section_KeyMetricsAdImpressionCC</vt:lpstr>
      <vt:lpstr>MO_Section_KeyMetricsConstantCurrencyRevenuePR</vt:lpstr>
      <vt:lpstr>MO_Section_KeyMetricsHeadcountPR</vt:lpstr>
      <vt:lpstr>MO_Section_KeyMetricsLeasesFS</vt:lpstr>
      <vt:lpstr>MO_Section_KeyMetricsOperatingStatsofFamilyProductsSI</vt:lpstr>
      <vt:lpstr>MO_Section_KeyMetricsPropertyandEquipmentBreakdownPR</vt:lpstr>
      <vt:lpstr>MO_Section_KeyMetricsRestructuringChargesBreakdownCCPR</vt:lpstr>
      <vt:lpstr>MO_Section_LastRow</vt:lpstr>
      <vt:lpstr>MO_Section_MarginAnalysis</vt:lpstr>
      <vt:lpstr>MO_Section_ModelChecks</vt:lpstr>
      <vt:lpstr>MO_Section_OperatingExpenseForecasting</vt:lpstr>
      <vt:lpstr>MO_Section_OtherAlignmentDataPoints</vt:lpstr>
      <vt:lpstr>MO_Section_RevenueGuidanceAnalysis</vt:lpstr>
      <vt:lpstr>MO_Section_RevisedIncomeStatement</vt:lpstr>
      <vt:lpstr>MO_Section_SBCDABreakdownFSPR</vt:lpstr>
      <vt:lpstr>MO_Section_SegmentedResultsFamilyofAppsSI</vt:lpstr>
      <vt:lpstr>MO_Section_SegmentedResultsRealityLabsSI</vt:lpstr>
      <vt:lpstr>MO_Section_SegmentedResultsRevenueBreakdownSI</vt:lpstr>
      <vt:lpstr>MO_Section_SegmentedResultsRevenueExpensesandEBITFS</vt:lpstr>
      <vt:lpstr>MO_Section_SegmentSummary</vt:lpstr>
      <vt:lpstr>MO_Section_SegmentSummaryHistorical</vt:lpstr>
      <vt:lpstr>MO_Section_ShareCountAnalysis</vt:lpstr>
      <vt:lpstr>MO_Section_Tables</vt:lpstr>
      <vt:lpstr>MO_Section_TotalExpensesGuidanceAnalysis</vt:lpstr>
      <vt:lpstr>MO_Section_Valuation</vt:lpstr>
      <vt:lpstr>MO_Section_WorkingCapitalForecasting</vt:lpstr>
      <vt:lpstr>MO_SNA_ConsensusEstimatePeriodNumber</vt:lpstr>
      <vt:lpstr>MO_SNA_ConsensusEstimatePeriodType</vt:lpstr>
      <vt:lpstr>MO_SNA_FPStartDate</vt:lpstr>
      <vt:lpstr>MO_SNA_Guidance_ApplicablePeriod_FY</vt:lpstr>
      <vt:lpstr>MO_SNA_Guidance_ApplicablePeriod_FY_Latest</vt:lpstr>
      <vt:lpstr>MO_SNA_Guidance_ApplicablePeriod_Q</vt:lpstr>
      <vt:lpstr>MO_SNA_Guidance_IsLatest_FY</vt:lpstr>
      <vt:lpstr>MO_SNA_Guidance_ReportDate_FY</vt:lpstr>
      <vt:lpstr>MO_SNA_Guidance_ReportDate_Q</vt:lpstr>
      <vt:lpstr>MO_SNA_IsHistoricalPeriod</vt:lpstr>
      <vt:lpstr>MO_SNA_LastDataRow</vt:lpstr>
      <vt:lpstr>MO_SPT_FXAverage</vt:lpstr>
      <vt:lpstr>MO_SPT_FXAverage_Sources</vt:lpstr>
      <vt:lpstr>MO_SPT_FXAverage_Sources_Bloomberg</vt:lpstr>
      <vt:lpstr>MO_SPT_FXAverage_Sources_CapIQ</vt:lpstr>
      <vt:lpstr>MO_SPT_FXAverage_Sources_FactSet</vt:lpstr>
      <vt:lpstr>MO_SPT_FXAverage_Sources_RealTimeOff</vt:lpstr>
      <vt:lpstr>MO_SPT_FXAverage_Sources_Thomson</vt:lpstr>
      <vt:lpstr>MO_SPT_FXEoP</vt:lpstr>
      <vt:lpstr>MO_SPT_StockAverage</vt:lpstr>
      <vt:lpstr>MO_SPT_StockAverage_Sources</vt:lpstr>
      <vt:lpstr>MO_SPT_StockAverage_Sources_Bloomberg</vt:lpstr>
      <vt:lpstr>MO_SPT_StockAverage_Sources_CapIQ</vt:lpstr>
      <vt:lpstr>MO_SPT_StockAverage_Sources_FactSet</vt:lpstr>
      <vt:lpstr>MO_SPT_StockAverage_Sources_RealTimeOff</vt:lpstr>
      <vt:lpstr>MO_SPT_StockAverage_Sources_Thomson</vt:lpstr>
      <vt:lpstr>MO_SPT_StockEoP</vt:lpstr>
      <vt:lpstr>MO_SPT_StockHigh</vt:lpstr>
      <vt:lpstr>MO_SPT_StockHigh_Sources</vt:lpstr>
      <vt:lpstr>MO_SPT_StockHigh_Sources_Bloomberg</vt:lpstr>
      <vt:lpstr>MO_SPT_StockHigh_Sources_CapIQ</vt:lpstr>
      <vt:lpstr>MO_SPT_StockHigh_Sources_FactSet</vt:lpstr>
      <vt:lpstr>MO_SPT_StockHigh_Sources_RealTimeOff</vt:lpstr>
      <vt:lpstr>MO_SPT_StockHigh_Sources_Thomson</vt:lpstr>
      <vt:lpstr>MO_SPT_StockLow</vt:lpstr>
      <vt:lpstr>MO_SPT_StockLow_Sources</vt:lpstr>
      <vt:lpstr>MO_SPT_StockLow_Sources_Bloomberg</vt:lpstr>
      <vt:lpstr>MO_SPT_StockLow_Sources_CapIQ</vt:lpstr>
      <vt:lpstr>MO_SPT_StockLow_Sources_FactSet</vt:lpstr>
      <vt:lpstr>MO_SPT_StockLow_Sources_RealTimeOff</vt:lpstr>
      <vt:lpstr>MO_SPT_StockLow_Sources_Thomson</vt:lpstr>
      <vt:lpstr>MO_SR_Geo_APAC</vt:lpstr>
      <vt:lpstr>MO_SR_Geo_Europe</vt:lpstr>
      <vt:lpstr>MO_SR_Geo_NorthAmerica</vt:lpstr>
      <vt:lpstr>MO_SR_Geo_US</vt:lpstr>
      <vt:lpstr>MO_SS_Breakdown_REV_Geo_1</vt:lpstr>
      <vt:lpstr>MO_SS_Breakdown_REV_Geo_2</vt:lpstr>
      <vt:lpstr>MO_SS_Breakdown_REV_Geo_3</vt:lpstr>
      <vt:lpstr>MO_SS_Breakdown_REV_Geo_4</vt:lpstr>
      <vt:lpstr>MO_SS_Breakdown_REV_Geo_Mix_1</vt:lpstr>
      <vt:lpstr>MO_SS_Breakdown_REV_Geo_Mix_2</vt:lpstr>
      <vt:lpstr>MO_SS_Breakdown_REV_Geo_Mix_3</vt:lpstr>
      <vt:lpstr>MO_SS_Breakdown_REV_Geo_Mix_4</vt:lpstr>
      <vt:lpstr>MO_SS_Breakdown_REV_Geo_Mix_Total</vt:lpstr>
      <vt:lpstr>MO_SS_Breakdown_REV_Geo_Total</vt:lpstr>
      <vt:lpstr>MO_SS_Breakdown_REV_ProdServ_1</vt:lpstr>
      <vt:lpstr>MO_SS_Breakdown_REV_ProdServ_2</vt:lpstr>
      <vt:lpstr>MO_SS_Breakdown_REV_ProdServ_Mix_1</vt:lpstr>
      <vt:lpstr>MO_SS_Breakdown_REV_ProdServ_Mix_2</vt:lpstr>
      <vt:lpstr>MO_SS_Breakdown_REV_ProdServ_Mix_Total</vt:lpstr>
      <vt:lpstr>MO_SS_Breakdown_REV_ProdServ_Total</vt:lpstr>
      <vt:lpstr>MO_SubSection_BS_CA</vt:lpstr>
      <vt:lpstr>MO_SubSection_BS_CL</vt:lpstr>
      <vt:lpstr>MO_SubSection_BS_NCA</vt:lpstr>
      <vt:lpstr>MO_SubSection_BS_NCL</vt:lpstr>
      <vt:lpstr>MO_SubSection_BS_SE</vt:lpstr>
      <vt:lpstr>MO_SubSection_CCFS_CFF</vt:lpstr>
      <vt:lpstr>MO_SubSection_CCFS_CFI</vt:lpstr>
      <vt:lpstr>MO_SubSection_CCFS_CFO</vt:lpstr>
      <vt:lpstr>MO_SubSection_CFS_CFF</vt:lpstr>
      <vt:lpstr>MO_SubSection_CFS_CFI</vt:lpstr>
      <vt:lpstr>MO_SubSection_CFS_CFO</vt:lpstr>
      <vt:lpstr>MO_VA_EV</vt:lpstr>
      <vt:lpstr>MO_VA_EV_ToEBITDA</vt:lpstr>
      <vt:lpstr>MO_VA_EVCalc_NCI</vt:lpstr>
      <vt:lpstr>MO_VA_EVCalc_Other</vt:lpstr>
      <vt:lpstr>MO_VA_EVCalc_Prefs</vt:lpstr>
      <vt:lpstr>MO_VA_FCFYield_ToEV</vt:lpstr>
      <vt:lpstr>MO_VA_FCFYield_ToMktCap</vt:lpstr>
      <vt:lpstr>MO_VA_FX_Average</vt:lpstr>
      <vt:lpstr>MO_VA_FX_EoP</vt:lpstr>
      <vt:lpstr>MO_VA_MarketCap</vt:lpstr>
      <vt:lpstr>MO_VA_P_ToCF</vt:lpstr>
      <vt:lpstr>MO_VA_P_ToE</vt:lpstr>
      <vt:lpstr>MO_VA_StockPrice</vt:lpstr>
      <vt:lpstr>MO_VA_StockPrice_Avg</vt:lpstr>
      <vt:lpstr>MO_VA_StockPrice_EoP</vt:lpstr>
      <vt:lpstr>MO_VA_StockPrice_High</vt:lpstr>
      <vt:lpstr>MO_VA_StockPrice_Low</vt:lpstr>
      <vt:lpstr>MO_VA_StockPrice_TradingCurrency</vt:lpstr>
      <vt:lpstr>MO_WCF_AR_Margin</vt:lpstr>
      <vt:lpstr>MO_WCF_AR_Margin_Change</vt:lpstr>
      <vt:lpstr>'Company Calls'!Print_Area</vt:lpstr>
      <vt:lpstr>DD!Print_Area</vt:lpstr>
      <vt:lpstr>Drivers!Print_Area</vt:lpstr>
      <vt:lpstr>'EV &amp; CE'!Print_Area</vt:lpstr>
      <vt:lpstr>'Expert Calls'!Print_Area</vt:lpstr>
      <vt:lpstr>'Memo - A (2)'!Print_Area</vt:lpstr>
      <vt:lpstr>Model!Print_Area</vt:lpstr>
      <vt:lpstr>'Quarterly (2)'!Print_Area</vt:lpstr>
      <vt:lpstr>'Stock (N)'!Print_Area</vt:lpstr>
      <vt:lpstr>Summary!Print_Area</vt:lpstr>
      <vt:lpstr>'Summary Page'!Print_Area</vt:lpstr>
      <vt:lpstr>Model!Print_Titles</vt:lpstr>
      <vt:lpstr>SP.ReportFX</vt:lpstr>
      <vt:lpstr>SP.ValuationToggle</vt:lpstr>
      <vt:lpstr>SP_BSR_Capital</vt:lpstr>
      <vt:lpstr>SP_BSR_CashFlow</vt:lpstr>
      <vt:lpstr>SP_BSR_CashFlow_LTM</vt:lpstr>
      <vt:lpstr>SP_BSR_CL</vt:lpstr>
      <vt:lpstr>SP_BSR_CL_Avg</vt:lpstr>
      <vt:lpstr>SP_BSR_Debt</vt:lpstr>
      <vt:lpstr>SP_BSR_Debt_Avg</vt:lpstr>
      <vt:lpstr>SP_BSR_EBITDA</vt:lpstr>
      <vt:lpstr>SP_BSR_EBITDA_LTM</vt:lpstr>
      <vt:lpstr>SP_BSR_SE</vt:lpstr>
      <vt:lpstr>SP_BSR_SE_Avg</vt:lpstr>
      <vt:lpstr>SP_BSR_TA</vt:lpstr>
      <vt:lpstr>SP_BSR_TA_Avg</vt:lpstr>
      <vt:lpstr>SP_CFA_Acquisition</vt:lpstr>
      <vt:lpstr>SP_CFA_Capex</vt:lpstr>
      <vt:lpstr>SP_CFA_CFO</vt:lpstr>
      <vt:lpstr>SP_CFA_CFO_BeforeWC</vt:lpstr>
      <vt:lpstr>SP_CFA_CFO_PerShare</vt:lpstr>
      <vt:lpstr>SP_CFA_Debt</vt:lpstr>
      <vt:lpstr>SP_CFA_Div</vt:lpstr>
      <vt:lpstr>SP_CFA_Div_PerShare</vt:lpstr>
      <vt:lpstr>SP_CFA_Divestiture</vt:lpstr>
      <vt:lpstr>SP_CFA_Equity</vt:lpstr>
      <vt:lpstr>SP_CFA_FCF_PerShare</vt:lpstr>
      <vt:lpstr>SP_CFA_FCF_PostDiv</vt:lpstr>
      <vt:lpstr>SP_CFA_FCF_PreDiv</vt:lpstr>
      <vt:lpstr>SP_CFA_NetChange</vt:lpstr>
      <vt:lpstr>SP_CFA_Other</vt:lpstr>
      <vt:lpstr>SP_CFA_Payout_vsEPS</vt:lpstr>
      <vt:lpstr>SP_CFA_Payout_vsFCF</vt:lpstr>
      <vt:lpstr>SP_CFA_WC</vt:lpstr>
      <vt:lpstr>SP_Checks_SummaryPage</vt:lpstr>
      <vt:lpstr>SP_Common_Column_A</vt:lpstr>
      <vt:lpstr>SP_Common_Column_B</vt:lpstr>
      <vt:lpstr>SP_Common_ColumnHeader</vt:lpstr>
      <vt:lpstr>SP_Common_QEndDate</vt:lpstr>
      <vt:lpstr>SP_CS_Cash</vt:lpstr>
      <vt:lpstr>SP_CS_Debt</vt:lpstr>
      <vt:lpstr>SP_CS_EV</vt:lpstr>
      <vt:lpstr>SP_CS_EVCalc_Other</vt:lpstr>
      <vt:lpstr>SP_CS_MarketCap</vt:lpstr>
      <vt:lpstr>SP_CS_OL</vt:lpstr>
      <vt:lpstr>SP_CS_ShareCount</vt:lpstr>
      <vt:lpstr>SP_CS_ShareCount_EoP_Diluted</vt:lpstr>
      <vt:lpstr>SP_CS_StockPrice</vt:lpstr>
      <vt:lpstr>SP_GF_COGS</vt:lpstr>
      <vt:lpstr>SP_GF_DisCont</vt:lpstr>
      <vt:lpstr>SP_GF_Div_Prefs</vt:lpstr>
      <vt:lpstr>SP_GF_EBIT</vt:lpstr>
      <vt:lpstr>SP_GF_EBT</vt:lpstr>
      <vt:lpstr>SP_GF_EPS_WAD</vt:lpstr>
      <vt:lpstr>SP_GF_GA</vt:lpstr>
      <vt:lpstr>SP_GF_IE</vt:lpstr>
      <vt:lpstr>SP_GF_IE_Net</vt:lpstr>
      <vt:lpstr>SP_GF_NCI</vt:lpstr>
      <vt:lpstr>SP_GF_NI</vt:lpstr>
      <vt:lpstr>SP_GF_OI</vt:lpstr>
      <vt:lpstr>SP_GF_RD</vt:lpstr>
      <vt:lpstr>SP_GF_Rev</vt:lpstr>
      <vt:lpstr>SP_GF_SGA</vt:lpstr>
      <vt:lpstr>SP_GF_ShareCount</vt:lpstr>
      <vt:lpstr>SP_GF_SM</vt:lpstr>
      <vt:lpstr>SP_GF_Tax</vt:lpstr>
      <vt:lpstr>SP_MA_COGS</vt:lpstr>
      <vt:lpstr>SP_MA_EBIT</vt:lpstr>
      <vt:lpstr>SP_MA_EBIT_Adj</vt:lpstr>
      <vt:lpstr>SP_MA_EBITDA</vt:lpstr>
      <vt:lpstr>SP_MA_EBITDA_Adj</vt:lpstr>
      <vt:lpstr>SP_MA_GA</vt:lpstr>
      <vt:lpstr>SP_MA_RD</vt:lpstr>
      <vt:lpstr>SP_MA_SM</vt:lpstr>
      <vt:lpstr>SP_NGF_EBIT</vt:lpstr>
      <vt:lpstr>SP_NGF_EBITDA</vt:lpstr>
      <vt:lpstr>SP_NGF_EPS</vt:lpstr>
      <vt:lpstr>SP_NGF_NI</vt:lpstr>
      <vt:lpstr>SP_PR_ROA</vt:lpstr>
      <vt:lpstr>SP_PR_ROCE</vt:lpstr>
      <vt:lpstr>SP_PR_ROE</vt:lpstr>
      <vt:lpstr>SP_PR_ROIC</vt:lpstr>
      <vt:lpstr>SP_PSGM_CFO</vt:lpstr>
      <vt:lpstr>SP_Section_BalanceSheetRatios</vt:lpstr>
      <vt:lpstr>SP_Section_CapitalizationSummary</vt:lpstr>
      <vt:lpstr>SP_Section_CashFlowAnalysis</vt:lpstr>
      <vt:lpstr>SP_Section_Checks</vt:lpstr>
      <vt:lpstr>SP_Section_GAAPFinancials</vt:lpstr>
      <vt:lpstr>SP_Section_LastRow</vt:lpstr>
      <vt:lpstr>SP_Section_MarginAnalysis</vt:lpstr>
      <vt:lpstr>SP_Section_PerShareGrowthMetrics</vt:lpstr>
      <vt:lpstr>SP_VM_EV_toSales</vt:lpstr>
      <vt:lpstr>tb_ConsensusEstimate</vt:lpstr>
      <vt:lpstr>tb_EntireModel</vt:lpstr>
      <vt:lpstr>tb_Guidance_FY</vt:lpstr>
      <vt:lpstr>tb_Guidance_Q</vt:lpstr>
      <vt:lpstr>tb_KeyOutputs</vt:lpstr>
      <vt:lpstr>tb_KPIs</vt:lpstr>
      <vt:lpstr>tb_StockPrice</vt:lpstr>
      <vt:lpstr>tb_Tickers</vt:lpstr>
      <vt:lpstr>tb_UpdateLog</vt:lpstr>
      <vt:lpstr>tb_ValuationToggle</vt:lpstr>
      <vt:lpstr>UL.CSIN</vt:lpstr>
      <vt:lpstr>UL.ModelVersion</vt:lpstr>
      <vt:lpstr>UL.MRQ</vt:lpstr>
      <vt:lpstr>UL.MRQColNum</vt:lpstr>
      <vt:lpstr>'Exec Comp'!WS_ColumnHeader</vt:lpstr>
      <vt:lpstr>'Supplemental Data'!WS_ColumnHeader</vt:lpstr>
      <vt:lpstr>'Exec Comp'!WS_LastRow</vt:lpstr>
      <vt:lpstr>'Supplemental Data'!WS_LastRow</vt:lpstr>
      <vt:lpstr>'Exec Comp'!WS_PeriodMetadata_FPDays</vt:lpstr>
      <vt:lpstr>'Supplemental Data'!WS_PeriodMetadata_FPDays</vt:lpstr>
      <vt:lpstr>'Exec Comp'!WS_PeriodMetadata_PAnnotation</vt:lpstr>
      <vt:lpstr>'Supplemental Data'!WS_PeriodMetadata_PAnnotation</vt:lpstr>
      <vt:lpstr>'Exec Comp'!WS_PeriodMetadata_PEndDate</vt:lpstr>
      <vt:lpstr>'Supplemental Data'!WS_PeriodMetadata_PEndDate</vt:lpstr>
      <vt:lpstr>'Exec Comp'!WS_RowTitle</vt:lpstr>
      <vt:lpstr>'Supplemental Data'!WS_RowTitle</vt:lpstr>
      <vt:lpstr>'Exec Comp'!WS_WorkingRange_FirstColumn</vt:lpstr>
      <vt:lpstr>'Supplemental Data'!WS_WorkingRange_FirstColumn</vt:lpstr>
      <vt:lpstr>'Exec Comp'!WS_WorkingRange_FirstRow</vt:lpstr>
      <vt:lpstr>'Supplemental Data'!WS_WorkingRange_FirstRow</vt:lpstr>
      <vt:lpstr>'Exec Comp'!WS_WorkingRange_LastColumn</vt:lpstr>
      <vt:lpstr>'Supplemental Data'!WS_WorkingRange_LastColumn</vt:lpstr>
      <vt:lpstr>'Exec Comp'!WS_WorkingRange_LastRow</vt:lpstr>
      <vt:lpstr>'Supplemental Data'!WS_WorkingRange_LastRow</vt:lpstr>
      <vt:lpstr>z_T897CE0113_MO_AN_amortizationofintangibleassets</vt:lpstr>
      <vt:lpstr>z_T897CE0113_MO_AN_amortizationofintangiblesexpense</vt:lpstr>
      <vt:lpstr>z_T897CE0113_MO_AN_cogsrelatedsbc</vt:lpstr>
      <vt:lpstr>z_T897CE0113_MO_AN_DilutedNetIncome_1</vt:lpstr>
      <vt:lpstr>z_T897CE0113_MO_AN_FreeCashFlow</vt:lpstr>
      <vt:lpstr>z_T897CE0113_MO_AN_gaapnetincome</vt:lpstr>
      <vt:lpstr>z_T897CE0113_MO_AN_garelatedsbc</vt:lpstr>
      <vt:lpstr>z_T897CE0113_MO_AN_incometaxadjustments</vt:lpstr>
      <vt:lpstr>z_T897CE0113_MO_AN_Netcashfromoperatingactivities</vt:lpstr>
      <vt:lpstr>z_T897CE0113_MO_AN_netincomeattributabletocommonstockholders</vt:lpstr>
      <vt:lpstr>z_T897CE0113_MO_AN_nongaapnetincome</vt:lpstr>
      <vt:lpstr>z_T897CE0113_MO_AN_payrolltaxexpensesrelatedtosharebasedcompensation</vt:lpstr>
      <vt:lpstr>z_T897CE0113_MO_AN_Principalpaymentsonfinancelease</vt:lpstr>
      <vt:lpstr>z_T897CE0113_MO_AN_Purchaseofpropertyandequipment</vt:lpstr>
      <vt:lpstr>z_T897CE0113_MO_AN_rdrelatedsbc</vt:lpstr>
      <vt:lpstr>z_T897CE0113_MO_AN_reallocationofnetincomeasaresultofconversionofclassbtoclassastock</vt:lpstr>
      <vt:lpstr>z_T897CE0113_MO_AN_reallocationofnetincomeattributabletoparticipatingsecurities</vt:lpstr>
      <vt:lpstr>z_T897CE0113_MO_AN_sharebasedcompensationexpense</vt:lpstr>
      <vt:lpstr>z_T897CE0113_MO_AN_smrelatedsbc</vt:lpstr>
      <vt:lpstr>z_T897CE0113_MO_AN_totalsharebasedcompensation</vt:lpstr>
      <vt:lpstr>z_T897CE0113_MO_BlankRow_AN_1</vt:lpstr>
      <vt:lpstr>z_T897CE0113_MO_BlankRow_AN_3</vt:lpstr>
      <vt:lpstr>z_T897CE0113_MO_BlankRow_AN_4</vt:lpstr>
      <vt:lpstr>z_T897CE0113_MO_BlankRow_AN_5</vt:lpstr>
      <vt:lpstr>z_T897CE0113_MO_BlankRow_AN_6</vt:lpstr>
      <vt:lpstr>z_T897CE0113_MO_BlankRow_BS_1</vt:lpstr>
      <vt:lpstr>z_T897CE0113_MO_BlankRow_BS_2</vt:lpstr>
      <vt:lpstr>z_T897CE0113_MO_BlankRow_BS_3</vt:lpstr>
      <vt:lpstr>z_T897CE0113_MO_BlankRow_BS_4</vt:lpstr>
      <vt:lpstr>z_T897CE0113_MO_BlankRow_BS_5</vt:lpstr>
      <vt:lpstr>z_T897CE0113_MO_BlankRow_BS_6</vt:lpstr>
      <vt:lpstr>z_T897CE0113_MO_BlankRow_BSS</vt:lpstr>
      <vt:lpstr>z_T897CE0113_MO_BlankRow_BSS_1</vt:lpstr>
      <vt:lpstr>z_T897CE0113_MO_BlankRow_BSS_2</vt:lpstr>
      <vt:lpstr>z_T897CE0113_MO_BlankRow_CCFS</vt:lpstr>
      <vt:lpstr>z_T897CE0113_MO_BlankRow_CCFS_1</vt:lpstr>
      <vt:lpstr>z_T897CE0113_MO_BlankRow_CCFS_2</vt:lpstr>
      <vt:lpstr>z_T897CE0113_MO_BlankRow_CCFS_3</vt:lpstr>
      <vt:lpstr>z_T897CE0113_MO_BlankRow_CCFS_4</vt:lpstr>
      <vt:lpstr>z_T897CE0113_MO_BlankRow_CCFS_5</vt:lpstr>
      <vt:lpstr>z_T897CE0113_MO_BlankRow_CFS_10</vt:lpstr>
      <vt:lpstr>z_T897CE0113_MO_BlankRow_CFS_2</vt:lpstr>
      <vt:lpstr>z_T897CE0113_MO_BlankRow_CFS_3</vt:lpstr>
      <vt:lpstr>z_T897CE0113_MO_BlankRow_CFS_4</vt:lpstr>
      <vt:lpstr>z_T897CE0113_MO_BlankRow_CFS_5</vt:lpstr>
      <vt:lpstr>z_T897CE0113_MO_BlankRow_CFS_6</vt:lpstr>
      <vt:lpstr>z_T897CE0113_MO_BlankRow_CFS_7</vt:lpstr>
      <vt:lpstr>z_T897CE0113_MO_BlankRow_CFSum</vt:lpstr>
      <vt:lpstr>z_T897CE0113_MO_BlankRow_CFSum_1</vt:lpstr>
      <vt:lpstr>z_T897CE0113_MO_BlankRow_CFSum_2</vt:lpstr>
      <vt:lpstr>z_T897CE0113_MO_BlankRow_CFSum_3</vt:lpstr>
      <vt:lpstr>z_T897CE0113_MO_BlankRow_DAF</vt:lpstr>
      <vt:lpstr>z_T897CE0113_MO_BlankRow_DAF_1</vt:lpstr>
      <vt:lpstr>z_T897CE0113_MO_BlankRow_DAF_2</vt:lpstr>
      <vt:lpstr>z_T897CE0113_MO_BlankRow_DAF_3</vt:lpstr>
      <vt:lpstr>z_T897CE0113_MO_BlankRow_IS</vt:lpstr>
      <vt:lpstr>z_T897CE0113_MO_BlankRow_IS_1</vt:lpstr>
      <vt:lpstr>z_T897CE0113_MO_BlankRow_MA</vt:lpstr>
      <vt:lpstr>z_T897CE0113_MO_BlankRow_MA_2</vt:lpstr>
      <vt:lpstr>z_T897CE0113_MO_BlankRow_MA_3</vt:lpstr>
      <vt:lpstr>z_T897CE0113_MO_BlankRow_MA_4</vt:lpstr>
      <vt:lpstr>z_T897CE0113_MO_BlankRow_MA_5</vt:lpstr>
      <vt:lpstr>z_T897CE0113_MO_BlankRow_MA_6</vt:lpstr>
      <vt:lpstr>z_T897CE0113_MO_BlankRow_MA_7</vt:lpstr>
      <vt:lpstr>z_T897CE0113_MO_BlankRow_OS_101</vt:lpstr>
      <vt:lpstr>z_T897CE0113_MO_BlankRow_OS_103</vt:lpstr>
      <vt:lpstr>z_T897CE0113_MO_BlankRow_OS_104</vt:lpstr>
      <vt:lpstr>z_T897CE0113_MO_BlankRow_OS_105</vt:lpstr>
      <vt:lpstr>z_T897CE0113_MO_BlankRow_OS_106</vt:lpstr>
      <vt:lpstr>z_T897CE0113_MO_BlankRow_OS_107</vt:lpstr>
      <vt:lpstr>z_T897CE0113_MO_BlankRow_OS_108</vt:lpstr>
      <vt:lpstr>z_T897CE0113_MO_BlankRow_OS_109</vt:lpstr>
      <vt:lpstr>z_T897CE0113_MO_BlankRow_OS_110</vt:lpstr>
      <vt:lpstr>z_T897CE0113_MO_BlankRow_OS_111</vt:lpstr>
      <vt:lpstr>z_T897CE0113_MO_BlankRow_OS_112</vt:lpstr>
      <vt:lpstr>z_T897CE0113_MO_BlankRow_OS_113</vt:lpstr>
      <vt:lpstr>z_T897CE0113_MO_BlankRow_OS_115</vt:lpstr>
      <vt:lpstr>z_T897CE0113_MO_BlankRow_OS_116</vt:lpstr>
      <vt:lpstr>z_T897CE0113_MO_BlankRow_OS_117</vt:lpstr>
      <vt:lpstr>z_T897CE0113_MO_BlankRow_OS_118</vt:lpstr>
      <vt:lpstr>z_T897CE0113_MO_BlankRow_OS_119</vt:lpstr>
      <vt:lpstr>z_T897CE0113_MO_BlankRow_OS_120</vt:lpstr>
      <vt:lpstr>z_T897CE0113_MO_BlankRow_OS_121</vt:lpstr>
      <vt:lpstr>z_T897CE0113_MO_BlankRow_OS_122</vt:lpstr>
      <vt:lpstr>z_T897CE0113_MO_BlankRow_OS_123</vt:lpstr>
      <vt:lpstr>z_T897CE0113_MO_BlankRow_OS_124</vt:lpstr>
      <vt:lpstr>z_T897CE0113_MO_BlankRow_OS_125</vt:lpstr>
      <vt:lpstr>z_T897CE0113_MO_BlankRow_OS_126</vt:lpstr>
      <vt:lpstr>z_T897CE0113_MO_BlankRow_OS_127</vt:lpstr>
      <vt:lpstr>z_T897CE0113_MO_BlankRow_OS_128</vt:lpstr>
      <vt:lpstr>z_T897CE0113_MO_BlankRow_OS_129</vt:lpstr>
      <vt:lpstr>z_T897CE0113_MO_BlankRow_OS_13</vt:lpstr>
      <vt:lpstr>z_T897CE0113_MO_BlankRow_OS_130</vt:lpstr>
      <vt:lpstr>z_T897CE0113_MO_BlankRow_OS_131</vt:lpstr>
      <vt:lpstr>z_T897CE0113_MO_BlankRow_OS_132</vt:lpstr>
      <vt:lpstr>z_T897CE0113_MO_BlankRow_OS_133</vt:lpstr>
      <vt:lpstr>z_T897CE0113_MO_BlankRow_OS_134</vt:lpstr>
      <vt:lpstr>z_T897CE0113_MO_BlankRow_OS_135</vt:lpstr>
      <vt:lpstr>z_T897CE0113_MO_BlankRow_OS_136</vt:lpstr>
      <vt:lpstr>z_T897CE0113_MO_BlankRow_OS_137</vt:lpstr>
      <vt:lpstr>z_T897CE0113_MO_BlankRow_OS_138</vt:lpstr>
      <vt:lpstr>z_T897CE0113_MO_BlankRow_OS_139</vt:lpstr>
      <vt:lpstr>z_T897CE0113_MO_BlankRow_OS_14</vt:lpstr>
      <vt:lpstr>z_T897CE0113_MO_BlankRow_OS_140</vt:lpstr>
      <vt:lpstr>z_T897CE0113_MO_BlankRow_OS_141</vt:lpstr>
      <vt:lpstr>z_T897CE0113_MO_BlankRow_OS_142</vt:lpstr>
      <vt:lpstr>z_T897CE0113_MO_BlankRow_OS_143</vt:lpstr>
      <vt:lpstr>z_T897CE0113_MO_BlankRow_OS_144</vt:lpstr>
      <vt:lpstr>z_T897CE0113_MO_BlankRow_OS_145</vt:lpstr>
      <vt:lpstr>z_T897CE0113_MO_BlankRow_OS_146</vt:lpstr>
      <vt:lpstr>z_T897CE0113_MO_BlankRow_OS_147</vt:lpstr>
      <vt:lpstr>z_T897CE0113_MO_BlankRow_OS_148</vt:lpstr>
      <vt:lpstr>z_T897CE0113_MO_BlankRow_OS_149</vt:lpstr>
      <vt:lpstr>z_T897CE0113_MO_BlankRow_OS_15</vt:lpstr>
      <vt:lpstr>z_T897CE0113_MO_BlankRow_OS_150</vt:lpstr>
      <vt:lpstr>z_T897CE0113_MO_BlankRow_OS_151</vt:lpstr>
      <vt:lpstr>z_T897CE0113_MO_BlankRow_OS_152</vt:lpstr>
      <vt:lpstr>z_T897CE0113_MO_BlankRow_OS_153</vt:lpstr>
      <vt:lpstr>z_T897CE0113_MO_BlankRow_OS_154</vt:lpstr>
      <vt:lpstr>z_T897CE0113_MO_BlankRow_OS_155</vt:lpstr>
      <vt:lpstr>z_T897CE0113_MO_BlankRow_OS_156</vt:lpstr>
      <vt:lpstr>z_T897CE0113_MO_BlankRow_OS_157</vt:lpstr>
      <vt:lpstr>z_T897CE0113_MO_BlankRow_OS_158</vt:lpstr>
      <vt:lpstr>z_T897CE0113_MO_BlankRow_OS_159</vt:lpstr>
      <vt:lpstr>z_T897CE0113_MO_BlankRow_OS_160</vt:lpstr>
      <vt:lpstr>z_T897CE0113_MO_BlankRow_OS_161</vt:lpstr>
      <vt:lpstr>z_T897CE0113_MO_BlankRow_OS_163</vt:lpstr>
      <vt:lpstr>z_T897CE0113_MO_BlankRow_OS_164</vt:lpstr>
      <vt:lpstr>z_T897CE0113_MO_BlankRow_OS_165</vt:lpstr>
      <vt:lpstr>z_T897CE0113_MO_BlankRow_OS_166</vt:lpstr>
      <vt:lpstr>z_T897CE0113_MO_BlankRow_OS_167</vt:lpstr>
      <vt:lpstr>z_T897CE0113_MO_BlankRow_OS_168</vt:lpstr>
      <vt:lpstr>z_T897CE0113_MO_BlankRow_OS_169</vt:lpstr>
      <vt:lpstr>z_T897CE0113_MO_BlankRow_OS_170</vt:lpstr>
      <vt:lpstr>z_T897CE0113_MO_BlankRow_OS_171</vt:lpstr>
      <vt:lpstr>z_T897CE0113_MO_BlankRow_OS_172</vt:lpstr>
      <vt:lpstr>z_T897CE0113_MO_BlankRow_OS_173</vt:lpstr>
      <vt:lpstr>z_T897CE0113_MO_BlankRow_OS_174</vt:lpstr>
      <vt:lpstr>z_T897CE0113_MO_BlankRow_OS_175</vt:lpstr>
      <vt:lpstr>z_T897CE0113_MO_BlankRow_OS_176</vt:lpstr>
      <vt:lpstr>z_T897CE0113_MO_BlankRow_OS_177</vt:lpstr>
      <vt:lpstr>z_T897CE0113_MO_BlankRow_OS_178</vt:lpstr>
      <vt:lpstr>z_T897CE0113_MO_BlankRow_OS_179</vt:lpstr>
      <vt:lpstr>z_T897CE0113_MO_BlankRow_OS_24</vt:lpstr>
      <vt:lpstr>z_T897CE0113_MO_BlankRow_OS_26</vt:lpstr>
      <vt:lpstr>z_T897CE0113_MO_BlankRow_OS_29</vt:lpstr>
      <vt:lpstr>z_T897CE0113_MO_BlankRow_OS_46</vt:lpstr>
      <vt:lpstr>z_T897CE0113_MO_BlankRow_OS_49</vt:lpstr>
      <vt:lpstr>z_T897CE0113_MO_BlankRow_OS_50</vt:lpstr>
      <vt:lpstr>z_T897CE0113_MO_BlankRow_OS_51</vt:lpstr>
      <vt:lpstr>z_T897CE0113_MO_BlankRow_OS_52</vt:lpstr>
      <vt:lpstr>z_T897CE0113_MO_BlankRow_OS_54</vt:lpstr>
      <vt:lpstr>z_T897CE0113_MO_BlankRow_OS_55</vt:lpstr>
      <vt:lpstr>z_T897CE0113_MO_BlankRow_OS_56</vt:lpstr>
      <vt:lpstr>z_T897CE0113_MO_BlankRow_OS_57</vt:lpstr>
      <vt:lpstr>z_T897CE0113_MO_BlankRow_OS_58</vt:lpstr>
      <vt:lpstr>z_T897CE0113_MO_BlankRow_OS_59</vt:lpstr>
      <vt:lpstr>z_T897CE0113_MO_BlankRow_OS_6</vt:lpstr>
      <vt:lpstr>z_T897CE0113_MO_BlankRow_OS_60</vt:lpstr>
      <vt:lpstr>z_T897CE0113_MO_BlankRow_OS_62</vt:lpstr>
      <vt:lpstr>z_T897CE0113_MO_BlankRow_OS_63</vt:lpstr>
      <vt:lpstr>z_T897CE0113_MO_BlankRow_OS_64</vt:lpstr>
      <vt:lpstr>z_T897CE0113_MO_BlankRow_OS_65</vt:lpstr>
      <vt:lpstr>z_T897CE0113_MO_BlankRow_OS_66</vt:lpstr>
      <vt:lpstr>z_T897CE0113_MO_BlankRow_OS_67</vt:lpstr>
      <vt:lpstr>z_T897CE0113_MO_BlankRow_OS_68</vt:lpstr>
      <vt:lpstr>z_T897CE0113_MO_BlankRow_OS_83</vt:lpstr>
      <vt:lpstr>z_T897CE0113_MO_BlankRow_OS_84</vt:lpstr>
      <vt:lpstr>z_T897CE0113_MO_BlankRow_OS_85</vt:lpstr>
      <vt:lpstr>z_T897CE0113_MO_BlankRow_OS_86</vt:lpstr>
      <vt:lpstr>z_T897CE0113_MO_BlankRow_OS_87</vt:lpstr>
      <vt:lpstr>z_T897CE0113_MO_BlankRow_OS_88</vt:lpstr>
      <vt:lpstr>z_T897CE0113_MO_BlankRow_OS_89</vt:lpstr>
      <vt:lpstr>z_T897CE0113_MO_BlankRow_OS_91</vt:lpstr>
      <vt:lpstr>z_T897CE0113_MO_BlankRow_OS_92</vt:lpstr>
      <vt:lpstr>z_T897CE0113_MO_BlankRow_OS_93</vt:lpstr>
      <vt:lpstr>z_T897CE0113_MO_BlankRow_OS_94</vt:lpstr>
      <vt:lpstr>z_T897CE0113_MO_BlankRow_OS_95</vt:lpstr>
      <vt:lpstr>z_T897CE0113_MO_BlankRow_OS_96</vt:lpstr>
      <vt:lpstr>z_T897CE0113_MO_BlankRow_OS_97</vt:lpstr>
      <vt:lpstr>z_T897CE0113_MO_BlankRow_RIS</vt:lpstr>
      <vt:lpstr>z_T897CE0113_MO_BlankRow_RIS_1</vt:lpstr>
      <vt:lpstr>z_T897CE0113_MO_BlankRow_RIS_2</vt:lpstr>
      <vt:lpstr>z_T897CE0113_MO_BlankRow_RIS_3</vt:lpstr>
      <vt:lpstr>z_T897CE0113_MO_BlankRow_RIS_4</vt:lpstr>
      <vt:lpstr>z_T897CE0113_MO_BlankRow_RIS_5</vt:lpstr>
      <vt:lpstr>z_T897CE0113_MO_BlankRow_RIS_6</vt:lpstr>
      <vt:lpstr>z_T897CE0113_MO_BlankRow_RIS_7</vt:lpstr>
      <vt:lpstr>z_T897CE0113_MO_BlankRow_RIS_8</vt:lpstr>
      <vt:lpstr>z_T897CE0113_MO_BlankRow_SNA</vt:lpstr>
      <vt:lpstr>z_T897CE0113_MO_BlankRow_SNA_1</vt:lpstr>
      <vt:lpstr>z_T897CE0113_MO_BlankRow_SNA_10</vt:lpstr>
      <vt:lpstr>z_T897CE0113_MO_BlankRow_SNA_11</vt:lpstr>
      <vt:lpstr>z_T897CE0113_MO_BlankRow_SNA_12</vt:lpstr>
      <vt:lpstr>z_T897CE0113_MO_BlankRow_SNA_13</vt:lpstr>
      <vt:lpstr>z_T897CE0113_MO_BlankRow_SNA_14</vt:lpstr>
      <vt:lpstr>z_T897CE0113_MO_BlankRow_SNA_15</vt:lpstr>
      <vt:lpstr>z_T897CE0113_MO_BlankRow_SNA_16</vt:lpstr>
      <vt:lpstr>z_T897CE0113_MO_BlankRow_SNA_17</vt:lpstr>
      <vt:lpstr>z_T897CE0113_MO_BlankRow_SNA_18</vt:lpstr>
      <vt:lpstr>z_T897CE0113_MO_BlankRow_SNA_19</vt:lpstr>
      <vt:lpstr>z_T897CE0113_MO_BlankRow_SNA_2</vt:lpstr>
      <vt:lpstr>z_T897CE0113_MO_BlankRow_SNA_20</vt:lpstr>
      <vt:lpstr>z_T897CE0113_MO_BlankRow_SNA_3</vt:lpstr>
      <vt:lpstr>z_T897CE0113_MO_BlankRow_SNA_4</vt:lpstr>
      <vt:lpstr>z_T897CE0113_MO_BlankRow_SNA_5</vt:lpstr>
      <vt:lpstr>z_T897CE0113_MO_BlankRow_SNA_6</vt:lpstr>
      <vt:lpstr>z_T897CE0113_MO_BlankRow_SNA_7</vt:lpstr>
      <vt:lpstr>z_T897CE0113_MO_BlankRow_SNA_8</vt:lpstr>
      <vt:lpstr>z_T897CE0113_MO_BlankRow_SNA_9</vt:lpstr>
      <vt:lpstr>z_T897CE0113_MO_BS_Accountspayable</vt:lpstr>
      <vt:lpstr>z_T897CE0113_MO_BS_Accountsreceivable</vt:lpstr>
      <vt:lpstr>z_T897CE0113_MO_BS_Accruedcompensationandbenefits</vt:lpstr>
      <vt:lpstr>z_T897CE0113_MO_BS_Accruedexpensesandothercurrentliabilities</vt:lpstr>
      <vt:lpstr>z_T897CE0113_MO_BS_Accruedpropertyandequipment</vt:lpstr>
      <vt:lpstr>z_T897CE0113_MO_BS_Accruedtaxes</vt:lpstr>
      <vt:lpstr>z_T897CE0113_MO_BS_Accumulatedothercomprehensiveloss</vt:lpstr>
      <vt:lpstr>z_T897CE0113_MO_BS_additionalpaidincapital</vt:lpstr>
      <vt:lpstr>z_T897CE0113_MO_BS_BSCheck</vt:lpstr>
      <vt:lpstr>z_T897CE0113_MO_BS_capitalleaseobligations</vt:lpstr>
      <vt:lpstr>z_T897CE0113_MO_BS_cashandcashequivalents</vt:lpstr>
      <vt:lpstr>z_T897CE0113_MO_BS_convertiblepreferredstock</vt:lpstr>
      <vt:lpstr>z_T897CE0113_MO_BS_CurrentAssets</vt:lpstr>
      <vt:lpstr>z_T897CE0113_MO_BS_CurrentLiabilities</vt:lpstr>
      <vt:lpstr>z_T897CE0113_MO_BS_currentportionofcapitalleaseobligations</vt:lpstr>
      <vt:lpstr>z_T897CE0113_MO_BS_Deferredincometaxes</vt:lpstr>
      <vt:lpstr>z_T897CE0113_MO_BS_deferredrevenueanddeposits</vt:lpstr>
      <vt:lpstr>z_T897CE0113_MO_BS_Equityinvestments</vt:lpstr>
      <vt:lpstr>z_T897CE0113_MO_BS_Goodwill</vt:lpstr>
      <vt:lpstr>z_T897CE0113_MO_BS_incometaxrefundable</vt:lpstr>
      <vt:lpstr>z_T897CE0113_MO_BS_Intangibleassets</vt:lpstr>
      <vt:lpstr>z_T897CE0113_MO_BS_Legalrelatedaccruals</vt:lpstr>
      <vt:lpstr>z_T897CE0113_MO_BS_Longtermdebt</vt:lpstr>
      <vt:lpstr>z_T897CE0113_MO_BS_Longtermincometaxes</vt:lpstr>
      <vt:lpstr>z_T897CE0113_MO_BS_marketablesecurities</vt:lpstr>
      <vt:lpstr>z_T897CE0113_MO_BS_NCI</vt:lpstr>
      <vt:lpstr>z_T897CE0113_MO_BS_NetIncomeonReportedISNIonRevised</vt:lpstr>
      <vt:lpstr>z_T897CE0113_MO_BS_NetIncomeonRevisedISNIonCFstatement</vt:lpstr>
      <vt:lpstr>z_T897CE0113_MO_BS_NonCurrentAssets</vt:lpstr>
      <vt:lpstr>z_T897CE0113_MO_BS_NonCurrentLiabilities</vt:lpstr>
      <vt:lpstr>z_T897CE0113_MO_BS_Operatingleaseliabilities</vt:lpstr>
      <vt:lpstr>z_T897CE0113_MO_BS_Operatingleaseliabilities_1</vt:lpstr>
      <vt:lpstr>z_T897CE0113_MO_BS_Operatingleaserightofuseassets</vt:lpstr>
      <vt:lpstr>z_T897CE0113_MO_BS_Otherassets</vt:lpstr>
      <vt:lpstr>z_T897CE0113_MO_BS_Othercurrentliabilities</vt:lpstr>
      <vt:lpstr>z_T897CE0113_MO_BS_Otherliabilities</vt:lpstr>
      <vt:lpstr>z_T897CE0113_MO_BS_partnerspayable</vt:lpstr>
      <vt:lpstr>z_T897CE0113_MO_BS_Prepaidexpensesandothercurrentassets</vt:lpstr>
      <vt:lpstr>z_T897CE0113_MO_BS_Propertyandequipment</vt:lpstr>
      <vt:lpstr>z_T897CE0113_MO_BS_Restrictedcash</vt:lpstr>
      <vt:lpstr>z_T897CE0113_MO_BS_Restrictedcash_1</vt:lpstr>
      <vt:lpstr>z_T897CE0113_MO_BS_retainedearnings</vt:lpstr>
      <vt:lpstr>z_T897CE0113_MO_BS_ShareholdersEquity</vt:lpstr>
      <vt:lpstr>z_T897CE0113_MO_BS_TotalAssets</vt:lpstr>
      <vt:lpstr>z_T897CE0113_MO_BS_TotalCurrentAssets</vt:lpstr>
      <vt:lpstr>z_T897CE0113_MO_BS_TotalCurrentLiabilities</vt:lpstr>
      <vt:lpstr>z_T897CE0113_MO_BS_TotalLiabilities</vt:lpstr>
      <vt:lpstr>z_T897CE0113_MO_BS_TotalLiabilitiesSE</vt:lpstr>
      <vt:lpstr>z_T897CE0113_MO_BS_TotalNonCurrentAssets</vt:lpstr>
      <vt:lpstr>z_T897CE0113_MO_BS_TotalNonCurrentliabilities</vt:lpstr>
      <vt:lpstr>z_T897CE0113_MO_BS_TotalSE</vt:lpstr>
      <vt:lpstr>z_T897CE0113_MO_BSS_Cash</vt:lpstr>
      <vt:lpstr>z_T897CE0113_MO_BSS_Debt</vt:lpstr>
      <vt:lpstr>z_T897CE0113_MO_BSS_DebtCashFlow</vt:lpstr>
      <vt:lpstr>z_T897CE0113_MO_BSS_DebtEBITDA</vt:lpstr>
      <vt:lpstr>z_T897CE0113_MO_BSS_EBITDANetInterestExpense</vt:lpstr>
      <vt:lpstr>z_T897CE0113_MO_BSS_EffectiveInterestRateonCash</vt:lpstr>
      <vt:lpstr>z_T897CE0113_MO_BSS_EffectiveInterestRateonDebt</vt:lpstr>
      <vt:lpstr>z_T897CE0113_MO_BSS_EffectiveNetInterestRateonDebt</vt:lpstr>
      <vt:lpstr>z_T897CE0113_MO_BSS_InterestExpense</vt:lpstr>
      <vt:lpstr>z_T897CE0113_MO_BSS_InterestIncome</vt:lpstr>
      <vt:lpstr>z_T897CE0113_MO_BSS_LTDebt</vt:lpstr>
      <vt:lpstr>z_T897CE0113_MO_BSS_NetDebt</vt:lpstr>
      <vt:lpstr>z_T897CE0113_MO_BSS_NetInterestExpenseIncome</vt:lpstr>
      <vt:lpstr>z_T897CE0113_MO_BSS_OperatingLeaseLiabilities</vt:lpstr>
      <vt:lpstr>z_T897CE0113_MO_BSS_STDebt</vt:lpstr>
      <vt:lpstr>z_T897CE0113_MO_CCFS_accountspayable</vt:lpstr>
      <vt:lpstr>z_T897CE0113_MO_CCFS_accountsreceivable</vt:lpstr>
      <vt:lpstr>z_T897CE0113_MO_CCFS_Accruedexpensesandothercurrentliabilities</vt:lpstr>
      <vt:lpstr>z_T897CE0113_MO_CCFS_Acquisitionsofbusinessesnetofcashacquired</vt:lpstr>
      <vt:lpstr>z_T897CE0113_MO_CCFS_BeginningCashBalance</vt:lpstr>
      <vt:lpstr>z_T897CE0113_MO_CCFS_Cashpaidduringtheperiodforincometaxes</vt:lpstr>
      <vt:lpstr>z_T897CE0113_MO_CCFS_Cashpaidduringtheperiodforincometaxes_1</vt:lpstr>
      <vt:lpstr>z_T897CE0113_MO_CCFS_Cashpaidduringtheperiodforinterest</vt:lpstr>
      <vt:lpstr>z_T897CE0113_MO_CCFS_Cashreceivedduringtheperiodforincometaxes</vt:lpstr>
      <vt:lpstr>z_T897CE0113_MO_CCFS_CFF</vt:lpstr>
      <vt:lpstr>z_T897CE0113_MO_CCFS_CFI</vt:lpstr>
      <vt:lpstr>z_T897CE0113_MO_CCFS_CFO</vt:lpstr>
      <vt:lpstr>z_T897CE0113_MO_CCFS_CFObeforeWC</vt:lpstr>
      <vt:lpstr>z_T897CE0113_MO_CCFS_changeinrestrictedcashanddeposits</vt:lpstr>
      <vt:lpstr>z_T897CE0113_MO_CCFS_deferredincometaxes</vt:lpstr>
      <vt:lpstr>z_T897CE0113_MO_CCFS_deferredrevenueanddeposits</vt:lpstr>
      <vt:lpstr>z_T897CE0113_MO_CCFS_depreciationandamortization</vt:lpstr>
      <vt:lpstr>z_T897CE0113_MO_CCFS_Divestitureofbusinesssegment</vt:lpstr>
      <vt:lpstr>z_T897CE0113_MO_CCFS_Dividendspaid</vt:lpstr>
      <vt:lpstr>z_T897CE0113_MO_CCFS_EndingCashBalance</vt:lpstr>
      <vt:lpstr>z_T897CE0113_MO_CCFS_excesstaxbenefitfromsharebasedawardactivity</vt:lpstr>
      <vt:lpstr>z_T897CE0113_MO_CCFS_excesstaxbenefitfromsharebasedawardactivity_1</vt:lpstr>
      <vt:lpstr>z_T897CE0113_MO_CCFS_Fairvalueadjustmentsfornonmarketablesecurities</vt:lpstr>
      <vt:lpstr>z_T897CE0113_MO_CCFS_FX</vt:lpstr>
      <vt:lpstr>z_T897CE0113_MO_CCFS_Impairmentrelatedtoleasesandleaseholdimprovements</vt:lpstr>
      <vt:lpstr>z_T897CE0113_MO_CCFS_incometaxrefundable</vt:lpstr>
      <vt:lpstr>z_T897CE0113_MO_CCFS_Investmentsinnonmarketableequitysecurities</vt:lpstr>
      <vt:lpstr>z_T897CE0113_MO_CCFS_leaseabandonment</vt:lpstr>
      <vt:lpstr>z_T897CE0113_MO_CCFS_lossondisposalorwriteoffofequipment</vt:lpstr>
      <vt:lpstr>z_T897CE0113_MO_CCFS_lossonwriteoffofequipment</vt:lpstr>
      <vt:lpstr>z_T897CE0113_MO_CCFS_maturitiesofmarketablesecurities</vt:lpstr>
      <vt:lpstr>z_T897CE0113_MO_CCFS_NetCFF</vt:lpstr>
      <vt:lpstr>z_T897CE0113_MO_CCFS_NetCFI</vt:lpstr>
      <vt:lpstr>z_T897CE0113_MO_CCFS_NetCFO</vt:lpstr>
      <vt:lpstr>z_T897CE0113_MO_CCFS_NetChangeinCashBalance</vt:lpstr>
      <vt:lpstr>z_T897CE0113_MO_CCFS_Netchangeinoverdraftincashpoolingentities</vt:lpstr>
      <vt:lpstr>z_T897CE0113_MO_CCFS_netincome</vt:lpstr>
      <vt:lpstr>z_T897CE0113_MO_CCFS_netproceedsfromissuanceofcommonstock</vt:lpstr>
      <vt:lpstr>z_T897CE0113_MO_CCFS_netproceedsfromissuanceofconvertiblepreferredstock</vt:lpstr>
      <vt:lpstr>z_T897CE0113_MO_CCFS_Operatingleaseliabilities</vt:lpstr>
      <vt:lpstr>z_T897CE0113_MO_CCFS_Operatingleaserightofuseassets</vt:lpstr>
      <vt:lpstr>z_T897CE0113_MO_CCFS_Other</vt:lpstr>
      <vt:lpstr>z_T897CE0113_MO_CCFS_Otherassets</vt:lpstr>
      <vt:lpstr>z_T897CE0113_MO_CCFS_Otherfinancingactivities</vt:lpstr>
      <vt:lpstr>z_T897CE0113_MO_CCFS_Otherinvestingactivities</vt:lpstr>
      <vt:lpstr>z_T897CE0113_MO_CCFS_Otherliabilities</vt:lpstr>
      <vt:lpstr>z_T897CE0113_MO_CCFS_partnerspayable</vt:lpstr>
      <vt:lpstr>z_T897CE0113_MO_CCFS_Prepaidexpensesandothercurrentassets</vt:lpstr>
      <vt:lpstr>z_T897CE0113_MO_CCFS_principalpaymentsoncapitalleaseobligations</vt:lpstr>
      <vt:lpstr>z_T897CE0113_MO_CCFS_proceedsfromexerciseofstockoptions</vt:lpstr>
      <vt:lpstr>z_T897CE0113_MO_CCFS_Proceedsfromlongtermdebt</vt:lpstr>
      <vt:lpstr>z_T897CE0113_MO_CCFS_proceedsfromsaleandleasebacktransactions</vt:lpstr>
      <vt:lpstr>z_T897CE0113_MO_CCFS_Proceedsrelatingtopropertyandequipment</vt:lpstr>
      <vt:lpstr>z_T897CE0113_MO_CCFS_Purchaseofequityinvestments</vt:lpstr>
      <vt:lpstr>z_T897CE0113_MO_CCFS_purchasesofmarketablesecurities</vt:lpstr>
      <vt:lpstr>z_T897CE0113_MO_CCFS_purchasesofpropertyandequipment</vt:lpstr>
      <vt:lpstr>z_T897CE0113_MO_CCFS_Repaymentoflongtermdebt</vt:lpstr>
      <vt:lpstr>z_T897CE0113_MO_CCFS_repurchasesofclassacommonstock</vt:lpstr>
      <vt:lpstr>z_T897CE0113_MO_CCFS_salesofmarketablesecurities</vt:lpstr>
      <vt:lpstr>z_T897CE0113_MO_CCFS_sharebasedcompensation</vt:lpstr>
      <vt:lpstr>z_T897CE0113_MO_CCFS_taxbenefitfromsharebasedawardactivity</vt:lpstr>
      <vt:lpstr>z_T897CE0113_MO_CCFS_taxespaidrelatedtonetsharesettlement</vt:lpstr>
      <vt:lpstr>z_T897CE0113_MO_CFS_accountspayable</vt:lpstr>
      <vt:lpstr>z_T897CE0113_MO_CFS_accountsreceivable</vt:lpstr>
      <vt:lpstr>z_T897CE0113_MO_CFS_Accruedexpensesandothercurrentliabilities</vt:lpstr>
      <vt:lpstr>z_T897CE0113_MO_CFS_Acquisitionsofbusinessesnetofcashacquired</vt:lpstr>
      <vt:lpstr>z_T897CE0113_MO_CFS_BeginningCashBalance</vt:lpstr>
      <vt:lpstr>z_T897CE0113_MO_CFS_Cashpaidduringtheperiodforincometaxes</vt:lpstr>
      <vt:lpstr>z_T897CE0113_MO_CFS_Cashpaidduringtheperiodforincometaxes_1</vt:lpstr>
      <vt:lpstr>z_T897CE0113_MO_CFS_Cashpaidduringtheperiodforinterest</vt:lpstr>
      <vt:lpstr>z_T897CE0113_MO_CFS_Cashreceivedduringtheperiodforincometaxes</vt:lpstr>
      <vt:lpstr>z_T897CE0113_MO_CFS_CFCheck</vt:lpstr>
      <vt:lpstr>z_T897CE0113_MO_CFS_CFF</vt:lpstr>
      <vt:lpstr>z_T897CE0113_MO_CFS_CFI</vt:lpstr>
      <vt:lpstr>z_T897CE0113_MO_CFS_CFO</vt:lpstr>
      <vt:lpstr>z_T897CE0113_MO_CFS_CFObeforeWC</vt:lpstr>
      <vt:lpstr>z_T897CE0113_MO_CFS_changeinrestrictedcashanddeposits</vt:lpstr>
      <vt:lpstr>z_T897CE0113_MO_CFS_deferredincometaxes</vt:lpstr>
      <vt:lpstr>z_T897CE0113_MO_CFS_deferredrevenueanddeposits</vt:lpstr>
      <vt:lpstr>z_T897CE0113_MO_CFS_depreciationandamortization</vt:lpstr>
      <vt:lpstr>z_T897CE0113_MO_CFS_Divestitureofbusinesssegment</vt:lpstr>
      <vt:lpstr>z_T897CE0113_MO_CFS_Dividendspaid</vt:lpstr>
      <vt:lpstr>z_T897CE0113_MO_CFS_EndingCashBalance</vt:lpstr>
      <vt:lpstr>z_T897CE0113_MO_CFS_excesstaxbenefitfromsharebasedawardactivity</vt:lpstr>
      <vt:lpstr>z_T897CE0113_MO_CFS_excesstaxbenefitfromsharebasedawardactivity_1</vt:lpstr>
      <vt:lpstr>z_T897CE0113_MO_CFS_Fairvalueadjustmentsfornonmarketablesecurities</vt:lpstr>
      <vt:lpstr>z_T897CE0113_MO_CFS_FX</vt:lpstr>
      <vt:lpstr>z_T897CE0113_MO_CFS_Impairmentrelatedtoleasesandleaseholdimprovements</vt:lpstr>
      <vt:lpstr>z_T897CE0113_MO_CFS_incometaxrefundable</vt:lpstr>
      <vt:lpstr>z_T897CE0113_MO_CFS_Investmentsinnonmarketableequitysecurities</vt:lpstr>
      <vt:lpstr>z_T897CE0113_MO_CFS_leaseabandonment</vt:lpstr>
      <vt:lpstr>z_T897CE0113_MO_CFS_lossondisposalorwriteoffofequipment</vt:lpstr>
      <vt:lpstr>z_T897CE0113_MO_CFS_lossonwriteoffofequipment</vt:lpstr>
      <vt:lpstr>z_T897CE0113_MO_CFS_maturitiesofmarketablesecurities</vt:lpstr>
      <vt:lpstr>z_T897CE0113_MO_CFS_NetCFF</vt:lpstr>
      <vt:lpstr>z_T897CE0113_MO_CFS_NetCFI</vt:lpstr>
      <vt:lpstr>z_T897CE0113_MO_CFS_NetCFO</vt:lpstr>
      <vt:lpstr>z_T897CE0113_MO_CFS_NetChangeinCashBalance</vt:lpstr>
      <vt:lpstr>z_T897CE0113_MO_CFS_Netchangeinoverdraftincashpoolingentities</vt:lpstr>
      <vt:lpstr>z_T897CE0113_MO_CFS_netincome</vt:lpstr>
      <vt:lpstr>z_T897CE0113_MO_CFS_netproceedsfromissuanceofcommonstock</vt:lpstr>
      <vt:lpstr>z_T897CE0113_MO_CFS_netproceedsfromissuanceofconvertiblepreferredstock</vt:lpstr>
      <vt:lpstr>z_T897CE0113_MO_CFS_Operatingleaseliabilities</vt:lpstr>
      <vt:lpstr>z_T897CE0113_MO_CFS_Operatingleaserightofuseassets</vt:lpstr>
      <vt:lpstr>z_T897CE0113_MO_CFS_Other</vt:lpstr>
      <vt:lpstr>z_T897CE0113_MO_CFS_Otherassets</vt:lpstr>
      <vt:lpstr>z_T897CE0113_MO_CFS_Otherfinancingactivities</vt:lpstr>
      <vt:lpstr>z_T897CE0113_MO_CFS_Otherinvestingactivities</vt:lpstr>
      <vt:lpstr>z_T897CE0113_MO_CFS_Otherliabilities</vt:lpstr>
      <vt:lpstr>z_T897CE0113_MO_CFS_partnerspayable</vt:lpstr>
      <vt:lpstr>z_T897CE0113_MO_CFS_Prepaidexpensesandothercurrentassets</vt:lpstr>
      <vt:lpstr>z_T897CE0113_MO_CFS_principalpaymentsoncapitalleaseobligations</vt:lpstr>
      <vt:lpstr>z_T897CE0113_MO_CFS_proceedsfromexerciseofstockoptions</vt:lpstr>
      <vt:lpstr>z_T897CE0113_MO_CFS_Proceedsfromlongtermdebt</vt:lpstr>
      <vt:lpstr>z_T897CE0113_MO_CFS_proceedsfromsaleandleasebacktransactions</vt:lpstr>
      <vt:lpstr>z_T897CE0113_MO_CFS_Proceedsrelatingtopropertyandequipment</vt:lpstr>
      <vt:lpstr>z_T897CE0113_MO_CFS_Purchaseofequityinvestments</vt:lpstr>
      <vt:lpstr>z_T897CE0113_MO_CFS_purchasesofmarketablesecurities</vt:lpstr>
      <vt:lpstr>z_T897CE0113_MO_CFS_purchasesofpropertyandequipment</vt:lpstr>
      <vt:lpstr>z_T897CE0113_MO_CFS_Repaymentoflongtermdebt</vt:lpstr>
      <vt:lpstr>z_T897CE0113_MO_CFS_repurchasesofclassacommonstock</vt:lpstr>
      <vt:lpstr>z_T897CE0113_MO_CFS_salesofmarketablesecurities</vt:lpstr>
      <vt:lpstr>z_T897CE0113_MO_CFS_sharebasedcompensation</vt:lpstr>
      <vt:lpstr>z_T897CE0113_MO_CFS_taxbenefitfromsharebasedawardactivity</vt:lpstr>
      <vt:lpstr>z_T897CE0113_MO_CFS_taxespaidrelatedtonetsharesettlement</vt:lpstr>
      <vt:lpstr>z_T897CE0113_MO_CFSum_Acquisitions</vt:lpstr>
      <vt:lpstr>z_T897CE0113_MO_CFSum_Capex</vt:lpstr>
      <vt:lpstr>z_T897CE0113_MO_CFSum_CashFlowPerDilutedShare</vt:lpstr>
      <vt:lpstr>z_T897CE0113_MO_CFSum_CashFlowPerDilutedShare_1</vt:lpstr>
      <vt:lpstr>z_T897CE0113_MO_CFSum_ChangeinWorkingCapital</vt:lpstr>
      <vt:lpstr>z_T897CE0113_MO_CFSum_ConsensusEstimatesCapex</vt:lpstr>
      <vt:lpstr>z_T897CE0113_MO_CFSum_consensusestimatescashflowperdilutedshare</vt:lpstr>
      <vt:lpstr>z_T897CE0113_MO_CFSum_Divestiture</vt:lpstr>
      <vt:lpstr>z_T897CE0113_MO_CFSum_DividendPaid</vt:lpstr>
      <vt:lpstr>z_T897CE0113_MO_CFSum_DividendPerShare</vt:lpstr>
      <vt:lpstr>z_T897CE0113_MO_CFSum_EstimatedSharePriceforIssuanceBuybacks</vt:lpstr>
      <vt:lpstr>z_T897CE0113_MO_CFSum_FCF</vt:lpstr>
      <vt:lpstr>z_T897CE0113_MO_CFSum_FCF_1</vt:lpstr>
      <vt:lpstr>z_T897CE0113_MO_CFSum_FCF_2</vt:lpstr>
      <vt:lpstr>z_T897CE0113_MO_CFSum_FCF_4</vt:lpstr>
      <vt:lpstr>z_T897CE0113_MO_CFSum_FCFPostDiv_1</vt:lpstr>
      <vt:lpstr>z_T897CE0113_MO_CFSum_FCFPostDiv_2</vt:lpstr>
      <vt:lpstr>z_T897CE0113_MO_CFSum_FCFPostDivDebtBuyback</vt:lpstr>
      <vt:lpstr>z_T897CE0113_MO_CFSum_FCFPostDivDebtBuyback_1</vt:lpstr>
      <vt:lpstr>z_T897CE0113_MO_CFSum_GuidanceCapex</vt:lpstr>
      <vt:lpstr>z_T897CE0113_MO_CFSum_NetDebtIssuanceRepayment</vt:lpstr>
      <vt:lpstr>z_T897CE0113_MO_CFSum_NetShareIssuanceBuybacks</vt:lpstr>
      <vt:lpstr>z_T897CE0113_MO_CFSum_OperatingCashFlowafterWC</vt:lpstr>
      <vt:lpstr>z_T897CE0113_MO_CFSum_OperatingCashFlowbeforeWC</vt:lpstr>
      <vt:lpstr>z_T897CE0113_MO_CFSum_SBCexpense</vt:lpstr>
      <vt:lpstr>z_T897CE0113_MO_CFSum_SBCexpenseasofrevenue</vt:lpstr>
      <vt:lpstr>z_T897CE0113_MO_Checks_SNA_AdjustedNumbersFYSumofQs</vt:lpstr>
      <vt:lpstr>z_T897CE0113_MO_Checks_SNA_BalanceSheetisnotRepeated</vt:lpstr>
      <vt:lpstr>z_T897CE0113_MO_Checks_SNA_CapexisUpdated</vt:lpstr>
      <vt:lpstr>z_T897CE0113_MO_Checks_SNA_CashFlowisnotRepeated</vt:lpstr>
      <vt:lpstr>z_T897CE0113_MO_Checks_SNA_CashFlowSummarySignsareCorrect</vt:lpstr>
      <vt:lpstr>z_T897CE0113_MO_Checks_SNA_CashisPositive</vt:lpstr>
      <vt:lpstr>z_T897CE0113_MO_Checks_SNA_CFFsubtotalFYSumofQs</vt:lpstr>
      <vt:lpstr>z_T897CE0113_MO_Checks_SNA_CFIsubtotalFYSumofQs</vt:lpstr>
      <vt:lpstr>z_T897CE0113_MO_Checks_SNA_CFOBeforeWCsubtotalFYSumofQs</vt:lpstr>
      <vt:lpstr>z_T897CE0113_MO_Checks_SNA_CFOsubtotalFYSumofQs</vt:lpstr>
      <vt:lpstr>z_T897CE0113_MO_Checks_SNA_CFSummaryFYSumofQs</vt:lpstr>
      <vt:lpstr>z_T897CE0113_MO_Checks_SNA_DebtisPositive</vt:lpstr>
      <vt:lpstr>z_T897CE0113_MO_Checks_SNA_EndingCFEndingCumulativeCF</vt:lpstr>
      <vt:lpstr>z_T897CE0113_MO_Checks_SNA_IncomeStatementisnotRepeated</vt:lpstr>
      <vt:lpstr>z_T897CE0113_MO_Checks_SNA_MarginisUpdated</vt:lpstr>
      <vt:lpstr>z_T897CE0113_MO_Checks_SNA_RISAdjustedNIFYSumofQs</vt:lpstr>
      <vt:lpstr>z_T897CE0113_MO_Checks_SNA_RISNIFYSumofQs</vt:lpstr>
      <vt:lpstr>z_T897CE0113_MO_Checks_SNA_SegmentedEBITEBIT</vt:lpstr>
      <vt:lpstr>z_T897CE0113_MO_Checks_SNA_SegmentedRevenueRevenue</vt:lpstr>
      <vt:lpstr>z_T897CE0113_MO_DAF_AmortizationaspercentageofIntangiblesBoP</vt:lpstr>
      <vt:lpstr>z_T897CE0113_MO_DAF_Amortizationofintangibles</vt:lpstr>
      <vt:lpstr>z_T897CE0113_MO_DAF_Capexofintangibles</vt:lpstr>
      <vt:lpstr>z_T897CE0113_MO_DAF_CapexofPPE</vt:lpstr>
      <vt:lpstr>z_T897CE0113_MO_DAF_DepreciationaspercentageofPPEBoP</vt:lpstr>
      <vt:lpstr>z_T897CE0113_MO_DAF_Depreciationoffixedassets</vt:lpstr>
      <vt:lpstr>z_T897CE0113_MO_DAF_Impliedlifeoffixedassets</vt:lpstr>
      <vt:lpstr>z_T897CE0113_MO_DAF_Impliedlifeofintangibles</vt:lpstr>
      <vt:lpstr>z_T897CE0113_MO_DAF_IntangiblesBoP</vt:lpstr>
      <vt:lpstr>z_T897CE0113_MO_DAF_IntangiblesEoP</vt:lpstr>
      <vt:lpstr>z_T897CE0113_MO_DAF_Othernetadditionstointangibles</vt:lpstr>
      <vt:lpstr>z_T897CE0113_MO_DAF_OthernetadditionstoPPE</vt:lpstr>
      <vt:lpstr>z_T897CE0113_MO_DAF_Percentageofcapexallocatedtointangibleassets</vt:lpstr>
      <vt:lpstr>z_T897CE0113_MO_DAF_PPEBoP</vt:lpstr>
      <vt:lpstr>z_T897CE0113_MO_DAF_PPEEoP</vt:lpstr>
      <vt:lpstr>z_T897CE0113_MO_DAF_TotalCapex</vt:lpstr>
      <vt:lpstr>z_T897CE0113_MO_DAF_TotalDA</vt:lpstr>
      <vt:lpstr>z_T897CE0113_MO_GA_AdvertisingConstantCurrencyRevenueGrowth</vt:lpstr>
      <vt:lpstr>z_T897CE0113_MO_GA_ConstantCurrencyRevenueGrowth</vt:lpstr>
      <vt:lpstr>z_T897CE0113_MO_Header_ColumnHeader</vt:lpstr>
      <vt:lpstr>z_T897CE0113_MO_Header_CompanySubTitle</vt:lpstr>
      <vt:lpstr>z_T897CE0113_MO_Header_CompanyTitle</vt:lpstr>
      <vt:lpstr>z_T897CE0113_MO_Header_FPDays</vt:lpstr>
      <vt:lpstr>z_T897CE0113_MO_Header_HeaderRow</vt:lpstr>
      <vt:lpstr>z_T897CE0113_MO_Header_HeaderRow_1</vt:lpstr>
      <vt:lpstr>z_T897CE0113_MO_Header_HeaderRow_10</vt:lpstr>
      <vt:lpstr>z_T897CE0113_MO_Header_HeaderRow_11</vt:lpstr>
      <vt:lpstr>z_T897CE0113_MO_Header_HeaderRow_12</vt:lpstr>
      <vt:lpstr>z_T897CE0113_MO_Header_HeaderRow_2</vt:lpstr>
      <vt:lpstr>z_T897CE0113_MO_Header_HeaderRow_3</vt:lpstr>
      <vt:lpstr>z_T897CE0113_MO_Header_HeaderRow_4</vt:lpstr>
      <vt:lpstr>z_T897CE0113_MO_Header_HeaderRow_5</vt:lpstr>
      <vt:lpstr>z_T897CE0113_MO_Header_HeaderRow_6</vt:lpstr>
      <vt:lpstr>z_T897CE0113_MO_Header_HeaderRow_7</vt:lpstr>
      <vt:lpstr>z_T897CE0113_MO_Header_HeaderRow_8</vt:lpstr>
      <vt:lpstr>z_T897CE0113_MO_Header_HeaderRow_9</vt:lpstr>
      <vt:lpstr>z_T897CE0113_MO_Header_QEndDate</vt:lpstr>
      <vt:lpstr>z_T897CE0113_MO_IS_costofrevenue</vt:lpstr>
      <vt:lpstr>z_T897CE0113_MO_IS_Foreigncurrencyexchangelosses</vt:lpstr>
      <vt:lpstr>z_T897CE0113_MO_IS_generalandadministrative</vt:lpstr>
      <vt:lpstr>z_T897CE0113_MO_IS_grossprofit</vt:lpstr>
      <vt:lpstr>z_T897CE0113_MO_IS_incomebeforeprovisionforincometaxes</vt:lpstr>
      <vt:lpstr>z_T897CE0113_MO_IS_incomefromoperations</vt:lpstr>
      <vt:lpstr>z_T897CE0113_MO_IS_Interestexpense</vt:lpstr>
      <vt:lpstr>z_T897CE0113_MO_IS_Interestincome_1</vt:lpstr>
      <vt:lpstr>z_T897CE0113_MO_IS_interestincomeexpense</vt:lpstr>
      <vt:lpstr>z_T897CE0113_MO_IS_ISCheck</vt:lpstr>
      <vt:lpstr>z_T897CE0113_MO_IS_lessnetincomeattributabletoparticipatingsecurities</vt:lpstr>
      <vt:lpstr>z_T897CE0113_MO_IS_marketingandsales</vt:lpstr>
      <vt:lpstr>z_T897CE0113_MO_IS_netincome</vt:lpstr>
      <vt:lpstr>z_T897CE0113_MO_IS_netincomeattributabletoclassaandclassbcommonstockholders</vt:lpstr>
      <vt:lpstr>z_T897CE0113_MO_IS_Otherincomeexpense</vt:lpstr>
      <vt:lpstr>z_T897CE0113_MO_IS_provisionforincometaxes</vt:lpstr>
      <vt:lpstr>z_T897CE0113_MO_IS_researchanddevelopment</vt:lpstr>
      <vt:lpstr>z_T897CE0113_MO_IS_revenue</vt:lpstr>
      <vt:lpstr>z_T897CE0113_MO_IS_totalcostsandexpenses</vt:lpstr>
      <vt:lpstr>z_T897CE0113_MO_MA_AddbackAmortizationofIntangiblesMargin</vt:lpstr>
      <vt:lpstr>z_T897CE0113_MO_MA_AddbackDAMargin</vt:lpstr>
      <vt:lpstr>z_T897CE0113_MO_MA_AddbackSBCMargin</vt:lpstr>
      <vt:lpstr>z_T897CE0113_MO_MA_AdjustedEBITDAMargin</vt:lpstr>
      <vt:lpstr>z_T897CE0113_MO_MA_AdjustedEBITMargin</vt:lpstr>
      <vt:lpstr>z_T897CE0113_MO_MA_AverageFXRate</vt:lpstr>
      <vt:lpstr>z_T897CE0113_MO_MA_COGSMargin_3</vt:lpstr>
      <vt:lpstr>z_T897CE0113_MO_MA_consensusestimatesadjustedebitdamargin</vt:lpstr>
      <vt:lpstr>z_T897CE0113_MO_MA_ConsensusEstimatesAdjustedEBITMargin</vt:lpstr>
      <vt:lpstr>z_T897CE0113_MO_MA_consensusestimatesgrossmargin</vt:lpstr>
      <vt:lpstr>z_T897CE0113_MO_MA_EBITDAMargin</vt:lpstr>
      <vt:lpstr>z_T897CE0113_MO_MA_EBITMargin</vt:lpstr>
      <vt:lpstr>z_T897CE0113_MO_MA_EoPFXRate</vt:lpstr>
      <vt:lpstr>z_T897CE0113_MO_MA_GAMargin_2</vt:lpstr>
      <vt:lpstr>z_T897CE0113_MO_MA_GrossMargin_3</vt:lpstr>
      <vt:lpstr>z_T897CE0113_MO_MA_RDMargin_2</vt:lpstr>
      <vt:lpstr>z_T897CE0113_MO_MA_SMMargin_2</vt:lpstr>
      <vt:lpstr>z_T897CE0113_MO_MA_StockEoP</vt:lpstr>
      <vt:lpstr>z_T897CE0113_MO_MA_StockPriceTradingCurAvg</vt:lpstr>
      <vt:lpstr>z_T897CE0113_MO_OS_Accountsreceivablenetofallowances</vt:lpstr>
      <vt:lpstr>z_T897CE0113_MO_OS_AccountsreceivablenetofallowancesYYChange</vt:lpstr>
      <vt:lpstr>z_T897CE0113_MO_OS_Accruedexpensesandothercurrentliabilities</vt:lpstr>
      <vt:lpstr>z_T897CE0113_MO_OS_AccruedexpensesandothercurrentliabilitiesYYChange</vt:lpstr>
      <vt:lpstr>z_T897CE0113_MO_OS_Additionofrepurchasesauthorized_3</vt:lpstr>
      <vt:lpstr>z_T897CE0113_MO_OS_Additionofrepurchasesauthorizedmonth1</vt:lpstr>
      <vt:lpstr>z_T897CE0113_MO_OS_Additionofrepurchasesauthorizedmonth2</vt:lpstr>
      <vt:lpstr>z_T897CE0113_MO_OS_Additionofrepurchasesauthorizedmonth3</vt:lpstr>
      <vt:lpstr>z_T897CE0113_MO_OS_AdjustedEBIT</vt:lpstr>
      <vt:lpstr>z_T897CE0113_MO_OS_AdjustedEBITMargin</vt:lpstr>
      <vt:lpstr>z_T897CE0113_MO_OS_AdvertisingConstantCurrencyRevenueGrowth</vt:lpstr>
      <vt:lpstr>z_T897CE0113_MO_OS_Advertisingexpenses</vt:lpstr>
      <vt:lpstr>z_T897CE0113_MO_OS_AdvertisingexpensesasaofSM</vt:lpstr>
      <vt:lpstr>z_T897CE0113_MO_OS_AdvertisingFamilyAVRPreported</vt:lpstr>
      <vt:lpstr>z_T897CE0113_MO_OS_Advertisingrevenue</vt:lpstr>
      <vt:lpstr>z_T897CE0113_MO_OS_Advertisingrevenue_2</vt:lpstr>
      <vt:lpstr>z_T897CE0113_MO_OS_Advertisingrevenue_4</vt:lpstr>
      <vt:lpstr>z_T897CE0113_MO_OS_Advertisingrevenueexcludingforeignexchangeeffect</vt:lpstr>
      <vt:lpstr>z_T897CE0113_MO_OS_Advertisingrevenuemix</vt:lpstr>
      <vt:lpstr>z_T897CE0113_MO_OS_AdvertisingWorldwideARPUReported</vt:lpstr>
      <vt:lpstr>z_T897CE0113_MO_OS_AmortizationofROUassets</vt:lpstr>
      <vt:lpstr>z_T897CE0113_MO_OS_AsiaPacificadimpressiongrowthrate</vt:lpstr>
      <vt:lpstr>z_T897CE0113_MO_OS_AsiaPacificadvertisingrevenue</vt:lpstr>
      <vt:lpstr>z_T897CE0113_MO_OS_AsiaPacificadvertisingrevenuemix</vt:lpstr>
      <vt:lpstr>z_T897CE0113_MO_OS_AsiaPacificaveragepriceperadgrowthrate</vt:lpstr>
      <vt:lpstr>z_T897CE0113_MO_OS_AsiaPacificdailyactiveusers_1</vt:lpstr>
      <vt:lpstr>z_T897CE0113_MO_OS_AsiaPacificdailyactiveusersmix</vt:lpstr>
      <vt:lpstr>z_T897CE0113_MO_OS_AsiaPacificmonthlyactiveusers_1</vt:lpstr>
      <vt:lpstr>z_T897CE0113_MO_OS_AsiaPacificmonthlyactiveusersmix</vt:lpstr>
      <vt:lpstr>z_T897CE0113_MO_OS_asiapacificrevenue</vt:lpstr>
      <vt:lpstr>z_T897CE0113_MO_OS_AsiaPacificrevenuebasedonbillingaddress</vt:lpstr>
      <vt:lpstr>z_T897CE0113_MO_OS_AsiaPacificrevenuebasedonbillingaddressmix</vt:lpstr>
      <vt:lpstr>z_T897CE0113_MO_OS_AsiaPacificrevenuemix</vt:lpstr>
      <vt:lpstr>z_T897CE0113_MO_OS_Averagepriceofsharesrepurchasedcalculated</vt:lpstr>
      <vt:lpstr>z_T897CE0113_MO_OS_Averagepriceofsharesrepurchasedmonth1</vt:lpstr>
      <vt:lpstr>z_T897CE0113_MO_OS_Averagepriceofsharesrepurchasedmonth2</vt:lpstr>
      <vt:lpstr>z_T897CE0113_MO_OS_Averagepriceofsharesrepurchasedmonth3</vt:lpstr>
      <vt:lpstr>z_T897CE0113_MO_OS_Averagepriceperadgrowthrate</vt:lpstr>
      <vt:lpstr>z_T897CE0113_MO_OS_BoPTotalStockOptionsOutstanding</vt:lpstr>
      <vt:lpstr>z_T897CE0113_MO_OS_BoPWeightedAverageExercisePrice</vt:lpstr>
      <vt:lpstr>z_T897CE0113_MO_OS_Buildings</vt:lpstr>
      <vt:lpstr>z_T897CE0113_MO_OS_Canadarevenuebasedonbillingaddress</vt:lpstr>
      <vt:lpstr>z_T897CE0113_MO_OS_Canadarevenuebasedonbillingaddressmix</vt:lpstr>
      <vt:lpstr>z_T897CE0113_MO_OS_CanalystCoverPageFullyDilutedSharesOutstanding</vt:lpstr>
      <vt:lpstr>z_T897CE0113_MO_OS_CanalystEoPFullyDilutedSharesOutstanding</vt:lpstr>
      <vt:lpstr>z_T897CE0113_MO_OS_CapexbeatmissvsmostrecentguidanceMid</vt:lpstr>
      <vt:lpstr>z_T897CE0113_MO_OS_Capexguidanceinitialmidpoint</vt:lpstr>
      <vt:lpstr>z_T897CE0113_MO_OS_Capexguidancemostrecentmidpoint</vt:lpstr>
      <vt:lpstr>z_T897CE0113_MO_OS_Capexguidanceupdate1midpoint</vt:lpstr>
      <vt:lpstr>z_T897CE0113_MO_OS_Capexguidanceupdate2midpoint</vt:lpstr>
      <vt:lpstr>z_T897CE0113_MO_OS_Capexguidanceupdate3midpoint</vt:lpstr>
      <vt:lpstr>z_T897CE0113_MO_OS_Capexreported</vt:lpstr>
      <vt:lpstr>z_T897CE0113_MO_OS_CBOAllothercompensation</vt:lpstr>
      <vt:lpstr>z_T897CE0113_MO_OS_CBOBasePay</vt:lpstr>
      <vt:lpstr>z_T897CE0113_MO_OS_CBOBonus</vt:lpstr>
      <vt:lpstr>z_T897CE0113_MO_OS_CBOcomptiedtoequity</vt:lpstr>
      <vt:lpstr>z_T897CE0113_MO_OS_CBOEoPClassAsharesbeneficiallyowned</vt:lpstr>
      <vt:lpstr>z_T897CE0113_MO_OS_CBOEoPClassBsharesbeneficiallyowned</vt:lpstr>
      <vt:lpstr>z_T897CE0113_MO_OS_CBOEoPsharesbeneficiallyowned</vt:lpstr>
      <vt:lpstr>z_T897CE0113_MO_OS_CBOStockAwards</vt:lpstr>
      <vt:lpstr>z_T897CE0113_MO_OS_CBOTotalComp</vt:lpstr>
      <vt:lpstr>z_T897CE0113_MO_OS_CEOAllothercompensation</vt:lpstr>
      <vt:lpstr>z_T897CE0113_MO_OS_CEOBasePay</vt:lpstr>
      <vt:lpstr>z_T897CE0113_MO_OS_CEOBonus</vt:lpstr>
      <vt:lpstr>z_T897CE0113_MO_OS_CEOcomptiedtoequity</vt:lpstr>
      <vt:lpstr>z_T897CE0113_MO_OS_CEOEoPClassAsharesbeneficiallyowned</vt:lpstr>
      <vt:lpstr>z_T897CE0113_MO_OS_CEOEoPClassBsharesbeneficiallyowned</vt:lpstr>
      <vt:lpstr>z_T897CE0113_MO_OS_CEOEoPsharesbeneficiallyowned</vt:lpstr>
      <vt:lpstr>z_T897CE0113_MO_OS_CEOStockAwards</vt:lpstr>
      <vt:lpstr>z_T897CE0113_MO_OS_CEOStockOwnershipGuidelinessharesequivalentvalue</vt:lpstr>
      <vt:lpstr>z_T897CE0113_MO_OS_CEOTotalComp</vt:lpstr>
      <vt:lpstr>z_T897CE0113_MO_OS_CFOAllothercompensation</vt:lpstr>
      <vt:lpstr>z_T897CE0113_MO_OS_CFOBasePay</vt:lpstr>
      <vt:lpstr>z_T897CE0113_MO_OS_CFOBonus</vt:lpstr>
      <vt:lpstr>z_T897CE0113_MO_OS_CFOcomptiedtoequity</vt:lpstr>
      <vt:lpstr>z_T897CE0113_MO_OS_CFOEoPClassAsharesbeneficiallyowned</vt:lpstr>
      <vt:lpstr>z_T897CE0113_MO_OS_CFOEoPClassBsharesbeneficiallyowned</vt:lpstr>
      <vt:lpstr>z_T897CE0113_MO_OS_CFOEoPsharesbeneficiallyowned</vt:lpstr>
      <vt:lpstr>z_T897CE0113_MO_OS_CFOStockAwards</vt:lpstr>
      <vt:lpstr>z_T897CE0113_MO_OS_CFOTotalComp</vt:lpstr>
      <vt:lpstr>z_T897CE0113_MO_OS_ClassAcommonstockoutstandingEoP</vt:lpstr>
      <vt:lpstr>z_T897CE0113_MO_OS_ClassAequivalentcommonstockoutstandingEoP</vt:lpstr>
      <vt:lpstr>z_T897CE0113_MO_OS_ClassAequivalentcommonstockoutstandingexclsharessubjecttorepurchasecalculatedEoP</vt:lpstr>
      <vt:lpstr>z_T897CE0113_MO_OS_ClassAoutstandingsharessubjecttorepurchaseEoP</vt:lpstr>
      <vt:lpstr>z_T897CE0113_MO_OS_ClassBcommonstockoutstandingEoP</vt:lpstr>
      <vt:lpstr>z_T897CE0113_MO_OS_ClassBoutstandingsharessubjecttorepurchaseEoP</vt:lpstr>
      <vt:lpstr>z_T897CE0113_MO_OS_ClassBtoClassAconversionratio</vt:lpstr>
      <vt:lpstr>z_T897CE0113_MO_OS_Computersoftwareofficeequipmentandother</vt:lpstr>
      <vt:lpstr>z_T897CE0113_MO_OS_ConsensusEstimatesAdjustedEBIT</vt:lpstr>
      <vt:lpstr>z_T897CE0113_MO_OS_ConsensusEstimatesAdjustedEBITMargin</vt:lpstr>
      <vt:lpstr>z_T897CE0113_MO_OS_ConsensusEstimatesGrossMargin</vt:lpstr>
      <vt:lpstr>z_T897CE0113_MO_OS_ConsensusEstimatesIncomefromoperations</vt:lpstr>
      <vt:lpstr>z_T897CE0113_MO_OS_ConsensusEstimatesNetRevenue</vt:lpstr>
      <vt:lpstr>z_T897CE0113_MO_OS_Constructioninprogress</vt:lpstr>
      <vt:lpstr>z_T897CE0113_MO_OS_COOAllothercompensation</vt:lpstr>
      <vt:lpstr>z_T897CE0113_MO_OS_COOBasePay</vt:lpstr>
      <vt:lpstr>z_T897CE0113_MO_OS_COOBonus</vt:lpstr>
      <vt:lpstr>z_T897CE0113_MO_OS_COOcomptiedtoequity</vt:lpstr>
      <vt:lpstr>z_T897CE0113_MO_OS_COOEoPClassAsharesbeneficiallyowned</vt:lpstr>
      <vt:lpstr>z_T897CE0113_MO_OS_COOEoPClassBsharesbeneficiallyowned</vt:lpstr>
      <vt:lpstr>z_T897CE0113_MO_OS_COOEoPsharesbeneficiallyowned</vt:lpstr>
      <vt:lpstr>z_T897CE0113_MO_OS_COOStockAwards</vt:lpstr>
      <vt:lpstr>z_T897CE0113_MO_OS_COOTotalComp</vt:lpstr>
      <vt:lpstr>z_T897CE0113_MO_OS_CostofrevenueRestructuringCharges</vt:lpstr>
      <vt:lpstr>z_T897CE0113_MO_OS_CoverpageClassAcommonstockoutstanding</vt:lpstr>
      <vt:lpstr>z_T897CE0113_MO_OS_CoverpageClassAequivalentcommonstockoutstandingcalculated</vt:lpstr>
      <vt:lpstr>z_T897CE0113_MO_OS_CoverpageClassBcommonstockoutstanding</vt:lpstr>
      <vt:lpstr>z_T897CE0113_MO_OS_CPOAllothercompensation</vt:lpstr>
      <vt:lpstr>z_T897CE0113_MO_OS_CPOBasePay</vt:lpstr>
      <vt:lpstr>z_T897CE0113_MO_OS_CPOBonus</vt:lpstr>
      <vt:lpstr>z_T897CE0113_MO_OS_CPOcomptiedtoequity</vt:lpstr>
      <vt:lpstr>z_T897CE0113_MO_OS_CPOEoPClassAsharesbeneficiallyowned</vt:lpstr>
      <vt:lpstr>z_T897CE0113_MO_OS_CPOEoPClassBsharesbeneficiallyowned</vt:lpstr>
      <vt:lpstr>z_T897CE0113_MO_OS_CPOEoPsharesbeneficiallyowned</vt:lpstr>
      <vt:lpstr>z_T897CE0113_MO_OS_CPOStockAwards</vt:lpstr>
      <vt:lpstr>z_T897CE0113_MO_OS_CPOTotalComp</vt:lpstr>
      <vt:lpstr>z_T897CE0113_MO_OS_CTOAllothercompensation</vt:lpstr>
      <vt:lpstr>z_T897CE0113_MO_OS_CTOBasePay</vt:lpstr>
      <vt:lpstr>z_T897CE0113_MO_OS_CTOBonus</vt:lpstr>
      <vt:lpstr>z_T897CE0113_MO_OS_CTOcomptiedtoequity</vt:lpstr>
      <vt:lpstr>z_T897CE0113_MO_OS_CTOEoPClassAsharesbeneficiallyowned</vt:lpstr>
      <vt:lpstr>z_T897CE0113_MO_OS_CTOEoPClassBsharesbeneficiallyowned</vt:lpstr>
      <vt:lpstr>z_T897CE0113_MO_OS_CTOEoPsharesbeneficiallyowned</vt:lpstr>
      <vt:lpstr>z_T897CE0113_MO_OS_CTOStockAwards</vt:lpstr>
      <vt:lpstr>z_T897CE0113_MO_OS_CTOTotalComp</vt:lpstr>
      <vt:lpstr>z_T897CE0113_MO_OS_CumulativeBoPTotalStockOptionsOutstanding</vt:lpstr>
      <vt:lpstr>z_T897CE0113_MO_OS_CumulativeBoPWeightedAverageExercisePrice</vt:lpstr>
      <vt:lpstr>z_T897CE0113_MO_OS_CumulativeEoPWeightedAverageExercisePrice</vt:lpstr>
      <vt:lpstr>z_T897CE0113_MO_OS_CumulativeExercisedAverageExercisePrice</vt:lpstr>
      <vt:lpstr>z_T897CE0113_MO_OS_CumulativeExercisedStockOptions</vt:lpstr>
      <vt:lpstr>z_T897CE0113_MO_OS_CumulativeFinancingcashflowsforfinanceleases</vt:lpstr>
      <vt:lpstr>z_T897CE0113_MO_OS_CumulativeFinancingleaseliabilitiesarisingfromobtainingROUassets</vt:lpstr>
      <vt:lpstr>z_T897CE0113_MO_OS_CumulativeForfeitedandCanceledAverageExercisePrice</vt:lpstr>
      <vt:lpstr>z_T897CE0113_MO_OS_CumulativeForfeitedandCanceledStockOptions</vt:lpstr>
      <vt:lpstr>z_T897CE0113_MO_OS_CumulativeFYcapexGuidanceRaiseLower</vt:lpstr>
      <vt:lpstr>z_T897CE0113_MO_OS_CumulativeFYexpensesGuidanceRaiseLower</vt:lpstr>
      <vt:lpstr>z_T897CE0113_MO_OS_CumulativeGrantedAverageExercisePrice</vt:lpstr>
      <vt:lpstr>z_T897CE0113_MO_OS_CumulativeGrantedStockOptions</vt:lpstr>
      <vt:lpstr>z_T897CE0113_MO_OS_CumulativeincreasedecreaseinFYcapexguidance</vt:lpstr>
      <vt:lpstr>z_T897CE0113_MO_OS_CumulativeincreasedecreaseinFYexpensesguidance</vt:lpstr>
      <vt:lpstr>z_T897CE0113_MO_OS_CumulativeOperatingcashflowsforfinanceleases</vt:lpstr>
      <vt:lpstr>z_T897CE0113_MO_OS_CumulativeOperatingcashflowsforoperatingleases</vt:lpstr>
      <vt:lpstr>z_T897CE0113_MO_OS_CumulativeOperatingleaseliabilitiesarisingfromobtainingROUassets</vt:lpstr>
      <vt:lpstr>z_T897CE0113_MO_OS_CumulativeTotalStockOptionsOutstanding</vt:lpstr>
      <vt:lpstr>z_T897CE0113_MO_OS_DAPMAP</vt:lpstr>
      <vt:lpstr>z_T897CE0113_MO_OS_DAPnetchange</vt:lpstr>
      <vt:lpstr>z_T897CE0113_MO_OS_DataCenterAssetsRestructuringChargesCOGS</vt:lpstr>
      <vt:lpstr>z_T897CE0113_MO_OS_Dateofcoverpagesharecount</vt:lpstr>
      <vt:lpstr>z_T897CE0113_MO_OS_Depreciationandamortization</vt:lpstr>
      <vt:lpstr>z_T897CE0113_MO_OS_DepreciationofPPE</vt:lpstr>
      <vt:lpstr>z_T897CE0113_MO_OS_Dilutedsharecounttobasicsharecountratio</vt:lpstr>
      <vt:lpstr>z_T897CE0113_MO_OS_DilutiveShares</vt:lpstr>
      <vt:lpstr>z_T897CE0113_MO_OS_DilutiveSharesfromExercisedOptionstreasurymethod</vt:lpstr>
      <vt:lpstr>z_T897CE0113_MO_OS_Director1allothercomp</vt:lpstr>
      <vt:lpstr>z_T897CE0113_MO_OS_Director1cashcomp</vt:lpstr>
      <vt:lpstr>z_T897CE0113_MO_OS_Director1stockawardcomp</vt:lpstr>
      <vt:lpstr>z_T897CE0113_MO_OS_Director2allothercomp</vt:lpstr>
      <vt:lpstr>z_T897CE0113_MO_OS_Director2cashcomp</vt:lpstr>
      <vt:lpstr>z_T897CE0113_MO_OS_Director2stockawardcomp</vt:lpstr>
      <vt:lpstr>z_T897CE0113_MO_OS_Director3allothercomp</vt:lpstr>
      <vt:lpstr>z_T897CE0113_MO_OS_Director3cashcomp</vt:lpstr>
      <vt:lpstr>z_T897CE0113_MO_OS_Director3stockawardcomp</vt:lpstr>
      <vt:lpstr>z_T897CE0113_MO_OS_Director4allothercomp</vt:lpstr>
      <vt:lpstr>z_T897CE0113_MO_OS_Director4cashcomp</vt:lpstr>
      <vt:lpstr>z_T897CE0113_MO_OS_Director4stockawardcomp</vt:lpstr>
      <vt:lpstr>z_T897CE0113_MO_OS_Director5allothercomp</vt:lpstr>
      <vt:lpstr>z_T897CE0113_MO_OS_Director5cashcomp</vt:lpstr>
      <vt:lpstr>z_T897CE0113_MO_OS_Director5stockawardcomp</vt:lpstr>
      <vt:lpstr>z_T897CE0113_MO_OS_Director6allothercomp</vt:lpstr>
      <vt:lpstr>z_T897CE0113_MO_OS_Director6cashcomp</vt:lpstr>
      <vt:lpstr>z_T897CE0113_MO_OS_Director6stockawardcomp</vt:lpstr>
      <vt:lpstr>z_T897CE0113_MO_OS_Director7allothercomp</vt:lpstr>
      <vt:lpstr>z_T897CE0113_MO_OS_Director7cashcomp</vt:lpstr>
      <vt:lpstr>z_T897CE0113_MO_OS_Director7stockawardcomp</vt:lpstr>
      <vt:lpstr>z_T897CE0113_MO_OS_Director8allothercomp</vt:lpstr>
      <vt:lpstr>z_T897CE0113_MO_OS_Director8cashcomp</vt:lpstr>
      <vt:lpstr>z_T897CE0113_MO_OS_Director8stockawardcomp</vt:lpstr>
      <vt:lpstr>z_T897CE0113_MO_OS_Director9allothercomp</vt:lpstr>
      <vt:lpstr>z_T897CE0113_MO_OS_Director9cashcomp</vt:lpstr>
      <vt:lpstr>z_T897CE0113_MO_OS_Director9stockawardcomp</vt:lpstr>
      <vt:lpstr>z_T897CE0113_MO_OS_EBIT</vt:lpstr>
      <vt:lpstr>z_T897CE0113_MO_OS_EBITMargin</vt:lpstr>
      <vt:lpstr>z_T897CE0113_MO_OS_EndofPeriodStockPrice</vt:lpstr>
      <vt:lpstr>z_T897CE0113_MO_OS_EoPClassAOutstandingSharesSubjecttoRepurchase</vt:lpstr>
      <vt:lpstr>z_T897CE0113_MO_OS_EoPClassBOutstandingSharesSubjecttoRepurchase</vt:lpstr>
      <vt:lpstr>z_T897CE0113_MO_OS_EoPESPPObligations</vt:lpstr>
      <vt:lpstr>z_T897CE0113_MO_OS_EoPOther</vt:lpstr>
      <vt:lpstr>z_T897CE0113_MO_OS_EoPPotentiallyDilutiveSecurities</vt:lpstr>
      <vt:lpstr>z_T897CE0113_MO_OS_EoPTotalDilutedCommonStockOutstanding</vt:lpstr>
      <vt:lpstr>z_T897CE0113_MO_OS_EoPTotalStockOptionsExercisable</vt:lpstr>
      <vt:lpstr>z_T897CE0113_MO_OS_EoPUnvestedRSUPrice</vt:lpstr>
      <vt:lpstr>z_T897CE0113_MO_OS_EoPUnvestedRSUs</vt:lpstr>
      <vt:lpstr>z_T897CE0113_MO_OS_EoPWeightedAverageExercisableOptionExercisePrice</vt:lpstr>
      <vt:lpstr>z_T897CE0113_MO_OS_EoPWeightedAverageExercisePrice</vt:lpstr>
      <vt:lpstr>z_T897CE0113_MO_OS_Equipmentandother</vt:lpstr>
      <vt:lpstr>z_T897CE0113_MO_OS_Europeadimpressiongrowthrate</vt:lpstr>
      <vt:lpstr>z_T897CE0113_MO_OS_Europeadvertisingrevenue</vt:lpstr>
      <vt:lpstr>z_T897CE0113_MO_OS_Europeadvertisingrevenuemix</vt:lpstr>
      <vt:lpstr>z_T897CE0113_MO_OS_Europeaveragepriceperadgrowthrate</vt:lpstr>
      <vt:lpstr>z_T897CE0113_MO_OS_Europedailyactiveusers_1</vt:lpstr>
      <vt:lpstr>z_T897CE0113_MO_OS_Europedailyactiveusersmix</vt:lpstr>
      <vt:lpstr>z_T897CE0113_MO_OS_Europemonthlyactiveusers_1</vt:lpstr>
      <vt:lpstr>z_T897CE0113_MO_OS_Europemonthlyactiveusersmix</vt:lpstr>
      <vt:lpstr>z_T897CE0113_MO_OS_europerevenue</vt:lpstr>
      <vt:lpstr>z_T897CE0113_MO_OS_Europerevenuebasedonbillingaddress</vt:lpstr>
      <vt:lpstr>z_T897CE0113_MO_OS_Europerevenuebasedonbillingaddressmix</vt:lpstr>
      <vt:lpstr>z_T897CE0113_MO_OS_Europerevenuemix</vt:lpstr>
      <vt:lpstr>z_T897CE0113_MO_OS_ExercisedAverageExercisePrice</vt:lpstr>
      <vt:lpstr>z_T897CE0113_MO_OS_ExercisedStockOptions</vt:lpstr>
      <vt:lpstr>z_T897CE0113_MO_OS_ExpensesbeatmissvsmostrecentguidanceMid</vt:lpstr>
      <vt:lpstr>z_T897CE0113_MO_OS_Expensesguidanceinitialmidpoint</vt:lpstr>
      <vt:lpstr>z_T897CE0113_MO_OS_Expensesguidancemostrecentmidpoint</vt:lpstr>
      <vt:lpstr>z_T897CE0113_MO_OS_Expensesguidanceupdate1midpoint</vt:lpstr>
      <vt:lpstr>z_T897CE0113_MO_OS_Expensesguidanceupdate2midpoint</vt:lpstr>
      <vt:lpstr>z_T897CE0113_MO_OS_Expensesguidanceupdate3midpoint</vt:lpstr>
      <vt:lpstr>z_T897CE0113_MO_OS_Expensesreported</vt:lpstr>
      <vt:lpstr>z_T897CE0113_MO_OS_FacilitiesConsolidationRestructuringChargesCOGS</vt:lpstr>
      <vt:lpstr>z_T897CE0113_MO_OS_FacilitiesConsolidationRestructuringChargesGA</vt:lpstr>
      <vt:lpstr>z_T897CE0113_MO_OS_FacilitiesConsolidationRestructuringChargesRD</vt:lpstr>
      <vt:lpstr>z_T897CE0113_MO_OS_FacilitiesConsolidationRestructuringChargesSM</vt:lpstr>
      <vt:lpstr>z_T897CE0113_MO_OS_Familyaveragerevenueperperson</vt:lpstr>
      <vt:lpstr>z_T897CE0113_MO_OS_Familyaveragerevenueperperson_1</vt:lpstr>
      <vt:lpstr>z_T897CE0113_MO_OS_Familyaveragerevenueperperson_2</vt:lpstr>
      <vt:lpstr>z_T897CE0113_MO_OS_FamilyAVRPreported</vt:lpstr>
      <vt:lpstr>z_T897CE0113_MO_OS_FamilyDailyActivePeople</vt:lpstr>
      <vt:lpstr>z_T897CE0113_MO_OS_FamilyDailyActivePeople_1</vt:lpstr>
      <vt:lpstr>z_T897CE0113_MO_OS_FamilydailyactivepeopleAverage</vt:lpstr>
      <vt:lpstr>z_T897CE0113_MO_OS_FamilydailyactivepeopleBoP</vt:lpstr>
      <vt:lpstr>z_T897CE0113_MO_OS_FamilydailyactivepeopleEoP</vt:lpstr>
      <vt:lpstr>z_T897CE0113_MO_OS_FamilydailyactivepeopleEoP_1</vt:lpstr>
      <vt:lpstr>z_T897CE0113_MO_OS_FamilyMonthlyActivePeople</vt:lpstr>
      <vt:lpstr>z_T897CE0113_MO_OS_FamilyofAppsemployeecompensation</vt:lpstr>
      <vt:lpstr>z_T897CE0113_MO_OS_FamilyofAppsIncomefromoperations</vt:lpstr>
      <vt:lpstr>z_T897CE0113_MO_OS_FamilyofAppsincomefromoperations_1</vt:lpstr>
      <vt:lpstr>z_T897CE0113_MO_OS_FamilyofAppsincomefromoperations_4</vt:lpstr>
      <vt:lpstr>z_T897CE0113_MO_OS_FamilyofAppsincomefromoperations_5</vt:lpstr>
      <vt:lpstr>z_T897CE0113_MO_OS_FamilyofAppsincomefromoperationsmargin</vt:lpstr>
      <vt:lpstr>z_T897CE0113_MO_OS_FamilyofAppsincomefromoperationsmix</vt:lpstr>
      <vt:lpstr>z_T897CE0113_MO_OS_FamilyofAppsoperatingexpenses</vt:lpstr>
      <vt:lpstr>z_T897CE0113_MO_OS_FamilyofAppsoperatingincomemargin</vt:lpstr>
      <vt:lpstr>z_T897CE0113_MO_OS_FamilyofAppsothercostsandexpenses</vt:lpstr>
      <vt:lpstr>z_T897CE0113_MO_OS_FamilyofAppsrevenue</vt:lpstr>
      <vt:lpstr>z_T897CE0113_MO_OS_FamilyofAppsrevenue_1</vt:lpstr>
      <vt:lpstr>z_T897CE0113_MO_OS_FamilyofAppsrevenue_3</vt:lpstr>
      <vt:lpstr>z_T897CE0113_MO_OS_FamilyofAppsrevenue_4</vt:lpstr>
      <vt:lpstr>z_T897CE0113_MO_OS_FamilyofAppsrevenuemix</vt:lpstr>
      <vt:lpstr>z_T897CE0113_MO_OS_Financeleaseinterest</vt:lpstr>
      <vt:lpstr>z_T897CE0113_MO_OS_Financeleaserightofuseassets</vt:lpstr>
      <vt:lpstr>z_T897CE0113_MO_OS_Financingcashflowsforfinanceleases</vt:lpstr>
      <vt:lpstr>z_T897CE0113_MO_OS_FinancingleaseliabilitiesarisingfromobtainingROUassets</vt:lpstr>
      <vt:lpstr>z_T897CE0113_MO_OS_Foreignexchangeeffects</vt:lpstr>
      <vt:lpstr>z_T897CE0113_MO_OS_Foreignexchangeeffects_1</vt:lpstr>
      <vt:lpstr>z_T897CE0113_MO_OS_ForfeitedandCanceledAverageExercisePrice</vt:lpstr>
      <vt:lpstr>z_T897CE0113_MO_OS_ForfeitedandCanceledStockOptions</vt:lpstr>
      <vt:lpstr>z_T897CE0113_MO_OS_ForwardannualcapexguidanceHigh</vt:lpstr>
      <vt:lpstr>z_T897CE0113_MO_OS_ForwardannualcapexguidanceLow</vt:lpstr>
      <vt:lpstr>z_T897CE0113_MO_OS_ForwardannualcapexguidanceMid</vt:lpstr>
      <vt:lpstr>z_T897CE0113_MO_OS_Forwardannualcapexguidancevariance</vt:lpstr>
      <vt:lpstr>z_T897CE0113_MO_OS_Forwardannualcapexguidancevariance_1</vt:lpstr>
      <vt:lpstr>z_T897CE0113_MO_OS_ForwardannualexpensesguidanceHigh</vt:lpstr>
      <vt:lpstr>z_T897CE0113_MO_OS_ForwardannualexpensesguidanceLow</vt:lpstr>
      <vt:lpstr>z_T897CE0113_MO_OS_ForwardannualexpensesguidanceMid</vt:lpstr>
      <vt:lpstr>z_T897CE0113_MO_OS_Forwardannualexpensesguidancevariance</vt:lpstr>
      <vt:lpstr>z_T897CE0113_MO_OS_Forwardannualexpensesguidancevariance_1</vt:lpstr>
      <vt:lpstr>z_T897CE0113_MO_OS_Forwardannualguidanceapplicableperiod</vt:lpstr>
      <vt:lpstr>z_T897CE0113_MO_OS_Forwardannualguidanceapplicableperiod_1</vt:lpstr>
      <vt:lpstr>z_T897CE0113_MO_OS_Forwardannualguidanceapplicableperiod_2</vt:lpstr>
      <vt:lpstr>z_T897CE0113_MO_OS_ForwardannualguidedYYcapexgrowthHigh</vt:lpstr>
      <vt:lpstr>z_T897CE0113_MO_OS_ForwardannualguidedYYcapexgrowthLow</vt:lpstr>
      <vt:lpstr>z_T897CE0113_MO_OS_ForwardannualguidedYYcapexgrowthMid</vt:lpstr>
      <vt:lpstr>z_T897CE0113_MO_OS_ForwardannualguidedYYexpensesgrowthHigh</vt:lpstr>
      <vt:lpstr>z_T897CE0113_MO_OS_ForwardannualguidedYYexpensesgrowthLow</vt:lpstr>
      <vt:lpstr>z_T897CE0113_MO_OS_ForwardannualguidedYYexpensesgrowthMid</vt:lpstr>
      <vt:lpstr>z_T897CE0113_MO_OS_ForwardannualguidedYYrevenuegrowthHigh</vt:lpstr>
      <vt:lpstr>z_T897CE0113_MO_OS_ForwardannualguidedYYrevenuegrowthLow</vt:lpstr>
      <vt:lpstr>z_T897CE0113_MO_OS_ForwardannualguidedYYrevenuegrowthMid</vt:lpstr>
      <vt:lpstr>z_T897CE0113_MO_OS_ForwardannualrevenueguidanceHigh</vt:lpstr>
      <vt:lpstr>z_T897CE0113_MO_OS_ForwardannualrevenueguidanceLow</vt:lpstr>
      <vt:lpstr>z_T897CE0113_MO_OS_ForwardannualrevenueguidanceMid</vt:lpstr>
      <vt:lpstr>z_T897CE0113_MO_OS_Forwardannualrevenueguidancevariance</vt:lpstr>
      <vt:lpstr>z_T897CE0113_MO_OS_Forwardannualrevenueguidancevariance_1</vt:lpstr>
      <vt:lpstr>z_T897CE0113_MO_OS_Forwardguidancereportdate</vt:lpstr>
      <vt:lpstr>z_T897CE0113_MO_OS_Forwardguidancereportdate_1</vt:lpstr>
      <vt:lpstr>z_T897CE0113_MO_OS_Forwardguidancereportdate_2</vt:lpstr>
      <vt:lpstr>z_T897CE0113_MO_OS_ForwardguidedQQrevenuegrowthMid</vt:lpstr>
      <vt:lpstr>z_T897CE0113_MO_OS_ForwardguidedYYcapexgrowthMid</vt:lpstr>
      <vt:lpstr>z_T897CE0113_MO_OS_ForwardguidedYYexpensesgrowthMid</vt:lpstr>
      <vt:lpstr>z_T897CE0113_MO_OS_ForwardguidedYYrevenuegrowthMid</vt:lpstr>
      <vt:lpstr>z_T897CE0113_MO_OS_ForwardquarterlycapexguidanceHigh</vt:lpstr>
      <vt:lpstr>z_T897CE0113_MO_OS_ForwardquarterlycapexguidanceLow</vt:lpstr>
      <vt:lpstr>z_T897CE0113_MO_OS_ForwardquarterlycapexguidanceMid</vt:lpstr>
      <vt:lpstr>z_T897CE0113_MO_OS_Forwardquarterlycapexguidancevariance</vt:lpstr>
      <vt:lpstr>z_T897CE0113_MO_OS_Forwardquarterlycapexguidancevariance_1</vt:lpstr>
      <vt:lpstr>z_T897CE0113_MO_OS_ForwardquarterlyexpensesguidanceHigh</vt:lpstr>
      <vt:lpstr>z_T897CE0113_MO_OS_ForwardquarterlyexpensesguidanceLow</vt:lpstr>
      <vt:lpstr>z_T897CE0113_MO_OS_ForwardquarterlyexpensesguidanceMid</vt:lpstr>
      <vt:lpstr>z_T897CE0113_MO_OS_Forwardquarterlyexpensesguidancevariance</vt:lpstr>
      <vt:lpstr>z_T897CE0113_MO_OS_Forwardquarterlyexpensesguidancevariance_1</vt:lpstr>
      <vt:lpstr>z_T897CE0113_MO_OS_Forwardquarterlyguidanceapplicableperiod</vt:lpstr>
      <vt:lpstr>z_T897CE0113_MO_OS_Forwardquarterlyguidanceapplicableperiod_1</vt:lpstr>
      <vt:lpstr>z_T897CE0113_MO_OS_Forwardquarterlyguidanceapplicableperiod_2</vt:lpstr>
      <vt:lpstr>z_T897CE0113_MO_OS_ForwardquarterlyguidedQQrevenuegrowthHigh</vt:lpstr>
      <vt:lpstr>z_T897CE0113_MO_OS_ForwardquarterlyguidedQQrevenuegrowthLow</vt:lpstr>
      <vt:lpstr>z_T897CE0113_MO_OS_ForwardquarterlyguidedYYcapexgrowthHigh</vt:lpstr>
      <vt:lpstr>z_T897CE0113_MO_OS_ForwardquarterlyguidedYYcapexgrowthLow</vt:lpstr>
      <vt:lpstr>z_T897CE0113_MO_OS_ForwardquarterlyguidedYYexpensesgrowthHigh</vt:lpstr>
      <vt:lpstr>z_T897CE0113_MO_OS_ForwardquarterlyguidedYYexpensesgrowthLow</vt:lpstr>
      <vt:lpstr>z_T897CE0113_MO_OS_ForwardquarterlyrevenueguidanceHigh</vt:lpstr>
      <vt:lpstr>z_T897CE0113_MO_OS_ForwardquarterlyrevenueguidanceLow</vt:lpstr>
      <vt:lpstr>z_T897CE0113_MO_OS_ForwardquarterlyrevenueguidanceMid</vt:lpstr>
      <vt:lpstr>z_T897CE0113_MO_OS_Forwardquarterlyrevenueguidancevariance</vt:lpstr>
      <vt:lpstr>z_T897CE0113_MO_OS_Forwardquarterlyrevenueguidancevariance_1</vt:lpstr>
      <vt:lpstr>z_T897CE0113_MO_OS_FYcapexGuidanceRaiseLower</vt:lpstr>
      <vt:lpstr>z_T897CE0113_MO_OS_FYexpensesGuidanceRaiseLower</vt:lpstr>
      <vt:lpstr>z_T897CE0113_MO_OS_GAAPadvertisingrevenue</vt:lpstr>
      <vt:lpstr>z_T897CE0113_MO_OS_GAAPPaymentsandotherfeesrevenueforeignexchangeeffectscalculated</vt:lpstr>
      <vt:lpstr>z_T897CE0113_MO_OS_GAAPrevenue</vt:lpstr>
      <vt:lpstr>z_T897CE0113_MO_OS_GAExpense</vt:lpstr>
      <vt:lpstr>z_T897CE0113_MO_OS_GAMargin</vt:lpstr>
      <vt:lpstr>z_T897CE0113_MO_OS_Generalandadministrativeheadcountgrowth</vt:lpstr>
      <vt:lpstr>z_T897CE0113_MO_OS_GeneralandadministrativeRestructuringCharges</vt:lpstr>
      <vt:lpstr>z_T897CE0113_MO_OS_GrantedAverageExercisePrice</vt:lpstr>
      <vt:lpstr>z_T897CE0113_MO_OS_GrantedStockOptions</vt:lpstr>
      <vt:lpstr>z_T897CE0113_MO_OS_GrossMargin</vt:lpstr>
      <vt:lpstr>z_T897CE0113_MO_OS_GrossProfit</vt:lpstr>
      <vt:lpstr>z_T897CE0113_MO_OS_GuidanceTotalExpenses</vt:lpstr>
      <vt:lpstr>z_T897CE0113_MO_OS_IncomingCFOAllothercompensation</vt:lpstr>
      <vt:lpstr>z_T897CE0113_MO_OS_IncomingCFOBasePay</vt:lpstr>
      <vt:lpstr>z_T897CE0113_MO_OS_IncomingCFOBonus</vt:lpstr>
      <vt:lpstr>z_T897CE0113_MO_OS_IncomingCFOStockAwards</vt:lpstr>
      <vt:lpstr>z_T897CE0113_MO_OS_IncomingCFOTotalComp</vt:lpstr>
      <vt:lpstr>z_T897CE0113_MO_OS_IncomingCOOAllothercompensation</vt:lpstr>
      <vt:lpstr>z_T897CE0113_MO_OS_IncomingCOOBasePay</vt:lpstr>
      <vt:lpstr>z_T897CE0113_MO_OS_IncomingCOOBonus</vt:lpstr>
      <vt:lpstr>z_T897CE0113_MO_OS_IncomingCOOStockAwards</vt:lpstr>
      <vt:lpstr>z_T897CE0113_MO_OS_IncomingCOOTotalComp</vt:lpstr>
      <vt:lpstr>z_T897CE0113_MO_OS_Land</vt:lpstr>
      <vt:lpstr>z_T897CE0113_MO_OS_LastWorkingDay</vt:lpstr>
      <vt:lpstr>z_T897CE0113_MO_OS_Leaseholdimprovements</vt:lpstr>
      <vt:lpstr>z_T897CE0113_MO_OS_LessAccumulateddepreciation</vt:lpstr>
      <vt:lpstr>z_T897CE0113_MO_OS_MarketCapEoP</vt:lpstr>
      <vt:lpstr>z_T897CE0113_MO_OS_MarketCapEoP_1</vt:lpstr>
      <vt:lpstr>z_T897CE0113_MO_OS_Marketingandsalesheadcountgrowth</vt:lpstr>
      <vt:lpstr>z_T897CE0113_MO_OS_MarketingandsalesRestructuringCharges</vt:lpstr>
      <vt:lpstr>z_T897CE0113_MO_OS_monthlyactiveusergrowth</vt:lpstr>
      <vt:lpstr>z_T897CE0113_MO_OS_Networkequipment</vt:lpstr>
      <vt:lpstr>z_T897CE0113_MO_OS_NonemployeeDirectorsStockOwnershipGuidelinessharesequivalentvalue</vt:lpstr>
      <vt:lpstr>z_T897CE0113_MO_OS_NonemployeeDirectorsStockOwnershipHistoricalGuidelinessharesequivalentvalue</vt:lpstr>
      <vt:lpstr>z_T897CE0113_MO_OS_Numberofsharesrepurchased_3</vt:lpstr>
      <vt:lpstr>z_T897CE0113_MO_OS_Numberofsharesrepurchasedmonth1</vt:lpstr>
      <vt:lpstr>z_T897CE0113_MO_OS_Numberofsharesrepurchasedmonth2</vt:lpstr>
      <vt:lpstr>z_T897CE0113_MO_OS_Numberofsharesrepurchasedmonth3</vt:lpstr>
      <vt:lpstr>z_T897CE0113_MO_OS_Operatingcashflowsforfinanceleases</vt:lpstr>
      <vt:lpstr>z_T897CE0113_MO_OS_Operatingcashflowsforoperatingleases</vt:lpstr>
      <vt:lpstr>z_T897CE0113_MO_OS_Operatingincomemargin</vt:lpstr>
      <vt:lpstr>z_T897CE0113_MO_OS_Operatingleasecost</vt:lpstr>
      <vt:lpstr>z_T897CE0113_MO_OS_OperatingleaseliabilitiesarisingfromobtainingROUassets</vt:lpstr>
      <vt:lpstr>z_T897CE0113_MO_OS_OtherDAexpenses</vt:lpstr>
      <vt:lpstr>z_T897CE0113_MO_OS_OtherFamilyAVRPreported</vt:lpstr>
      <vt:lpstr>z_T897CE0113_MO_OS_OtherPPEdepreciationexpense</vt:lpstr>
      <vt:lpstr>z_T897CE0113_MO_OS_Otherrevenue_1</vt:lpstr>
      <vt:lpstr>z_T897CE0113_MO_OS_Otherrevenue_3</vt:lpstr>
      <vt:lpstr>z_T897CE0113_MO_OS_Otherrevenuemix</vt:lpstr>
      <vt:lpstr>z_T897CE0113_MO_OS_OutgoingCFOAllothercompensation</vt:lpstr>
      <vt:lpstr>z_T897CE0113_MO_OS_OutgoingCFOBasePay</vt:lpstr>
      <vt:lpstr>z_T897CE0113_MO_OS_OutgoingCFOBonus</vt:lpstr>
      <vt:lpstr>z_T897CE0113_MO_OS_OutgoingCFOStockAwards</vt:lpstr>
      <vt:lpstr>z_T897CE0113_MO_OS_OutgoingCFOTotalComp</vt:lpstr>
      <vt:lpstr>z_T897CE0113_MO_OS_OutgoingCOOAllothercompensation</vt:lpstr>
      <vt:lpstr>z_T897CE0113_MO_OS_OutgoingCOOBasePay</vt:lpstr>
      <vt:lpstr>z_T897CE0113_MO_OS_OutgoingCOOBonus</vt:lpstr>
      <vt:lpstr>z_T897CE0113_MO_OS_OutgoingCOOStockAwards</vt:lpstr>
      <vt:lpstr>z_T897CE0113_MO_OS_OutgoingCOOTotalComp</vt:lpstr>
      <vt:lpstr>z_T897CE0113_MO_OS_Paymentsandotherfeesrevenue</vt:lpstr>
      <vt:lpstr>z_T897CE0113_MO_OS_Paymentsandotherfeesrevenueexcludingforeignexchangeeffectcalculated</vt:lpstr>
      <vt:lpstr>z_T897CE0113_MO_OS_PaymentsandOtherFeesWorldwideARPUReported</vt:lpstr>
      <vt:lpstr>z_T897CE0113_MO_OS_Propertyandequipmentgross</vt:lpstr>
      <vt:lpstr>z_T897CE0113_MO_OS_Propertyandequipmentnet</vt:lpstr>
      <vt:lpstr>z_T897CE0113_MO_OS_QQAdvertisingrevenuegrowth_1</vt:lpstr>
      <vt:lpstr>z_T897CE0113_MO_OS_QQbasicshareexpansionEoP</vt:lpstr>
      <vt:lpstr>z_T897CE0113_MO_OS_QQbasicshareexpansionfromdilutivesecurities</vt:lpstr>
      <vt:lpstr>z_T897CE0113_MO_OS_QQbasicshareexpansionfromshareissuancebuyback</vt:lpstr>
      <vt:lpstr>z_T897CE0113_MO_OS_QQbeatmissrevenuegrowth</vt:lpstr>
      <vt:lpstr>z_T897CE0113_MO_OS_QQDailyActiveUserGrowth</vt:lpstr>
      <vt:lpstr>z_T897CE0113_MO_OS_QQFamilyofAppsrevenuegrowth</vt:lpstr>
      <vt:lpstr>z_T897CE0113_MO_OS_QQFamilyofAppsrevenuegrowth_1</vt:lpstr>
      <vt:lpstr>z_T897CE0113_MO_OS_QQguidedrevenuegrowth</vt:lpstr>
      <vt:lpstr>z_T897CE0113_MO_OS_QQMonthlyActiveUserGrowth</vt:lpstr>
      <vt:lpstr>z_T897CE0113_MO_OS_QQOtherrevenuegrowth_1</vt:lpstr>
      <vt:lpstr>z_T897CE0113_MO_OS_QQRealityLabsrevenuegrowth</vt:lpstr>
      <vt:lpstr>z_T897CE0113_MO_OS_QQRealityLabsrevenuegrowth_1</vt:lpstr>
      <vt:lpstr>z_T897CE0113_MO_OS_QQrevenuegrowth</vt:lpstr>
      <vt:lpstr>z_T897CE0113_MO_OS_QQtotalrevenuegrowth</vt:lpstr>
      <vt:lpstr>z_T897CE0113_MO_OS_RDExpense</vt:lpstr>
      <vt:lpstr>z_T897CE0113_MO_OS_RDMargin</vt:lpstr>
      <vt:lpstr>z_T897CE0113_MO_OS_RealityLabsemployeecompensation</vt:lpstr>
      <vt:lpstr>z_T897CE0113_MO_OS_RealityLabsIncomefromoperations</vt:lpstr>
      <vt:lpstr>z_T897CE0113_MO_OS_RealityLabsincomefromoperations_1</vt:lpstr>
      <vt:lpstr>z_T897CE0113_MO_OS_RealityLabsincomefromoperations_4</vt:lpstr>
      <vt:lpstr>z_T897CE0113_MO_OS_RealityLabsincomefromoperations_5</vt:lpstr>
      <vt:lpstr>z_T897CE0113_MO_OS_RealityLabsincomefromoperationsmargin</vt:lpstr>
      <vt:lpstr>z_T897CE0113_MO_OS_RealityLabsincomefromoperationsmix</vt:lpstr>
      <vt:lpstr>z_T897CE0113_MO_OS_RealityLabsoperatingexpenses</vt:lpstr>
      <vt:lpstr>z_T897CE0113_MO_OS_RealityLabsoperatingincomemargin</vt:lpstr>
      <vt:lpstr>z_T897CE0113_MO_OS_RealityLabsothercostsandexpenses</vt:lpstr>
      <vt:lpstr>z_T897CE0113_MO_OS_RealityLabsrevenue</vt:lpstr>
      <vt:lpstr>z_T897CE0113_MO_OS_RealityLabsrevenue_1</vt:lpstr>
      <vt:lpstr>z_T897CE0113_MO_OS_RealityLabsrevenue_3</vt:lpstr>
      <vt:lpstr>z_T897CE0113_MO_OS_RealityLabsrevenue_4</vt:lpstr>
      <vt:lpstr>z_T897CE0113_MO_OS_RealityLabsrevenuemix</vt:lpstr>
      <vt:lpstr>z_T897CE0113_MO_OS_RelativecapexbeatmissvsmostrecentguidanceMid</vt:lpstr>
      <vt:lpstr>z_T897CE0113_MO_OS_RelativeexpensesbeatmissvsmostrecentguidanceMid</vt:lpstr>
      <vt:lpstr>z_T897CE0113_MO_OS_RelativerevenuebeatmissvsmostrecentguidanceMid</vt:lpstr>
      <vt:lpstr>z_T897CE0113_MO_OS_Remainingdollarvalueunderrepurchaseprogram_3</vt:lpstr>
      <vt:lpstr>z_T897CE0113_MO_OS_Remainingdollarvalueunderrepurchaseprogrammonth1</vt:lpstr>
      <vt:lpstr>z_T897CE0113_MO_OS_Remainingdollarvalueunderrepurchaseprogrammonth2</vt:lpstr>
      <vt:lpstr>z_T897CE0113_MO_OS_Remainingdollarvalueunderrepurchaseprogrammonth3</vt:lpstr>
      <vt:lpstr>z_T897CE0113_MO_OS_Repurchasedollarvalue_3</vt:lpstr>
      <vt:lpstr>z_T897CE0113_MO_OS_Repurchasedollarvaluemonth1</vt:lpstr>
      <vt:lpstr>z_T897CE0113_MO_OS_Repurchasedollarvaluemonth2</vt:lpstr>
      <vt:lpstr>z_T897CE0113_MO_OS_Repurchasedollarvaluemonth3</vt:lpstr>
      <vt:lpstr>z_T897CE0113_MO_OS_Researchanddevelopmentheadcountgrowth</vt:lpstr>
      <vt:lpstr>z_T897CE0113_MO_OS_ResearchanddevelopmentRestructuringCharges</vt:lpstr>
      <vt:lpstr>z_T897CE0113_MO_OS_Restofworldadimpressiongrowthrate</vt:lpstr>
      <vt:lpstr>z_T897CE0113_MO_OS_Restofworldadvertisingrevenue</vt:lpstr>
      <vt:lpstr>z_T897CE0113_MO_OS_Restofworldadvertisingrevenuemix</vt:lpstr>
      <vt:lpstr>z_T897CE0113_MO_OS_Restofworldaveragepriceperadgrowthrate</vt:lpstr>
      <vt:lpstr>z_T897CE0113_MO_OS_Restofworlddailyactiveusers_1</vt:lpstr>
      <vt:lpstr>z_T897CE0113_MO_OS_Restofworlddailyactiveusersmix</vt:lpstr>
      <vt:lpstr>z_T897CE0113_MO_OS_Restofworldmonthlyactiveusers_1</vt:lpstr>
      <vt:lpstr>z_T897CE0113_MO_OS_Restofworldmonthlyactiveusersmix</vt:lpstr>
      <vt:lpstr>z_T897CE0113_MO_OS_Restofworldpaymentsandotherfees_1</vt:lpstr>
      <vt:lpstr>z_T897CE0113_MO_OS_restofworldrevenue</vt:lpstr>
      <vt:lpstr>z_T897CE0113_MO_OS_Restofworldrevenuebasedonbillingaddress</vt:lpstr>
      <vt:lpstr>z_T897CE0113_MO_OS_Restofworldrevenuebasedonbillingaddressmix</vt:lpstr>
      <vt:lpstr>z_T897CE0113_MO_OS_Restofworldrevenuemix</vt:lpstr>
      <vt:lpstr>z_T897CE0113_MO_OS_Revenue_1</vt:lpstr>
      <vt:lpstr>z_T897CE0113_MO_OS_RevenuebeatmissvsmostrecentguidanceMid</vt:lpstr>
      <vt:lpstr>z_T897CE0113_MO_OS_Revenueexcludingforeignexchangeeffect</vt:lpstr>
      <vt:lpstr>z_T897CE0113_MO_OS_Revenueguidanceinitialmidpoint</vt:lpstr>
      <vt:lpstr>z_T897CE0113_MO_OS_Revenueguidancemostrecentmidpoint</vt:lpstr>
      <vt:lpstr>z_T897CE0113_MO_OS_Revenueguidanceupdate1midpoint</vt:lpstr>
      <vt:lpstr>z_T897CE0113_MO_OS_Revenueguidanceupdate2midpoint</vt:lpstr>
      <vt:lpstr>z_T897CE0113_MO_OS_Revenueguidanceupdate3midpoint</vt:lpstr>
      <vt:lpstr>z_T897CE0113_MO_OS_Revenuereported</vt:lpstr>
      <vt:lpstr>z_T897CE0113_MO_OS_SequentialincreasedecreaseinFYcapexguidance</vt:lpstr>
      <vt:lpstr>z_T897CE0113_MO_OS_SequentialincreasedecreaseinFYexpensesguidance</vt:lpstr>
      <vt:lpstr>z_T897CE0113_MO_OS_Serverandnetworkassetsdepreciation</vt:lpstr>
      <vt:lpstr>z_T897CE0113_MO_OS_Serversandnetworkassets</vt:lpstr>
      <vt:lpstr>z_T897CE0113_MO_OS_SeveranceandOtherPersonnelCostsRestructuringChargesGA</vt:lpstr>
      <vt:lpstr>z_T897CE0113_MO_OS_SeveranceandOtherPersonnelCostsRestructuringChargesRD</vt:lpstr>
      <vt:lpstr>z_T897CE0113_MO_OS_SeveranceandOtherPersonnelCostsRestructuringChargesSM</vt:lpstr>
      <vt:lpstr>z_T897CE0113_MO_OS_SMExpense</vt:lpstr>
      <vt:lpstr>z_T897CE0113_MO_OS_SMMargin</vt:lpstr>
      <vt:lpstr>z_T897CE0113_MO_OS_Totaladvertisingrevenuemix</vt:lpstr>
      <vt:lpstr>z_T897CE0113_MO_OS_totaldailyactiveusers</vt:lpstr>
      <vt:lpstr>z_T897CE0113_MO_OS_TotalDailyactiveusers_1</vt:lpstr>
      <vt:lpstr>z_T897CE0113_MO_OS_Totaldailyactiveusersmix</vt:lpstr>
      <vt:lpstr>z_T897CE0113_MO_OS_Totaldirectorallothercomp</vt:lpstr>
      <vt:lpstr>z_T897CE0113_MO_OS_Totaldirectorcashcomp</vt:lpstr>
      <vt:lpstr>z_T897CE0113_MO_OS_Totaldirectorcompensation</vt:lpstr>
      <vt:lpstr>z_T897CE0113_MO_OS_Totaldirectorstockawardcomp</vt:lpstr>
      <vt:lpstr>z_T897CE0113_MO_OS_Totalemployeecompensation</vt:lpstr>
      <vt:lpstr>z_T897CE0113_MO_OS_TotalExpenses</vt:lpstr>
      <vt:lpstr>z_T897CE0113_MO_OS_TotalFinanceLeaseCost</vt:lpstr>
      <vt:lpstr>z_T897CE0113_MO_OS_TotalGeographyrevenuebasedonbillingaddresss</vt:lpstr>
      <vt:lpstr>z_T897CE0113_MO_OS_Totalheadcount</vt:lpstr>
      <vt:lpstr>z_T897CE0113_MO_OS_Totalheadcountgrowth</vt:lpstr>
      <vt:lpstr>z_T897CE0113_MO_OS_TotalIncomefromoperations</vt:lpstr>
      <vt:lpstr>z_T897CE0113_MO_OS_Totalincomefromoperations_1</vt:lpstr>
      <vt:lpstr>z_T897CE0113_MO_OS_Totalincomefromoperations_4</vt:lpstr>
      <vt:lpstr>z_T897CE0113_MO_OS_Totalincomefromoperationsmargin</vt:lpstr>
      <vt:lpstr>z_T897CE0113_MO_OS_Totalincomefromoperationsmix</vt:lpstr>
      <vt:lpstr>z_T897CE0113_MO_OS_TotalLeaseCost</vt:lpstr>
      <vt:lpstr>z_T897CE0113_MO_OS_totalmonthlyactiveusers</vt:lpstr>
      <vt:lpstr>z_T897CE0113_MO_OS_Totalmonthlyactiveusers_1</vt:lpstr>
      <vt:lpstr>z_T897CE0113_MO_OS_Totalmonthlyactiveusersmix</vt:lpstr>
      <vt:lpstr>z_T897CE0113_MO_OS_Totalnumberofadimpressionsgrowthrate</vt:lpstr>
      <vt:lpstr>z_T897CE0113_MO_OS_Totalofcurrentdirectors</vt:lpstr>
      <vt:lpstr>z_T897CE0113_MO_OS_Totalofdirectornominees</vt:lpstr>
      <vt:lpstr>z_T897CE0113_MO_OS_Totaloffemalecurrentdirectors</vt:lpstr>
      <vt:lpstr>z_T897CE0113_MO_OS_Totaloffemaledirectornominees</vt:lpstr>
      <vt:lpstr>z_T897CE0113_MO_OS_Totalofindependentcurrentdirectors</vt:lpstr>
      <vt:lpstr>z_T897CE0113_MO_OS_Totalofindependentdirectornominees</vt:lpstr>
      <vt:lpstr>z_T897CE0113_MO_OS_Totalothercostsandexpenses</vt:lpstr>
      <vt:lpstr>z_T897CE0113_MO_OS_TotalRestructuringCharges</vt:lpstr>
      <vt:lpstr>z_T897CE0113_MO_OS_Totalrevenue_4</vt:lpstr>
      <vt:lpstr>z_T897CE0113_MO_OS_Totalrevenue_7</vt:lpstr>
      <vt:lpstr>z_T897CE0113_MO_OS_Totalrevenuebasedonbillingaddressmix</vt:lpstr>
      <vt:lpstr>z_T897CE0113_MO_OS_TotalRevenueGrowth</vt:lpstr>
      <vt:lpstr>z_T897CE0113_MO_OS_Totalrevenuemix</vt:lpstr>
      <vt:lpstr>z_T897CE0113_MO_OS_Totalrevenuemix_1</vt:lpstr>
      <vt:lpstr>z_T897CE0113_MO_OS_totalrevenues</vt:lpstr>
      <vt:lpstr>z_T897CE0113_MO_OS_TotalRevenues_2</vt:lpstr>
      <vt:lpstr>z_T897CE0113_MO_OS_TotalStockOptionsOutstanding</vt:lpstr>
      <vt:lpstr>z_T897CE0113_MO_OS_TotalWorldwideARPUCalculated</vt:lpstr>
      <vt:lpstr>z_T897CE0113_MO_OS_USCanadaadimpressiongrowthrate</vt:lpstr>
      <vt:lpstr>z_T897CE0113_MO_OS_USCanadaadvertisingrevenue</vt:lpstr>
      <vt:lpstr>z_T897CE0113_MO_OS_USCanadaadvertisingrevenuemix</vt:lpstr>
      <vt:lpstr>z_T897CE0113_MO_OS_USCanadaaveragepriceperadgrowthrate</vt:lpstr>
      <vt:lpstr>z_T897CE0113_MO_OS_USCanadadailyactiveusers_1</vt:lpstr>
      <vt:lpstr>z_T897CE0113_MO_OS_USCanadadailyactiveusersmix</vt:lpstr>
      <vt:lpstr>z_T897CE0113_MO_OS_USCanadamonthlyactiveusers_1</vt:lpstr>
      <vt:lpstr>z_T897CE0113_MO_OS_USCanadamonthlyactiveusersmix</vt:lpstr>
      <vt:lpstr>z_T897CE0113_MO_OS_USCanadapaymentsandotherfees_1</vt:lpstr>
      <vt:lpstr>z_T897CE0113_MO_OS_USCanadarevenuebasedonbillingaddress</vt:lpstr>
      <vt:lpstr>z_T897CE0113_MO_OS_USCanadarevenuebasedonbillingaddressmix</vt:lpstr>
      <vt:lpstr>z_T897CE0113_MO_OS_USCanadarevenuemix</vt:lpstr>
      <vt:lpstr>z_T897CE0113_MO_OS_uscanadarevenuemm</vt:lpstr>
      <vt:lpstr>z_T897CE0113_MO_OS_USrevenuebasedonbillingaddress</vt:lpstr>
      <vt:lpstr>z_T897CE0113_MO_OS_USrevenuebasedonbillingaddressmix</vt:lpstr>
      <vt:lpstr>z_T897CE0113_MO_OS_Variableleasecostandothernet</vt:lpstr>
      <vt:lpstr>z_T897CE0113_MO_OS_YYAdvertisingrevenuegrowth_1</vt:lpstr>
      <vt:lpstr>z_T897CE0113_MO_OS_YYannualcapexgrowth</vt:lpstr>
      <vt:lpstr>z_T897CE0113_MO_OS_YYannualexpensesgrowth</vt:lpstr>
      <vt:lpstr>z_T897CE0113_MO_OS_YYannualguidancebeatmisscapexgrowth</vt:lpstr>
      <vt:lpstr>z_T897CE0113_MO_OS_YYannualguidancebeatmissexpensesgrowth</vt:lpstr>
      <vt:lpstr>z_T897CE0113_MO_OS_YYannualguidancebeatmissrevenuegrowth</vt:lpstr>
      <vt:lpstr>z_T897CE0113_MO_OS_YYannualrevenuegrowth</vt:lpstr>
      <vt:lpstr>z_T897CE0113_MO_OS_YYbasicshareexpansionEoP</vt:lpstr>
      <vt:lpstr>z_T897CE0113_MO_OS_YYbasicshareexpansionfromdilutivesecurities</vt:lpstr>
      <vt:lpstr>z_T897CE0113_MO_OS_YYbasicshareexpansionfromshareissuancebuyback</vt:lpstr>
      <vt:lpstr>z_T897CE0113_MO_OS_YYbeatmisscapexgrowth</vt:lpstr>
      <vt:lpstr>z_T897CE0113_MO_OS_YYbeatmissexpensesgrowth</vt:lpstr>
      <vt:lpstr>z_T897CE0113_MO_OS_YYbeatmissrevenuegrowth</vt:lpstr>
      <vt:lpstr>z_T897CE0113_MO_OS_YYcapexgrowth</vt:lpstr>
      <vt:lpstr>z_T897CE0113_MO_OS_YYconstantcurrencyrevenueGrowth</vt:lpstr>
      <vt:lpstr>z_T897CE0113_MO_OS_YYDailyActiveUserGrowth</vt:lpstr>
      <vt:lpstr>z_T897CE0113_MO_OS_YYexpensesgrowth</vt:lpstr>
      <vt:lpstr>z_T897CE0113_MO_OS_YYFamilyaveragerevenueperpersongrowth</vt:lpstr>
      <vt:lpstr>z_T897CE0113_MO_OS_YYFamilydailyactivepeopleEoPgrowth</vt:lpstr>
      <vt:lpstr>z_T897CE0113_MO_OS_YYFamilyofAppsincomefromoperationsgrowth</vt:lpstr>
      <vt:lpstr>z_T897CE0113_MO_OS_YYFamilyofAppsrevenuegrowth</vt:lpstr>
      <vt:lpstr>z_T897CE0113_MO_OS_YYFamilyofAppsrevenuegrowth_1</vt:lpstr>
      <vt:lpstr>z_T897CE0113_MO_OS_YYgrowthinadjustedEBIT</vt:lpstr>
      <vt:lpstr>z_T897CE0113_MO_OS_YYgrowthinAdvertisingexpenses</vt:lpstr>
      <vt:lpstr>z_T897CE0113_MO_OS_YYgrowthinEBIT</vt:lpstr>
      <vt:lpstr>z_T897CE0113_MO_OS_YYgrowthinGAexpense</vt:lpstr>
      <vt:lpstr>z_T897CE0113_MO_OS_YYgrowthinGrossprofit</vt:lpstr>
      <vt:lpstr>z_T897CE0113_MO_OS_YYgrowthinRDexpense</vt:lpstr>
      <vt:lpstr>z_T897CE0113_MO_OS_YYgrowthinSMexpense</vt:lpstr>
      <vt:lpstr>z_T897CE0113_MO_OS_YYguidedcapexgrowth</vt:lpstr>
      <vt:lpstr>z_T897CE0113_MO_OS_YYguidedexpensesgrowth</vt:lpstr>
      <vt:lpstr>z_T897CE0113_MO_OS_YYguidedrevenuegrowth</vt:lpstr>
      <vt:lpstr>z_T897CE0113_MO_OS_YYImpliedannualguidancecapexgrowth</vt:lpstr>
      <vt:lpstr>z_T897CE0113_MO_OS_YYImpliedannualguidanceexpensesgrowth</vt:lpstr>
      <vt:lpstr>z_T897CE0113_MO_OS_YYImpliedannualguidancerevenuegrowth</vt:lpstr>
      <vt:lpstr>z_T897CE0113_MO_OS_YYimprovementinadjustedEBITMargin</vt:lpstr>
      <vt:lpstr>z_T897CE0113_MO_OS_YYimprovementinEBITMargin</vt:lpstr>
      <vt:lpstr>z_T897CE0113_MO_OS_YYimprovementinFamilyofAppsoperatingincomemargin</vt:lpstr>
      <vt:lpstr>z_T897CE0113_MO_OS_YYimprovementinGAMargin</vt:lpstr>
      <vt:lpstr>z_T897CE0113_MO_OS_YYimprovementinGrossMargin</vt:lpstr>
      <vt:lpstr>z_T897CE0113_MO_OS_YYimprovementinRDMargin</vt:lpstr>
      <vt:lpstr>z_T897CE0113_MO_OS_YYimprovementinRealityLabsoperatingincomemargin</vt:lpstr>
      <vt:lpstr>z_T897CE0113_MO_OS_YYimprovementinSMMargin</vt:lpstr>
      <vt:lpstr>z_T897CE0113_MO_OS_YYOtherrevenuegrowth_1</vt:lpstr>
      <vt:lpstr>z_T897CE0113_MO_OS_YYPaymentsandOtherFeesrevenueconstantcurrencyrevenueGrowth_1</vt:lpstr>
      <vt:lpstr>z_T897CE0113_MO_OS_YYPaymentsandotherfeesrevenuegrowth</vt:lpstr>
      <vt:lpstr>z_T897CE0113_MO_OS_YYRealityLabsincomefromoperationsgrowth</vt:lpstr>
      <vt:lpstr>z_T897CE0113_MO_OS_YYRealityLabsrevenuegrowth</vt:lpstr>
      <vt:lpstr>z_T897CE0113_MO_OS_YYRealityLabsrevenuegrowth_1</vt:lpstr>
      <vt:lpstr>z_T897CE0113_MO_OS_YYrevenuegrowth</vt:lpstr>
      <vt:lpstr>z_T897CE0113_MO_RIS_AdjustedEarningsPerShareWAD</vt:lpstr>
      <vt:lpstr>z_T897CE0113_MO_RIS_AdjustedEBITDANoAdjustments</vt:lpstr>
      <vt:lpstr>z_T897CE0113_MO_RIS_AdjustedEBITNoAdjustments</vt:lpstr>
      <vt:lpstr>z_T897CE0113_MO_RIS_AdjustedNetIncome</vt:lpstr>
      <vt:lpstr>z_T897CE0113_MO_RIS_AdjustedSharesOutstandingWAD</vt:lpstr>
      <vt:lpstr>z_T897CE0113_MO_RIS_AdjustmentsforConvertibleSecurities</vt:lpstr>
      <vt:lpstr>z_T897CE0113_MO_RIS_AmortizationofIntangibles</vt:lpstr>
      <vt:lpstr>z_T897CE0113_MO_RIS_ClassAandBSharesOutstandingWAD</vt:lpstr>
      <vt:lpstr>z_T897CE0113_MO_RIS_ClassASharesOutstandingWAB</vt:lpstr>
      <vt:lpstr>z_T897CE0113_MO_RIS_COGS_1</vt:lpstr>
      <vt:lpstr>z_T897CE0113_MO_RIS_consensusestimatesadjustedearningspersharewad</vt:lpstr>
      <vt:lpstr>z_T897CE0113_MO_RIS_ConsensusEstimatesAdjustedEBIT_1</vt:lpstr>
      <vt:lpstr>z_T897CE0113_MO_RIS_consensusestimatesadjustedebitda</vt:lpstr>
      <vt:lpstr>z_T897CE0113_MO_RIS_consensusestimatesnetrevenue</vt:lpstr>
      <vt:lpstr>z_T897CE0113_MO_RIS_Currenttax</vt:lpstr>
      <vt:lpstr>z_T897CE0113_MO_RIS_Currenttaxrate</vt:lpstr>
      <vt:lpstr>z_T897CE0113_MO_RIS_DA</vt:lpstr>
      <vt:lpstr>z_T897CE0113_MO_RIS_Deferredtax</vt:lpstr>
      <vt:lpstr>z_T897CE0113_MO_RIS_Deferredtaxrate</vt:lpstr>
      <vt:lpstr>z_T897CE0113_MO_RIS_DilutedNetIncometoCommonShareholders</vt:lpstr>
      <vt:lpstr>z_T897CE0113_MO_RIS_DiscontinuedOperations</vt:lpstr>
      <vt:lpstr>z_T897CE0113_MO_RIS_EarningsPerShareWAB</vt:lpstr>
      <vt:lpstr>z_T897CE0113_MO_RIS_EarningsPerShareWAD</vt:lpstr>
      <vt:lpstr>z_T897CE0113_MO_RIS_EarningstoPreferredandOtherSecurities</vt:lpstr>
      <vt:lpstr>z_T897CE0113_MO_RIS_EBIT_2</vt:lpstr>
      <vt:lpstr>z_T897CE0113_MO_RIS_EBITDA_1</vt:lpstr>
      <vt:lpstr>z_T897CE0113_MO_RIS_EBT</vt:lpstr>
      <vt:lpstr>z_T897CE0113_MO_RIS_GA_1</vt:lpstr>
      <vt:lpstr>z_T897CE0113_MO_RIS_GrossProfit</vt:lpstr>
      <vt:lpstr>z_T897CE0113_MO_RIS_GuidanceNetRevenue</vt:lpstr>
      <vt:lpstr>z_T897CE0113_MO_RIS_Interestexpense</vt:lpstr>
      <vt:lpstr>z_T897CE0113_MO_RIS_NetIncomefromContinuedOperation</vt:lpstr>
      <vt:lpstr>z_T897CE0113_MO_RIS_NetIncometoCommonShareholders</vt:lpstr>
      <vt:lpstr>z_T897CE0113_MO_RIS_NetIncometoNCI</vt:lpstr>
      <vt:lpstr>z_T897CE0113_MO_RIS_NetRevenue</vt:lpstr>
      <vt:lpstr>z_T897CE0113_MO_RIS_NonGAAPAdjustments</vt:lpstr>
      <vt:lpstr>z_T897CE0113_MO_RIS_NonGAAPAdjustmentsforDilutiveSecurities</vt:lpstr>
      <vt:lpstr>z_T897CE0113_MO_RIS_Onetimeitem</vt:lpstr>
      <vt:lpstr>z_T897CE0113_MO_RIS_Otheritems</vt:lpstr>
      <vt:lpstr>z_T897CE0113_MO_RIS_RD_1</vt:lpstr>
      <vt:lpstr>z_T897CE0113_MO_RIS_SBC</vt:lpstr>
      <vt:lpstr>z_T897CE0113_MO_RIS_SM_1</vt:lpstr>
      <vt:lpstr>z_T897CE0113_MO_Section_AN_AdjustedNumbers</vt:lpstr>
      <vt:lpstr>z_T897CE0113_MO_Section_BS_BalanceSheet</vt:lpstr>
      <vt:lpstr>z_T897CE0113_MO_Section_BS_ModelChecks</vt:lpstr>
      <vt:lpstr>z_T897CE0113_MO_Section_BSS_BalanceSheetSummary</vt:lpstr>
      <vt:lpstr>z_T897CE0113_MO_Section_CCFS_CumulativeCashFlowStatement</vt:lpstr>
      <vt:lpstr>z_T897CE0113_MO_Section_CFS_CashFlowStatement</vt:lpstr>
      <vt:lpstr>z_T897CE0113_MO_Section_CFSum_CashFlowSummary</vt:lpstr>
      <vt:lpstr>z_T897CE0113_MO_Section_DAF_DAForecasting</vt:lpstr>
      <vt:lpstr>z_T897CE0113_MO_Section_IS_IncomeStatement</vt:lpstr>
      <vt:lpstr>z_T897CE0113_MO_Section_MA_MarginAnalysis</vt:lpstr>
      <vt:lpstr>z_T897CE0113_MO_Section_OS_BoardDiversity</vt:lpstr>
      <vt:lpstr>z_T897CE0113_MO_Section_OS_Canalyst</vt:lpstr>
      <vt:lpstr>z_T897CE0113_MO_Section_OS_Canalyst_1</vt:lpstr>
      <vt:lpstr>z_T897CE0113_MO_Section_OS_CapexGuidanceAnalysis</vt:lpstr>
      <vt:lpstr>z_T897CE0113_MO_Section_OS_DirectorCompensation</vt:lpstr>
      <vt:lpstr>z_T897CE0113_MO_Section_OS_FirstSection</vt:lpstr>
      <vt:lpstr>z_T897CE0113_MO_Section_OS_GuidanceAnalysis</vt:lpstr>
      <vt:lpstr>z_T897CE0113_MO_Section_OS_KeyMetricsAdImpressionCC</vt:lpstr>
      <vt:lpstr>z_T897CE0113_MO_Section_OS_KeyMetricsConstantCurrencyRevenuePR</vt:lpstr>
      <vt:lpstr>z_T897CE0113_MO_Section_OS_KeyMetricsHeadcountPR</vt:lpstr>
      <vt:lpstr>z_T897CE0113_MO_Section_OS_KeyMetricsLeasesFS</vt:lpstr>
      <vt:lpstr>z_T897CE0113_MO_Section_OS_KeyMetricsOperatingStatsofFamilyProductsSI</vt:lpstr>
      <vt:lpstr>z_T897CE0113_MO_Section_OS_KeyMetricsPropertyandEquipmentBreakdownPR</vt:lpstr>
      <vt:lpstr>z_T897CE0113_MO_Section_OS_KeyMetricsRestructuringChargesBreakdownCCPR</vt:lpstr>
      <vt:lpstr>z_T897CE0113_MO_Section_OS_OperatingExpenseForecasting</vt:lpstr>
      <vt:lpstr>z_T897CE0113_MO_Section_OS_OtherAlignmentDataPoints</vt:lpstr>
      <vt:lpstr>z_T897CE0113_MO_Section_OS_RevenueGuidanceAnalysis</vt:lpstr>
      <vt:lpstr>z_T897CE0113_MO_Section_OS_SBCDABreakdownFSPR</vt:lpstr>
      <vt:lpstr>z_T897CE0113_MO_Section_OS_SegmentedResultsFamilyofAppsSI</vt:lpstr>
      <vt:lpstr>z_T897CE0113_MO_Section_OS_SegmentedResultsRealityLabsSI</vt:lpstr>
      <vt:lpstr>z_T897CE0113_MO_Section_OS_SegmentedResultsRevenueBreakdownSI</vt:lpstr>
      <vt:lpstr>z_T897CE0113_MO_Section_OS_SegmentedResultsRevenueExpensesandEBITFS</vt:lpstr>
      <vt:lpstr>z_T897CE0113_MO_Section_OS_SegmentSummaryHistorical</vt:lpstr>
      <vt:lpstr>z_T897CE0113_MO_Section_OS_SegmentSummarySI</vt:lpstr>
      <vt:lpstr>z_T897CE0113_MO_Section_OS_ShareCountAnalysis</vt:lpstr>
      <vt:lpstr>z_T897CE0113_MO_Section_OS_TotalExpensesGuidanceAnalysis</vt:lpstr>
      <vt:lpstr>z_T897CE0113_MO_Section_OS_WorkingCapitalForecasting</vt:lpstr>
      <vt:lpstr>z_T897CE0113_MO_Section_RIS_RevisedIncomeStatement</vt:lpstr>
      <vt:lpstr>z_T897CE0113_MO_Section_SNA_Canalyst</vt:lpstr>
      <vt:lpstr>z_T897CE0113_MO_Section_TB_Tables</vt:lpstr>
      <vt:lpstr>z_T897CE0113_MO_Section_VA_Valuation</vt:lpstr>
      <vt:lpstr>z_T897CE0113_MO_Unstructured_SNA_AdjustedEarningsPerShareWAD</vt:lpstr>
      <vt:lpstr>z_T897CE0113_MO_Unstructured_SNA_AdjustedEBITDANoAdjustments</vt:lpstr>
      <vt:lpstr>z_T897CE0113_MO_Unstructured_SNA_AdjustedEBITNoAdjustments</vt:lpstr>
      <vt:lpstr>z_T897CE0113_MO_Unstructured_SNA_AnnualGuidanceTable</vt:lpstr>
      <vt:lpstr>z_T897CE0113_MO_Unstructured_SNA_ApplicablePeriod</vt:lpstr>
      <vt:lpstr>z_T897CE0113_MO_Unstructured_SNA_ApplicablePeriod_1</vt:lpstr>
      <vt:lpstr>z_T897CE0113_MO_Unstructured_SNA_ApplyTradeCurrencyScaling</vt:lpstr>
      <vt:lpstr>z_T897CE0113_MO_Unstructured_SNA_Avg</vt:lpstr>
      <vt:lpstr>z_T897CE0113_MO_Unstructured_SNA_Bloomberg</vt:lpstr>
      <vt:lpstr>z_T897CE0113_MO_Unstructured_SNA_Bloomberg_1</vt:lpstr>
      <vt:lpstr>z_T897CE0113_MO_Unstructured_SNA_Bloomberg_2</vt:lpstr>
      <vt:lpstr>z_T897CE0113_MO_Unstructured_SNA_Bloomberg_3</vt:lpstr>
      <vt:lpstr>z_T897CE0113_MO_Unstructured_SNA_CapitalIQ</vt:lpstr>
      <vt:lpstr>z_T897CE0113_MO_Unstructured_SNA_CapitalIQ_1</vt:lpstr>
      <vt:lpstr>z_T897CE0113_MO_Unstructured_SNA_CapitalIQ_2</vt:lpstr>
      <vt:lpstr>z_T897CE0113_MO_Unstructured_SNA_CapitalIQ_3</vt:lpstr>
      <vt:lpstr>z_T897CE0113_MO_Unstructured_SNA_ConsensusEstimatesAdjustedEarningsPerShareWAD</vt:lpstr>
      <vt:lpstr>z_T897CE0113_MO_Unstructured_SNA_ConsensusEstimatesAdjustedEBIT_1</vt:lpstr>
      <vt:lpstr>z_T897CE0113_MO_Unstructured_SNA_ConsensusEstimatesAdjustedEBITDA</vt:lpstr>
      <vt:lpstr>z_T897CE0113_MO_Unstructured_SNA_ConsensusEstimatesCapex</vt:lpstr>
      <vt:lpstr>z_T897CE0113_MO_Unstructured_SNA_ConsensusEstimatesCashFlowPerDilutedShare</vt:lpstr>
      <vt:lpstr>z_T897CE0113_MO_Unstructured_SNA_ConsensusEstimatesGrossMargin</vt:lpstr>
      <vt:lpstr>z_T897CE0113_MO_Unstructured_SNA_ConsensusEstimatesNetRevenue</vt:lpstr>
      <vt:lpstr>z_T897CE0113_MO_Unstructured_SNA_ConsensusEstimateTable</vt:lpstr>
      <vt:lpstr>z_T897CE0113_MO_Unstructured_SNA_CurrentFiscalYear</vt:lpstr>
      <vt:lpstr>z_T897CE0113_MO_Unstructured_SNA_DataSourceIndex</vt:lpstr>
      <vt:lpstr>z_T897CE0113_MO_Unstructured_SNA_EoP</vt:lpstr>
      <vt:lpstr>z_T897CE0113_MO_Unstructured_SNA_EVEBITDAAvg</vt:lpstr>
      <vt:lpstr>z_T897CE0113_MO_Unstructured_SNA_FactSet</vt:lpstr>
      <vt:lpstr>z_T897CE0113_MO_Unstructured_SNA_FactSet_1</vt:lpstr>
      <vt:lpstr>z_T897CE0113_MO_Unstructured_SNA_FactSet_2</vt:lpstr>
      <vt:lpstr>z_T897CE0113_MO_Unstructured_SNA_FactSet_3</vt:lpstr>
      <vt:lpstr>z_T897CE0113_MO_Unstructured_SNA_FirstForecastFiscalYear</vt:lpstr>
      <vt:lpstr>z_T897CE0113_MO_Unstructured_SNA_FiscalPeriodStartDate</vt:lpstr>
      <vt:lpstr>z_T897CE0113_MO_Unstructured_SNA_FXAverageRealTimeOffSource</vt:lpstr>
      <vt:lpstr>z_T897CE0113_MO_Unstructured_SNA_FXEoP</vt:lpstr>
      <vt:lpstr>z_T897CE0113_MO_Unstructured_SNA_FYorFQ</vt:lpstr>
      <vt:lpstr>z_T897CE0113_MO_Unstructured_SNA_GeneralTable</vt:lpstr>
      <vt:lpstr>z_T897CE0113_MO_Unstructured_SNA_High</vt:lpstr>
      <vt:lpstr>z_T897CE0113_MO_Unstructured_SNA_HighCapex</vt:lpstr>
      <vt:lpstr>z_T897CE0113_MO_Unstructured_SNA_HighCapex_1</vt:lpstr>
      <vt:lpstr>z_T897CE0113_MO_Unstructured_SNA_HighNetRevenue</vt:lpstr>
      <vt:lpstr>z_T897CE0113_MO_Unstructured_SNA_HighNetRevenue_1</vt:lpstr>
      <vt:lpstr>z_T897CE0113_MO_Unstructured_SNA_HighTotalExpenses</vt:lpstr>
      <vt:lpstr>z_T897CE0113_MO_Unstructured_SNA_HighTotalExpenses_1</vt:lpstr>
      <vt:lpstr>z_T897CE0113_MO_Unstructured_SNA_HighYYNetRevenueGrowth</vt:lpstr>
      <vt:lpstr>z_T897CE0113_MO_Unstructured_SNA_HighYYNetRevenueGrowth_1</vt:lpstr>
      <vt:lpstr>z_T897CE0113_MO_Unstructured_SNA_IsHistoricalPeriod</vt:lpstr>
      <vt:lpstr>z_T897CE0113_MO_Unstructured_SNA_IsLatest</vt:lpstr>
      <vt:lpstr>z_T897CE0113_MO_Unstructured_SNA_KeyOutputs</vt:lpstr>
      <vt:lpstr>z_T897CE0113_MO_Unstructured_SNA_KPICount</vt:lpstr>
      <vt:lpstr>z_T897CE0113_MO_Unstructured_SNA_KPIData</vt:lpstr>
      <vt:lpstr>z_T897CE0113_MO_Unstructured_SNA_LastPrice</vt:lpstr>
      <vt:lpstr>z_T897CE0113_MO_Unstructured_SNA_LastPriceDate</vt:lpstr>
      <vt:lpstr>z_T897CE0113_MO_Unstructured_SNA_LastPriceFormula</vt:lpstr>
      <vt:lpstr>z_T897CE0113_MO_Unstructured_SNA_LastWorkingDayInPeriod</vt:lpstr>
      <vt:lpstr>z_T897CE0113_MO_Unstructured_SNA_Low</vt:lpstr>
      <vt:lpstr>z_T897CE0113_MO_Unstructured_SNA_LowCapex</vt:lpstr>
      <vt:lpstr>z_T897CE0113_MO_Unstructured_SNA_LowCapex_1</vt:lpstr>
      <vt:lpstr>z_T897CE0113_MO_Unstructured_SNA_LowNetRevenue</vt:lpstr>
      <vt:lpstr>z_T897CE0113_MO_Unstructured_SNA_LowNetRevenue_1</vt:lpstr>
      <vt:lpstr>z_T897CE0113_MO_Unstructured_SNA_LowTotalExpenses</vt:lpstr>
      <vt:lpstr>z_T897CE0113_MO_Unstructured_SNA_LowTotalExpenses_1</vt:lpstr>
      <vt:lpstr>z_T897CE0113_MO_Unstructured_SNA_LowYYNetRevenueGrowth</vt:lpstr>
      <vt:lpstr>z_T897CE0113_MO_Unstructured_SNA_LowYYNetRevenueGrowth_1</vt:lpstr>
      <vt:lpstr>z_T897CE0113_MO_Unstructured_SNA_METAOQ</vt:lpstr>
      <vt:lpstr>z_T897CE0113_MO_Unstructured_SNA_METAUS</vt:lpstr>
      <vt:lpstr>z_T897CE0113_MO_Unstructured_SNA_METAUS_1</vt:lpstr>
      <vt:lpstr>z_T897CE0113_MO_Unstructured_SNA_METAUS_2</vt:lpstr>
      <vt:lpstr>z_T897CE0113_MO_Unstructured_SNA_MidCapex</vt:lpstr>
      <vt:lpstr>z_T897CE0113_MO_Unstructured_SNA_MidCapex_1</vt:lpstr>
      <vt:lpstr>z_T897CE0113_MO_Unstructured_SNA_MidNetRevenue</vt:lpstr>
      <vt:lpstr>z_T897CE0113_MO_Unstructured_SNA_MidNetRevenue_1</vt:lpstr>
      <vt:lpstr>z_T897CE0113_MO_Unstructured_SNA_MidTotalExpenses</vt:lpstr>
      <vt:lpstr>z_T897CE0113_MO_Unstructured_SNA_MidTotalExpenses_1</vt:lpstr>
      <vt:lpstr>z_T897CE0113_MO_Unstructured_SNA_MidYYNetRevenueGrowth</vt:lpstr>
      <vt:lpstr>z_T897CE0113_MO_Unstructured_SNA_MidYYNetRevenueGrowth_1</vt:lpstr>
      <vt:lpstr>z_T897CE0113_MO_Unstructured_SNA_MOCFSumCapex</vt:lpstr>
      <vt:lpstr>z_T897CE0113_MO_Unstructured_SNA_ModelSheetCurrencyHardcoded</vt:lpstr>
      <vt:lpstr>z_T897CE0113_MO_Unstructured_SNA_MOKPIAdvertisingExpense</vt:lpstr>
      <vt:lpstr>z_T897CE0113_MO_Unstructured_SNA_MOKPIAdvertisingExpenseGrowth</vt:lpstr>
      <vt:lpstr>z_T897CE0113_MO_Unstructured_SNA_MOKPIARPUDaily</vt:lpstr>
      <vt:lpstr>z_T897CE0113_MO_Unstructured_SNA_MOKPIDAU</vt:lpstr>
      <vt:lpstr>z_T897CE0113_MO_Unstructured_SNA_MOKPIREVAdvertising</vt:lpstr>
      <vt:lpstr>z_T897CE0113_MO_Unstructured_SNA_MOMAEBIT_1</vt:lpstr>
      <vt:lpstr>z_T897CE0113_MO_Unstructured_SNA_MOMAEBITDAAdj</vt:lpstr>
      <vt:lpstr>z_T897CE0113_MO_Unstructured_SNA_MOMAGA</vt:lpstr>
      <vt:lpstr>z_T897CE0113_MO_Unstructured_SNA_MOMAGM</vt:lpstr>
      <vt:lpstr>z_T897CE0113_MO_Unstructured_SNA_MOMARD</vt:lpstr>
      <vt:lpstr>z_T897CE0113_MO_Unstructured_SNA_MOMASM</vt:lpstr>
      <vt:lpstr>z_T897CE0113_MO_Unstructured_SNA_MOOSEmployeeCount</vt:lpstr>
      <vt:lpstr>z_T897CE0113_MO_Unstructured_SNA_MORISEBITDAAdj</vt:lpstr>
      <vt:lpstr>z_T897CE0113_MO_Unstructured_SNA_MORISEPSWADAdj</vt:lpstr>
      <vt:lpstr>z_T897CE0113_MO_Unstructured_SNA_MORISNINONGAAPDiluted</vt:lpstr>
      <vt:lpstr>z_T897CE0113_MO_Unstructured_SNA_MORISREV</vt:lpstr>
      <vt:lpstr>z_T897CE0113_MO_Unstructured_SNA_MostRecentFiscalPeriodMRFP</vt:lpstr>
      <vt:lpstr>z_T897CE0113_MO_Unstructured_SNA_MostRecentFX</vt:lpstr>
      <vt:lpstr>z_T897CE0113_MO_Unstructured_SNA_MostRecentFXHardcoded</vt:lpstr>
      <vt:lpstr>z_T897CE0113_MO_Unstructured_SNA_MRFPColumnNumber</vt:lpstr>
      <vt:lpstr>z_T897CE0113_MO_Unstructured_SNA_NASDAQMETA</vt:lpstr>
      <vt:lpstr>z_T897CE0113_MO_Unstructured_SNA_NetRevenue</vt:lpstr>
      <vt:lpstr>z_T897CE0113_MO_Unstructured_SNA_PEAvg</vt:lpstr>
      <vt:lpstr>z_T897CE0113_MO_Unstructured_SNA_Period</vt:lpstr>
      <vt:lpstr>z_T897CE0113_MO_Unstructured_SNA_QuarterlyGuidanceTable</vt:lpstr>
      <vt:lpstr>z_T897CE0113_MO_Unstructured_SNA_RealTimeOffSource</vt:lpstr>
      <vt:lpstr>z_T897CE0113_MO_Unstructured_SNA_RealTimeOffSource_1</vt:lpstr>
      <vt:lpstr>z_T897CE0113_MO_Unstructured_SNA_RealTimeOffSource_2</vt:lpstr>
      <vt:lpstr>z_T897CE0113_MO_Unstructured_SNA_RealTimeOffSource_3</vt:lpstr>
      <vt:lpstr>z_T897CE0113_MO_Unstructured_SNA_RealTimeStockPrice</vt:lpstr>
      <vt:lpstr>z_T897CE0113_MO_Unstructured_SNA_Refinitiv</vt:lpstr>
      <vt:lpstr>z_T897CE0113_MO_Unstructured_SNA_Refinitiv_1</vt:lpstr>
      <vt:lpstr>z_T897CE0113_MO_Unstructured_SNA_Refinitiv_2</vt:lpstr>
      <vt:lpstr>z_T897CE0113_MO_Unstructured_SNA_Refinitiv_3</vt:lpstr>
      <vt:lpstr>z_T897CE0113_MO_Unstructured_SNA_ReportingDate</vt:lpstr>
      <vt:lpstr>z_T897CE0113_MO_Unstructured_SNA_ReportingDate_1</vt:lpstr>
      <vt:lpstr>z_T897CE0113_MO_Unstructured_SNA_StockAverageRealTimeOffSource</vt:lpstr>
      <vt:lpstr>z_T897CE0113_MO_Unstructured_SNA_StockHighRealTimeOffSource</vt:lpstr>
      <vt:lpstr>z_T897CE0113_MO_Unstructured_SNA_StockLowRealTimeOffSource</vt:lpstr>
      <vt:lpstr>z_T897CE0113_MO_Unstructured_SNA_StockPriceEoP</vt:lpstr>
      <vt:lpstr>z_T897CE0113_MO_Unstructured_SNA_StockPriceTable</vt:lpstr>
      <vt:lpstr>z_T897CE0113_MO_Unstructured_SNA_TickerSymbol</vt:lpstr>
      <vt:lpstr>z_T897CE0113_MO_Unstructured_SNA_TradeCurrency</vt:lpstr>
      <vt:lpstr>z_T897CE0113_MO_Unstructured_SNA_TradeCurrencyHardcoded</vt:lpstr>
      <vt:lpstr>z_T897CE0113_MO_Unstructured_SNA_ValuationToggleTable</vt:lpstr>
      <vt:lpstr>z_T897CE0113_MO_VA_EnterpriseValueAverage</vt:lpstr>
      <vt:lpstr>z_T897CE0113_MO_VA_enterprisevaluecomponents</vt:lpstr>
      <vt:lpstr>z_T897CE0113_MO_VA_EVEBITDAAverage</vt:lpstr>
      <vt:lpstr>z_T897CE0113_MO_VA_FCFYieldtoAverageEnterpriseValue</vt:lpstr>
      <vt:lpstr>z_T897CE0113_MO_VA_FCFYieldtoAverageMarketCap</vt:lpstr>
      <vt:lpstr>z_T897CE0113_MO_VA_MarketCapAverage</vt:lpstr>
      <vt:lpstr>z_T897CE0113_MO_VA_NoncontrollingInterest</vt:lpstr>
      <vt:lpstr>z_T897CE0113_MO_VA_OtherEVComponents</vt:lpstr>
      <vt:lpstr>z_T897CE0113_MO_VA_PCFAverage</vt:lpstr>
      <vt:lpstr>z_T897CE0113_MO_VA_PEAverage</vt:lpstr>
      <vt:lpstr>z_T897CE0113_MO_VA_PreferredShares</vt:lpstr>
      <vt:lpstr>z_T897CE0113_MO_VA_StockAvg</vt:lpstr>
      <vt:lpstr>z_T897CE0113_MO_VA_StockHigh</vt:lpstr>
      <vt:lpstr>z_T897CE0113_MO_VA_StockLow</vt:lpstr>
      <vt:lpstr>z_T897CE0113_MO_VA_StockPriceAverage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Canalyst</dc:creator>
  <cp:keywords/>
  <dc:description/>
  <cp:lastModifiedBy>Author</cp:lastModifiedBy>
  <cp:lastPrinted>2024-12-11T23:09:50Z</cp:lastPrinted>
  <dcterms:created xsi:type="dcterms:W3CDTF">2016-04-22T21:21:10Z</dcterms:created>
  <dcterms:modified xsi:type="dcterms:W3CDTF">2025-05-04T16:14:30Z</dcterms:modified>
  <cp:category/>
</cp:coreProperties>
</file>